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ishwarya.Survase\Desktop\Comp analysis dashboard files\"/>
    </mc:Choice>
  </mc:AlternateContent>
  <xr:revisionPtr revIDLastSave="0" documentId="13_ncr:1_{1533397B-C866-4671-9E15-C1F470BF028A}" xr6:coauthVersionLast="47" xr6:coauthVersionMax="47" xr10:uidLastSave="{00000000-0000-0000-0000-000000000000}"/>
  <bookViews>
    <workbookView xWindow="-110" yWindow="-110" windowWidth="19420" windowHeight="11500" xr2:uid="{2B8F3660-C6F5-4F6D-867B-C4F0CA048F71}"/>
  </bookViews>
  <sheets>
    <sheet name="Sheet1"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xlnm._FilterDatabase" localSheetId="0" hidden="1">Sheet1!$A$1:$AT$962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2" i="1"/>
  <c r="O961" i="1" l="1"/>
  <c r="P961" i="1"/>
  <c r="Q961" i="1"/>
  <c r="R961" i="1"/>
  <c r="S961" i="1"/>
  <c r="T961" i="1"/>
  <c r="U961" i="1"/>
  <c r="V961" i="1"/>
  <c r="W961" i="1"/>
  <c r="X961" i="1"/>
  <c r="Y961" i="1"/>
  <c r="Z961" i="1"/>
  <c r="O962" i="1"/>
  <c r="P962" i="1"/>
  <c r="Q962" i="1"/>
  <c r="R962" i="1"/>
  <c r="S962" i="1"/>
  <c r="T962" i="1"/>
  <c r="U962" i="1"/>
  <c r="V962" i="1"/>
  <c r="W962" i="1"/>
  <c r="X962" i="1"/>
  <c r="Y962" i="1"/>
  <c r="Z962" i="1"/>
  <c r="W960" i="1"/>
  <c r="V960" i="1"/>
  <c r="Z960" i="1"/>
  <c r="Y960" i="1"/>
  <c r="X960" i="1"/>
  <c r="U960" i="1"/>
  <c r="T960" i="1"/>
  <c r="S960" i="1"/>
  <c r="R960" i="1"/>
  <c r="Q960" i="1"/>
  <c r="P960" i="1"/>
  <c r="O960" i="1"/>
  <c r="AM959" i="1"/>
  <c r="AN959" i="1"/>
  <c r="AO959" i="1"/>
  <c r="AP959" i="1"/>
  <c r="AQ959" i="1"/>
  <c r="AS959" i="1" s="1"/>
  <c r="AH959" i="1" s="1"/>
  <c r="AR959" i="1"/>
  <c r="AT959" i="1" s="1"/>
  <c r="AM960" i="1"/>
  <c r="AN960" i="1"/>
  <c r="AO960" i="1"/>
  <c r="AP960" i="1"/>
  <c r="AQ960" i="1"/>
  <c r="AS960" i="1" s="1"/>
  <c r="AR960" i="1"/>
  <c r="AT960" i="1" s="1"/>
  <c r="AM961" i="1"/>
  <c r="AN961" i="1"/>
  <c r="AO961" i="1"/>
  <c r="AP961" i="1"/>
  <c r="AQ961" i="1"/>
  <c r="AS961" i="1" s="1"/>
  <c r="AI961" i="1" s="1"/>
  <c r="AR961" i="1"/>
  <c r="AT961" i="1" s="1"/>
  <c r="AM962" i="1"/>
  <c r="AN962" i="1"/>
  <c r="AO962" i="1"/>
  <c r="AP962" i="1"/>
  <c r="AQ962" i="1"/>
  <c r="AS962" i="1" s="1"/>
  <c r="AR962" i="1"/>
  <c r="AT962" i="1" s="1"/>
  <c r="Z959" i="1"/>
  <c r="Y959" i="1"/>
  <c r="X959" i="1"/>
  <c r="W959" i="1"/>
  <c r="V959" i="1"/>
  <c r="U959" i="1"/>
  <c r="T959" i="1"/>
  <c r="S959" i="1"/>
  <c r="R959" i="1"/>
  <c r="Q959" i="1"/>
  <c r="P959" i="1"/>
  <c r="O959" i="1"/>
  <c r="H959" i="1" a="1"/>
  <c r="H959" i="1" s="1"/>
  <c r="I959" i="1" a="1"/>
  <c r="I959" i="1" s="1"/>
  <c r="H960" i="1" a="1"/>
  <c r="H960" i="1" s="1"/>
  <c r="I960" i="1" a="1"/>
  <c r="I960" i="1" s="1"/>
  <c r="H961" i="1" a="1"/>
  <c r="H961" i="1" s="1"/>
  <c r="I961" i="1" a="1"/>
  <c r="I961" i="1" s="1"/>
  <c r="H962" i="1" a="1"/>
  <c r="H962" i="1" s="1"/>
  <c r="I962" i="1" a="1"/>
  <c r="I962" i="1" s="1"/>
  <c r="AA962" i="1" l="1"/>
  <c r="AB962" i="1" s="1"/>
  <c r="AC962" i="1"/>
  <c r="AE962" i="1" s="1"/>
  <c r="AC960" i="1"/>
  <c r="AE960" i="1" s="1"/>
  <c r="AH961" i="1"/>
  <c r="AI959" i="1"/>
  <c r="AA960" i="1"/>
  <c r="AD960" i="1" s="1"/>
  <c r="AA961" i="1"/>
  <c r="AD961" i="1" s="1"/>
  <c r="AA959" i="1"/>
  <c r="AD959" i="1" s="1"/>
  <c r="AH960" i="1"/>
  <c r="AI960" i="1"/>
  <c r="AH962" i="1"/>
  <c r="AI962" i="1"/>
  <c r="AC959" i="1"/>
  <c r="AE959" i="1" s="1"/>
  <c r="J960" i="1"/>
  <c r="AC961" i="1"/>
  <c r="AE961" i="1" s="1"/>
  <c r="J962" i="1"/>
  <c r="J961" i="1"/>
  <c r="J959" i="1"/>
  <c r="O956" i="1"/>
  <c r="P956" i="1"/>
  <c r="Q956" i="1"/>
  <c r="R956" i="1"/>
  <c r="S956" i="1"/>
  <c r="T956" i="1"/>
  <c r="U956" i="1"/>
  <c r="V956" i="1"/>
  <c r="W956" i="1"/>
  <c r="X956" i="1"/>
  <c r="Y956" i="1"/>
  <c r="Z956" i="1"/>
  <c r="O957" i="1"/>
  <c r="P957" i="1"/>
  <c r="Q957" i="1"/>
  <c r="R957" i="1"/>
  <c r="S957" i="1"/>
  <c r="T957" i="1"/>
  <c r="U957" i="1"/>
  <c r="V957" i="1"/>
  <c r="W957" i="1"/>
  <c r="X957" i="1"/>
  <c r="Y957" i="1"/>
  <c r="Z957" i="1"/>
  <c r="O958" i="1"/>
  <c r="P958" i="1"/>
  <c r="Q958" i="1"/>
  <c r="R958" i="1"/>
  <c r="S958" i="1"/>
  <c r="T958" i="1"/>
  <c r="U958" i="1"/>
  <c r="V958" i="1"/>
  <c r="W958" i="1"/>
  <c r="X958" i="1"/>
  <c r="Y958" i="1"/>
  <c r="Z958" i="1"/>
  <c r="Z955" i="1"/>
  <c r="Y955" i="1"/>
  <c r="X955" i="1"/>
  <c r="W955" i="1"/>
  <c r="V955" i="1"/>
  <c r="U955" i="1"/>
  <c r="T955" i="1"/>
  <c r="S955" i="1"/>
  <c r="R955" i="1"/>
  <c r="Q955" i="1"/>
  <c r="P955" i="1"/>
  <c r="O955" i="1"/>
  <c r="AM955" i="1"/>
  <c r="AN955" i="1"/>
  <c r="AO955" i="1"/>
  <c r="AP955" i="1"/>
  <c r="AQ955" i="1"/>
  <c r="AS955" i="1" s="1"/>
  <c r="AH955" i="1" s="1"/>
  <c r="AR955" i="1"/>
  <c r="AT955" i="1" s="1"/>
  <c r="AM956" i="1"/>
  <c r="AN956" i="1"/>
  <c r="AO956" i="1"/>
  <c r="AP956" i="1"/>
  <c r="AQ956" i="1"/>
  <c r="AS956" i="1" s="1"/>
  <c r="AH956" i="1" s="1"/>
  <c r="AR956" i="1"/>
  <c r="AT956" i="1" s="1"/>
  <c r="AM957" i="1"/>
  <c r="AN957" i="1"/>
  <c r="AO957" i="1"/>
  <c r="AP957" i="1"/>
  <c r="AQ957" i="1"/>
  <c r="AS957" i="1" s="1"/>
  <c r="AI957" i="1" s="1"/>
  <c r="AR957" i="1"/>
  <c r="AT957" i="1" s="1"/>
  <c r="AM958" i="1"/>
  <c r="AN958" i="1"/>
  <c r="AO958" i="1"/>
  <c r="AP958" i="1"/>
  <c r="AQ958" i="1"/>
  <c r="AS958" i="1" s="1"/>
  <c r="AR958" i="1"/>
  <c r="AT958" i="1"/>
  <c r="H955" i="1" a="1"/>
  <c r="H955" i="1" s="1"/>
  <c r="I955" i="1" a="1"/>
  <c r="I955" i="1" s="1"/>
  <c r="H956" i="1" a="1"/>
  <c r="H956" i="1" s="1"/>
  <c r="I956" i="1" a="1"/>
  <c r="I956" i="1" s="1"/>
  <c r="H957" i="1" a="1"/>
  <c r="H957" i="1" s="1"/>
  <c r="I957" i="1" a="1"/>
  <c r="I957" i="1" s="1"/>
  <c r="H958" i="1" a="1"/>
  <c r="H958" i="1" s="1"/>
  <c r="I958" i="1" a="1"/>
  <c r="I958" i="1" s="1"/>
  <c r="AD962" i="1" l="1"/>
  <c r="AB959" i="1"/>
  <c r="AB961" i="1"/>
  <c r="AC958" i="1"/>
  <c r="AE958" i="1" s="1"/>
  <c r="AA956" i="1"/>
  <c r="AB956" i="1" s="1"/>
  <c r="AB960" i="1"/>
  <c r="AA957" i="1"/>
  <c r="AD957" i="1" s="1"/>
  <c r="AA955" i="1"/>
  <c r="AB955" i="1" s="1"/>
  <c r="AA958" i="1"/>
  <c r="AB958" i="1" s="1"/>
  <c r="AH958" i="1"/>
  <c r="AI958" i="1"/>
  <c r="AC957" i="1"/>
  <c r="AE957" i="1" s="1"/>
  <c r="AC956" i="1"/>
  <c r="AE956" i="1" s="1"/>
  <c r="AC955" i="1"/>
  <c r="AE955" i="1" s="1"/>
  <c r="AD955" i="1"/>
  <c r="AH957" i="1"/>
  <c r="AI956" i="1"/>
  <c r="AI955" i="1"/>
  <c r="J958" i="1"/>
  <c r="J957" i="1"/>
  <c r="J956" i="1"/>
  <c r="J955" i="1"/>
  <c r="O952" i="1"/>
  <c r="P952" i="1"/>
  <c r="Q952" i="1"/>
  <c r="R952" i="1"/>
  <c r="S952" i="1"/>
  <c r="T952" i="1"/>
  <c r="U952" i="1"/>
  <c r="V952" i="1"/>
  <c r="W952" i="1"/>
  <c r="X952" i="1"/>
  <c r="Y952" i="1"/>
  <c r="Z952" i="1"/>
  <c r="O953" i="1"/>
  <c r="P953" i="1"/>
  <c r="Q953" i="1"/>
  <c r="R953" i="1"/>
  <c r="S953" i="1"/>
  <c r="T953" i="1"/>
  <c r="U953" i="1"/>
  <c r="V953" i="1"/>
  <c r="W953" i="1"/>
  <c r="X953" i="1"/>
  <c r="Y953" i="1"/>
  <c r="Z953" i="1"/>
  <c r="O954" i="1"/>
  <c r="P954" i="1"/>
  <c r="Q954" i="1"/>
  <c r="R954" i="1"/>
  <c r="S954" i="1"/>
  <c r="T954" i="1"/>
  <c r="U954" i="1"/>
  <c r="V954" i="1"/>
  <c r="W954" i="1"/>
  <c r="X954" i="1"/>
  <c r="Y954" i="1"/>
  <c r="Z954" i="1"/>
  <c r="Z951" i="1"/>
  <c r="Y951" i="1"/>
  <c r="X951" i="1"/>
  <c r="W951" i="1"/>
  <c r="V951" i="1"/>
  <c r="U951" i="1"/>
  <c r="T951" i="1"/>
  <c r="S951" i="1"/>
  <c r="R951" i="1"/>
  <c r="Q951" i="1"/>
  <c r="P951" i="1"/>
  <c r="O951" i="1"/>
  <c r="AM951" i="1"/>
  <c r="AN951" i="1"/>
  <c r="AO951" i="1"/>
  <c r="AP951" i="1"/>
  <c r="AQ951" i="1"/>
  <c r="AR951" i="1"/>
  <c r="AT951" i="1" s="1"/>
  <c r="AS951" i="1"/>
  <c r="AH951" i="1" s="1"/>
  <c r="AM952" i="1"/>
  <c r="AN952" i="1"/>
  <c r="AO952" i="1"/>
  <c r="AP952" i="1"/>
  <c r="AQ952" i="1"/>
  <c r="AS952" i="1" s="1"/>
  <c r="AI952" i="1" s="1"/>
  <c r="AR952" i="1"/>
  <c r="AT952" i="1" s="1"/>
  <c r="AM953" i="1"/>
  <c r="AN953" i="1"/>
  <c r="AO953" i="1"/>
  <c r="AP953" i="1"/>
  <c r="AQ953" i="1"/>
  <c r="AS953" i="1" s="1"/>
  <c r="AH953" i="1" s="1"/>
  <c r="AR953" i="1"/>
  <c r="AT953" i="1"/>
  <c r="AM954" i="1"/>
  <c r="AN954" i="1"/>
  <c r="AO954" i="1"/>
  <c r="AP954" i="1"/>
  <c r="AQ954" i="1"/>
  <c r="AS954" i="1" s="1"/>
  <c r="AR954" i="1"/>
  <c r="AT954" i="1" s="1"/>
  <c r="H951" i="1" a="1"/>
  <c r="H951" i="1" s="1"/>
  <c r="I951" i="1" a="1"/>
  <c r="I951" i="1" s="1"/>
  <c r="H952" i="1" a="1"/>
  <c r="H952" i="1" s="1"/>
  <c r="I952" i="1" a="1"/>
  <c r="I952" i="1" s="1"/>
  <c r="H953" i="1" a="1"/>
  <c r="H953" i="1" s="1"/>
  <c r="I953" i="1" a="1"/>
  <c r="I953" i="1" s="1"/>
  <c r="H954" i="1" a="1"/>
  <c r="H954" i="1" s="1"/>
  <c r="I954" i="1" a="1"/>
  <c r="I954" i="1" s="1"/>
  <c r="AD958" i="1" l="1"/>
  <c r="AB957" i="1"/>
  <c r="AD956" i="1"/>
  <c r="AH954" i="1"/>
  <c r="AI954" i="1"/>
  <c r="AA951" i="1"/>
  <c r="AB951" i="1" s="1"/>
  <c r="AC954" i="1"/>
  <c r="AE954" i="1" s="1"/>
  <c r="AC952" i="1"/>
  <c r="AE952" i="1" s="1"/>
  <c r="AA954" i="1"/>
  <c r="AB954" i="1" s="1"/>
  <c r="AA952" i="1"/>
  <c r="AB952" i="1" s="1"/>
  <c r="AA953" i="1"/>
  <c r="AD953" i="1" s="1"/>
  <c r="AD952" i="1"/>
  <c r="AI953" i="1"/>
  <c r="AH952" i="1"/>
  <c r="AC951" i="1"/>
  <c r="AE951" i="1" s="1"/>
  <c r="AC953" i="1"/>
  <c r="AE953" i="1" s="1"/>
  <c r="AI951" i="1"/>
  <c r="J951" i="1"/>
  <c r="J954" i="1"/>
  <c r="J953" i="1"/>
  <c r="J952" i="1"/>
  <c r="O944" i="1"/>
  <c r="P944" i="1"/>
  <c r="Q944" i="1"/>
  <c r="R944" i="1"/>
  <c r="S944" i="1"/>
  <c r="T944" i="1"/>
  <c r="U944" i="1"/>
  <c r="V944" i="1"/>
  <c r="W944" i="1"/>
  <c r="X944" i="1"/>
  <c r="Y944" i="1"/>
  <c r="Z944" i="1"/>
  <c r="O945" i="1"/>
  <c r="P945" i="1"/>
  <c r="Q945" i="1"/>
  <c r="R945" i="1"/>
  <c r="S945" i="1"/>
  <c r="T945" i="1"/>
  <c r="U945" i="1"/>
  <c r="V945" i="1"/>
  <c r="W945" i="1"/>
  <c r="X945" i="1"/>
  <c r="Y945" i="1"/>
  <c r="Z945" i="1"/>
  <c r="O946" i="1"/>
  <c r="P946" i="1"/>
  <c r="Q946" i="1"/>
  <c r="R946" i="1"/>
  <c r="S946" i="1"/>
  <c r="T946" i="1"/>
  <c r="U946" i="1"/>
  <c r="V946" i="1"/>
  <c r="W946" i="1"/>
  <c r="X946" i="1"/>
  <c r="Y946" i="1"/>
  <c r="Z946" i="1"/>
  <c r="O947" i="1"/>
  <c r="P947" i="1"/>
  <c r="Q947" i="1"/>
  <c r="R947" i="1"/>
  <c r="S947" i="1"/>
  <c r="T947" i="1"/>
  <c r="U947" i="1"/>
  <c r="V947" i="1"/>
  <c r="W947" i="1"/>
  <c r="X947" i="1"/>
  <c r="Y947" i="1"/>
  <c r="Z947" i="1"/>
  <c r="O948" i="1"/>
  <c r="P948" i="1"/>
  <c r="Q948" i="1"/>
  <c r="R948" i="1"/>
  <c r="S948" i="1"/>
  <c r="T948" i="1"/>
  <c r="U948" i="1"/>
  <c r="V948" i="1"/>
  <c r="W948" i="1"/>
  <c r="X948" i="1"/>
  <c r="Y948" i="1"/>
  <c r="Z948" i="1"/>
  <c r="O949" i="1"/>
  <c r="P949" i="1"/>
  <c r="Q949" i="1"/>
  <c r="R949" i="1"/>
  <c r="S949" i="1"/>
  <c r="T949" i="1"/>
  <c r="U949" i="1"/>
  <c r="V949" i="1"/>
  <c r="W949" i="1"/>
  <c r="X949" i="1"/>
  <c r="Y949" i="1"/>
  <c r="Z949" i="1"/>
  <c r="O950" i="1"/>
  <c r="P950" i="1"/>
  <c r="Q950" i="1"/>
  <c r="R950" i="1"/>
  <c r="S950" i="1"/>
  <c r="T950" i="1"/>
  <c r="U950" i="1"/>
  <c r="V950" i="1"/>
  <c r="W950" i="1"/>
  <c r="X950" i="1"/>
  <c r="Y950" i="1"/>
  <c r="Z950" i="1"/>
  <c r="Z943" i="1"/>
  <c r="Y943" i="1"/>
  <c r="X943" i="1"/>
  <c r="W943" i="1"/>
  <c r="V943" i="1"/>
  <c r="U943" i="1"/>
  <c r="T943" i="1"/>
  <c r="S943" i="1"/>
  <c r="R943" i="1"/>
  <c r="Q943" i="1"/>
  <c r="P943" i="1"/>
  <c r="O943" i="1"/>
  <c r="AM943" i="1"/>
  <c r="AN943" i="1"/>
  <c r="AO943" i="1"/>
  <c r="AP943" i="1"/>
  <c r="AQ943" i="1"/>
  <c r="AS943" i="1" s="1"/>
  <c r="AH943" i="1" s="1"/>
  <c r="AR943" i="1"/>
  <c r="AT943" i="1"/>
  <c r="AM944" i="1"/>
  <c r="AN944" i="1"/>
  <c r="AO944" i="1"/>
  <c r="AP944" i="1"/>
  <c r="AQ944" i="1"/>
  <c r="AS944" i="1" s="1"/>
  <c r="AR944" i="1"/>
  <c r="AT944" i="1" s="1"/>
  <c r="AM945" i="1"/>
  <c r="AN945" i="1"/>
  <c r="AO945" i="1"/>
  <c r="AP945" i="1"/>
  <c r="AQ945" i="1"/>
  <c r="AS945" i="1" s="1"/>
  <c r="AH945" i="1" s="1"/>
  <c r="AR945" i="1"/>
  <c r="AT945" i="1"/>
  <c r="AM946" i="1"/>
  <c r="AN946" i="1"/>
  <c r="AO946" i="1"/>
  <c r="AP946" i="1"/>
  <c r="AQ946" i="1"/>
  <c r="AS946" i="1" s="1"/>
  <c r="AR946" i="1"/>
  <c r="AT946" i="1" s="1"/>
  <c r="AM947" i="1"/>
  <c r="AN947" i="1"/>
  <c r="AO947" i="1"/>
  <c r="AP947" i="1"/>
  <c r="AQ947" i="1"/>
  <c r="AS947" i="1" s="1"/>
  <c r="AR947" i="1"/>
  <c r="AT947" i="1" s="1"/>
  <c r="AM948" i="1"/>
  <c r="AN948" i="1"/>
  <c r="AO948" i="1"/>
  <c r="AP948" i="1"/>
  <c r="AQ948" i="1"/>
  <c r="AS948" i="1" s="1"/>
  <c r="AR948" i="1"/>
  <c r="AT948" i="1"/>
  <c r="AM949" i="1"/>
  <c r="AN949" i="1"/>
  <c r="AO949" i="1"/>
  <c r="AP949" i="1"/>
  <c r="AQ949" i="1"/>
  <c r="AS949" i="1" s="1"/>
  <c r="AH949" i="1" s="1"/>
  <c r="AR949" i="1"/>
  <c r="AT949" i="1" s="1"/>
  <c r="AM950" i="1"/>
  <c r="AN950" i="1"/>
  <c r="AO950" i="1"/>
  <c r="AP950" i="1"/>
  <c r="AQ950" i="1"/>
  <c r="AS950" i="1" s="1"/>
  <c r="AR950" i="1"/>
  <c r="AT950" i="1"/>
  <c r="H943" i="1" a="1"/>
  <c r="H943" i="1" s="1"/>
  <c r="I943" i="1" a="1"/>
  <c r="I943" i="1" s="1"/>
  <c r="H944" i="1" a="1"/>
  <c r="H944" i="1" s="1"/>
  <c r="I944" i="1" a="1"/>
  <c r="I944" i="1" s="1"/>
  <c r="H945" i="1" a="1"/>
  <c r="H945" i="1" s="1"/>
  <c r="I945" i="1" a="1"/>
  <c r="I945" i="1" s="1"/>
  <c r="H946" i="1" a="1"/>
  <c r="H946" i="1" s="1"/>
  <c r="I946" i="1" a="1"/>
  <c r="I946" i="1" s="1"/>
  <c r="H947" i="1" a="1"/>
  <c r="H947" i="1" s="1"/>
  <c r="I947" i="1" a="1"/>
  <c r="I947" i="1" s="1"/>
  <c r="H948" i="1" a="1"/>
  <c r="H948" i="1" s="1"/>
  <c r="I948" i="1" a="1"/>
  <c r="I948" i="1" s="1"/>
  <c r="H949" i="1" a="1"/>
  <c r="H949" i="1" s="1"/>
  <c r="I949" i="1" a="1"/>
  <c r="I949" i="1" s="1"/>
  <c r="H950" i="1" a="1"/>
  <c r="H950" i="1" s="1"/>
  <c r="I950" i="1" a="1"/>
  <c r="I950" i="1" s="1"/>
  <c r="AB953" i="1" l="1"/>
  <c r="AC949" i="1"/>
  <c r="AE949" i="1" s="1"/>
  <c r="AA945" i="1"/>
  <c r="AA950" i="1"/>
  <c r="AB950" i="1" s="1"/>
  <c r="AC946" i="1"/>
  <c r="AE946" i="1" s="1"/>
  <c r="AI947" i="1"/>
  <c r="AH947" i="1"/>
  <c r="AC948" i="1"/>
  <c r="AE948" i="1" s="1"/>
  <c r="AA947" i="1"/>
  <c r="AA948" i="1"/>
  <c r="AB948" i="1" s="1"/>
  <c r="AA944" i="1"/>
  <c r="AD944" i="1" s="1"/>
  <c r="AA943" i="1"/>
  <c r="AD943" i="1" s="1"/>
  <c r="AD951" i="1"/>
  <c r="AA946" i="1"/>
  <c r="AB946" i="1" s="1"/>
  <c r="AD954" i="1"/>
  <c r="AA949" i="1"/>
  <c r="AB949" i="1" s="1"/>
  <c r="AC945" i="1"/>
  <c r="AE945" i="1" s="1"/>
  <c r="AC950" i="1"/>
  <c r="AE950" i="1" s="1"/>
  <c r="AH944" i="1"/>
  <c r="AI944" i="1"/>
  <c r="AI946" i="1"/>
  <c r="AH946" i="1"/>
  <c r="AI948" i="1"/>
  <c r="AH948" i="1"/>
  <c r="AH950" i="1"/>
  <c r="AI950" i="1"/>
  <c r="AD945" i="1"/>
  <c r="AB945" i="1"/>
  <c r="AD947" i="1"/>
  <c r="AB947" i="1"/>
  <c r="AC944" i="1"/>
  <c r="AE944" i="1" s="1"/>
  <c r="AI945" i="1"/>
  <c r="AC947" i="1"/>
  <c r="AE947" i="1" s="1"/>
  <c r="AI943" i="1"/>
  <c r="AI949" i="1"/>
  <c r="AC943" i="1"/>
  <c r="AE943" i="1" s="1"/>
  <c r="J948" i="1"/>
  <c r="J947" i="1"/>
  <c r="J946" i="1"/>
  <c r="J945" i="1"/>
  <c r="J944" i="1"/>
  <c r="J943" i="1"/>
  <c r="J950" i="1"/>
  <c r="J949" i="1"/>
  <c r="O933" i="1"/>
  <c r="P933" i="1"/>
  <c r="Q933" i="1"/>
  <c r="R933" i="1"/>
  <c r="S933" i="1"/>
  <c r="T933" i="1"/>
  <c r="U933" i="1"/>
  <c r="V933" i="1"/>
  <c r="W933" i="1"/>
  <c r="X933" i="1"/>
  <c r="Y933" i="1"/>
  <c r="Z933" i="1"/>
  <c r="O934" i="1"/>
  <c r="P934" i="1"/>
  <c r="Q934" i="1"/>
  <c r="R934" i="1"/>
  <c r="S934" i="1"/>
  <c r="T934" i="1"/>
  <c r="U934" i="1"/>
  <c r="V934" i="1"/>
  <c r="W934" i="1"/>
  <c r="X934" i="1"/>
  <c r="Y934" i="1"/>
  <c r="Z934" i="1"/>
  <c r="O935" i="1"/>
  <c r="P935" i="1"/>
  <c r="Q935" i="1"/>
  <c r="R935" i="1"/>
  <c r="S935" i="1"/>
  <c r="T935" i="1"/>
  <c r="U935" i="1"/>
  <c r="V935" i="1"/>
  <c r="W935" i="1"/>
  <c r="X935" i="1"/>
  <c r="Y935" i="1"/>
  <c r="Z935" i="1"/>
  <c r="O936" i="1"/>
  <c r="P936" i="1"/>
  <c r="Q936" i="1"/>
  <c r="R936" i="1"/>
  <c r="S936" i="1"/>
  <c r="T936" i="1"/>
  <c r="U936" i="1"/>
  <c r="V936" i="1"/>
  <c r="W936" i="1"/>
  <c r="X936" i="1"/>
  <c r="Y936" i="1"/>
  <c r="Z936" i="1"/>
  <c r="O937" i="1"/>
  <c r="P937" i="1"/>
  <c r="Q937" i="1"/>
  <c r="R937" i="1"/>
  <c r="S937" i="1"/>
  <c r="T937" i="1"/>
  <c r="U937" i="1"/>
  <c r="V937" i="1"/>
  <c r="W937" i="1"/>
  <c r="X937" i="1"/>
  <c r="Y937" i="1"/>
  <c r="Z937" i="1"/>
  <c r="O938" i="1"/>
  <c r="P938" i="1"/>
  <c r="Q938" i="1"/>
  <c r="R938" i="1"/>
  <c r="S938" i="1"/>
  <c r="T938" i="1"/>
  <c r="U938" i="1"/>
  <c r="V938" i="1"/>
  <c r="W938" i="1"/>
  <c r="X938" i="1"/>
  <c r="Y938" i="1"/>
  <c r="Z938" i="1"/>
  <c r="O939" i="1"/>
  <c r="P939" i="1"/>
  <c r="Q939" i="1"/>
  <c r="R939" i="1"/>
  <c r="S939" i="1"/>
  <c r="T939" i="1"/>
  <c r="U939" i="1"/>
  <c r="V939" i="1"/>
  <c r="W939" i="1"/>
  <c r="X939" i="1"/>
  <c r="Y939" i="1"/>
  <c r="Z939" i="1"/>
  <c r="O940" i="1"/>
  <c r="P940" i="1"/>
  <c r="Q940" i="1"/>
  <c r="R940" i="1"/>
  <c r="S940" i="1"/>
  <c r="T940" i="1"/>
  <c r="U940" i="1"/>
  <c r="V940" i="1"/>
  <c r="W940" i="1"/>
  <c r="X940" i="1"/>
  <c r="Y940" i="1"/>
  <c r="Z940" i="1"/>
  <c r="O941" i="1"/>
  <c r="P941" i="1"/>
  <c r="Q941" i="1"/>
  <c r="R941" i="1"/>
  <c r="S941" i="1"/>
  <c r="T941" i="1"/>
  <c r="U941" i="1"/>
  <c r="V941" i="1"/>
  <c r="W941" i="1"/>
  <c r="X941" i="1"/>
  <c r="Y941" i="1"/>
  <c r="Z941" i="1"/>
  <c r="O942" i="1"/>
  <c r="P942" i="1"/>
  <c r="Q942" i="1"/>
  <c r="R942" i="1"/>
  <c r="S942" i="1"/>
  <c r="T942" i="1"/>
  <c r="U942" i="1"/>
  <c r="V942" i="1"/>
  <c r="W942" i="1"/>
  <c r="X942" i="1"/>
  <c r="Y942" i="1"/>
  <c r="Z942" i="1"/>
  <c r="Z932" i="1"/>
  <c r="Y932" i="1"/>
  <c r="X932" i="1"/>
  <c r="W932" i="1"/>
  <c r="V932" i="1"/>
  <c r="U932" i="1"/>
  <c r="T932" i="1"/>
  <c r="S932" i="1"/>
  <c r="R932" i="1"/>
  <c r="Q932" i="1"/>
  <c r="P932" i="1"/>
  <c r="O932" i="1"/>
  <c r="AM932" i="1"/>
  <c r="AN932" i="1"/>
  <c r="AO932" i="1"/>
  <c r="AP932" i="1"/>
  <c r="AQ932" i="1"/>
  <c r="AS932" i="1" s="1"/>
  <c r="AR932" i="1"/>
  <c r="AT932" i="1" s="1"/>
  <c r="AM933" i="1"/>
  <c r="AN933" i="1"/>
  <c r="AO933" i="1"/>
  <c r="AP933" i="1"/>
  <c r="AQ933" i="1"/>
  <c r="AS933" i="1" s="1"/>
  <c r="AI933" i="1" s="1"/>
  <c r="AR933" i="1"/>
  <c r="AT933" i="1" s="1"/>
  <c r="AM934" i="1"/>
  <c r="AN934" i="1"/>
  <c r="AO934" i="1"/>
  <c r="AP934" i="1"/>
  <c r="AQ934" i="1"/>
  <c r="AS934" i="1" s="1"/>
  <c r="AR934" i="1"/>
  <c r="AT934" i="1" s="1"/>
  <c r="AM935" i="1"/>
  <c r="AN935" i="1"/>
  <c r="AO935" i="1"/>
  <c r="AP935" i="1"/>
  <c r="AQ935" i="1"/>
  <c r="AS935" i="1" s="1"/>
  <c r="AI935" i="1" s="1"/>
  <c r="AR935" i="1"/>
  <c r="AT935" i="1" s="1"/>
  <c r="AM936" i="1"/>
  <c r="AN936" i="1"/>
  <c r="AO936" i="1"/>
  <c r="AP936" i="1"/>
  <c r="AQ936" i="1"/>
  <c r="AS936" i="1" s="1"/>
  <c r="AR936" i="1"/>
  <c r="AT936" i="1" s="1"/>
  <c r="AM937" i="1"/>
  <c r="AN937" i="1"/>
  <c r="AO937" i="1"/>
  <c r="AP937" i="1"/>
  <c r="AQ937" i="1"/>
  <c r="AS937" i="1" s="1"/>
  <c r="AH937" i="1" s="1"/>
  <c r="AR937" i="1"/>
  <c r="AT937" i="1" s="1"/>
  <c r="AM938" i="1"/>
  <c r="AN938" i="1"/>
  <c r="AO938" i="1"/>
  <c r="AP938" i="1"/>
  <c r="AQ938" i="1"/>
  <c r="AS938" i="1" s="1"/>
  <c r="AR938" i="1"/>
  <c r="AT938" i="1" s="1"/>
  <c r="AM939" i="1"/>
  <c r="AN939" i="1"/>
  <c r="AO939" i="1"/>
  <c r="AP939" i="1"/>
  <c r="AQ939" i="1"/>
  <c r="AS939" i="1" s="1"/>
  <c r="AI939" i="1" s="1"/>
  <c r="AR939" i="1"/>
  <c r="AT939" i="1" s="1"/>
  <c r="AM940" i="1"/>
  <c r="AN940" i="1"/>
  <c r="AO940" i="1"/>
  <c r="AP940" i="1"/>
  <c r="AQ940" i="1"/>
  <c r="AS940" i="1" s="1"/>
  <c r="AR940" i="1"/>
  <c r="AT940" i="1" s="1"/>
  <c r="AM941" i="1"/>
  <c r="AN941" i="1"/>
  <c r="AO941" i="1"/>
  <c r="AP941" i="1"/>
  <c r="AQ941" i="1"/>
  <c r="AS941" i="1" s="1"/>
  <c r="AH941" i="1" s="1"/>
  <c r="AR941" i="1"/>
  <c r="AT941" i="1" s="1"/>
  <c r="AM942" i="1"/>
  <c r="AN942" i="1"/>
  <c r="AO942" i="1"/>
  <c r="AP942" i="1"/>
  <c r="AQ942" i="1"/>
  <c r="AS942" i="1" s="1"/>
  <c r="AR942" i="1"/>
  <c r="AT942" i="1" s="1"/>
  <c r="H932" i="1" a="1"/>
  <c r="H932" i="1" s="1"/>
  <c r="I932" i="1" a="1"/>
  <c r="I932" i="1" s="1"/>
  <c r="H933" i="1" a="1"/>
  <c r="H933" i="1" s="1"/>
  <c r="I933" i="1" a="1"/>
  <c r="I933" i="1" s="1"/>
  <c r="H934" i="1" a="1"/>
  <c r="H934" i="1" s="1"/>
  <c r="I934" i="1" a="1"/>
  <c r="I934" i="1" s="1"/>
  <c r="H935" i="1" a="1"/>
  <c r="H935" i="1" s="1"/>
  <c r="I935" i="1" a="1"/>
  <c r="I935" i="1" s="1"/>
  <c r="H936" i="1" a="1"/>
  <c r="H936" i="1" s="1"/>
  <c r="I936" i="1" a="1"/>
  <c r="I936" i="1" s="1"/>
  <c r="H937" i="1" a="1"/>
  <c r="H937" i="1" s="1"/>
  <c r="I937" i="1" a="1"/>
  <c r="I937" i="1" s="1"/>
  <c r="H938" i="1" a="1"/>
  <c r="H938" i="1" s="1"/>
  <c r="I938" i="1" a="1"/>
  <c r="I938" i="1" s="1"/>
  <c r="H939" i="1" a="1"/>
  <c r="H939" i="1" s="1"/>
  <c r="I939" i="1" a="1"/>
  <c r="I939" i="1" s="1"/>
  <c r="H940" i="1" a="1"/>
  <c r="H940" i="1" s="1"/>
  <c r="I940" i="1" a="1"/>
  <c r="I940" i="1" s="1"/>
  <c r="H941" i="1" a="1"/>
  <c r="H941" i="1" s="1"/>
  <c r="I941" i="1" a="1"/>
  <c r="I941" i="1" s="1"/>
  <c r="H942" i="1" a="1"/>
  <c r="H942" i="1" s="1"/>
  <c r="I942" i="1" a="1"/>
  <c r="I942" i="1" s="1"/>
  <c r="AB943" i="1" l="1"/>
  <c r="AD948" i="1"/>
  <c r="J938" i="1"/>
  <c r="AD946" i="1"/>
  <c r="AD950" i="1"/>
  <c r="AA942" i="1"/>
  <c r="AD942" i="1" s="1"/>
  <c r="AA938" i="1"/>
  <c r="AD938" i="1" s="1"/>
  <c r="AC934" i="1"/>
  <c r="AE934" i="1" s="1"/>
  <c r="AI937" i="1"/>
  <c r="AB944" i="1"/>
  <c r="AI932" i="1"/>
  <c r="AH932" i="1"/>
  <c r="AC940" i="1"/>
  <c r="AE940" i="1" s="1"/>
  <c r="AC936" i="1"/>
  <c r="AE936" i="1" s="1"/>
  <c r="AA933" i="1"/>
  <c r="AB933" i="1" s="1"/>
  <c r="AD949" i="1"/>
  <c r="AA939" i="1"/>
  <c r="AD939" i="1" s="1"/>
  <c r="AC935" i="1"/>
  <c r="AE935" i="1" s="1"/>
  <c r="AA932" i="1"/>
  <c r="AB932" i="1" s="1"/>
  <c r="AC941" i="1"/>
  <c r="AE941" i="1" s="1"/>
  <c r="AA941" i="1"/>
  <c r="AB941" i="1" s="1"/>
  <c r="AC937" i="1"/>
  <c r="AE937" i="1" s="1"/>
  <c r="AA934" i="1"/>
  <c r="AB934" i="1" s="1"/>
  <c r="J932" i="1"/>
  <c r="AA937" i="1"/>
  <c r="AD937" i="1" s="1"/>
  <c r="AC933" i="1"/>
  <c r="AE933" i="1" s="1"/>
  <c r="AC942" i="1"/>
  <c r="AE942" i="1" s="1"/>
  <c r="AH934" i="1"/>
  <c r="AI934" i="1"/>
  <c r="AI936" i="1"/>
  <c r="AH936" i="1"/>
  <c r="AI938" i="1"/>
  <c r="AH938" i="1"/>
  <c r="AH940" i="1"/>
  <c r="AI940" i="1"/>
  <c r="AI942" i="1"/>
  <c r="AH942" i="1"/>
  <c r="AB938" i="1"/>
  <c r="AH939" i="1"/>
  <c r="AH935" i="1"/>
  <c r="AA940" i="1"/>
  <c r="AC939" i="1"/>
  <c r="AE939" i="1" s="1"/>
  <c r="AA936" i="1"/>
  <c r="AC932" i="1"/>
  <c r="AE932" i="1" s="1"/>
  <c r="AH933" i="1"/>
  <c r="J939" i="1"/>
  <c r="AI941" i="1"/>
  <c r="AC938" i="1"/>
  <c r="AE938" i="1" s="1"/>
  <c r="AA935" i="1"/>
  <c r="J935" i="1"/>
  <c r="J941" i="1"/>
  <c r="J937" i="1"/>
  <c r="J936" i="1"/>
  <c r="J942" i="1"/>
  <c r="J934" i="1"/>
  <c r="J940" i="1"/>
  <c r="J933" i="1"/>
  <c r="O921" i="1"/>
  <c r="P921" i="1"/>
  <c r="Q921" i="1"/>
  <c r="R921" i="1"/>
  <c r="S921" i="1"/>
  <c r="T921" i="1"/>
  <c r="U921" i="1"/>
  <c r="V921" i="1"/>
  <c r="W921" i="1"/>
  <c r="X921" i="1"/>
  <c r="Y921" i="1"/>
  <c r="Z921" i="1"/>
  <c r="O922" i="1"/>
  <c r="P922" i="1"/>
  <c r="Q922" i="1"/>
  <c r="R922" i="1"/>
  <c r="S922" i="1"/>
  <c r="T922" i="1"/>
  <c r="U922" i="1"/>
  <c r="V922" i="1"/>
  <c r="W922" i="1"/>
  <c r="X922" i="1"/>
  <c r="Y922" i="1"/>
  <c r="Z922" i="1"/>
  <c r="O923" i="1"/>
  <c r="P923" i="1"/>
  <c r="Q923" i="1"/>
  <c r="R923" i="1"/>
  <c r="S923" i="1"/>
  <c r="T923" i="1"/>
  <c r="U923" i="1"/>
  <c r="V923" i="1"/>
  <c r="W923" i="1"/>
  <c r="X923" i="1"/>
  <c r="Y923" i="1"/>
  <c r="Z923" i="1"/>
  <c r="O924" i="1"/>
  <c r="P924" i="1"/>
  <c r="Q924" i="1"/>
  <c r="R924" i="1"/>
  <c r="S924" i="1"/>
  <c r="T924" i="1"/>
  <c r="U924" i="1"/>
  <c r="V924" i="1"/>
  <c r="W924" i="1"/>
  <c r="X924" i="1"/>
  <c r="Y924" i="1"/>
  <c r="Z924" i="1"/>
  <c r="O925" i="1"/>
  <c r="P925" i="1"/>
  <c r="Q925" i="1"/>
  <c r="R925" i="1"/>
  <c r="S925" i="1"/>
  <c r="T925" i="1"/>
  <c r="U925" i="1"/>
  <c r="V925" i="1"/>
  <c r="W925" i="1"/>
  <c r="X925" i="1"/>
  <c r="Y925" i="1"/>
  <c r="Z925" i="1"/>
  <c r="O926" i="1"/>
  <c r="P926" i="1"/>
  <c r="Q926" i="1"/>
  <c r="R926" i="1"/>
  <c r="S926" i="1"/>
  <c r="T926" i="1"/>
  <c r="U926" i="1"/>
  <c r="V926" i="1"/>
  <c r="W926" i="1"/>
  <c r="X926" i="1"/>
  <c r="Y926" i="1"/>
  <c r="Z926" i="1"/>
  <c r="O927" i="1"/>
  <c r="P927" i="1"/>
  <c r="Q927" i="1"/>
  <c r="R927" i="1"/>
  <c r="S927" i="1"/>
  <c r="T927" i="1"/>
  <c r="U927" i="1"/>
  <c r="V927" i="1"/>
  <c r="W927" i="1"/>
  <c r="X927" i="1"/>
  <c r="Y927" i="1"/>
  <c r="Z927" i="1"/>
  <c r="O928" i="1"/>
  <c r="P928" i="1"/>
  <c r="Q928" i="1"/>
  <c r="R928" i="1"/>
  <c r="S928" i="1"/>
  <c r="T928" i="1"/>
  <c r="U928" i="1"/>
  <c r="V928" i="1"/>
  <c r="W928" i="1"/>
  <c r="X928" i="1"/>
  <c r="Y928" i="1"/>
  <c r="Z928" i="1"/>
  <c r="O929" i="1"/>
  <c r="P929" i="1"/>
  <c r="Q929" i="1"/>
  <c r="R929" i="1"/>
  <c r="S929" i="1"/>
  <c r="T929" i="1"/>
  <c r="U929" i="1"/>
  <c r="V929" i="1"/>
  <c r="W929" i="1"/>
  <c r="X929" i="1"/>
  <c r="Y929" i="1"/>
  <c r="Z929" i="1"/>
  <c r="O930" i="1"/>
  <c r="P930" i="1"/>
  <c r="Q930" i="1"/>
  <c r="R930" i="1"/>
  <c r="S930" i="1"/>
  <c r="T930" i="1"/>
  <c r="U930" i="1"/>
  <c r="V930" i="1"/>
  <c r="W930" i="1"/>
  <c r="X930" i="1"/>
  <c r="Y930" i="1"/>
  <c r="Z930" i="1"/>
  <c r="O931" i="1"/>
  <c r="P931" i="1"/>
  <c r="Q931" i="1"/>
  <c r="R931" i="1"/>
  <c r="S931" i="1"/>
  <c r="T931" i="1"/>
  <c r="U931" i="1"/>
  <c r="V931" i="1"/>
  <c r="W931" i="1"/>
  <c r="X931" i="1"/>
  <c r="Y931" i="1"/>
  <c r="Z931" i="1"/>
  <c r="Z920" i="1"/>
  <c r="Y920" i="1"/>
  <c r="X920" i="1"/>
  <c r="W920" i="1"/>
  <c r="V920" i="1"/>
  <c r="U920" i="1"/>
  <c r="T920" i="1"/>
  <c r="S920" i="1"/>
  <c r="R920" i="1"/>
  <c r="Q920" i="1"/>
  <c r="P920" i="1"/>
  <c r="O920" i="1"/>
  <c r="AD941" i="1" l="1"/>
  <c r="AB942" i="1"/>
  <c r="AB939" i="1"/>
  <c r="AA928" i="1"/>
  <c r="AD928" i="1" s="1"/>
  <c r="AA924" i="1"/>
  <c r="AA927" i="1"/>
  <c r="AD927" i="1" s="1"/>
  <c r="AD934" i="1"/>
  <c r="AB937" i="1"/>
  <c r="AC923" i="1"/>
  <c r="AE923" i="1" s="1"/>
  <c r="AD933" i="1"/>
  <c r="AA925" i="1"/>
  <c r="AC927" i="1"/>
  <c r="AE927" i="1" s="1"/>
  <c r="AA923" i="1"/>
  <c r="AB923" i="1" s="1"/>
  <c r="AC930" i="1"/>
  <c r="AE930" i="1" s="1"/>
  <c r="AD932" i="1"/>
  <c r="AA929" i="1"/>
  <c r="AD929" i="1" s="1"/>
  <c r="AC920" i="1"/>
  <c r="AE920" i="1" s="1"/>
  <c r="AA922" i="1"/>
  <c r="AD922" i="1" s="1"/>
  <c r="AC929" i="1"/>
  <c r="AE929" i="1" s="1"/>
  <c r="AC928" i="1"/>
  <c r="AE928" i="1" s="1"/>
  <c r="AC924" i="1"/>
  <c r="AE924" i="1" s="1"/>
  <c r="AA921" i="1"/>
  <c r="AB921" i="1" s="1"/>
  <c r="AC931" i="1"/>
  <c r="AE931" i="1" s="1"/>
  <c r="AA926" i="1"/>
  <c r="AB926" i="1" s="1"/>
  <c r="AA931" i="1"/>
  <c r="AD931" i="1" s="1"/>
  <c r="AD924" i="1"/>
  <c r="AB924" i="1"/>
  <c r="AB927" i="1"/>
  <c r="AB925" i="1"/>
  <c r="AD925" i="1"/>
  <c r="AA930" i="1"/>
  <c r="AC922" i="1"/>
  <c r="AE922" i="1" s="1"/>
  <c r="AC925" i="1"/>
  <c r="AE925" i="1" s="1"/>
  <c r="AA920" i="1"/>
  <c r="AB940" i="1"/>
  <c r="AD940" i="1"/>
  <c r="AC926" i="1"/>
  <c r="AE926" i="1" s="1"/>
  <c r="AC921" i="1"/>
  <c r="AE921" i="1" s="1"/>
  <c r="AD935" i="1"/>
  <c r="AB935" i="1"/>
  <c r="AD936" i="1"/>
  <c r="AB936" i="1"/>
  <c r="AM920" i="1"/>
  <c r="AN920" i="1"/>
  <c r="AO920" i="1"/>
  <c r="AP920" i="1"/>
  <c r="AQ920" i="1"/>
  <c r="AS920" i="1" s="1"/>
  <c r="AR920" i="1"/>
  <c r="AT920" i="1" s="1"/>
  <c r="AM921" i="1"/>
  <c r="AN921" i="1"/>
  <c r="AO921" i="1"/>
  <c r="AP921" i="1"/>
  <c r="AQ921" i="1"/>
  <c r="AS921" i="1" s="1"/>
  <c r="AH921" i="1" s="1"/>
  <c r="AR921" i="1"/>
  <c r="AT921" i="1" s="1"/>
  <c r="AM922" i="1"/>
  <c r="AN922" i="1"/>
  <c r="AO922" i="1"/>
  <c r="AP922" i="1"/>
  <c r="AQ922" i="1"/>
  <c r="AS922" i="1" s="1"/>
  <c r="AI922" i="1" s="1"/>
  <c r="AR922" i="1"/>
  <c r="AT922" i="1" s="1"/>
  <c r="AM923" i="1"/>
  <c r="AN923" i="1"/>
  <c r="AO923" i="1"/>
  <c r="AP923" i="1"/>
  <c r="AQ923" i="1"/>
  <c r="AS923" i="1" s="1"/>
  <c r="AI923" i="1" s="1"/>
  <c r="AR923" i="1"/>
  <c r="AT923" i="1" s="1"/>
  <c r="AM924" i="1"/>
  <c r="AN924" i="1"/>
  <c r="AO924" i="1"/>
  <c r="AP924" i="1"/>
  <c r="AQ924" i="1"/>
  <c r="AS924" i="1" s="1"/>
  <c r="AH924" i="1" s="1"/>
  <c r="AR924" i="1"/>
  <c r="AT924" i="1" s="1"/>
  <c r="AM925" i="1"/>
  <c r="AN925" i="1"/>
  <c r="AO925" i="1"/>
  <c r="AP925" i="1"/>
  <c r="AQ925" i="1"/>
  <c r="AS925" i="1" s="1"/>
  <c r="AR925" i="1"/>
  <c r="AT925" i="1" s="1"/>
  <c r="AM926" i="1"/>
  <c r="AN926" i="1"/>
  <c r="AO926" i="1"/>
  <c r="AP926" i="1"/>
  <c r="AQ926" i="1"/>
  <c r="AS926" i="1" s="1"/>
  <c r="AH926" i="1" s="1"/>
  <c r="AR926" i="1"/>
  <c r="AT926" i="1"/>
  <c r="AM927" i="1"/>
  <c r="AN927" i="1"/>
  <c r="AO927" i="1"/>
  <c r="AP927" i="1"/>
  <c r="AQ927" i="1"/>
  <c r="AS927" i="1" s="1"/>
  <c r="AR927" i="1"/>
  <c r="AT927" i="1" s="1"/>
  <c r="AM928" i="1"/>
  <c r="AN928" i="1"/>
  <c r="AO928" i="1"/>
  <c r="AP928" i="1"/>
  <c r="AQ928" i="1"/>
  <c r="AS928" i="1" s="1"/>
  <c r="AI928" i="1" s="1"/>
  <c r="AR928" i="1"/>
  <c r="AT928" i="1" s="1"/>
  <c r="AM929" i="1"/>
  <c r="AN929" i="1"/>
  <c r="AO929" i="1"/>
  <c r="AP929" i="1"/>
  <c r="AQ929" i="1"/>
  <c r="AS929" i="1" s="1"/>
  <c r="AR929" i="1"/>
  <c r="AT929" i="1" s="1"/>
  <c r="AM930" i="1"/>
  <c r="AN930" i="1"/>
  <c r="AO930" i="1"/>
  <c r="AP930" i="1"/>
  <c r="AQ930" i="1"/>
  <c r="AS930" i="1" s="1"/>
  <c r="AI930" i="1" s="1"/>
  <c r="AR930" i="1"/>
  <c r="AT930" i="1" s="1"/>
  <c r="AM931" i="1"/>
  <c r="AN931" i="1"/>
  <c r="AO931" i="1"/>
  <c r="AP931" i="1"/>
  <c r="AQ931" i="1"/>
  <c r="AS931" i="1" s="1"/>
  <c r="AR931" i="1"/>
  <c r="AT931" i="1"/>
  <c r="H920" i="1" a="1"/>
  <c r="H920" i="1" s="1"/>
  <c r="I920" i="1" a="1"/>
  <c r="I920" i="1" s="1"/>
  <c r="H921" i="1" a="1"/>
  <c r="H921" i="1" s="1"/>
  <c r="I921" i="1" a="1"/>
  <c r="I921" i="1" s="1"/>
  <c r="H922" i="1" a="1"/>
  <c r="H922" i="1" s="1"/>
  <c r="I922" i="1" a="1"/>
  <c r="I922" i="1" s="1"/>
  <c r="H923" i="1" a="1"/>
  <c r="H923" i="1" s="1"/>
  <c r="I923" i="1" a="1"/>
  <c r="I923" i="1" s="1"/>
  <c r="H924" i="1" a="1"/>
  <c r="H924" i="1" s="1"/>
  <c r="I924" i="1" a="1"/>
  <c r="I924" i="1" s="1"/>
  <c r="H925" i="1" a="1"/>
  <c r="H925" i="1" s="1"/>
  <c r="I925" i="1" a="1"/>
  <c r="I925" i="1" s="1"/>
  <c r="H926" i="1" a="1"/>
  <c r="H926" i="1" s="1"/>
  <c r="I926" i="1" a="1"/>
  <c r="I926" i="1" s="1"/>
  <c r="H927" i="1" a="1"/>
  <c r="H927" i="1" s="1"/>
  <c r="I927" i="1" a="1"/>
  <c r="I927" i="1" s="1"/>
  <c r="H928" i="1" a="1"/>
  <c r="H928" i="1" s="1"/>
  <c r="I928" i="1" a="1"/>
  <c r="I928" i="1" s="1"/>
  <c r="H929" i="1" a="1"/>
  <c r="H929" i="1" s="1"/>
  <c r="I929" i="1" a="1"/>
  <c r="I929" i="1" s="1"/>
  <c r="H930" i="1" a="1"/>
  <c r="H930" i="1" s="1"/>
  <c r="I930" i="1" a="1"/>
  <c r="I930" i="1" s="1"/>
  <c r="H931" i="1" a="1"/>
  <c r="H931" i="1" s="1"/>
  <c r="I931" i="1" a="1"/>
  <c r="I931" i="1" s="1"/>
  <c r="AD921" i="1" l="1"/>
  <c r="AB928" i="1"/>
  <c r="AB931" i="1"/>
  <c r="AI920" i="1"/>
  <c r="AH920" i="1"/>
  <c r="AH923" i="1"/>
  <c r="AD923" i="1"/>
  <c r="AB929" i="1"/>
  <c r="AI926" i="1"/>
  <c r="AH928" i="1"/>
  <c r="AD926" i="1"/>
  <c r="AB922" i="1"/>
  <c r="AI925" i="1"/>
  <c r="AH925" i="1"/>
  <c r="AI927" i="1"/>
  <c r="AH927" i="1"/>
  <c r="AH929" i="1"/>
  <c r="AI929" i="1"/>
  <c r="AH931" i="1"/>
  <c r="AI931" i="1"/>
  <c r="J931" i="1"/>
  <c r="J930" i="1"/>
  <c r="J929" i="1"/>
  <c r="AI924" i="1"/>
  <c r="AI921" i="1"/>
  <c r="AB930" i="1"/>
  <c r="AD930" i="1"/>
  <c r="AB920" i="1"/>
  <c r="AD920" i="1"/>
  <c r="AH930" i="1"/>
  <c r="AH922" i="1"/>
  <c r="J923" i="1"/>
  <c r="J927" i="1"/>
  <c r="J926" i="1"/>
  <c r="J925" i="1"/>
  <c r="J924" i="1"/>
  <c r="J922" i="1"/>
  <c r="J928" i="1"/>
  <c r="J921" i="1"/>
  <c r="J920" i="1"/>
  <c r="O906" i="1"/>
  <c r="P906" i="1"/>
  <c r="Q906" i="1"/>
  <c r="R906" i="1"/>
  <c r="S906" i="1"/>
  <c r="T906" i="1"/>
  <c r="U906" i="1"/>
  <c r="V906" i="1"/>
  <c r="W906" i="1"/>
  <c r="X906" i="1"/>
  <c r="Y906" i="1"/>
  <c r="Z906" i="1"/>
  <c r="O907" i="1"/>
  <c r="P907" i="1"/>
  <c r="Q907" i="1"/>
  <c r="R907" i="1"/>
  <c r="S907" i="1"/>
  <c r="T907" i="1"/>
  <c r="U907" i="1"/>
  <c r="V907" i="1"/>
  <c r="W907" i="1"/>
  <c r="X907" i="1"/>
  <c r="Y907" i="1"/>
  <c r="Z907" i="1"/>
  <c r="O908" i="1"/>
  <c r="P908" i="1"/>
  <c r="Q908" i="1"/>
  <c r="R908" i="1"/>
  <c r="S908" i="1"/>
  <c r="T908" i="1"/>
  <c r="U908" i="1"/>
  <c r="V908" i="1"/>
  <c r="W908" i="1"/>
  <c r="X908" i="1"/>
  <c r="Y908" i="1"/>
  <c r="Z908" i="1"/>
  <c r="O909" i="1"/>
  <c r="P909" i="1"/>
  <c r="Q909" i="1"/>
  <c r="R909" i="1"/>
  <c r="S909" i="1"/>
  <c r="T909" i="1"/>
  <c r="U909" i="1"/>
  <c r="V909" i="1"/>
  <c r="W909" i="1"/>
  <c r="X909" i="1"/>
  <c r="Y909" i="1"/>
  <c r="Z909" i="1"/>
  <c r="O910" i="1"/>
  <c r="P910" i="1"/>
  <c r="Q910" i="1"/>
  <c r="R910" i="1"/>
  <c r="S910" i="1"/>
  <c r="T910" i="1"/>
  <c r="U910" i="1"/>
  <c r="V910" i="1"/>
  <c r="W910" i="1"/>
  <c r="X910" i="1"/>
  <c r="Y910" i="1"/>
  <c r="Z910" i="1"/>
  <c r="O911" i="1"/>
  <c r="P911" i="1"/>
  <c r="Q911" i="1"/>
  <c r="R911" i="1"/>
  <c r="S911" i="1"/>
  <c r="T911" i="1"/>
  <c r="U911" i="1"/>
  <c r="V911" i="1"/>
  <c r="W911" i="1"/>
  <c r="X911" i="1"/>
  <c r="Y911" i="1"/>
  <c r="Z911" i="1"/>
  <c r="O912" i="1"/>
  <c r="P912" i="1"/>
  <c r="Q912" i="1"/>
  <c r="R912" i="1"/>
  <c r="S912" i="1"/>
  <c r="T912" i="1"/>
  <c r="U912" i="1"/>
  <c r="V912" i="1"/>
  <c r="W912" i="1"/>
  <c r="X912" i="1"/>
  <c r="Y912" i="1"/>
  <c r="Z912" i="1"/>
  <c r="O913" i="1"/>
  <c r="P913" i="1"/>
  <c r="Q913" i="1"/>
  <c r="R913" i="1"/>
  <c r="S913" i="1"/>
  <c r="T913" i="1"/>
  <c r="U913" i="1"/>
  <c r="V913" i="1"/>
  <c r="W913" i="1"/>
  <c r="X913" i="1"/>
  <c r="Y913" i="1"/>
  <c r="Z913" i="1"/>
  <c r="O914" i="1"/>
  <c r="P914" i="1"/>
  <c r="Q914" i="1"/>
  <c r="R914" i="1"/>
  <c r="S914" i="1"/>
  <c r="T914" i="1"/>
  <c r="U914" i="1"/>
  <c r="V914" i="1"/>
  <c r="W914" i="1"/>
  <c r="X914" i="1"/>
  <c r="Y914" i="1"/>
  <c r="Z914" i="1"/>
  <c r="O915" i="1"/>
  <c r="P915" i="1"/>
  <c r="Q915" i="1"/>
  <c r="R915" i="1"/>
  <c r="S915" i="1"/>
  <c r="T915" i="1"/>
  <c r="U915" i="1"/>
  <c r="V915" i="1"/>
  <c r="W915" i="1"/>
  <c r="X915" i="1"/>
  <c r="Y915" i="1"/>
  <c r="Z915" i="1"/>
  <c r="O916" i="1"/>
  <c r="P916" i="1"/>
  <c r="Q916" i="1"/>
  <c r="R916" i="1"/>
  <c r="S916" i="1"/>
  <c r="T916" i="1"/>
  <c r="U916" i="1"/>
  <c r="V916" i="1"/>
  <c r="W916" i="1"/>
  <c r="X916" i="1"/>
  <c r="Y916" i="1"/>
  <c r="Z916" i="1"/>
  <c r="O917" i="1"/>
  <c r="P917" i="1"/>
  <c r="Q917" i="1"/>
  <c r="R917" i="1"/>
  <c r="S917" i="1"/>
  <c r="T917" i="1"/>
  <c r="U917" i="1"/>
  <c r="V917" i="1"/>
  <c r="W917" i="1"/>
  <c r="X917" i="1"/>
  <c r="Y917" i="1"/>
  <c r="Z917" i="1"/>
  <c r="O918" i="1"/>
  <c r="P918" i="1"/>
  <c r="Q918" i="1"/>
  <c r="R918" i="1"/>
  <c r="S918" i="1"/>
  <c r="T918" i="1"/>
  <c r="U918" i="1"/>
  <c r="V918" i="1"/>
  <c r="W918" i="1"/>
  <c r="X918" i="1"/>
  <c r="Y918" i="1"/>
  <c r="Z918" i="1"/>
  <c r="O919" i="1"/>
  <c r="P919" i="1"/>
  <c r="Q919" i="1"/>
  <c r="R919" i="1"/>
  <c r="S919" i="1"/>
  <c r="T919" i="1"/>
  <c r="U919" i="1"/>
  <c r="V919" i="1"/>
  <c r="W919" i="1"/>
  <c r="X919" i="1"/>
  <c r="Y919" i="1"/>
  <c r="Z919" i="1"/>
  <c r="Z905" i="1"/>
  <c r="Y905" i="1"/>
  <c r="X905" i="1"/>
  <c r="W905" i="1"/>
  <c r="V905" i="1"/>
  <c r="U905" i="1"/>
  <c r="T905" i="1"/>
  <c r="S905" i="1"/>
  <c r="R905" i="1"/>
  <c r="Q905" i="1"/>
  <c r="P905" i="1"/>
  <c r="O905" i="1"/>
  <c r="AA908" i="1" l="1"/>
  <c r="AB908" i="1" s="1"/>
  <c r="AC916" i="1"/>
  <c r="AE916" i="1" s="1"/>
  <c r="AA913" i="1"/>
  <c r="AD913" i="1" s="1"/>
  <c r="AC914" i="1"/>
  <c r="AE914" i="1" s="1"/>
  <c r="AA910" i="1"/>
  <c r="AD910" i="1" s="1"/>
  <c r="AC906" i="1"/>
  <c r="AE906" i="1" s="1"/>
  <c r="AA909" i="1"/>
  <c r="AD909" i="1" s="1"/>
  <c r="AA912" i="1"/>
  <c r="AB912" i="1" s="1"/>
  <c r="AA905" i="1"/>
  <c r="AB905" i="1" s="1"/>
  <c r="AC915" i="1"/>
  <c r="AE915" i="1" s="1"/>
  <c r="AC911" i="1"/>
  <c r="AE911" i="1" s="1"/>
  <c r="AC908" i="1"/>
  <c r="AE908" i="1" s="1"/>
  <c r="AC909" i="1"/>
  <c r="AE909" i="1" s="1"/>
  <c r="AC919" i="1"/>
  <c r="AE919" i="1" s="1"/>
  <c r="AA915" i="1"/>
  <c r="AB915" i="1" s="1"/>
  <c r="AA907" i="1"/>
  <c r="AD907" i="1" s="1"/>
  <c r="AA914" i="1"/>
  <c r="AB914" i="1" s="1"/>
  <c r="AC910" i="1"/>
  <c r="AE910" i="1" s="1"/>
  <c r="AA919" i="1"/>
  <c r="AB919" i="1" s="1"/>
  <c r="AA911" i="1"/>
  <c r="AD911" i="1" s="1"/>
  <c r="AC907" i="1"/>
  <c r="AE907" i="1" s="1"/>
  <c r="AC918" i="1"/>
  <c r="AE918" i="1" s="1"/>
  <c r="AA917" i="1"/>
  <c r="AD917" i="1" s="1"/>
  <c r="AA918" i="1"/>
  <c r="AD918" i="1" s="1"/>
  <c r="AA906" i="1"/>
  <c r="AC905" i="1"/>
  <c r="AE905" i="1" s="1"/>
  <c r="AB906" i="1"/>
  <c r="AD906" i="1"/>
  <c r="AD912" i="1"/>
  <c r="AB913" i="1"/>
  <c r="AA916" i="1"/>
  <c r="AC912" i="1"/>
  <c r="AE912" i="1" s="1"/>
  <c r="AC917" i="1"/>
  <c r="AE917" i="1" s="1"/>
  <c r="AC913" i="1"/>
  <c r="AE913" i="1" s="1"/>
  <c r="AM905" i="1"/>
  <c r="AN905" i="1"/>
  <c r="AO905" i="1"/>
  <c r="AP905" i="1"/>
  <c r="AQ905" i="1"/>
  <c r="AS905" i="1" s="1"/>
  <c r="AI905" i="1" s="1"/>
  <c r="AR905" i="1"/>
  <c r="AT905" i="1" s="1"/>
  <c r="AM906" i="1"/>
  <c r="AN906" i="1"/>
  <c r="AO906" i="1"/>
  <c r="AP906" i="1"/>
  <c r="AQ906" i="1"/>
  <c r="AS906" i="1" s="1"/>
  <c r="AH906" i="1" s="1"/>
  <c r="AR906" i="1"/>
  <c r="AT906" i="1" s="1"/>
  <c r="AM907" i="1"/>
  <c r="AN907" i="1"/>
  <c r="AO907" i="1"/>
  <c r="AP907" i="1"/>
  <c r="AQ907" i="1"/>
  <c r="AS907" i="1" s="1"/>
  <c r="AH907" i="1" s="1"/>
  <c r="AR907" i="1"/>
  <c r="AT907" i="1" s="1"/>
  <c r="AM908" i="1"/>
  <c r="AN908" i="1"/>
  <c r="AO908" i="1"/>
  <c r="AP908" i="1"/>
  <c r="AQ908" i="1"/>
  <c r="AS908" i="1" s="1"/>
  <c r="AH908" i="1" s="1"/>
  <c r="AR908" i="1"/>
  <c r="AT908" i="1" s="1"/>
  <c r="AM909" i="1"/>
  <c r="AN909" i="1"/>
  <c r="AO909" i="1"/>
  <c r="AP909" i="1"/>
  <c r="AQ909" i="1"/>
  <c r="AS909" i="1" s="1"/>
  <c r="AH909" i="1" s="1"/>
  <c r="AR909" i="1"/>
  <c r="AT909" i="1" s="1"/>
  <c r="AM910" i="1"/>
  <c r="AN910" i="1"/>
  <c r="AO910" i="1"/>
  <c r="AP910" i="1"/>
  <c r="AQ910" i="1"/>
  <c r="AS910" i="1" s="1"/>
  <c r="AI910" i="1" s="1"/>
  <c r="AR910" i="1"/>
  <c r="AT910" i="1" s="1"/>
  <c r="AM911" i="1"/>
  <c r="AN911" i="1"/>
  <c r="AO911" i="1"/>
  <c r="AP911" i="1"/>
  <c r="AQ911" i="1"/>
  <c r="AS911" i="1" s="1"/>
  <c r="AR911" i="1"/>
  <c r="AT911" i="1" s="1"/>
  <c r="AM912" i="1"/>
  <c r="AN912" i="1"/>
  <c r="AO912" i="1"/>
  <c r="AP912" i="1"/>
  <c r="AQ912" i="1"/>
  <c r="AS912" i="1" s="1"/>
  <c r="AR912" i="1"/>
  <c r="AT912" i="1" s="1"/>
  <c r="AM913" i="1"/>
  <c r="AN913" i="1"/>
  <c r="AO913" i="1"/>
  <c r="AP913" i="1"/>
  <c r="AQ913" i="1"/>
  <c r="AS913" i="1" s="1"/>
  <c r="AI913" i="1" s="1"/>
  <c r="AR913" i="1"/>
  <c r="AT913" i="1" s="1"/>
  <c r="AM914" i="1"/>
  <c r="AN914" i="1"/>
  <c r="AO914" i="1"/>
  <c r="AP914" i="1"/>
  <c r="AQ914" i="1"/>
  <c r="AS914" i="1" s="1"/>
  <c r="AH914" i="1" s="1"/>
  <c r="AR914" i="1"/>
  <c r="AT914" i="1" s="1"/>
  <c r="AM915" i="1"/>
  <c r="AN915" i="1"/>
  <c r="AO915" i="1"/>
  <c r="AP915" i="1"/>
  <c r="AQ915" i="1"/>
  <c r="AS915" i="1" s="1"/>
  <c r="AH915" i="1" s="1"/>
  <c r="AR915" i="1"/>
  <c r="AT915" i="1" s="1"/>
  <c r="AM916" i="1"/>
  <c r="AN916" i="1"/>
  <c r="AO916" i="1"/>
  <c r="AP916" i="1"/>
  <c r="AQ916" i="1"/>
  <c r="AS916" i="1" s="1"/>
  <c r="AH916" i="1" s="1"/>
  <c r="AR916" i="1"/>
  <c r="AT916" i="1" s="1"/>
  <c r="AM917" i="1"/>
  <c r="AN917" i="1"/>
  <c r="AO917" i="1"/>
  <c r="AP917" i="1"/>
  <c r="AQ917" i="1"/>
  <c r="AS917" i="1" s="1"/>
  <c r="AH917" i="1" s="1"/>
  <c r="AR917" i="1"/>
  <c r="AT917" i="1" s="1"/>
  <c r="AM918" i="1"/>
  <c r="AN918" i="1"/>
  <c r="AO918" i="1"/>
  <c r="AP918" i="1"/>
  <c r="AQ918" i="1"/>
  <c r="AS918" i="1" s="1"/>
  <c r="AI918" i="1" s="1"/>
  <c r="AR918" i="1"/>
  <c r="AT918" i="1" s="1"/>
  <c r="AM919" i="1"/>
  <c r="AN919" i="1"/>
  <c r="AO919" i="1"/>
  <c r="AP919" i="1"/>
  <c r="AQ919" i="1"/>
  <c r="AS919" i="1" s="1"/>
  <c r="AH919" i="1" s="1"/>
  <c r="AR919" i="1"/>
  <c r="AT919" i="1" s="1"/>
  <c r="H905" i="1" a="1"/>
  <c r="H905" i="1" s="1"/>
  <c r="I905" i="1" a="1"/>
  <c r="I905" i="1" s="1"/>
  <c r="H906" i="1" a="1"/>
  <c r="H906" i="1" s="1"/>
  <c r="I906" i="1" a="1"/>
  <c r="I906" i="1" s="1"/>
  <c r="H907" i="1" a="1"/>
  <c r="H907" i="1" s="1"/>
  <c r="I907" i="1" a="1"/>
  <c r="I907" i="1" s="1"/>
  <c r="H908" i="1" a="1"/>
  <c r="H908" i="1" s="1"/>
  <c r="I908" i="1" a="1"/>
  <c r="I908" i="1" s="1"/>
  <c r="H909" i="1" a="1"/>
  <c r="H909" i="1" s="1"/>
  <c r="I909" i="1" a="1"/>
  <c r="I909" i="1" s="1"/>
  <c r="H910" i="1" a="1"/>
  <c r="H910" i="1" s="1"/>
  <c r="I910" i="1" a="1"/>
  <c r="I910" i="1" s="1"/>
  <c r="H911" i="1" a="1"/>
  <c r="H911" i="1" s="1"/>
  <c r="I911" i="1" a="1"/>
  <c r="I911" i="1" s="1"/>
  <c r="H912" i="1" a="1"/>
  <c r="H912" i="1" s="1"/>
  <c r="I912" i="1" a="1"/>
  <c r="I912" i="1" s="1"/>
  <c r="H913" i="1" a="1"/>
  <c r="H913" i="1" s="1"/>
  <c r="I913" i="1" a="1"/>
  <c r="I913" i="1" s="1"/>
  <c r="H914" i="1" a="1"/>
  <c r="H914" i="1" s="1"/>
  <c r="I914" i="1" a="1"/>
  <c r="I914" i="1" s="1"/>
  <c r="H915" i="1" a="1"/>
  <c r="H915" i="1" s="1"/>
  <c r="I915" i="1" a="1"/>
  <c r="I915" i="1" s="1"/>
  <c r="H916" i="1" a="1"/>
  <c r="H916" i="1" s="1"/>
  <c r="I916" i="1" a="1"/>
  <c r="I916" i="1" s="1"/>
  <c r="H917" i="1" a="1"/>
  <c r="H917" i="1" s="1"/>
  <c r="I917" i="1" a="1"/>
  <c r="I917" i="1" s="1"/>
  <c r="H918" i="1" a="1"/>
  <c r="H918" i="1" s="1"/>
  <c r="I918" i="1" a="1"/>
  <c r="I918" i="1" s="1"/>
  <c r="H919" i="1" a="1"/>
  <c r="H919" i="1" s="1"/>
  <c r="I919" i="1" a="1"/>
  <c r="I919" i="1" s="1"/>
  <c r="AB910" i="1" l="1"/>
  <c r="AD915" i="1"/>
  <c r="AD908" i="1"/>
  <c r="AB911" i="1"/>
  <c r="AB917" i="1"/>
  <c r="AB909" i="1"/>
  <c r="J912" i="1"/>
  <c r="AB918" i="1"/>
  <c r="J910" i="1"/>
  <c r="AD919" i="1"/>
  <c r="AH911" i="1"/>
  <c r="AI911" i="1"/>
  <c r="AI915" i="1"/>
  <c r="AH913" i="1"/>
  <c r="AI907" i="1"/>
  <c r="AB907" i="1"/>
  <c r="AH912" i="1"/>
  <c r="AI912" i="1"/>
  <c r="AD914" i="1"/>
  <c r="J917" i="1"/>
  <c r="AD905" i="1"/>
  <c r="AH905" i="1"/>
  <c r="AI919" i="1"/>
  <c r="J909" i="1"/>
  <c r="J907" i="1"/>
  <c r="AH918" i="1"/>
  <c r="AH910" i="1"/>
  <c r="J916" i="1"/>
  <c r="AI917" i="1"/>
  <c r="AI909" i="1"/>
  <c r="J911" i="1"/>
  <c r="AI916" i="1"/>
  <c r="AI908" i="1"/>
  <c r="AD916" i="1"/>
  <c r="AB916" i="1"/>
  <c r="J905" i="1"/>
  <c r="J915" i="1"/>
  <c r="AI914" i="1"/>
  <c r="AI906" i="1"/>
  <c r="J918" i="1"/>
  <c r="J919" i="1"/>
  <c r="J914" i="1"/>
  <c r="J913" i="1"/>
  <c r="J908" i="1"/>
  <c r="J906" i="1"/>
  <c r="AM886" i="1"/>
  <c r="AN886" i="1"/>
  <c r="AO886" i="1"/>
  <c r="AP886" i="1"/>
  <c r="AQ886" i="1"/>
  <c r="AS886" i="1" s="1"/>
  <c r="AR886" i="1"/>
  <c r="AT886" i="1"/>
  <c r="AM887" i="1"/>
  <c r="AN887" i="1"/>
  <c r="AO887" i="1"/>
  <c r="AP887" i="1"/>
  <c r="AQ887" i="1"/>
  <c r="AS887" i="1" s="1"/>
  <c r="AI887" i="1" s="1"/>
  <c r="AR887" i="1"/>
  <c r="AT887" i="1" s="1"/>
  <c r="AM888" i="1"/>
  <c r="AN888" i="1"/>
  <c r="AO888" i="1"/>
  <c r="AP888" i="1"/>
  <c r="AQ888" i="1"/>
  <c r="AS888" i="1" s="1"/>
  <c r="AR888" i="1"/>
  <c r="AT888" i="1" s="1"/>
  <c r="AM889" i="1"/>
  <c r="AN889" i="1"/>
  <c r="AO889" i="1"/>
  <c r="AP889" i="1"/>
  <c r="AQ889" i="1"/>
  <c r="AS889" i="1" s="1"/>
  <c r="AR889" i="1"/>
  <c r="AT889" i="1" s="1"/>
  <c r="AM890" i="1"/>
  <c r="AN890" i="1"/>
  <c r="AO890" i="1"/>
  <c r="AP890" i="1"/>
  <c r="AQ890" i="1"/>
  <c r="AS890" i="1" s="1"/>
  <c r="AR890" i="1"/>
  <c r="AT890" i="1" s="1"/>
  <c r="AM891" i="1"/>
  <c r="AN891" i="1"/>
  <c r="AO891" i="1"/>
  <c r="AP891" i="1"/>
  <c r="AQ891" i="1"/>
  <c r="AS891" i="1" s="1"/>
  <c r="AH891" i="1" s="1"/>
  <c r="AR891" i="1"/>
  <c r="AT891" i="1" s="1"/>
  <c r="AM892" i="1"/>
  <c r="AN892" i="1"/>
  <c r="AO892" i="1"/>
  <c r="AP892" i="1"/>
  <c r="AQ892" i="1"/>
  <c r="AS892" i="1" s="1"/>
  <c r="AR892" i="1"/>
  <c r="AT892" i="1" s="1"/>
  <c r="AM893" i="1"/>
  <c r="AN893" i="1"/>
  <c r="AO893" i="1"/>
  <c r="AP893" i="1"/>
  <c r="AQ893" i="1"/>
  <c r="AS893" i="1" s="1"/>
  <c r="AH893" i="1" s="1"/>
  <c r="AR893" i="1"/>
  <c r="AT893" i="1" s="1"/>
  <c r="AM894" i="1"/>
  <c r="AN894" i="1"/>
  <c r="AO894" i="1"/>
  <c r="AP894" i="1"/>
  <c r="AQ894" i="1"/>
  <c r="AS894" i="1" s="1"/>
  <c r="AR894" i="1"/>
  <c r="AT894" i="1" s="1"/>
  <c r="AM895" i="1"/>
  <c r="AN895" i="1"/>
  <c r="AO895" i="1"/>
  <c r="AP895" i="1"/>
  <c r="AQ895" i="1"/>
  <c r="AS895" i="1" s="1"/>
  <c r="AI895" i="1" s="1"/>
  <c r="AR895" i="1"/>
  <c r="AT895" i="1" s="1"/>
  <c r="AM896" i="1"/>
  <c r="AN896" i="1"/>
  <c r="AO896" i="1"/>
  <c r="AP896" i="1"/>
  <c r="AQ896" i="1"/>
  <c r="AS896" i="1" s="1"/>
  <c r="AR896" i="1"/>
  <c r="AT896" i="1" s="1"/>
  <c r="AM897" i="1"/>
  <c r="AN897" i="1"/>
  <c r="AO897" i="1"/>
  <c r="AP897" i="1"/>
  <c r="AQ897" i="1"/>
  <c r="AS897" i="1" s="1"/>
  <c r="AI897" i="1" s="1"/>
  <c r="AR897" i="1"/>
  <c r="AT897" i="1" s="1"/>
  <c r="AM898" i="1"/>
  <c r="AN898" i="1"/>
  <c r="AO898" i="1"/>
  <c r="AP898" i="1"/>
  <c r="AQ898" i="1"/>
  <c r="AS898" i="1" s="1"/>
  <c r="AR898" i="1"/>
  <c r="AT898" i="1" s="1"/>
  <c r="AM899" i="1"/>
  <c r="AN899" i="1"/>
  <c r="AO899" i="1"/>
  <c r="AP899" i="1"/>
  <c r="AQ899" i="1"/>
  <c r="AS899" i="1" s="1"/>
  <c r="AH899" i="1" s="1"/>
  <c r="AR899" i="1"/>
  <c r="AT899" i="1" s="1"/>
  <c r="AM900" i="1"/>
  <c r="AN900" i="1"/>
  <c r="AO900" i="1"/>
  <c r="AP900" i="1"/>
  <c r="AQ900" i="1"/>
  <c r="AS900" i="1" s="1"/>
  <c r="AR900" i="1"/>
  <c r="AT900" i="1" s="1"/>
  <c r="AM901" i="1"/>
  <c r="AN901" i="1"/>
  <c r="AO901" i="1"/>
  <c r="AP901" i="1"/>
  <c r="AQ901" i="1"/>
  <c r="AS901" i="1" s="1"/>
  <c r="AH901" i="1" s="1"/>
  <c r="AR901" i="1"/>
  <c r="AT901" i="1"/>
  <c r="AM902" i="1"/>
  <c r="AN902" i="1"/>
  <c r="AO902" i="1"/>
  <c r="AP902" i="1"/>
  <c r="AQ902" i="1"/>
  <c r="AS902" i="1" s="1"/>
  <c r="AR902" i="1"/>
  <c r="AT902" i="1" s="1"/>
  <c r="AM903" i="1"/>
  <c r="AN903" i="1"/>
  <c r="AO903" i="1"/>
  <c r="AP903" i="1"/>
  <c r="AQ903" i="1"/>
  <c r="AS903" i="1" s="1"/>
  <c r="AI903" i="1" s="1"/>
  <c r="AR903" i="1"/>
  <c r="AT903" i="1" s="1"/>
  <c r="AM904" i="1"/>
  <c r="AN904" i="1"/>
  <c r="AO904" i="1"/>
  <c r="AP904" i="1"/>
  <c r="AQ904" i="1"/>
  <c r="AS904" i="1" s="1"/>
  <c r="AR904" i="1"/>
  <c r="AT904" i="1"/>
  <c r="O887" i="1"/>
  <c r="P887" i="1"/>
  <c r="Q887" i="1"/>
  <c r="R887" i="1"/>
  <c r="S887" i="1"/>
  <c r="T887" i="1"/>
  <c r="U887" i="1"/>
  <c r="V887" i="1"/>
  <c r="W887" i="1"/>
  <c r="X887" i="1"/>
  <c r="Y887" i="1"/>
  <c r="Z887" i="1"/>
  <c r="O888" i="1"/>
  <c r="P888" i="1"/>
  <c r="Q888" i="1"/>
  <c r="R888" i="1"/>
  <c r="S888" i="1"/>
  <c r="T888" i="1"/>
  <c r="U888" i="1"/>
  <c r="V888" i="1"/>
  <c r="W888" i="1"/>
  <c r="X888" i="1"/>
  <c r="Y888" i="1"/>
  <c r="Z888" i="1"/>
  <c r="O889" i="1"/>
  <c r="P889" i="1"/>
  <c r="Q889" i="1"/>
  <c r="R889" i="1"/>
  <c r="S889" i="1"/>
  <c r="T889" i="1"/>
  <c r="U889" i="1"/>
  <c r="V889" i="1"/>
  <c r="W889" i="1"/>
  <c r="X889" i="1"/>
  <c r="Y889" i="1"/>
  <c r="Z889" i="1"/>
  <c r="O890" i="1"/>
  <c r="P890" i="1"/>
  <c r="Q890" i="1"/>
  <c r="R890" i="1"/>
  <c r="S890" i="1"/>
  <c r="T890" i="1"/>
  <c r="U890" i="1"/>
  <c r="V890" i="1"/>
  <c r="W890" i="1"/>
  <c r="X890" i="1"/>
  <c r="Y890" i="1"/>
  <c r="Z890" i="1"/>
  <c r="O891" i="1"/>
  <c r="P891" i="1"/>
  <c r="Q891" i="1"/>
  <c r="R891" i="1"/>
  <c r="S891" i="1"/>
  <c r="T891" i="1"/>
  <c r="U891" i="1"/>
  <c r="V891" i="1"/>
  <c r="W891" i="1"/>
  <c r="X891" i="1"/>
  <c r="Y891" i="1"/>
  <c r="Z891" i="1"/>
  <c r="O892" i="1"/>
  <c r="P892" i="1"/>
  <c r="Q892" i="1"/>
  <c r="R892" i="1"/>
  <c r="S892" i="1"/>
  <c r="T892" i="1"/>
  <c r="U892" i="1"/>
  <c r="V892" i="1"/>
  <c r="W892" i="1"/>
  <c r="X892" i="1"/>
  <c r="Y892" i="1"/>
  <c r="Z892" i="1"/>
  <c r="O893" i="1"/>
  <c r="P893" i="1"/>
  <c r="Q893" i="1"/>
  <c r="R893" i="1"/>
  <c r="S893" i="1"/>
  <c r="T893" i="1"/>
  <c r="U893" i="1"/>
  <c r="V893" i="1"/>
  <c r="W893" i="1"/>
  <c r="X893" i="1"/>
  <c r="Y893" i="1"/>
  <c r="Z893" i="1"/>
  <c r="O894" i="1"/>
  <c r="P894" i="1"/>
  <c r="Q894" i="1"/>
  <c r="R894" i="1"/>
  <c r="S894" i="1"/>
  <c r="T894" i="1"/>
  <c r="U894" i="1"/>
  <c r="V894" i="1"/>
  <c r="W894" i="1"/>
  <c r="X894" i="1"/>
  <c r="Y894" i="1"/>
  <c r="Z894" i="1"/>
  <c r="O895" i="1"/>
  <c r="P895" i="1"/>
  <c r="Q895" i="1"/>
  <c r="R895" i="1"/>
  <c r="S895" i="1"/>
  <c r="T895" i="1"/>
  <c r="U895" i="1"/>
  <c r="V895" i="1"/>
  <c r="W895" i="1"/>
  <c r="X895" i="1"/>
  <c r="Y895" i="1"/>
  <c r="Z895" i="1"/>
  <c r="O896" i="1"/>
  <c r="P896" i="1"/>
  <c r="Q896" i="1"/>
  <c r="R896" i="1"/>
  <c r="S896" i="1"/>
  <c r="T896" i="1"/>
  <c r="U896" i="1"/>
  <c r="V896" i="1"/>
  <c r="W896" i="1"/>
  <c r="X896" i="1"/>
  <c r="Y896" i="1"/>
  <c r="Z896" i="1"/>
  <c r="O897" i="1"/>
  <c r="P897" i="1"/>
  <c r="Q897" i="1"/>
  <c r="R897" i="1"/>
  <c r="S897" i="1"/>
  <c r="T897" i="1"/>
  <c r="U897" i="1"/>
  <c r="V897" i="1"/>
  <c r="W897" i="1"/>
  <c r="X897" i="1"/>
  <c r="Y897" i="1"/>
  <c r="Z897" i="1"/>
  <c r="O898" i="1"/>
  <c r="P898" i="1"/>
  <c r="Q898" i="1"/>
  <c r="R898" i="1"/>
  <c r="S898" i="1"/>
  <c r="T898" i="1"/>
  <c r="U898" i="1"/>
  <c r="V898" i="1"/>
  <c r="W898" i="1"/>
  <c r="X898" i="1"/>
  <c r="Y898" i="1"/>
  <c r="Z898" i="1"/>
  <c r="O899" i="1"/>
  <c r="P899" i="1"/>
  <c r="Q899" i="1"/>
  <c r="R899" i="1"/>
  <c r="S899" i="1"/>
  <c r="T899" i="1"/>
  <c r="U899" i="1"/>
  <c r="V899" i="1"/>
  <c r="W899" i="1"/>
  <c r="X899" i="1"/>
  <c r="Y899" i="1"/>
  <c r="Z899" i="1"/>
  <c r="O900" i="1"/>
  <c r="P900" i="1"/>
  <c r="Q900" i="1"/>
  <c r="R900" i="1"/>
  <c r="S900" i="1"/>
  <c r="T900" i="1"/>
  <c r="U900" i="1"/>
  <c r="V900" i="1"/>
  <c r="W900" i="1"/>
  <c r="X900" i="1"/>
  <c r="Y900" i="1"/>
  <c r="Z900" i="1"/>
  <c r="O901" i="1"/>
  <c r="P901" i="1"/>
  <c r="Q901" i="1"/>
  <c r="R901" i="1"/>
  <c r="S901" i="1"/>
  <c r="T901" i="1"/>
  <c r="U901" i="1"/>
  <c r="V901" i="1"/>
  <c r="W901" i="1"/>
  <c r="X901" i="1"/>
  <c r="Y901" i="1"/>
  <c r="Z901" i="1"/>
  <c r="O902" i="1"/>
  <c r="P902" i="1"/>
  <c r="Q902" i="1"/>
  <c r="R902" i="1"/>
  <c r="S902" i="1"/>
  <c r="T902" i="1"/>
  <c r="U902" i="1"/>
  <c r="V902" i="1"/>
  <c r="W902" i="1"/>
  <c r="X902" i="1"/>
  <c r="Y902" i="1"/>
  <c r="Z902" i="1"/>
  <c r="O903" i="1"/>
  <c r="P903" i="1"/>
  <c r="Q903" i="1"/>
  <c r="R903" i="1"/>
  <c r="S903" i="1"/>
  <c r="T903" i="1"/>
  <c r="U903" i="1"/>
  <c r="V903" i="1"/>
  <c r="W903" i="1"/>
  <c r="X903" i="1"/>
  <c r="Y903" i="1"/>
  <c r="Z903" i="1"/>
  <c r="O904" i="1"/>
  <c r="P904" i="1"/>
  <c r="Q904" i="1"/>
  <c r="R904" i="1"/>
  <c r="S904" i="1"/>
  <c r="T904" i="1"/>
  <c r="U904" i="1"/>
  <c r="V904" i="1"/>
  <c r="W904" i="1"/>
  <c r="X904" i="1"/>
  <c r="Y904" i="1"/>
  <c r="Z904" i="1"/>
  <c r="Z886" i="1"/>
  <c r="Y886" i="1"/>
  <c r="X886" i="1"/>
  <c r="W886" i="1"/>
  <c r="V886" i="1"/>
  <c r="U886" i="1"/>
  <c r="T886" i="1"/>
  <c r="S886" i="1"/>
  <c r="R886" i="1"/>
  <c r="Q886" i="1"/>
  <c r="P886" i="1"/>
  <c r="O886" i="1"/>
  <c r="H886" i="1" a="1"/>
  <c r="H886" i="1" s="1"/>
  <c r="I886" i="1" a="1"/>
  <c r="I886" i="1" s="1"/>
  <c r="H887" i="1" a="1"/>
  <c r="H887" i="1" s="1"/>
  <c r="I887" i="1" a="1"/>
  <c r="I887" i="1" s="1"/>
  <c r="H888" i="1" a="1"/>
  <c r="H888" i="1" s="1"/>
  <c r="I888" i="1" a="1"/>
  <c r="I888" i="1" s="1"/>
  <c r="H889" i="1" a="1"/>
  <c r="H889" i="1" s="1"/>
  <c r="I889" i="1" a="1"/>
  <c r="I889" i="1" s="1"/>
  <c r="H890" i="1" a="1"/>
  <c r="H890" i="1" s="1"/>
  <c r="I890" i="1" a="1"/>
  <c r="I890" i="1" s="1"/>
  <c r="H891" i="1" a="1"/>
  <c r="H891" i="1" s="1"/>
  <c r="I891" i="1" a="1"/>
  <c r="I891" i="1" s="1"/>
  <c r="H892" i="1" a="1"/>
  <c r="H892" i="1" s="1"/>
  <c r="I892" i="1" a="1"/>
  <c r="I892" i="1" s="1"/>
  <c r="H893" i="1" a="1"/>
  <c r="H893" i="1" s="1"/>
  <c r="I893" i="1" a="1"/>
  <c r="I893" i="1" s="1"/>
  <c r="H894" i="1" a="1"/>
  <c r="H894" i="1" s="1"/>
  <c r="I894" i="1" a="1"/>
  <c r="I894" i="1" s="1"/>
  <c r="H895" i="1" a="1"/>
  <c r="H895" i="1" s="1"/>
  <c r="I895" i="1" a="1"/>
  <c r="I895" i="1" s="1"/>
  <c r="H896" i="1" a="1"/>
  <c r="H896" i="1" s="1"/>
  <c r="I896" i="1" a="1"/>
  <c r="I896" i="1" s="1"/>
  <c r="H897" i="1" a="1"/>
  <c r="H897" i="1" s="1"/>
  <c r="I897" i="1" a="1"/>
  <c r="I897" i="1" s="1"/>
  <c r="H898" i="1" a="1"/>
  <c r="H898" i="1" s="1"/>
  <c r="I898" i="1" a="1"/>
  <c r="I898" i="1" s="1"/>
  <c r="H899" i="1" a="1"/>
  <c r="H899" i="1" s="1"/>
  <c r="I899" i="1" a="1"/>
  <c r="I899" i="1" s="1"/>
  <c r="H900" i="1" a="1"/>
  <c r="H900" i="1" s="1"/>
  <c r="I900" i="1" a="1"/>
  <c r="I900" i="1" s="1"/>
  <c r="H901" i="1" a="1"/>
  <c r="H901" i="1" s="1"/>
  <c r="I901" i="1" a="1"/>
  <c r="I901" i="1" s="1"/>
  <c r="H902" i="1" a="1"/>
  <c r="H902" i="1" s="1"/>
  <c r="I902" i="1" a="1"/>
  <c r="I902" i="1" s="1"/>
  <c r="H903" i="1" a="1"/>
  <c r="H903" i="1" s="1"/>
  <c r="I903" i="1" a="1"/>
  <c r="I903" i="1" s="1"/>
  <c r="H904" i="1" a="1"/>
  <c r="H904" i="1" s="1"/>
  <c r="I904" i="1" a="1"/>
  <c r="I904" i="1" s="1"/>
  <c r="AH889" i="1" l="1"/>
  <c r="AI889" i="1"/>
  <c r="AA891" i="1"/>
  <c r="AD891" i="1" s="1"/>
  <c r="AH897" i="1"/>
  <c r="J902" i="1"/>
  <c r="AC895" i="1"/>
  <c r="AE895" i="1" s="1"/>
  <c r="AC903" i="1"/>
  <c r="AE903" i="1" s="1"/>
  <c r="AC899" i="1"/>
  <c r="AE899" i="1" s="1"/>
  <c r="J900" i="1"/>
  <c r="AA901" i="1"/>
  <c r="AB901" i="1" s="1"/>
  <c r="AC897" i="1"/>
  <c r="AE897" i="1" s="1"/>
  <c r="AC893" i="1"/>
  <c r="AE893" i="1" s="1"/>
  <c r="AC889" i="1"/>
  <c r="AE889" i="1" s="1"/>
  <c r="AA886" i="1"/>
  <c r="AD886" i="1" s="1"/>
  <c r="AC904" i="1"/>
  <c r="AE904" i="1" s="1"/>
  <c r="AC900" i="1"/>
  <c r="AE900" i="1" s="1"/>
  <c r="AA896" i="1"/>
  <c r="AB896" i="1" s="1"/>
  <c r="AC892" i="1"/>
  <c r="AE892" i="1" s="1"/>
  <c r="J892" i="1"/>
  <c r="AC886" i="1"/>
  <c r="AE886" i="1" s="1"/>
  <c r="AA887" i="1"/>
  <c r="AB887" i="1" s="1"/>
  <c r="AA897" i="1"/>
  <c r="AB897" i="1" s="1"/>
  <c r="AA893" i="1"/>
  <c r="AB893" i="1" s="1"/>
  <c r="AA889" i="1"/>
  <c r="AD889" i="1" s="1"/>
  <c r="AA904" i="1"/>
  <c r="AB904" i="1" s="1"/>
  <c r="AA900" i="1"/>
  <c r="AB900" i="1" s="1"/>
  <c r="AA892" i="1"/>
  <c r="AB892" i="1" s="1"/>
  <c r="AC888" i="1"/>
  <c r="AE888" i="1" s="1"/>
  <c r="AA902" i="1"/>
  <c r="AD902" i="1" s="1"/>
  <c r="AC898" i="1"/>
  <c r="AE898" i="1" s="1"/>
  <c r="AC894" i="1"/>
  <c r="AE894" i="1" s="1"/>
  <c r="AA903" i="1"/>
  <c r="AB903" i="1" s="1"/>
  <c r="AC902" i="1"/>
  <c r="AE902" i="1" s="1"/>
  <c r="AA899" i="1"/>
  <c r="AB899" i="1" s="1"/>
  <c r="AA898" i="1"/>
  <c r="AB898" i="1" s="1"/>
  <c r="AA895" i="1"/>
  <c r="AB895" i="1" s="1"/>
  <c r="AA894" i="1"/>
  <c r="AB894" i="1" s="1"/>
  <c r="AC891" i="1"/>
  <c r="AE891" i="1" s="1"/>
  <c r="AC890" i="1"/>
  <c r="AE890" i="1" s="1"/>
  <c r="AC887" i="1"/>
  <c r="AE887" i="1" s="1"/>
  <c r="AC896" i="1"/>
  <c r="AE896" i="1" s="1"/>
  <c r="AH886" i="1"/>
  <c r="AI886" i="1"/>
  <c r="AI888" i="1"/>
  <c r="AH888" i="1"/>
  <c r="AD894" i="1"/>
  <c r="AI890" i="1"/>
  <c r="AH890" i="1"/>
  <c r="AH892" i="1"/>
  <c r="AI892" i="1"/>
  <c r="AH894" i="1"/>
  <c r="AI894" i="1"/>
  <c r="J904" i="1"/>
  <c r="AI898" i="1"/>
  <c r="AH898" i="1"/>
  <c r="AB889" i="1"/>
  <c r="AH900" i="1"/>
  <c r="AI900" i="1"/>
  <c r="AH902" i="1"/>
  <c r="AI902" i="1"/>
  <c r="AI896" i="1"/>
  <c r="AH896" i="1"/>
  <c r="AI904" i="1"/>
  <c r="AH904" i="1"/>
  <c r="J903" i="1"/>
  <c r="AH903" i="1"/>
  <c r="AH895" i="1"/>
  <c r="AH887" i="1"/>
  <c r="J888" i="1"/>
  <c r="AA888" i="1"/>
  <c r="J897" i="1"/>
  <c r="J887" i="1"/>
  <c r="AI901" i="1"/>
  <c r="AI893" i="1"/>
  <c r="J896" i="1"/>
  <c r="J890" i="1"/>
  <c r="AC901" i="1"/>
  <c r="AE901" i="1" s="1"/>
  <c r="AA890" i="1"/>
  <c r="J893" i="1"/>
  <c r="J899" i="1"/>
  <c r="AI899" i="1"/>
  <c r="AI891" i="1"/>
  <c r="J889" i="1"/>
  <c r="J901" i="1"/>
  <c r="J894" i="1"/>
  <c r="J898" i="1"/>
  <c r="J895" i="1"/>
  <c r="J891" i="1"/>
  <c r="J886" i="1"/>
  <c r="AM863" i="1"/>
  <c r="AN863" i="1"/>
  <c r="AO863" i="1"/>
  <c r="AP863" i="1"/>
  <c r="AQ863" i="1"/>
  <c r="AS863" i="1" s="1"/>
  <c r="AR863" i="1"/>
  <c r="AT863" i="1" s="1"/>
  <c r="AM864" i="1"/>
  <c r="AN864" i="1"/>
  <c r="AO864" i="1"/>
  <c r="AP864" i="1"/>
  <c r="AQ864" i="1"/>
  <c r="AS864" i="1" s="1"/>
  <c r="AH864" i="1" s="1"/>
  <c r="AR864" i="1"/>
  <c r="AT864" i="1" s="1"/>
  <c r="AM865" i="1"/>
  <c r="AN865" i="1"/>
  <c r="AO865" i="1"/>
  <c r="AP865" i="1"/>
  <c r="AQ865" i="1"/>
  <c r="AS865" i="1" s="1"/>
  <c r="AR865" i="1"/>
  <c r="AT865" i="1" s="1"/>
  <c r="AM866" i="1"/>
  <c r="AN866" i="1"/>
  <c r="AO866" i="1"/>
  <c r="AP866" i="1"/>
  <c r="AQ866" i="1"/>
  <c r="AS866" i="1" s="1"/>
  <c r="AH866" i="1" s="1"/>
  <c r="AR866" i="1"/>
  <c r="AT866" i="1" s="1"/>
  <c r="AM867" i="1"/>
  <c r="AN867" i="1"/>
  <c r="AO867" i="1"/>
  <c r="AP867" i="1"/>
  <c r="AQ867" i="1"/>
  <c r="AS867" i="1" s="1"/>
  <c r="AR867" i="1"/>
  <c r="AT867" i="1" s="1"/>
  <c r="AM868" i="1"/>
  <c r="AN868" i="1"/>
  <c r="AO868" i="1"/>
  <c r="AP868" i="1"/>
  <c r="AQ868" i="1"/>
  <c r="AS868" i="1" s="1"/>
  <c r="AH868" i="1" s="1"/>
  <c r="AR868" i="1"/>
  <c r="AT868" i="1" s="1"/>
  <c r="AM869" i="1"/>
  <c r="AN869" i="1"/>
  <c r="AO869" i="1"/>
  <c r="AP869" i="1"/>
  <c r="AQ869" i="1"/>
  <c r="AS869" i="1" s="1"/>
  <c r="AR869" i="1"/>
  <c r="AT869" i="1" s="1"/>
  <c r="AM870" i="1"/>
  <c r="AN870" i="1"/>
  <c r="AO870" i="1"/>
  <c r="AP870" i="1"/>
  <c r="AQ870" i="1"/>
  <c r="AS870" i="1" s="1"/>
  <c r="AH870" i="1" s="1"/>
  <c r="AR870" i="1"/>
  <c r="AT870" i="1" s="1"/>
  <c r="AM871" i="1"/>
  <c r="AN871" i="1"/>
  <c r="AO871" i="1"/>
  <c r="AP871" i="1"/>
  <c r="AQ871" i="1"/>
  <c r="AS871" i="1" s="1"/>
  <c r="AR871" i="1"/>
  <c r="AT871" i="1" s="1"/>
  <c r="AM872" i="1"/>
  <c r="AN872" i="1"/>
  <c r="AO872" i="1"/>
  <c r="AP872" i="1"/>
  <c r="AQ872" i="1"/>
  <c r="AS872" i="1" s="1"/>
  <c r="AI872" i="1" s="1"/>
  <c r="AR872" i="1"/>
  <c r="AT872" i="1" s="1"/>
  <c r="AM873" i="1"/>
  <c r="AN873" i="1"/>
  <c r="AO873" i="1"/>
  <c r="AP873" i="1"/>
  <c r="AQ873" i="1"/>
  <c r="AS873" i="1" s="1"/>
  <c r="AR873" i="1"/>
  <c r="AT873" i="1" s="1"/>
  <c r="AM874" i="1"/>
  <c r="AN874" i="1"/>
  <c r="AO874" i="1"/>
  <c r="AP874" i="1"/>
  <c r="AQ874" i="1"/>
  <c r="AS874" i="1" s="1"/>
  <c r="AH874" i="1" s="1"/>
  <c r="AR874" i="1"/>
  <c r="AT874" i="1" s="1"/>
  <c r="AM875" i="1"/>
  <c r="AN875" i="1"/>
  <c r="AO875" i="1"/>
  <c r="AP875" i="1"/>
  <c r="AQ875" i="1"/>
  <c r="AS875" i="1" s="1"/>
  <c r="AR875" i="1"/>
  <c r="AT875" i="1" s="1"/>
  <c r="AM876" i="1"/>
  <c r="AN876" i="1"/>
  <c r="AO876" i="1"/>
  <c r="AP876" i="1"/>
  <c r="AQ876" i="1"/>
  <c r="AS876" i="1" s="1"/>
  <c r="AH876" i="1" s="1"/>
  <c r="AR876" i="1"/>
  <c r="AT876" i="1" s="1"/>
  <c r="AM877" i="1"/>
  <c r="AN877" i="1"/>
  <c r="AO877" i="1"/>
  <c r="AP877" i="1"/>
  <c r="AQ877" i="1"/>
  <c r="AS877" i="1" s="1"/>
  <c r="AR877" i="1"/>
  <c r="AT877" i="1" s="1"/>
  <c r="AM878" i="1"/>
  <c r="AN878" i="1"/>
  <c r="AO878" i="1"/>
  <c r="AP878" i="1"/>
  <c r="AQ878" i="1"/>
  <c r="AS878" i="1" s="1"/>
  <c r="AR878" i="1"/>
  <c r="AT878" i="1" s="1"/>
  <c r="AM879" i="1"/>
  <c r="AN879" i="1"/>
  <c r="AO879" i="1"/>
  <c r="AP879" i="1"/>
  <c r="AQ879" i="1"/>
  <c r="AS879" i="1" s="1"/>
  <c r="AR879" i="1"/>
  <c r="AT879" i="1" s="1"/>
  <c r="AM880" i="1"/>
  <c r="AN880" i="1"/>
  <c r="AO880" i="1"/>
  <c r="AP880" i="1"/>
  <c r="AQ880" i="1"/>
  <c r="AS880" i="1" s="1"/>
  <c r="AH880" i="1" s="1"/>
  <c r="AR880" i="1"/>
  <c r="AT880" i="1" s="1"/>
  <c r="AM881" i="1"/>
  <c r="AN881" i="1"/>
  <c r="AO881" i="1"/>
  <c r="AP881" i="1"/>
  <c r="AQ881" i="1"/>
  <c r="AS881" i="1" s="1"/>
  <c r="AR881" i="1"/>
  <c r="AT881" i="1" s="1"/>
  <c r="AM882" i="1"/>
  <c r="AN882" i="1"/>
  <c r="AO882" i="1"/>
  <c r="AP882" i="1"/>
  <c r="AQ882" i="1"/>
  <c r="AS882" i="1" s="1"/>
  <c r="AH882" i="1" s="1"/>
  <c r="AR882" i="1"/>
  <c r="AT882" i="1" s="1"/>
  <c r="AM883" i="1"/>
  <c r="AN883" i="1"/>
  <c r="AO883" i="1"/>
  <c r="AP883" i="1"/>
  <c r="AQ883" i="1"/>
  <c r="AS883" i="1" s="1"/>
  <c r="AR883" i="1"/>
  <c r="AT883" i="1" s="1"/>
  <c r="AM884" i="1"/>
  <c r="AN884" i="1"/>
  <c r="AO884" i="1"/>
  <c r="AP884" i="1"/>
  <c r="AQ884" i="1"/>
  <c r="AS884" i="1" s="1"/>
  <c r="AH884" i="1" s="1"/>
  <c r="AR884" i="1"/>
  <c r="AT884" i="1" s="1"/>
  <c r="AM885" i="1"/>
  <c r="AN885" i="1"/>
  <c r="AO885" i="1"/>
  <c r="AP885" i="1"/>
  <c r="AQ885" i="1"/>
  <c r="AS885" i="1" s="1"/>
  <c r="AR885" i="1"/>
  <c r="AT885" i="1" s="1"/>
  <c r="O864" i="1"/>
  <c r="P864" i="1"/>
  <c r="Q864" i="1"/>
  <c r="R864" i="1"/>
  <c r="S864" i="1"/>
  <c r="T864" i="1"/>
  <c r="U864" i="1"/>
  <c r="V864" i="1"/>
  <c r="W864" i="1"/>
  <c r="X864" i="1"/>
  <c r="Y864" i="1"/>
  <c r="Z864" i="1"/>
  <c r="O865" i="1"/>
  <c r="P865" i="1"/>
  <c r="Q865" i="1"/>
  <c r="R865" i="1"/>
  <c r="S865" i="1"/>
  <c r="T865" i="1"/>
  <c r="U865" i="1"/>
  <c r="V865" i="1"/>
  <c r="W865" i="1"/>
  <c r="X865" i="1"/>
  <c r="Y865" i="1"/>
  <c r="Z865" i="1"/>
  <c r="O866" i="1"/>
  <c r="P866" i="1"/>
  <c r="Q866" i="1"/>
  <c r="R866" i="1"/>
  <c r="S866" i="1"/>
  <c r="T866" i="1"/>
  <c r="U866" i="1"/>
  <c r="V866" i="1"/>
  <c r="W866" i="1"/>
  <c r="X866" i="1"/>
  <c r="Y866" i="1"/>
  <c r="Z866" i="1"/>
  <c r="O867" i="1"/>
  <c r="P867" i="1"/>
  <c r="Q867" i="1"/>
  <c r="R867" i="1"/>
  <c r="S867" i="1"/>
  <c r="T867" i="1"/>
  <c r="U867" i="1"/>
  <c r="V867" i="1"/>
  <c r="W867" i="1"/>
  <c r="X867" i="1"/>
  <c r="Y867" i="1"/>
  <c r="Z867" i="1"/>
  <c r="O868" i="1"/>
  <c r="P868" i="1"/>
  <c r="Q868" i="1"/>
  <c r="R868" i="1"/>
  <c r="S868" i="1"/>
  <c r="T868" i="1"/>
  <c r="U868" i="1"/>
  <c r="V868" i="1"/>
  <c r="W868" i="1"/>
  <c r="X868" i="1"/>
  <c r="Y868" i="1"/>
  <c r="Z868" i="1"/>
  <c r="O869" i="1"/>
  <c r="P869" i="1"/>
  <c r="Q869" i="1"/>
  <c r="R869" i="1"/>
  <c r="S869" i="1"/>
  <c r="T869" i="1"/>
  <c r="U869" i="1"/>
  <c r="V869" i="1"/>
  <c r="W869" i="1"/>
  <c r="X869" i="1"/>
  <c r="Y869" i="1"/>
  <c r="Z869" i="1"/>
  <c r="O870" i="1"/>
  <c r="P870" i="1"/>
  <c r="Q870" i="1"/>
  <c r="R870" i="1"/>
  <c r="S870" i="1"/>
  <c r="T870" i="1"/>
  <c r="U870" i="1"/>
  <c r="V870" i="1"/>
  <c r="W870" i="1"/>
  <c r="X870" i="1"/>
  <c r="Y870" i="1"/>
  <c r="Z870" i="1"/>
  <c r="O871" i="1"/>
  <c r="P871" i="1"/>
  <c r="Q871" i="1"/>
  <c r="R871" i="1"/>
  <c r="S871" i="1"/>
  <c r="T871" i="1"/>
  <c r="U871" i="1"/>
  <c r="V871" i="1"/>
  <c r="W871" i="1"/>
  <c r="X871" i="1"/>
  <c r="Y871" i="1"/>
  <c r="Z871" i="1"/>
  <c r="O872" i="1"/>
  <c r="P872" i="1"/>
  <c r="Q872" i="1"/>
  <c r="R872" i="1"/>
  <c r="S872" i="1"/>
  <c r="T872" i="1"/>
  <c r="U872" i="1"/>
  <c r="V872" i="1"/>
  <c r="W872" i="1"/>
  <c r="X872" i="1"/>
  <c r="Y872" i="1"/>
  <c r="Z872" i="1"/>
  <c r="O873" i="1"/>
  <c r="P873" i="1"/>
  <c r="Q873" i="1"/>
  <c r="R873" i="1"/>
  <c r="S873" i="1"/>
  <c r="T873" i="1"/>
  <c r="U873" i="1"/>
  <c r="V873" i="1"/>
  <c r="W873" i="1"/>
  <c r="X873" i="1"/>
  <c r="Y873" i="1"/>
  <c r="Z873" i="1"/>
  <c r="O874" i="1"/>
  <c r="P874" i="1"/>
  <c r="Q874" i="1"/>
  <c r="R874" i="1"/>
  <c r="S874" i="1"/>
  <c r="T874" i="1"/>
  <c r="U874" i="1"/>
  <c r="V874" i="1"/>
  <c r="W874" i="1"/>
  <c r="X874" i="1"/>
  <c r="Y874" i="1"/>
  <c r="Z874" i="1"/>
  <c r="O875" i="1"/>
  <c r="P875" i="1"/>
  <c r="Q875" i="1"/>
  <c r="R875" i="1"/>
  <c r="S875" i="1"/>
  <c r="T875" i="1"/>
  <c r="U875" i="1"/>
  <c r="V875" i="1"/>
  <c r="W875" i="1"/>
  <c r="X875" i="1"/>
  <c r="Y875" i="1"/>
  <c r="Z875" i="1"/>
  <c r="O876" i="1"/>
  <c r="P876" i="1"/>
  <c r="Q876" i="1"/>
  <c r="R876" i="1"/>
  <c r="S876" i="1"/>
  <c r="T876" i="1"/>
  <c r="U876" i="1"/>
  <c r="V876" i="1"/>
  <c r="W876" i="1"/>
  <c r="X876" i="1"/>
  <c r="Y876" i="1"/>
  <c r="Z876" i="1"/>
  <c r="O877" i="1"/>
  <c r="P877" i="1"/>
  <c r="Q877" i="1"/>
  <c r="R877" i="1"/>
  <c r="S877" i="1"/>
  <c r="T877" i="1"/>
  <c r="U877" i="1"/>
  <c r="V877" i="1"/>
  <c r="W877" i="1"/>
  <c r="X877" i="1"/>
  <c r="Y877" i="1"/>
  <c r="Z877" i="1"/>
  <c r="O878" i="1"/>
  <c r="P878" i="1"/>
  <c r="Q878" i="1"/>
  <c r="R878" i="1"/>
  <c r="S878" i="1"/>
  <c r="T878" i="1"/>
  <c r="U878" i="1"/>
  <c r="V878" i="1"/>
  <c r="W878" i="1"/>
  <c r="X878" i="1"/>
  <c r="Y878" i="1"/>
  <c r="Z878" i="1"/>
  <c r="O879" i="1"/>
  <c r="P879" i="1"/>
  <c r="Q879" i="1"/>
  <c r="R879" i="1"/>
  <c r="S879" i="1"/>
  <c r="T879" i="1"/>
  <c r="U879" i="1"/>
  <c r="V879" i="1"/>
  <c r="W879" i="1"/>
  <c r="X879" i="1"/>
  <c r="Y879" i="1"/>
  <c r="Z879" i="1"/>
  <c r="O880" i="1"/>
  <c r="P880" i="1"/>
  <c r="Q880" i="1"/>
  <c r="R880" i="1"/>
  <c r="S880" i="1"/>
  <c r="T880" i="1"/>
  <c r="U880" i="1"/>
  <c r="V880" i="1"/>
  <c r="W880" i="1"/>
  <c r="X880" i="1"/>
  <c r="Y880" i="1"/>
  <c r="Z880" i="1"/>
  <c r="O881" i="1"/>
  <c r="P881" i="1"/>
  <c r="Q881" i="1"/>
  <c r="R881" i="1"/>
  <c r="S881" i="1"/>
  <c r="T881" i="1"/>
  <c r="U881" i="1"/>
  <c r="V881" i="1"/>
  <c r="W881" i="1"/>
  <c r="X881" i="1"/>
  <c r="Y881" i="1"/>
  <c r="Z881" i="1"/>
  <c r="O882" i="1"/>
  <c r="P882" i="1"/>
  <c r="Q882" i="1"/>
  <c r="R882" i="1"/>
  <c r="S882" i="1"/>
  <c r="T882" i="1"/>
  <c r="U882" i="1"/>
  <c r="V882" i="1"/>
  <c r="W882" i="1"/>
  <c r="X882" i="1"/>
  <c r="Y882" i="1"/>
  <c r="Z882" i="1"/>
  <c r="O883" i="1"/>
  <c r="P883" i="1"/>
  <c r="Q883" i="1"/>
  <c r="R883" i="1"/>
  <c r="S883" i="1"/>
  <c r="T883" i="1"/>
  <c r="U883" i="1"/>
  <c r="V883" i="1"/>
  <c r="W883" i="1"/>
  <c r="X883" i="1"/>
  <c r="Y883" i="1"/>
  <c r="Z883" i="1"/>
  <c r="O884" i="1"/>
  <c r="P884" i="1"/>
  <c r="Q884" i="1"/>
  <c r="R884" i="1"/>
  <c r="S884" i="1"/>
  <c r="T884" i="1"/>
  <c r="U884" i="1"/>
  <c r="V884" i="1"/>
  <c r="W884" i="1"/>
  <c r="X884" i="1"/>
  <c r="Y884" i="1"/>
  <c r="Z884" i="1"/>
  <c r="O885" i="1"/>
  <c r="P885" i="1"/>
  <c r="Q885" i="1"/>
  <c r="R885" i="1"/>
  <c r="S885" i="1"/>
  <c r="T885" i="1"/>
  <c r="U885" i="1"/>
  <c r="V885" i="1"/>
  <c r="W885" i="1"/>
  <c r="X885" i="1"/>
  <c r="Y885" i="1"/>
  <c r="Z885" i="1"/>
  <c r="Z863" i="1"/>
  <c r="Y863" i="1"/>
  <c r="X863" i="1"/>
  <c r="W863" i="1"/>
  <c r="V863" i="1"/>
  <c r="U863" i="1"/>
  <c r="T863" i="1"/>
  <c r="S863" i="1"/>
  <c r="R863" i="1"/>
  <c r="Q863" i="1"/>
  <c r="P863" i="1"/>
  <c r="O863" i="1"/>
  <c r="H863" i="1" a="1"/>
  <c r="H863" i="1" s="1"/>
  <c r="I863" i="1" a="1"/>
  <c r="I863" i="1" s="1"/>
  <c r="H864" i="1" a="1"/>
  <c r="H864" i="1" s="1"/>
  <c r="I864" i="1" a="1"/>
  <c r="I864" i="1" s="1"/>
  <c r="H865" i="1" a="1"/>
  <c r="H865" i="1" s="1"/>
  <c r="I865" i="1" a="1"/>
  <c r="I865" i="1" s="1"/>
  <c r="H866" i="1" a="1"/>
  <c r="H866" i="1" s="1"/>
  <c r="I866" i="1" a="1"/>
  <c r="I866" i="1" s="1"/>
  <c r="H867" i="1" a="1"/>
  <c r="H867" i="1" s="1"/>
  <c r="I867" i="1" a="1"/>
  <c r="I867" i="1" s="1"/>
  <c r="H868" i="1" a="1"/>
  <c r="H868" i="1" s="1"/>
  <c r="I868" i="1" a="1"/>
  <c r="I868" i="1" s="1"/>
  <c r="H869" i="1" a="1"/>
  <c r="H869" i="1" s="1"/>
  <c r="I869" i="1" a="1"/>
  <c r="I869" i="1" s="1"/>
  <c r="H870" i="1" a="1"/>
  <c r="H870" i="1" s="1"/>
  <c r="I870" i="1" a="1"/>
  <c r="I870" i="1" s="1"/>
  <c r="H871" i="1" a="1"/>
  <c r="H871" i="1" s="1"/>
  <c r="I871" i="1" a="1"/>
  <c r="I871" i="1" s="1"/>
  <c r="H872" i="1" a="1"/>
  <c r="H872" i="1" s="1"/>
  <c r="I872" i="1" a="1"/>
  <c r="I872" i="1" s="1"/>
  <c r="H873" i="1" a="1"/>
  <c r="H873" i="1" s="1"/>
  <c r="I873" i="1" a="1"/>
  <c r="I873" i="1" s="1"/>
  <c r="H874" i="1" a="1"/>
  <c r="H874" i="1" s="1"/>
  <c r="I874" i="1" a="1"/>
  <c r="I874" i="1" s="1"/>
  <c r="H875" i="1" a="1"/>
  <c r="H875" i="1" s="1"/>
  <c r="I875" i="1" a="1"/>
  <c r="I875" i="1" s="1"/>
  <c r="H876" i="1" a="1"/>
  <c r="H876" i="1" s="1"/>
  <c r="I876" i="1" a="1"/>
  <c r="I876" i="1" s="1"/>
  <c r="H877" i="1" a="1"/>
  <c r="H877" i="1" s="1"/>
  <c r="I877" i="1" a="1"/>
  <c r="I877" i="1" s="1"/>
  <c r="H878" i="1" a="1"/>
  <c r="H878" i="1" s="1"/>
  <c r="I878" i="1" a="1"/>
  <c r="I878" i="1" s="1"/>
  <c r="H879" i="1" a="1"/>
  <c r="H879" i="1" s="1"/>
  <c r="I879" i="1" a="1"/>
  <c r="I879" i="1" s="1"/>
  <c r="H880" i="1" a="1"/>
  <c r="H880" i="1" s="1"/>
  <c r="I880" i="1" a="1"/>
  <c r="I880" i="1" s="1"/>
  <c r="H881" i="1" a="1"/>
  <c r="H881" i="1" s="1"/>
  <c r="I881" i="1" a="1"/>
  <c r="I881" i="1" s="1"/>
  <c r="H882" i="1" a="1"/>
  <c r="H882" i="1" s="1"/>
  <c r="I882" i="1" a="1"/>
  <c r="I882" i="1" s="1"/>
  <c r="H883" i="1" a="1"/>
  <c r="H883" i="1" s="1"/>
  <c r="I883" i="1" a="1"/>
  <c r="I883" i="1" s="1"/>
  <c r="H884" i="1" a="1"/>
  <c r="H884" i="1" s="1"/>
  <c r="I884" i="1" a="1"/>
  <c r="I884" i="1" s="1"/>
  <c r="H885" i="1" a="1"/>
  <c r="H885" i="1" s="1"/>
  <c r="I885" i="1" a="1"/>
  <c r="I885" i="1" s="1"/>
  <c r="AD893" i="1" l="1"/>
  <c r="AD897" i="1"/>
  <c r="AD892" i="1"/>
  <c r="AB891" i="1"/>
  <c r="AD904" i="1"/>
  <c r="AB886" i="1"/>
  <c r="AB902" i="1"/>
  <c r="AA883" i="1"/>
  <c r="AB883" i="1" s="1"/>
  <c r="AC863" i="1"/>
  <c r="AE863" i="1" s="1"/>
  <c r="AD887" i="1"/>
  <c r="AI878" i="1"/>
  <c r="AH878" i="1"/>
  <c r="J868" i="1"/>
  <c r="AD896" i="1"/>
  <c r="AC882" i="1"/>
  <c r="AE882" i="1" s="1"/>
  <c r="AA877" i="1"/>
  <c r="AD877" i="1" s="1"/>
  <c r="AC871" i="1"/>
  <c r="AE871" i="1" s="1"/>
  <c r="AD903" i="1"/>
  <c r="AA879" i="1"/>
  <c r="AB879" i="1" s="1"/>
  <c r="J876" i="1"/>
  <c r="AA863" i="1"/>
  <c r="AD863" i="1" s="1"/>
  <c r="AA866" i="1"/>
  <c r="AD866" i="1" s="1"/>
  <c r="AI880" i="1"/>
  <c r="J881" i="1"/>
  <c r="AA882" i="1"/>
  <c r="AB882" i="1" s="1"/>
  <c r="AA881" i="1"/>
  <c r="AB881" i="1" s="1"/>
  <c r="AA871" i="1"/>
  <c r="AB871" i="1" s="1"/>
  <c r="AC869" i="1"/>
  <c r="AE869" i="1" s="1"/>
  <c r="AC865" i="1"/>
  <c r="AE865" i="1" s="1"/>
  <c r="J877" i="1"/>
  <c r="J880" i="1"/>
  <c r="J865" i="1"/>
  <c r="AH872" i="1"/>
  <c r="AD901" i="1"/>
  <c r="AC883" i="1"/>
  <c r="AE883" i="1" s="1"/>
  <c r="AA867" i="1"/>
  <c r="AB867" i="1" s="1"/>
  <c r="AD895" i="1"/>
  <c r="AD898" i="1"/>
  <c r="AA884" i="1"/>
  <c r="AB884" i="1" s="1"/>
  <c r="AA880" i="1"/>
  <c r="AB880" i="1" s="1"/>
  <c r="AC876" i="1"/>
  <c r="AE876" i="1" s="1"/>
  <c r="AC872" i="1"/>
  <c r="AE872" i="1" s="1"/>
  <c r="AA868" i="1"/>
  <c r="AB868" i="1" s="1"/>
  <c r="AC866" i="1"/>
  <c r="AE866" i="1" s="1"/>
  <c r="AA864" i="1"/>
  <c r="AB864" i="1" s="1"/>
  <c r="AA885" i="1"/>
  <c r="AD885" i="1" s="1"/>
  <c r="AC881" i="1"/>
  <c r="AE881" i="1" s="1"/>
  <c r="AC877" i="1"/>
  <c r="AE877" i="1" s="1"/>
  <c r="AA873" i="1"/>
  <c r="AD873" i="1" s="1"/>
  <c r="AA869" i="1"/>
  <c r="AD869" i="1" s="1"/>
  <c r="AA865" i="1"/>
  <c r="AD865" i="1" s="1"/>
  <c r="AC875" i="1"/>
  <c r="AE875" i="1" s="1"/>
  <c r="J872" i="1"/>
  <c r="AA875" i="1"/>
  <c r="AB875" i="1" s="1"/>
  <c r="AA874" i="1"/>
  <c r="AD874" i="1" s="1"/>
  <c r="AA870" i="1"/>
  <c r="AB870" i="1" s="1"/>
  <c r="AI864" i="1"/>
  <c r="AA878" i="1"/>
  <c r="AD878" i="1" s="1"/>
  <c r="AC874" i="1"/>
  <c r="AE874" i="1" s="1"/>
  <c r="AD900" i="1"/>
  <c r="AD899" i="1"/>
  <c r="AH871" i="1"/>
  <c r="AI871" i="1"/>
  <c r="AH873" i="1"/>
  <c r="AI873" i="1"/>
  <c r="AH877" i="1"/>
  <c r="AI877" i="1"/>
  <c r="AH863" i="1"/>
  <c r="AI863" i="1"/>
  <c r="J875" i="1"/>
  <c r="AH883" i="1"/>
  <c r="AI883" i="1"/>
  <c r="AH867" i="1"/>
  <c r="AI867" i="1"/>
  <c r="AH875" i="1"/>
  <c r="AI875" i="1"/>
  <c r="J884" i="1"/>
  <c r="AH879" i="1"/>
  <c r="AI879" i="1"/>
  <c r="AH881" i="1"/>
  <c r="AI881" i="1"/>
  <c r="J874" i="1"/>
  <c r="AH885" i="1"/>
  <c r="AI885" i="1"/>
  <c r="AH869" i="1"/>
  <c r="AI869" i="1"/>
  <c r="J870" i="1"/>
  <c r="AH865" i="1"/>
  <c r="AI865" i="1"/>
  <c r="AA876" i="1"/>
  <c r="AC870" i="1"/>
  <c r="AE870" i="1" s="1"/>
  <c r="AI870" i="1"/>
  <c r="J867" i="1"/>
  <c r="AA872" i="1"/>
  <c r="AC864" i="1"/>
  <c r="AE864" i="1" s="1"/>
  <c r="AD883" i="1"/>
  <c r="AC880" i="1"/>
  <c r="AE880" i="1" s="1"/>
  <c r="J864" i="1"/>
  <c r="AC885" i="1"/>
  <c r="AE885" i="1" s="1"/>
  <c r="AI884" i="1"/>
  <c r="AI876" i="1"/>
  <c r="AI868" i="1"/>
  <c r="J882" i="1"/>
  <c r="AC879" i="1"/>
  <c r="AE879" i="1" s="1"/>
  <c r="J879" i="1"/>
  <c r="AC868" i="1"/>
  <c r="AE868" i="1" s="1"/>
  <c r="AC884" i="1"/>
  <c r="AE884" i="1" s="1"/>
  <c r="AC873" i="1"/>
  <c r="AE873" i="1" s="1"/>
  <c r="AB888" i="1"/>
  <c r="AD888" i="1"/>
  <c r="J878" i="1"/>
  <c r="J863" i="1"/>
  <c r="AC878" i="1"/>
  <c r="AE878" i="1" s="1"/>
  <c r="AI882" i="1"/>
  <c r="AI874" i="1"/>
  <c r="AI866" i="1"/>
  <c r="J866" i="1"/>
  <c r="AD890" i="1"/>
  <c r="AB890" i="1"/>
  <c r="AC867" i="1"/>
  <c r="AE867" i="1" s="1"/>
  <c r="J883" i="1"/>
  <c r="J871" i="1"/>
  <c r="J869" i="1"/>
  <c r="J885" i="1"/>
  <c r="J873" i="1"/>
  <c r="O840" i="1"/>
  <c r="P840" i="1"/>
  <c r="Q840" i="1"/>
  <c r="R840" i="1"/>
  <c r="S840" i="1"/>
  <c r="T840" i="1"/>
  <c r="U840" i="1"/>
  <c r="V840" i="1"/>
  <c r="W840" i="1"/>
  <c r="X840" i="1"/>
  <c r="Y840" i="1"/>
  <c r="Z840" i="1"/>
  <c r="O841" i="1"/>
  <c r="P841" i="1"/>
  <c r="Q841" i="1"/>
  <c r="R841" i="1"/>
  <c r="S841" i="1"/>
  <c r="T841" i="1"/>
  <c r="U841" i="1"/>
  <c r="V841" i="1"/>
  <c r="W841" i="1"/>
  <c r="X841" i="1"/>
  <c r="Y841" i="1"/>
  <c r="Z841" i="1"/>
  <c r="O842" i="1"/>
  <c r="P842" i="1"/>
  <c r="Q842" i="1"/>
  <c r="R842" i="1"/>
  <c r="S842" i="1"/>
  <c r="T842" i="1"/>
  <c r="U842" i="1"/>
  <c r="V842" i="1"/>
  <c r="W842" i="1"/>
  <c r="X842" i="1"/>
  <c r="Y842" i="1"/>
  <c r="Z842" i="1"/>
  <c r="O843" i="1"/>
  <c r="P843" i="1"/>
  <c r="Q843" i="1"/>
  <c r="R843" i="1"/>
  <c r="S843" i="1"/>
  <c r="T843" i="1"/>
  <c r="U843" i="1"/>
  <c r="V843" i="1"/>
  <c r="W843" i="1"/>
  <c r="X843" i="1"/>
  <c r="Y843" i="1"/>
  <c r="Z843" i="1"/>
  <c r="O844" i="1"/>
  <c r="P844" i="1"/>
  <c r="Q844" i="1"/>
  <c r="R844" i="1"/>
  <c r="S844" i="1"/>
  <c r="T844" i="1"/>
  <c r="U844" i="1"/>
  <c r="V844" i="1"/>
  <c r="W844" i="1"/>
  <c r="X844" i="1"/>
  <c r="Y844" i="1"/>
  <c r="Z844" i="1"/>
  <c r="O845" i="1"/>
  <c r="P845" i="1"/>
  <c r="Q845" i="1"/>
  <c r="R845" i="1"/>
  <c r="S845" i="1"/>
  <c r="T845" i="1"/>
  <c r="U845" i="1"/>
  <c r="V845" i="1"/>
  <c r="W845" i="1"/>
  <c r="X845" i="1"/>
  <c r="Y845" i="1"/>
  <c r="Z845" i="1"/>
  <c r="O846" i="1"/>
  <c r="P846" i="1"/>
  <c r="Q846" i="1"/>
  <c r="R846" i="1"/>
  <c r="S846" i="1"/>
  <c r="T846" i="1"/>
  <c r="U846" i="1"/>
  <c r="V846" i="1"/>
  <c r="W846" i="1"/>
  <c r="X846" i="1"/>
  <c r="Y846" i="1"/>
  <c r="Z846" i="1"/>
  <c r="O847" i="1"/>
  <c r="P847" i="1"/>
  <c r="Q847" i="1"/>
  <c r="R847" i="1"/>
  <c r="S847" i="1"/>
  <c r="T847" i="1"/>
  <c r="U847" i="1"/>
  <c r="V847" i="1"/>
  <c r="W847" i="1"/>
  <c r="X847" i="1"/>
  <c r="Y847" i="1"/>
  <c r="Z847" i="1"/>
  <c r="O848" i="1"/>
  <c r="P848" i="1"/>
  <c r="Q848" i="1"/>
  <c r="R848" i="1"/>
  <c r="S848" i="1"/>
  <c r="T848" i="1"/>
  <c r="U848" i="1"/>
  <c r="V848" i="1"/>
  <c r="W848" i="1"/>
  <c r="X848" i="1"/>
  <c r="Y848" i="1"/>
  <c r="Z848" i="1"/>
  <c r="O849" i="1"/>
  <c r="P849" i="1"/>
  <c r="Q849" i="1"/>
  <c r="R849" i="1"/>
  <c r="S849" i="1"/>
  <c r="T849" i="1"/>
  <c r="U849" i="1"/>
  <c r="V849" i="1"/>
  <c r="W849" i="1"/>
  <c r="X849" i="1"/>
  <c r="Y849" i="1"/>
  <c r="Z849" i="1"/>
  <c r="O850" i="1"/>
  <c r="P850" i="1"/>
  <c r="Q850" i="1"/>
  <c r="R850" i="1"/>
  <c r="S850" i="1"/>
  <c r="T850" i="1"/>
  <c r="U850" i="1"/>
  <c r="V850" i="1"/>
  <c r="W850" i="1"/>
  <c r="X850" i="1"/>
  <c r="Y850" i="1"/>
  <c r="Z850" i="1"/>
  <c r="O851" i="1"/>
  <c r="P851" i="1"/>
  <c r="Q851" i="1"/>
  <c r="R851" i="1"/>
  <c r="S851" i="1"/>
  <c r="T851" i="1"/>
  <c r="U851" i="1"/>
  <c r="V851" i="1"/>
  <c r="W851" i="1"/>
  <c r="X851" i="1"/>
  <c r="Y851" i="1"/>
  <c r="Z851" i="1"/>
  <c r="O852" i="1"/>
  <c r="P852" i="1"/>
  <c r="Q852" i="1"/>
  <c r="R852" i="1"/>
  <c r="S852" i="1"/>
  <c r="T852" i="1"/>
  <c r="U852" i="1"/>
  <c r="V852" i="1"/>
  <c r="W852" i="1"/>
  <c r="X852" i="1"/>
  <c r="Y852" i="1"/>
  <c r="Z852" i="1"/>
  <c r="O853" i="1"/>
  <c r="P853" i="1"/>
  <c r="Q853" i="1"/>
  <c r="R853" i="1"/>
  <c r="S853" i="1"/>
  <c r="T853" i="1"/>
  <c r="U853" i="1"/>
  <c r="V853" i="1"/>
  <c r="W853" i="1"/>
  <c r="X853" i="1"/>
  <c r="Y853" i="1"/>
  <c r="Z853" i="1"/>
  <c r="O854" i="1"/>
  <c r="P854" i="1"/>
  <c r="Q854" i="1"/>
  <c r="R854" i="1"/>
  <c r="S854" i="1"/>
  <c r="T854" i="1"/>
  <c r="U854" i="1"/>
  <c r="V854" i="1"/>
  <c r="W854" i="1"/>
  <c r="X854" i="1"/>
  <c r="Y854" i="1"/>
  <c r="Z854" i="1"/>
  <c r="O855" i="1"/>
  <c r="P855" i="1"/>
  <c r="Q855" i="1"/>
  <c r="R855" i="1"/>
  <c r="S855" i="1"/>
  <c r="T855" i="1"/>
  <c r="U855" i="1"/>
  <c r="V855" i="1"/>
  <c r="W855" i="1"/>
  <c r="X855" i="1"/>
  <c r="Y855" i="1"/>
  <c r="Z855" i="1"/>
  <c r="O856" i="1"/>
  <c r="P856" i="1"/>
  <c r="Q856" i="1"/>
  <c r="R856" i="1"/>
  <c r="S856" i="1"/>
  <c r="T856" i="1"/>
  <c r="U856" i="1"/>
  <c r="V856" i="1"/>
  <c r="W856" i="1"/>
  <c r="X856" i="1"/>
  <c r="Y856" i="1"/>
  <c r="Z856" i="1"/>
  <c r="O857" i="1"/>
  <c r="P857" i="1"/>
  <c r="Q857" i="1"/>
  <c r="R857" i="1"/>
  <c r="S857" i="1"/>
  <c r="T857" i="1"/>
  <c r="U857" i="1"/>
  <c r="V857" i="1"/>
  <c r="W857" i="1"/>
  <c r="X857" i="1"/>
  <c r="Y857" i="1"/>
  <c r="Z857" i="1"/>
  <c r="O858" i="1"/>
  <c r="P858" i="1"/>
  <c r="Q858" i="1"/>
  <c r="R858" i="1"/>
  <c r="S858" i="1"/>
  <c r="T858" i="1"/>
  <c r="U858" i="1"/>
  <c r="V858" i="1"/>
  <c r="W858" i="1"/>
  <c r="X858" i="1"/>
  <c r="Y858" i="1"/>
  <c r="Z858" i="1"/>
  <c r="O859" i="1"/>
  <c r="P859" i="1"/>
  <c r="Q859" i="1"/>
  <c r="R859" i="1"/>
  <c r="S859" i="1"/>
  <c r="T859" i="1"/>
  <c r="U859" i="1"/>
  <c r="V859" i="1"/>
  <c r="W859" i="1"/>
  <c r="X859" i="1"/>
  <c r="Y859" i="1"/>
  <c r="Z859" i="1"/>
  <c r="O860" i="1"/>
  <c r="P860" i="1"/>
  <c r="Q860" i="1"/>
  <c r="R860" i="1"/>
  <c r="S860" i="1"/>
  <c r="T860" i="1"/>
  <c r="U860" i="1"/>
  <c r="V860" i="1"/>
  <c r="W860" i="1"/>
  <c r="X860" i="1"/>
  <c r="Y860" i="1"/>
  <c r="Z860" i="1"/>
  <c r="O861" i="1"/>
  <c r="P861" i="1"/>
  <c r="Q861" i="1"/>
  <c r="R861" i="1"/>
  <c r="S861" i="1"/>
  <c r="T861" i="1"/>
  <c r="U861" i="1"/>
  <c r="V861" i="1"/>
  <c r="W861" i="1"/>
  <c r="X861" i="1"/>
  <c r="Y861" i="1"/>
  <c r="Z861" i="1"/>
  <c r="O862" i="1"/>
  <c r="P862" i="1"/>
  <c r="Q862" i="1"/>
  <c r="R862" i="1"/>
  <c r="S862" i="1"/>
  <c r="T862" i="1"/>
  <c r="U862" i="1"/>
  <c r="V862" i="1"/>
  <c r="W862" i="1"/>
  <c r="X862" i="1"/>
  <c r="Y862" i="1"/>
  <c r="Z862" i="1"/>
  <c r="Z839" i="1"/>
  <c r="Y839" i="1"/>
  <c r="X839" i="1"/>
  <c r="W839" i="1"/>
  <c r="V839" i="1"/>
  <c r="U839" i="1"/>
  <c r="T839" i="1"/>
  <c r="S839" i="1"/>
  <c r="R839" i="1"/>
  <c r="Q839" i="1"/>
  <c r="P839" i="1"/>
  <c r="O839" i="1"/>
  <c r="AM839" i="1"/>
  <c r="AN839" i="1"/>
  <c r="AO839" i="1"/>
  <c r="AP839" i="1"/>
  <c r="AQ839" i="1"/>
  <c r="AS839" i="1" s="1"/>
  <c r="AR839" i="1"/>
  <c r="AT839" i="1" s="1"/>
  <c r="AM840" i="1"/>
  <c r="AN840" i="1"/>
  <c r="AO840" i="1"/>
  <c r="AP840" i="1"/>
  <c r="AQ840" i="1"/>
  <c r="AS840" i="1" s="1"/>
  <c r="AR840" i="1"/>
  <c r="AT840" i="1" s="1"/>
  <c r="AM841" i="1"/>
  <c r="AN841" i="1"/>
  <c r="AO841" i="1"/>
  <c r="AP841" i="1"/>
  <c r="AQ841" i="1"/>
  <c r="AS841" i="1" s="1"/>
  <c r="AR841" i="1"/>
  <c r="AT841" i="1" s="1"/>
  <c r="AM842" i="1"/>
  <c r="AN842" i="1"/>
  <c r="AO842" i="1"/>
  <c r="AP842" i="1"/>
  <c r="AQ842" i="1"/>
  <c r="AS842" i="1" s="1"/>
  <c r="AR842" i="1"/>
  <c r="AT842" i="1" s="1"/>
  <c r="AM843" i="1"/>
  <c r="AN843" i="1"/>
  <c r="AO843" i="1"/>
  <c r="AP843" i="1"/>
  <c r="AQ843" i="1"/>
  <c r="AS843" i="1" s="1"/>
  <c r="AR843" i="1"/>
  <c r="AT843" i="1" s="1"/>
  <c r="AM844" i="1"/>
  <c r="AN844" i="1"/>
  <c r="AO844" i="1"/>
  <c r="AP844" i="1"/>
  <c r="AQ844" i="1"/>
  <c r="AS844" i="1" s="1"/>
  <c r="AR844" i="1"/>
  <c r="AT844" i="1" s="1"/>
  <c r="AM845" i="1"/>
  <c r="AN845" i="1"/>
  <c r="AO845" i="1"/>
  <c r="AP845" i="1"/>
  <c r="AQ845" i="1"/>
  <c r="AS845" i="1" s="1"/>
  <c r="AR845" i="1"/>
  <c r="AT845" i="1" s="1"/>
  <c r="AM846" i="1"/>
  <c r="AN846" i="1"/>
  <c r="AO846" i="1"/>
  <c r="AP846" i="1"/>
  <c r="AQ846" i="1"/>
  <c r="AS846" i="1" s="1"/>
  <c r="AR846" i="1"/>
  <c r="AT846" i="1" s="1"/>
  <c r="AM847" i="1"/>
  <c r="AN847" i="1"/>
  <c r="AO847" i="1"/>
  <c r="AP847" i="1"/>
  <c r="AQ847" i="1"/>
  <c r="AS847" i="1" s="1"/>
  <c r="AR847" i="1"/>
  <c r="AT847" i="1" s="1"/>
  <c r="AM848" i="1"/>
  <c r="AN848" i="1"/>
  <c r="AO848" i="1"/>
  <c r="AP848" i="1"/>
  <c r="AQ848" i="1"/>
  <c r="AS848" i="1" s="1"/>
  <c r="AR848" i="1"/>
  <c r="AT848" i="1" s="1"/>
  <c r="AM849" i="1"/>
  <c r="AN849" i="1"/>
  <c r="AO849" i="1"/>
  <c r="AP849" i="1"/>
  <c r="AQ849" i="1"/>
  <c r="AS849" i="1" s="1"/>
  <c r="AR849" i="1"/>
  <c r="AT849" i="1" s="1"/>
  <c r="AM850" i="1"/>
  <c r="AN850" i="1"/>
  <c r="AO850" i="1"/>
  <c r="AP850" i="1"/>
  <c r="AQ850" i="1"/>
  <c r="AS850" i="1" s="1"/>
  <c r="AR850" i="1"/>
  <c r="AT850" i="1" s="1"/>
  <c r="AM851" i="1"/>
  <c r="AN851" i="1"/>
  <c r="AO851" i="1"/>
  <c r="AP851" i="1"/>
  <c r="AQ851" i="1"/>
  <c r="AS851" i="1" s="1"/>
  <c r="AR851" i="1"/>
  <c r="AT851" i="1" s="1"/>
  <c r="AM852" i="1"/>
  <c r="AN852" i="1"/>
  <c r="AO852" i="1"/>
  <c r="AP852" i="1"/>
  <c r="AQ852" i="1"/>
  <c r="AS852" i="1" s="1"/>
  <c r="AR852" i="1"/>
  <c r="AT852" i="1" s="1"/>
  <c r="AM853" i="1"/>
  <c r="AN853" i="1"/>
  <c r="AO853" i="1"/>
  <c r="AP853" i="1"/>
  <c r="AQ853" i="1"/>
  <c r="AS853" i="1" s="1"/>
  <c r="AR853" i="1"/>
  <c r="AT853" i="1" s="1"/>
  <c r="AM854" i="1"/>
  <c r="AN854" i="1"/>
  <c r="AO854" i="1"/>
  <c r="AP854" i="1"/>
  <c r="AQ854" i="1"/>
  <c r="AS854" i="1" s="1"/>
  <c r="AR854" i="1"/>
  <c r="AT854" i="1" s="1"/>
  <c r="AM855" i="1"/>
  <c r="AN855" i="1"/>
  <c r="AO855" i="1"/>
  <c r="AP855" i="1"/>
  <c r="AQ855" i="1"/>
  <c r="AS855" i="1" s="1"/>
  <c r="AR855" i="1"/>
  <c r="AT855" i="1" s="1"/>
  <c r="AM856" i="1"/>
  <c r="AN856" i="1"/>
  <c r="AO856" i="1"/>
  <c r="AP856" i="1"/>
  <c r="AQ856" i="1"/>
  <c r="AS856" i="1" s="1"/>
  <c r="AR856" i="1"/>
  <c r="AT856" i="1" s="1"/>
  <c r="AM857" i="1"/>
  <c r="AN857" i="1"/>
  <c r="AO857" i="1"/>
  <c r="AP857" i="1"/>
  <c r="AQ857" i="1"/>
  <c r="AS857" i="1" s="1"/>
  <c r="AR857" i="1"/>
  <c r="AT857" i="1" s="1"/>
  <c r="AM858" i="1"/>
  <c r="AN858" i="1"/>
  <c r="AO858" i="1"/>
  <c r="AP858" i="1"/>
  <c r="AQ858" i="1"/>
  <c r="AS858" i="1" s="1"/>
  <c r="AR858" i="1"/>
  <c r="AT858" i="1" s="1"/>
  <c r="AM859" i="1"/>
  <c r="AN859" i="1"/>
  <c r="AO859" i="1"/>
  <c r="AP859" i="1"/>
  <c r="AQ859" i="1"/>
  <c r="AS859" i="1" s="1"/>
  <c r="AR859" i="1"/>
  <c r="AT859" i="1" s="1"/>
  <c r="AM860" i="1"/>
  <c r="AN860" i="1"/>
  <c r="AO860" i="1"/>
  <c r="AP860" i="1"/>
  <c r="AQ860" i="1"/>
  <c r="AS860" i="1" s="1"/>
  <c r="AR860" i="1"/>
  <c r="AT860" i="1" s="1"/>
  <c r="AM861" i="1"/>
  <c r="AN861" i="1"/>
  <c r="AO861" i="1"/>
  <c r="AP861" i="1"/>
  <c r="AQ861" i="1"/>
  <c r="AS861" i="1" s="1"/>
  <c r="AR861" i="1"/>
  <c r="AT861" i="1" s="1"/>
  <c r="AM862" i="1"/>
  <c r="AN862" i="1"/>
  <c r="AO862" i="1"/>
  <c r="AP862" i="1"/>
  <c r="AQ862" i="1"/>
  <c r="AS862" i="1" s="1"/>
  <c r="AR862" i="1"/>
  <c r="AT862" i="1" s="1"/>
  <c r="I839" i="1" a="1"/>
  <c r="I839" i="1" s="1"/>
  <c r="I840" i="1" a="1"/>
  <c r="I840" i="1" s="1"/>
  <c r="I841" i="1" a="1"/>
  <c r="I841" i="1" s="1"/>
  <c r="I842" i="1" a="1"/>
  <c r="I842" i="1" s="1"/>
  <c r="I843" i="1" a="1"/>
  <c r="I843" i="1" s="1"/>
  <c r="I844" i="1" a="1"/>
  <c r="I844" i="1" s="1"/>
  <c r="I845" i="1" a="1"/>
  <c r="I845" i="1" s="1"/>
  <c r="I846" i="1" a="1"/>
  <c r="I846" i="1" s="1"/>
  <c r="I847" i="1" a="1"/>
  <c r="I847" i="1" s="1"/>
  <c r="I848" i="1" a="1"/>
  <c r="I848" i="1" s="1"/>
  <c r="I849" i="1" a="1"/>
  <c r="I849" i="1" s="1"/>
  <c r="I850" i="1" a="1"/>
  <c r="I850" i="1" s="1"/>
  <c r="I851" i="1" a="1"/>
  <c r="I851" i="1" s="1"/>
  <c r="I852" i="1" a="1"/>
  <c r="I852" i="1" s="1"/>
  <c r="I853" i="1" a="1"/>
  <c r="I853" i="1" s="1"/>
  <c r="I854" i="1" a="1"/>
  <c r="I854" i="1" s="1"/>
  <c r="I855" i="1" a="1"/>
  <c r="I855" i="1" s="1"/>
  <c r="I856" i="1" a="1"/>
  <c r="I856" i="1" s="1"/>
  <c r="I857" i="1" a="1"/>
  <c r="I857" i="1" s="1"/>
  <c r="I858" i="1" a="1"/>
  <c r="I858" i="1" s="1"/>
  <c r="I859" i="1" a="1"/>
  <c r="I859" i="1" s="1"/>
  <c r="I860" i="1" a="1"/>
  <c r="I860" i="1" s="1"/>
  <c r="I861" i="1" a="1"/>
  <c r="I861" i="1" s="1"/>
  <c r="I862" i="1" a="1"/>
  <c r="I862"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J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O813" i="1"/>
  <c r="P813" i="1"/>
  <c r="Q813" i="1"/>
  <c r="R813" i="1"/>
  <c r="S813" i="1"/>
  <c r="T813" i="1"/>
  <c r="U813" i="1"/>
  <c r="V813" i="1"/>
  <c r="W813" i="1"/>
  <c r="X813" i="1"/>
  <c r="Y813" i="1"/>
  <c r="Z813" i="1"/>
  <c r="O814" i="1"/>
  <c r="P814" i="1"/>
  <c r="Q814" i="1"/>
  <c r="R814" i="1"/>
  <c r="S814" i="1"/>
  <c r="T814" i="1"/>
  <c r="U814" i="1"/>
  <c r="V814" i="1"/>
  <c r="W814" i="1"/>
  <c r="X814" i="1"/>
  <c r="Y814" i="1"/>
  <c r="Z814" i="1"/>
  <c r="O815" i="1"/>
  <c r="P815" i="1"/>
  <c r="Q815" i="1"/>
  <c r="R815" i="1"/>
  <c r="S815" i="1"/>
  <c r="T815" i="1"/>
  <c r="U815" i="1"/>
  <c r="V815" i="1"/>
  <c r="W815" i="1"/>
  <c r="X815" i="1"/>
  <c r="Y815" i="1"/>
  <c r="Z815" i="1"/>
  <c r="O816" i="1"/>
  <c r="P816" i="1"/>
  <c r="Q816" i="1"/>
  <c r="R816" i="1"/>
  <c r="S816" i="1"/>
  <c r="T816" i="1"/>
  <c r="U816" i="1"/>
  <c r="V816" i="1"/>
  <c r="W816" i="1"/>
  <c r="X816" i="1"/>
  <c r="Y816" i="1"/>
  <c r="Z816" i="1"/>
  <c r="O817" i="1"/>
  <c r="P817" i="1"/>
  <c r="Q817" i="1"/>
  <c r="R817" i="1"/>
  <c r="S817" i="1"/>
  <c r="T817" i="1"/>
  <c r="U817" i="1"/>
  <c r="V817" i="1"/>
  <c r="W817" i="1"/>
  <c r="X817" i="1"/>
  <c r="Y817" i="1"/>
  <c r="Z817" i="1"/>
  <c r="O818" i="1"/>
  <c r="P818" i="1"/>
  <c r="Q818" i="1"/>
  <c r="R818" i="1"/>
  <c r="S818" i="1"/>
  <c r="T818" i="1"/>
  <c r="U818" i="1"/>
  <c r="V818" i="1"/>
  <c r="W818" i="1"/>
  <c r="X818" i="1"/>
  <c r="Y818" i="1"/>
  <c r="Z818" i="1"/>
  <c r="O819" i="1"/>
  <c r="P819" i="1"/>
  <c r="Q819" i="1"/>
  <c r="R819" i="1"/>
  <c r="S819" i="1"/>
  <c r="T819" i="1"/>
  <c r="U819" i="1"/>
  <c r="V819" i="1"/>
  <c r="W819" i="1"/>
  <c r="X819" i="1"/>
  <c r="Y819" i="1"/>
  <c r="Z819" i="1"/>
  <c r="O820" i="1"/>
  <c r="P820" i="1"/>
  <c r="Q820" i="1"/>
  <c r="R820" i="1"/>
  <c r="S820" i="1"/>
  <c r="T820" i="1"/>
  <c r="U820" i="1"/>
  <c r="V820" i="1"/>
  <c r="W820" i="1"/>
  <c r="X820" i="1"/>
  <c r="Y820" i="1"/>
  <c r="Z820" i="1"/>
  <c r="O821" i="1"/>
  <c r="P821" i="1"/>
  <c r="Q821" i="1"/>
  <c r="R821" i="1"/>
  <c r="S821" i="1"/>
  <c r="T821" i="1"/>
  <c r="U821" i="1"/>
  <c r="V821" i="1"/>
  <c r="W821" i="1"/>
  <c r="X821" i="1"/>
  <c r="Y821" i="1"/>
  <c r="Z821" i="1"/>
  <c r="O822" i="1"/>
  <c r="P822" i="1"/>
  <c r="Q822" i="1"/>
  <c r="R822" i="1"/>
  <c r="S822" i="1"/>
  <c r="T822" i="1"/>
  <c r="U822" i="1"/>
  <c r="V822" i="1"/>
  <c r="W822" i="1"/>
  <c r="X822" i="1"/>
  <c r="Y822" i="1"/>
  <c r="Z822" i="1"/>
  <c r="O823" i="1"/>
  <c r="P823" i="1"/>
  <c r="Q823" i="1"/>
  <c r="R823" i="1"/>
  <c r="S823" i="1"/>
  <c r="T823" i="1"/>
  <c r="U823" i="1"/>
  <c r="V823" i="1"/>
  <c r="W823" i="1"/>
  <c r="X823" i="1"/>
  <c r="Y823" i="1"/>
  <c r="Z823" i="1"/>
  <c r="O824" i="1"/>
  <c r="P824" i="1"/>
  <c r="Q824" i="1"/>
  <c r="R824" i="1"/>
  <c r="S824" i="1"/>
  <c r="T824" i="1"/>
  <c r="U824" i="1"/>
  <c r="V824" i="1"/>
  <c r="W824" i="1"/>
  <c r="X824" i="1"/>
  <c r="Y824" i="1"/>
  <c r="Z824" i="1"/>
  <c r="O825" i="1"/>
  <c r="P825" i="1"/>
  <c r="Q825" i="1"/>
  <c r="R825" i="1"/>
  <c r="S825" i="1"/>
  <c r="T825" i="1"/>
  <c r="U825" i="1"/>
  <c r="V825" i="1"/>
  <c r="W825" i="1"/>
  <c r="X825" i="1"/>
  <c r="Y825" i="1"/>
  <c r="Z825" i="1"/>
  <c r="O826" i="1"/>
  <c r="P826" i="1"/>
  <c r="Q826" i="1"/>
  <c r="R826" i="1"/>
  <c r="S826" i="1"/>
  <c r="T826" i="1"/>
  <c r="U826" i="1"/>
  <c r="V826" i="1"/>
  <c r="W826" i="1"/>
  <c r="X826" i="1"/>
  <c r="Y826" i="1"/>
  <c r="Z826" i="1"/>
  <c r="O827" i="1"/>
  <c r="P827" i="1"/>
  <c r="Q827" i="1"/>
  <c r="R827" i="1"/>
  <c r="S827" i="1"/>
  <c r="T827" i="1"/>
  <c r="U827" i="1"/>
  <c r="V827" i="1"/>
  <c r="W827" i="1"/>
  <c r="X827" i="1"/>
  <c r="Y827" i="1"/>
  <c r="Z827" i="1"/>
  <c r="O828" i="1"/>
  <c r="P828" i="1"/>
  <c r="Q828" i="1"/>
  <c r="R828" i="1"/>
  <c r="S828" i="1"/>
  <c r="T828" i="1"/>
  <c r="U828" i="1"/>
  <c r="V828" i="1"/>
  <c r="W828" i="1"/>
  <c r="X828" i="1"/>
  <c r="Y828" i="1"/>
  <c r="Z828" i="1"/>
  <c r="O829" i="1"/>
  <c r="P829" i="1"/>
  <c r="Q829" i="1"/>
  <c r="R829" i="1"/>
  <c r="S829" i="1"/>
  <c r="T829" i="1"/>
  <c r="U829" i="1"/>
  <c r="V829" i="1"/>
  <c r="W829" i="1"/>
  <c r="X829" i="1"/>
  <c r="Y829" i="1"/>
  <c r="Z829" i="1"/>
  <c r="O830" i="1"/>
  <c r="P830" i="1"/>
  <c r="Q830" i="1"/>
  <c r="R830" i="1"/>
  <c r="S830" i="1"/>
  <c r="T830" i="1"/>
  <c r="U830" i="1"/>
  <c r="V830" i="1"/>
  <c r="W830" i="1"/>
  <c r="X830" i="1"/>
  <c r="Y830" i="1"/>
  <c r="Z830" i="1"/>
  <c r="O831" i="1"/>
  <c r="P831" i="1"/>
  <c r="Q831" i="1"/>
  <c r="R831" i="1"/>
  <c r="S831" i="1"/>
  <c r="T831" i="1"/>
  <c r="U831" i="1"/>
  <c r="V831" i="1"/>
  <c r="W831" i="1"/>
  <c r="X831" i="1"/>
  <c r="Y831" i="1"/>
  <c r="Z831" i="1"/>
  <c r="O832" i="1"/>
  <c r="P832" i="1"/>
  <c r="Q832" i="1"/>
  <c r="R832" i="1"/>
  <c r="S832" i="1"/>
  <c r="T832" i="1"/>
  <c r="U832" i="1"/>
  <c r="V832" i="1"/>
  <c r="W832" i="1"/>
  <c r="X832" i="1"/>
  <c r="Y832" i="1"/>
  <c r="Z832" i="1"/>
  <c r="O833" i="1"/>
  <c r="P833" i="1"/>
  <c r="Q833" i="1"/>
  <c r="R833" i="1"/>
  <c r="S833" i="1"/>
  <c r="T833" i="1"/>
  <c r="U833" i="1"/>
  <c r="V833" i="1"/>
  <c r="W833" i="1"/>
  <c r="X833" i="1"/>
  <c r="Y833" i="1"/>
  <c r="Z833" i="1"/>
  <c r="O834" i="1"/>
  <c r="P834" i="1"/>
  <c r="Q834" i="1"/>
  <c r="R834" i="1"/>
  <c r="S834" i="1"/>
  <c r="T834" i="1"/>
  <c r="U834" i="1"/>
  <c r="V834" i="1"/>
  <c r="W834" i="1"/>
  <c r="X834" i="1"/>
  <c r="Y834" i="1"/>
  <c r="Z834" i="1"/>
  <c r="O835" i="1"/>
  <c r="P835" i="1"/>
  <c r="Q835" i="1"/>
  <c r="R835" i="1"/>
  <c r="S835" i="1"/>
  <c r="T835" i="1"/>
  <c r="U835" i="1"/>
  <c r="V835" i="1"/>
  <c r="W835" i="1"/>
  <c r="X835" i="1"/>
  <c r="Y835" i="1"/>
  <c r="Z835" i="1"/>
  <c r="O836" i="1"/>
  <c r="P836" i="1"/>
  <c r="Q836" i="1"/>
  <c r="R836" i="1"/>
  <c r="S836" i="1"/>
  <c r="T836" i="1"/>
  <c r="U836" i="1"/>
  <c r="V836" i="1"/>
  <c r="W836" i="1"/>
  <c r="X836" i="1"/>
  <c r="Y836" i="1"/>
  <c r="Z836" i="1"/>
  <c r="O837" i="1"/>
  <c r="P837" i="1"/>
  <c r="Q837" i="1"/>
  <c r="R837" i="1"/>
  <c r="S837" i="1"/>
  <c r="T837" i="1"/>
  <c r="U837" i="1"/>
  <c r="V837" i="1"/>
  <c r="W837" i="1"/>
  <c r="X837" i="1"/>
  <c r="Y837" i="1"/>
  <c r="Z837" i="1"/>
  <c r="O838" i="1"/>
  <c r="P838" i="1"/>
  <c r="Q838" i="1"/>
  <c r="R838" i="1"/>
  <c r="S838" i="1"/>
  <c r="T838" i="1"/>
  <c r="U838" i="1"/>
  <c r="V838" i="1"/>
  <c r="W838" i="1"/>
  <c r="X838" i="1"/>
  <c r="Y838" i="1"/>
  <c r="Z838" i="1"/>
  <c r="Z812" i="1"/>
  <c r="Y812" i="1"/>
  <c r="X812" i="1"/>
  <c r="W812" i="1"/>
  <c r="V812" i="1"/>
  <c r="U812" i="1"/>
  <c r="T812" i="1"/>
  <c r="S812" i="1"/>
  <c r="R812" i="1"/>
  <c r="Q812" i="1"/>
  <c r="P812" i="1"/>
  <c r="O812" i="1"/>
  <c r="J847" i="1" l="1"/>
  <c r="AB885" i="1"/>
  <c r="AD871" i="1"/>
  <c r="AD868" i="1"/>
  <c r="AB873" i="1"/>
  <c r="AD864" i="1"/>
  <c r="AD879" i="1"/>
  <c r="AB865" i="1"/>
  <c r="AB869" i="1"/>
  <c r="AB866" i="1"/>
  <c r="AB877" i="1"/>
  <c r="AB878" i="1"/>
  <c r="AD884" i="1"/>
  <c r="AD870" i="1"/>
  <c r="AD882" i="1"/>
  <c r="AB863" i="1"/>
  <c r="AB874" i="1"/>
  <c r="AD875" i="1"/>
  <c r="AD867" i="1"/>
  <c r="AD880" i="1"/>
  <c r="AD881" i="1"/>
  <c r="J850" i="1"/>
  <c r="AA859" i="1"/>
  <c r="AB859" i="1" s="1"/>
  <c r="AA855" i="1"/>
  <c r="AB855" i="1" s="1"/>
  <c r="AA851" i="1"/>
  <c r="AB851" i="1" s="1"/>
  <c r="AA847" i="1"/>
  <c r="AB847" i="1" s="1"/>
  <c r="AA840" i="1"/>
  <c r="AB840" i="1" s="1"/>
  <c r="AB872" i="1"/>
  <c r="AD872" i="1"/>
  <c r="J844" i="1"/>
  <c r="J857" i="1"/>
  <c r="J841" i="1"/>
  <c r="J840" i="1"/>
  <c r="AD876" i="1"/>
  <c r="AB876" i="1"/>
  <c r="J856" i="1"/>
  <c r="J839" i="1"/>
  <c r="AA862" i="1"/>
  <c r="AC862" i="1"/>
  <c r="AE862" i="1" s="1"/>
  <c r="AA850" i="1"/>
  <c r="AB850" i="1" s="1"/>
  <c r="AA846" i="1"/>
  <c r="AB846" i="1" s="1"/>
  <c r="J862" i="1"/>
  <c r="AA839" i="1"/>
  <c r="AB839" i="1" s="1"/>
  <c r="AA861" i="1"/>
  <c r="AB861" i="1" s="1"/>
  <c r="AC857" i="1"/>
  <c r="AE857" i="1" s="1"/>
  <c r="AA853" i="1"/>
  <c r="AB853" i="1" s="1"/>
  <c r="AA849" i="1"/>
  <c r="AB849" i="1" s="1"/>
  <c r="AA845" i="1"/>
  <c r="AB845" i="1" s="1"/>
  <c r="AA841" i="1"/>
  <c r="AB841" i="1" s="1"/>
  <c r="AC821" i="1"/>
  <c r="AE821" i="1" s="1"/>
  <c r="AC813" i="1"/>
  <c r="AE813" i="1" s="1"/>
  <c r="J843" i="1"/>
  <c r="AA831" i="1"/>
  <c r="AB831" i="1" s="1"/>
  <c r="AA823" i="1"/>
  <c r="AB823" i="1" s="1"/>
  <c r="AC819" i="1"/>
  <c r="AE819" i="1" s="1"/>
  <c r="AA815" i="1"/>
  <c r="AB815" i="1" s="1"/>
  <c r="J855" i="1"/>
  <c r="J854" i="1"/>
  <c r="AA813" i="1"/>
  <c r="AD813" i="1" s="1"/>
  <c r="AA812" i="1"/>
  <c r="AB812" i="1" s="1"/>
  <c r="AC834" i="1"/>
  <c r="AE834" i="1" s="1"/>
  <c r="AC830" i="1"/>
  <c r="AE830" i="1" s="1"/>
  <c r="AC826" i="1"/>
  <c r="AE826" i="1" s="1"/>
  <c r="AA819" i="1"/>
  <c r="AB819" i="1" s="1"/>
  <c r="J859" i="1"/>
  <c r="AC833" i="1"/>
  <c r="AE833" i="1" s="1"/>
  <c r="J842" i="1"/>
  <c r="AC832" i="1"/>
  <c r="AE832" i="1" s="1"/>
  <c r="AC828" i="1"/>
  <c r="AE828" i="1" s="1"/>
  <c r="AC824" i="1"/>
  <c r="AE824" i="1" s="1"/>
  <c r="AA817" i="1"/>
  <c r="AB817" i="1" s="1"/>
  <c r="AC836" i="1"/>
  <c r="AE836" i="1" s="1"/>
  <c r="AA828" i="1"/>
  <c r="AB828" i="1" s="1"/>
  <c r="AC816" i="1"/>
  <c r="AE816" i="1" s="1"/>
  <c r="J853" i="1"/>
  <c r="AA837" i="1"/>
  <c r="AB837" i="1" s="1"/>
  <c r="AA829" i="1"/>
  <c r="AD829" i="1" s="1"/>
  <c r="AA825" i="1"/>
  <c r="AB825" i="1" s="1"/>
  <c r="AC817" i="1"/>
  <c r="AE817" i="1" s="1"/>
  <c r="AA833" i="1"/>
  <c r="AB833" i="1" s="1"/>
  <c r="AA821" i="1"/>
  <c r="AD821" i="1" s="1"/>
  <c r="J848" i="1"/>
  <c r="AC838" i="1"/>
  <c r="AE838" i="1" s="1"/>
  <c r="AC814" i="1"/>
  <c r="AE814" i="1" s="1"/>
  <c r="AA835" i="1"/>
  <c r="AD835" i="1" s="1"/>
  <c r="AA827" i="1"/>
  <c r="AB827" i="1" s="1"/>
  <c r="AA836" i="1"/>
  <c r="AB836" i="1" s="1"/>
  <c r="AA832" i="1"/>
  <c r="AB832" i="1" s="1"/>
  <c r="AA824" i="1"/>
  <c r="AB824" i="1" s="1"/>
  <c r="AC820" i="1"/>
  <c r="AE820" i="1" s="1"/>
  <c r="AA816" i="1"/>
  <c r="AD816" i="1" s="1"/>
  <c r="J852" i="1"/>
  <c r="AC837" i="1"/>
  <c r="AE837" i="1" s="1"/>
  <c r="AC829" i="1"/>
  <c r="AE829" i="1" s="1"/>
  <c r="AC825" i="1"/>
  <c r="AE825" i="1" s="1"/>
  <c r="J851" i="1"/>
  <c r="AA858" i="1"/>
  <c r="AB858" i="1" s="1"/>
  <c r="AA854" i="1"/>
  <c r="AB854" i="1" s="1"/>
  <c r="AA842" i="1"/>
  <c r="AB842" i="1" s="1"/>
  <c r="AA843" i="1"/>
  <c r="AB843" i="1" s="1"/>
  <c r="J860" i="1"/>
  <c r="J846" i="1"/>
  <c r="J861" i="1"/>
  <c r="AA834" i="1"/>
  <c r="AD834" i="1" s="1"/>
  <c r="AC822" i="1"/>
  <c r="AE822" i="1" s="1"/>
  <c r="AA814" i="1"/>
  <c r="AD814" i="1" s="1"/>
  <c r="J845" i="1"/>
  <c r="AA826" i="1"/>
  <c r="AB826" i="1" s="1"/>
  <c r="AC818" i="1"/>
  <c r="AE818" i="1" s="1"/>
  <c r="AA838" i="1"/>
  <c r="AD838" i="1" s="1"/>
  <c r="AA830" i="1"/>
  <c r="AD830" i="1" s="1"/>
  <c r="AA818" i="1"/>
  <c r="AD818" i="1" s="1"/>
  <c r="J858" i="1"/>
  <c r="AA860" i="1"/>
  <c r="AB860" i="1" s="1"/>
  <c r="AA856" i="1"/>
  <c r="AD856" i="1" s="1"/>
  <c r="AA852" i="1"/>
  <c r="AB852" i="1" s="1"/>
  <c r="AC848" i="1"/>
  <c r="AE848" i="1" s="1"/>
  <c r="AA844" i="1"/>
  <c r="AB844" i="1" s="1"/>
  <c r="AH846" i="1"/>
  <c r="AI846" i="1"/>
  <c r="AI851" i="1"/>
  <c r="AH851" i="1"/>
  <c r="AI856" i="1"/>
  <c r="AH856" i="1"/>
  <c r="AH848" i="1"/>
  <c r="AI848" i="1"/>
  <c r="AI840" i="1"/>
  <c r="AH840" i="1"/>
  <c r="AH843" i="1"/>
  <c r="AI843" i="1"/>
  <c r="AH862" i="1"/>
  <c r="AI862" i="1"/>
  <c r="AI853" i="1"/>
  <c r="AH853" i="1"/>
  <c r="AI858" i="1"/>
  <c r="AH858" i="1"/>
  <c r="AH850" i="1"/>
  <c r="AI850" i="1"/>
  <c r="AI842" i="1"/>
  <c r="AH842" i="1"/>
  <c r="AI854" i="1"/>
  <c r="AH854" i="1"/>
  <c r="AH861" i="1"/>
  <c r="AI861" i="1"/>
  <c r="AI839" i="1"/>
  <c r="AH839" i="1"/>
  <c r="AH859" i="1"/>
  <c r="AI859" i="1"/>
  <c r="AH845" i="1"/>
  <c r="AI845" i="1"/>
  <c r="AI855" i="1"/>
  <c r="AH855" i="1"/>
  <c r="AH847" i="1"/>
  <c r="AI847" i="1"/>
  <c r="AH860" i="1"/>
  <c r="AI860" i="1"/>
  <c r="AI852" i="1"/>
  <c r="AH852" i="1"/>
  <c r="AH844" i="1"/>
  <c r="AI844" i="1"/>
  <c r="AI857" i="1"/>
  <c r="AH857" i="1"/>
  <c r="AH849" i="1"/>
  <c r="AI849" i="1"/>
  <c r="AI841" i="1"/>
  <c r="AH841" i="1"/>
  <c r="AA822" i="1"/>
  <c r="AC843" i="1"/>
  <c r="AE843" i="1" s="1"/>
  <c r="AC861" i="1"/>
  <c r="AE861" i="1" s="1"/>
  <c r="AA857" i="1"/>
  <c r="AC852" i="1"/>
  <c r="AE852" i="1" s="1"/>
  <c r="AA848" i="1"/>
  <c r="AC847" i="1"/>
  <c r="AE847" i="1" s="1"/>
  <c r="AC856" i="1"/>
  <c r="AE856" i="1" s="1"/>
  <c r="AC842" i="1"/>
  <c r="AE842" i="1" s="1"/>
  <c r="AC851" i="1"/>
  <c r="AE851" i="1" s="1"/>
  <c r="AC860" i="1"/>
  <c r="AE860" i="1" s="1"/>
  <c r="AC846" i="1"/>
  <c r="AE846" i="1" s="1"/>
  <c r="AC855" i="1"/>
  <c r="AE855" i="1" s="1"/>
  <c r="AC850" i="1"/>
  <c r="AE850" i="1" s="1"/>
  <c r="AC841" i="1"/>
  <c r="AE841" i="1" s="1"/>
  <c r="AC831" i="1"/>
  <c r="AE831" i="1" s="1"/>
  <c r="AC827" i="1"/>
  <c r="AE827" i="1" s="1"/>
  <c r="AA820" i="1"/>
  <c r="AC859" i="1"/>
  <c r="AE859" i="1" s="1"/>
  <c r="AC854" i="1"/>
  <c r="AE854" i="1" s="1"/>
  <c r="AC845" i="1"/>
  <c r="AE845" i="1" s="1"/>
  <c r="AC812" i="1"/>
  <c r="AE812" i="1" s="1"/>
  <c r="AC835" i="1"/>
  <c r="AE835" i="1" s="1"/>
  <c r="AC823" i="1"/>
  <c r="AE823" i="1" s="1"/>
  <c r="AC815" i="1"/>
  <c r="AE815" i="1" s="1"/>
  <c r="AC858" i="1"/>
  <c r="AE858" i="1" s="1"/>
  <c r="AC849" i="1"/>
  <c r="AE849" i="1" s="1"/>
  <c r="AC840" i="1"/>
  <c r="AE840" i="1" s="1"/>
  <c r="AC853" i="1"/>
  <c r="AE853" i="1" s="1"/>
  <c r="AC844" i="1"/>
  <c r="AE844" i="1" s="1"/>
  <c r="AC839" i="1"/>
  <c r="AE839" i="1" s="1"/>
  <c r="AR812" i="1"/>
  <c r="AT812" i="1" s="1"/>
  <c r="AR813" i="1"/>
  <c r="AT813" i="1" s="1"/>
  <c r="AR814" i="1"/>
  <c r="AT814" i="1" s="1"/>
  <c r="AR815" i="1"/>
  <c r="AT815" i="1" s="1"/>
  <c r="AR816" i="1"/>
  <c r="AT816" i="1" s="1"/>
  <c r="AR817" i="1"/>
  <c r="AT817" i="1" s="1"/>
  <c r="AR818" i="1"/>
  <c r="AT818" i="1" s="1"/>
  <c r="AR819" i="1"/>
  <c r="AT819" i="1" s="1"/>
  <c r="AR820" i="1"/>
  <c r="AT820" i="1" s="1"/>
  <c r="AR821" i="1"/>
  <c r="AT821" i="1" s="1"/>
  <c r="AR822" i="1"/>
  <c r="AT822" i="1" s="1"/>
  <c r="AR823" i="1"/>
  <c r="AT823" i="1" s="1"/>
  <c r="AR824" i="1"/>
  <c r="AT824" i="1" s="1"/>
  <c r="AR825" i="1"/>
  <c r="AT825" i="1" s="1"/>
  <c r="AR826" i="1"/>
  <c r="AT826" i="1" s="1"/>
  <c r="AR827" i="1"/>
  <c r="AT827" i="1" s="1"/>
  <c r="AR828" i="1"/>
  <c r="AT828" i="1" s="1"/>
  <c r="AR829" i="1"/>
  <c r="AT829" i="1" s="1"/>
  <c r="AR830" i="1"/>
  <c r="AT830" i="1" s="1"/>
  <c r="AR831" i="1"/>
  <c r="AT831" i="1" s="1"/>
  <c r="AR832" i="1"/>
  <c r="AT832" i="1" s="1"/>
  <c r="AR833" i="1"/>
  <c r="AT833" i="1" s="1"/>
  <c r="AR834" i="1"/>
  <c r="AT834" i="1" s="1"/>
  <c r="AR835" i="1"/>
  <c r="AT835" i="1" s="1"/>
  <c r="AR836" i="1"/>
  <c r="AT836" i="1" s="1"/>
  <c r="AR837" i="1"/>
  <c r="AT837" i="1" s="1"/>
  <c r="AR838" i="1"/>
  <c r="AT838" i="1" s="1"/>
  <c r="AQ812" i="1"/>
  <c r="AS812" i="1" s="1"/>
  <c r="AQ813" i="1"/>
  <c r="AS813" i="1" s="1"/>
  <c r="AQ814" i="1"/>
  <c r="AS814" i="1" s="1"/>
  <c r="AQ815" i="1"/>
  <c r="AS815" i="1" s="1"/>
  <c r="AQ816" i="1"/>
  <c r="AS816" i="1" s="1"/>
  <c r="AQ817" i="1"/>
  <c r="AS817" i="1" s="1"/>
  <c r="AQ818" i="1"/>
  <c r="AS818" i="1" s="1"/>
  <c r="AH818" i="1" s="1"/>
  <c r="AQ819" i="1"/>
  <c r="AS819" i="1" s="1"/>
  <c r="AH819" i="1" s="1"/>
  <c r="AQ820" i="1"/>
  <c r="AS820" i="1" s="1"/>
  <c r="AH820" i="1" s="1"/>
  <c r="AQ821" i="1"/>
  <c r="AS821" i="1" s="1"/>
  <c r="AI821" i="1" s="1"/>
  <c r="AQ822" i="1"/>
  <c r="AS822" i="1" s="1"/>
  <c r="AH822" i="1" s="1"/>
  <c r="AQ823" i="1"/>
  <c r="AS823" i="1" s="1"/>
  <c r="AI823" i="1" s="1"/>
  <c r="AQ824" i="1"/>
  <c r="AS824" i="1" s="1"/>
  <c r="AQ825" i="1"/>
  <c r="AS825" i="1" s="1"/>
  <c r="AQ826" i="1"/>
  <c r="AS826" i="1" s="1"/>
  <c r="AQ827" i="1"/>
  <c r="AS827" i="1" s="1"/>
  <c r="AQ828" i="1"/>
  <c r="AS828" i="1" s="1"/>
  <c r="AQ829" i="1"/>
  <c r="AS829" i="1" s="1"/>
  <c r="AQ830" i="1"/>
  <c r="AS830" i="1" s="1"/>
  <c r="AQ831" i="1"/>
  <c r="AS831" i="1" s="1"/>
  <c r="AQ832" i="1"/>
  <c r="AS832" i="1" s="1"/>
  <c r="AQ833" i="1"/>
  <c r="AS833" i="1" s="1"/>
  <c r="AQ834" i="1"/>
  <c r="AS834" i="1" s="1"/>
  <c r="AH834" i="1" s="1"/>
  <c r="AQ835" i="1"/>
  <c r="AS835" i="1" s="1"/>
  <c r="AH835" i="1" s="1"/>
  <c r="AQ836" i="1"/>
  <c r="AS836" i="1" s="1"/>
  <c r="AI836" i="1" s="1"/>
  <c r="AQ837" i="1"/>
  <c r="AS837" i="1" s="1"/>
  <c r="AH837" i="1" s="1"/>
  <c r="AQ838" i="1"/>
  <c r="AS838" i="1" s="1"/>
  <c r="AI838" i="1" s="1"/>
  <c r="AP812" i="1"/>
  <c r="AP813" i="1"/>
  <c r="AP814" i="1"/>
  <c r="AP815" i="1"/>
  <c r="AP816" i="1"/>
  <c r="AP817" i="1"/>
  <c r="AP818" i="1"/>
  <c r="AP819" i="1"/>
  <c r="AP820" i="1"/>
  <c r="AP821" i="1"/>
  <c r="AP822" i="1"/>
  <c r="AP823" i="1"/>
  <c r="AP824" i="1"/>
  <c r="AP825" i="1"/>
  <c r="AP826" i="1"/>
  <c r="AP827" i="1"/>
  <c r="AP828" i="1"/>
  <c r="AP829" i="1"/>
  <c r="AP830" i="1"/>
  <c r="AP831" i="1"/>
  <c r="AP832" i="1"/>
  <c r="AP833" i="1"/>
  <c r="AP834" i="1"/>
  <c r="AP835" i="1"/>
  <c r="AP836" i="1"/>
  <c r="AP837" i="1"/>
  <c r="AP838"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N812" i="1"/>
  <c r="AN813" i="1"/>
  <c r="AN814" i="1"/>
  <c r="AN815" i="1"/>
  <c r="AN816" i="1"/>
  <c r="AN817" i="1"/>
  <c r="AN818" i="1"/>
  <c r="AN819" i="1"/>
  <c r="AN820" i="1"/>
  <c r="AN821" i="1"/>
  <c r="AN822" i="1"/>
  <c r="AN823" i="1"/>
  <c r="AN824" i="1"/>
  <c r="AN825" i="1"/>
  <c r="AN826" i="1"/>
  <c r="AN827" i="1"/>
  <c r="AN828" i="1"/>
  <c r="AN829" i="1"/>
  <c r="AN830" i="1"/>
  <c r="AN831" i="1"/>
  <c r="AN832" i="1"/>
  <c r="AN833" i="1"/>
  <c r="AN834" i="1"/>
  <c r="AN835" i="1"/>
  <c r="AN836" i="1"/>
  <c r="AN837" i="1"/>
  <c r="AN838"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I812" i="1" a="1"/>
  <c r="I812" i="1" s="1"/>
  <c r="I813" i="1" a="1"/>
  <c r="I813" i="1" s="1"/>
  <c r="I814" i="1" a="1"/>
  <c r="I814" i="1" s="1"/>
  <c r="I815" i="1" a="1"/>
  <c r="I815" i="1" s="1"/>
  <c r="I816" i="1" a="1"/>
  <c r="I816" i="1" s="1"/>
  <c r="I817" i="1" a="1"/>
  <c r="I817" i="1" s="1"/>
  <c r="I818" i="1" a="1"/>
  <c r="I818" i="1" s="1"/>
  <c r="I819" i="1" a="1"/>
  <c r="I819" i="1" s="1"/>
  <c r="I820" i="1" a="1"/>
  <c r="I820" i="1" s="1"/>
  <c r="I821" i="1" a="1"/>
  <c r="I821" i="1" s="1"/>
  <c r="I822" i="1" a="1"/>
  <c r="I822" i="1" s="1"/>
  <c r="I823" i="1" a="1"/>
  <c r="I823" i="1" s="1"/>
  <c r="I824" i="1" a="1"/>
  <c r="I824" i="1" s="1"/>
  <c r="I825" i="1" a="1"/>
  <c r="I825" i="1" s="1"/>
  <c r="I826" i="1" a="1"/>
  <c r="I826" i="1" s="1"/>
  <c r="I827" i="1" a="1"/>
  <c r="I827" i="1" s="1"/>
  <c r="I828" i="1" a="1"/>
  <c r="I828" i="1" s="1"/>
  <c r="I829" i="1" a="1"/>
  <c r="I829" i="1" s="1"/>
  <c r="I830" i="1" a="1"/>
  <c r="I830" i="1" s="1"/>
  <c r="I831" i="1" a="1"/>
  <c r="I831" i="1" s="1"/>
  <c r="I832" i="1" a="1"/>
  <c r="I832" i="1" s="1"/>
  <c r="I833" i="1" a="1"/>
  <c r="I833" i="1" s="1"/>
  <c r="I834" i="1" a="1"/>
  <c r="I834" i="1" s="1"/>
  <c r="I835" i="1" a="1"/>
  <c r="I835" i="1" s="1"/>
  <c r="I836" i="1" a="1"/>
  <c r="I836" i="1" s="1"/>
  <c r="I837" i="1" a="1"/>
  <c r="I837" i="1" s="1"/>
  <c r="I838" i="1" a="1"/>
  <c r="I838"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O771" i="1"/>
  <c r="P771" i="1"/>
  <c r="Q771" i="1"/>
  <c r="R771" i="1"/>
  <c r="S771" i="1"/>
  <c r="T771" i="1"/>
  <c r="U771" i="1"/>
  <c r="V771" i="1"/>
  <c r="W771" i="1"/>
  <c r="X771" i="1"/>
  <c r="Y771" i="1"/>
  <c r="Z771" i="1"/>
  <c r="O772" i="1"/>
  <c r="P772" i="1"/>
  <c r="Q772" i="1"/>
  <c r="R772" i="1"/>
  <c r="S772" i="1"/>
  <c r="T772" i="1"/>
  <c r="U772" i="1"/>
  <c r="V772" i="1"/>
  <c r="W772" i="1"/>
  <c r="X772" i="1"/>
  <c r="Y772" i="1"/>
  <c r="Z772" i="1"/>
  <c r="O773" i="1"/>
  <c r="P773" i="1"/>
  <c r="Q773" i="1"/>
  <c r="R773" i="1"/>
  <c r="S773" i="1"/>
  <c r="T773" i="1"/>
  <c r="U773" i="1"/>
  <c r="V773" i="1"/>
  <c r="W773" i="1"/>
  <c r="X773" i="1"/>
  <c r="Y773" i="1"/>
  <c r="Z773" i="1"/>
  <c r="O774" i="1"/>
  <c r="P774" i="1"/>
  <c r="Q774" i="1"/>
  <c r="R774" i="1"/>
  <c r="S774" i="1"/>
  <c r="T774" i="1"/>
  <c r="U774" i="1"/>
  <c r="V774" i="1"/>
  <c r="W774" i="1"/>
  <c r="X774" i="1"/>
  <c r="Y774" i="1"/>
  <c r="Z774" i="1"/>
  <c r="O775" i="1"/>
  <c r="P775" i="1"/>
  <c r="Q775" i="1"/>
  <c r="R775" i="1"/>
  <c r="S775" i="1"/>
  <c r="T775" i="1"/>
  <c r="U775" i="1"/>
  <c r="V775" i="1"/>
  <c r="W775" i="1"/>
  <c r="X775" i="1"/>
  <c r="Y775" i="1"/>
  <c r="Z775" i="1"/>
  <c r="O776" i="1"/>
  <c r="P776" i="1"/>
  <c r="Q776" i="1"/>
  <c r="R776" i="1"/>
  <c r="S776" i="1"/>
  <c r="T776" i="1"/>
  <c r="U776" i="1"/>
  <c r="V776" i="1"/>
  <c r="W776" i="1"/>
  <c r="X776" i="1"/>
  <c r="Y776" i="1"/>
  <c r="Z776" i="1"/>
  <c r="O777" i="1"/>
  <c r="P777" i="1"/>
  <c r="Q777" i="1"/>
  <c r="R777" i="1"/>
  <c r="S777" i="1"/>
  <c r="T777" i="1"/>
  <c r="U777" i="1"/>
  <c r="V777" i="1"/>
  <c r="W777" i="1"/>
  <c r="X777" i="1"/>
  <c r="Y777" i="1"/>
  <c r="Z777" i="1"/>
  <c r="O778" i="1"/>
  <c r="P778" i="1"/>
  <c r="Q778" i="1"/>
  <c r="R778" i="1"/>
  <c r="S778" i="1"/>
  <c r="T778" i="1"/>
  <c r="U778" i="1"/>
  <c r="V778" i="1"/>
  <c r="W778" i="1"/>
  <c r="X778" i="1"/>
  <c r="Y778" i="1"/>
  <c r="Z778" i="1"/>
  <c r="O779" i="1"/>
  <c r="P779" i="1"/>
  <c r="Q779" i="1"/>
  <c r="R779" i="1"/>
  <c r="S779" i="1"/>
  <c r="T779" i="1"/>
  <c r="U779" i="1"/>
  <c r="V779" i="1"/>
  <c r="W779" i="1"/>
  <c r="X779" i="1"/>
  <c r="Y779" i="1"/>
  <c r="Z779" i="1"/>
  <c r="O780" i="1"/>
  <c r="P780" i="1"/>
  <c r="Q780" i="1"/>
  <c r="R780" i="1"/>
  <c r="S780" i="1"/>
  <c r="T780" i="1"/>
  <c r="U780" i="1"/>
  <c r="V780" i="1"/>
  <c r="W780" i="1"/>
  <c r="X780" i="1"/>
  <c r="Y780" i="1"/>
  <c r="Z780" i="1"/>
  <c r="O781" i="1"/>
  <c r="P781" i="1"/>
  <c r="Q781" i="1"/>
  <c r="R781" i="1"/>
  <c r="S781" i="1"/>
  <c r="T781" i="1"/>
  <c r="U781" i="1"/>
  <c r="V781" i="1"/>
  <c r="W781" i="1"/>
  <c r="X781" i="1"/>
  <c r="Y781" i="1"/>
  <c r="Z781" i="1"/>
  <c r="O782" i="1"/>
  <c r="P782" i="1"/>
  <c r="Q782" i="1"/>
  <c r="R782" i="1"/>
  <c r="S782" i="1"/>
  <c r="T782" i="1"/>
  <c r="U782" i="1"/>
  <c r="V782" i="1"/>
  <c r="W782" i="1"/>
  <c r="X782" i="1"/>
  <c r="Y782" i="1"/>
  <c r="Z782" i="1"/>
  <c r="O783" i="1"/>
  <c r="P783" i="1"/>
  <c r="Q783" i="1"/>
  <c r="R783" i="1"/>
  <c r="S783" i="1"/>
  <c r="T783" i="1"/>
  <c r="U783" i="1"/>
  <c r="V783" i="1"/>
  <c r="W783" i="1"/>
  <c r="X783" i="1"/>
  <c r="Y783" i="1"/>
  <c r="Z783" i="1"/>
  <c r="O784" i="1"/>
  <c r="P784" i="1"/>
  <c r="Q784" i="1"/>
  <c r="R784" i="1"/>
  <c r="S784" i="1"/>
  <c r="T784" i="1"/>
  <c r="U784" i="1"/>
  <c r="V784" i="1"/>
  <c r="W784" i="1"/>
  <c r="X784" i="1"/>
  <c r="Y784" i="1"/>
  <c r="Z784" i="1"/>
  <c r="O785" i="1"/>
  <c r="P785" i="1"/>
  <c r="Q785" i="1"/>
  <c r="R785" i="1"/>
  <c r="S785" i="1"/>
  <c r="T785" i="1"/>
  <c r="U785" i="1"/>
  <c r="V785" i="1"/>
  <c r="W785" i="1"/>
  <c r="X785" i="1"/>
  <c r="Y785" i="1"/>
  <c r="Z785" i="1"/>
  <c r="O786" i="1"/>
  <c r="P786" i="1"/>
  <c r="Q786" i="1"/>
  <c r="R786" i="1"/>
  <c r="S786" i="1"/>
  <c r="T786" i="1"/>
  <c r="U786" i="1"/>
  <c r="V786" i="1"/>
  <c r="W786" i="1"/>
  <c r="X786" i="1"/>
  <c r="Y786" i="1"/>
  <c r="Z786" i="1"/>
  <c r="O787" i="1"/>
  <c r="P787" i="1"/>
  <c r="Q787" i="1"/>
  <c r="R787" i="1"/>
  <c r="S787" i="1"/>
  <c r="T787" i="1"/>
  <c r="U787" i="1"/>
  <c r="V787" i="1"/>
  <c r="W787" i="1"/>
  <c r="X787" i="1"/>
  <c r="Y787" i="1"/>
  <c r="Z787" i="1"/>
  <c r="O788" i="1"/>
  <c r="P788" i="1"/>
  <c r="Q788" i="1"/>
  <c r="R788" i="1"/>
  <c r="S788" i="1"/>
  <c r="T788" i="1"/>
  <c r="U788" i="1"/>
  <c r="V788" i="1"/>
  <c r="W788" i="1"/>
  <c r="X788" i="1"/>
  <c r="Y788" i="1"/>
  <c r="Z788" i="1"/>
  <c r="O789" i="1"/>
  <c r="P789" i="1"/>
  <c r="Q789" i="1"/>
  <c r="R789" i="1"/>
  <c r="S789" i="1"/>
  <c r="T789" i="1"/>
  <c r="U789" i="1"/>
  <c r="V789" i="1"/>
  <c r="W789" i="1"/>
  <c r="X789" i="1"/>
  <c r="Y789" i="1"/>
  <c r="Z789" i="1"/>
  <c r="O790" i="1"/>
  <c r="P790" i="1"/>
  <c r="Q790" i="1"/>
  <c r="R790" i="1"/>
  <c r="S790" i="1"/>
  <c r="T790" i="1"/>
  <c r="U790" i="1"/>
  <c r="V790" i="1"/>
  <c r="W790" i="1"/>
  <c r="X790" i="1"/>
  <c r="Y790" i="1"/>
  <c r="Z790" i="1"/>
  <c r="O791" i="1"/>
  <c r="P791" i="1"/>
  <c r="Q791" i="1"/>
  <c r="R791" i="1"/>
  <c r="S791" i="1"/>
  <c r="T791" i="1"/>
  <c r="U791" i="1"/>
  <c r="V791" i="1"/>
  <c r="W791" i="1"/>
  <c r="X791" i="1"/>
  <c r="Y791" i="1"/>
  <c r="Z791" i="1"/>
  <c r="O792" i="1"/>
  <c r="P792" i="1"/>
  <c r="Q792" i="1"/>
  <c r="R792" i="1"/>
  <c r="S792" i="1"/>
  <c r="T792" i="1"/>
  <c r="U792" i="1"/>
  <c r="V792" i="1"/>
  <c r="W792" i="1"/>
  <c r="X792" i="1"/>
  <c r="Y792" i="1"/>
  <c r="Z792" i="1"/>
  <c r="O793" i="1"/>
  <c r="P793" i="1"/>
  <c r="Q793" i="1"/>
  <c r="R793" i="1"/>
  <c r="S793" i="1"/>
  <c r="T793" i="1"/>
  <c r="U793" i="1"/>
  <c r="V793" i="1"/>
  <c r="W793" i="1"/>
  <c r="X793" i="1"/>
  <c r="Y793" i="1"/>
  <c r="Z793" i="1"/>
  <c r="O794" i="1"/>
  <c r="P794" i="1"/>
  <c r="Q794" i="1"/>
  <c r="R794" i="1"/>
  <c r="S794" i="1"/>
  <c r="T794" i="1"/>
  <c r="U794" i="1"/>
  <c r="V794" i="1"/>
  <c r="W794" i="1"/>
  <c r="X794" i="1"/>
  <c r="Y794" i="1"/>
  <c r="Z794" i="1"/>
  <c r="O795" i="1"/>
  <c r="P795" i="1"/>
  <c r="Q795" i="1"/>
  <c r="R795" i="1"/>
  <c r="S795" i="1"/>
  <c r="T795" i="1"/>
  <c r="U795" i="1"/>
  <c r="V795" i="1"/>
  <c r="W795" i="1"/>
  <c r="X795" i="1"/>
  <c r="Y795" i="1"/>
  <c r="Z795" i="1"/>
  <c r="O796" i="1"/>
  <c r="P796" i="1"/>
  <c r="Q796" i="1"/>
  <c r="R796" i="1"/>
  <c r="S796" i="1"/>
  <c r="T796" i="1"/>
  <c r="U796" i="1"/>
  <c r="V796" i="1"/>
  <c r="W796" i="1"/>
  <c r="X796" i="1"/>
  <c r="Y796" i="1"/>
  <c r="Z796" i="1"/>
  <c r="O797" i="1"/>
  <c r="P797" i="1"/>
  <c r="Q797" i="1"/>
  <c r="R797" i="1"/>
  <c r="S797" i="1"/>
  <c r="T797" i="1"/>
  <c r="U797" i="1"/>
  <c r="V797" i="1"/>
  <c r="W797" i="1"/>
  <c r="X797" i="1"/>
  <c r="Y797" i="1"/>
  <c r="Z797" i="1"/>
  <c r="O798" i="1"/>
  <c r="P798" i="1"/>
  <c r="Q798" i="1"/>
  <c r="R798" i="1"/>
  <c r="S798" i="1"/>
  <c r="T798" i="1"/>
  <c r="U798" i="1"/>
  <c r="V798" i="1"/>
  <c r="W798" i="1"/>
  <c r="X798" i="1"/>
  <c r="Y798" i="1"/>
  <c r="Z798" i="1"/>
  <c r="O799" i="1"/>
  <c r="P799" i="1"/>
  <c r="Q799" i="1"/>
  <c r="R799" i="1"/>
  <c r="S799" i="1"/>
  <c r="T799" i="1"/>
  <c r="U799" i="1"/>
  <c r="V799" i="1"/>
  <c r="W799" i="1"/>
  <c r="X799" i="1"/>
  <c r="Y799" i="1"/>
  <c r="Z799" i="1"/>
  <c r="O800" i="1"/>
  <c r="P800" i="1"/>
  <c r="Q800" i="1"/>
  <c r="R800" i="1"/>
  <c r="S800" i="1"/>
  <c r="T800" i="1"/>
  <c r="U800" i="1"/>
  <c r="V800" i="1"/>
  <c r="W800" i="1"/>
  <c r="X800" i="1"/>
  <c r="Y800" i="1"/>
  <c r="Z800" i="1"/>
  <c r="O801" i="1"/>
  <c r="P801" i="1"/>
  <c r="Q801" i="1"/>
  <c r="R801" i="1"/>
  <c r="S801" i="1"/>
  <c r="T801" i="1"/>
  <c r="U801" i="1"/>
  <c r="V801" i="1"/>
  <c r="W801" i="1"/>
  <c r="X801" i="1"/>
  <c r="Y801" i="1"/>
  <c r="Z801" i="1"/>
  <c r="O802" i="1"/>
  <c r="P802" i="1"/>
  <c r="Q802" i="1"/>
  <c r="R802" i="1"/>
  <c r="S802" i="1"/>
  <c r="T802" i="1"/>
  <c r="U802" i="1"/>
  <c r="V802" i="1"/>
  <c r="W802" i="1"/>
  <c r="X802" i="1"/>
  <c r="Y802" i="1"/>
  <c r="Z802" i="1"/>
  <c r="O803" i="1"/>
  <c r="P803" i="1"/>
  <c r="Q803" i="1"/>
  <c r="R803" i="1"/>
  <c r="S803" i="1"/>
  <c r="T803" i="1"/>
  <c r="U803" i="1"/>
  <c r="V803" i="1"/>
  <c r="W803" i="1"/>
  <c r="X803" i="1"/>
  <c r="Y803" i="1"/>
  <c r="Z803" i="1"/>
  <c r="O804" i="1"/>
  <c r="P804" i="1"/>
  <c r="Q804" i="1"/>
  <c r="R804" i="1"/>
  <c r="S804" i="1"/>
  <c r="T804" i="1"/>
  <c r="U804" i="1"/>
  <c r="V804" i="1"/>
  <c r="W804" i="1"/>
  <c r="X804" i="1"/>
  <c r="Y804" i="1"/>
  <c r="Z804" i="1"/>
  <c r="O805" i="1"/>
  <c r="P805" i="1"/>
  <c r="Q805" i="1"/>
  <c r="R805" i="1"/>
  <c r="S805" i="1"/>
  <c r="T805" i="1"/>
  <c r="U805" i="1"/>
  <c r="V805" i="1"/>
  <c r="W805" i="1"/>
  <c r="X805" i="1"/>
  <c r="Y805" i="1"/>
  <c r="Z805" i="1"/>
  <c r="O806" i="1"/>
  <c r="P806" i="1"/>
  <c r="Q806" i="1"/>
  <c r="R806" i="1"/>
  <c r="S806" i="1"/>
  <c r="T806" i="1"/>
  <c r="U806" i="1"/>
  <c r="V806" i="1"/>
  <c r="W806" i="1"/>
  <c r="X806" i="1"/>
  <c r="Y806" i="1"/>
  <c r="Z806" i="1"/>
  <c r="O807" i="1"/>
  <c r="P807" i="1"/>
  <c r="Q807" i="1"/>
  <c r="R807" i="1"/>
  <c r="S807" i="1"/>
  <c r="T807" i="1"/>
  <c r="U807" i="1"/>
  <c r="V807" i="1"/>
  <c r="W807" i="1"/>
  <c r="X807" i="1"/>
  <c r="Y807" i="1"/>
  <c r="Z807" i="1"/>
  <c r="O808" i="1"/>
  <c r="P808" i="1"/>
  <c r="Q808" i="1"/>
  <c r="R808" i="1"/>
  <c r="S808" i="1"/>
  <c r="T808" i="1"/>
  <c r="U808" i="1"/>
  <c r="V808" i="1"/>
  <c r="W808" i="1"/>
  <c r="X808" i="1"/>
  <c r="Y808" i="1"/>
  <c r="Z808" i="1"/>
  <c r="O809" i="1"/>
  <c r="P809" i="1"/>
  <c r="Q809" i="1"/>
  <c r="R809" i="1"/>
  <c r="S809" i="1"/>
  <c r="T809" i="1"/>
  <c r="U809" i="1"/>
  <c r="V809" i="1"/>
  <c r="W809" i="1"/>
  <c r="X809" i="1"/>
  <c r="Y809" i="1"/>
  <c r="Z809" i="1"/>
  <c r="O810" i="1"/>
  <c r="P810" i="1"/>
  <c r="Q810" i="1"/>
  <c r="R810" i="1"/>
  <c r="S810" i="1"/>
  <c r="T810" i="1"/>
  <c r="U810" i="1"/>
  <c r="V810" i="1"/>
  <c r="W810" i="1"/>
  <c r="X810" i="1"/>
  <c r="Y810" i="1"/>
  <c r="Z810" i="1"/>
  <c r="O811" i="1"/>
  <c r="P811" i="1"/>
  <c r="Q811" i="1"/>
  <c r="R811" i="1"/>
  <c r="S811" i="1"/>
  <c r="T811" i="1"/>
  <c r="U811" i="1"/>
  <c r="V811" i="1"/>
  <c r="W811" i="1"/>
  <c r="X811" i="1"/>
  <c r="Y811" i="1"/>
  <c r="Z811" i="1"/>
  <c r="Z770" i="1"/>
  <c r="Y770" i="1"/>
  <c r="X770" i="1"/>
  <c r="W770" i="1"/>
  <c r="V770" i="1"/>
  <c r="U770" i="1"/>
  <c r="T770" i="1"/>
  <c r="S770" i="1"/>
  <c r="R770" i="1"/>
  <c r="Q770" i="1"/>
  <c r="P770" i="1"/>
  <c r="O770" i="1"/>
  <c r="AD861" i="1" l="1"/>
  <c r="AD855" i="1"/>
  <c r="J819" i="1"/>
  <c r="AD826" i="1"/>
  <c r="AD851" i="1"/>
  <c r="AD812" i="1"/>
  <c r="AD825" i="1"/>
  <c r="AD837" i="1"/>
  <c r="AD846" i="1"/>
  <c r="AD859" i="1"/>
  <c r="AD854" i="1"/>
  <c r="J823" i="1"/>
  <c r="AB829" i="1"/>
  <c r="AB814" i="1"/>
  <c r="AD840" i="1"/>
  <c r="J830" i="1"/>
  <c r="J814" i="1"/>
  <c r="AB834" i="1"/>
  <c r="AD828" i="1"/>
  <c r="J837" i="1"/>
  <c r="J821" i="1"/>
  <c r="AD815" i="1"/>
  <c r="AB838" i="1"/>
  <c r="AD850" i="1"/>
  <c r="AD839" i="1"/>
  <c r="AD853" i="1"/>
  <c r="AD847" i="1"/>
  <c r="AD831" i="1"/>
  <c r="J835" i="1"/>
  <c r="AD842" i="1"/>
  <c r="AB813" i="1"/>
  <c r="AD845" i="1"/>
  <c r="AD858" i="1"/>
  <c r="J834" i="1"/>
  <c r="J818" i="1"/>
  <c r="AB835" i="1"/>
  <c r="J833" i="1"/>
  <c r="J831" i="1"/>
  <c r="J815" i="1"/>
  <c r="AB856" i="1"/>
  <c r="AB816" i="1"/>
  <c r="AB830" i="1"/>
  <c r="AA791" i="1"/>
  <c r="AD791" i="1" s="1"/>
  <c r="J825" i="1"/>
  <c r="AD860" i="1"/>
  <c r="AD849" i="1"/>
  <c r="J832" i="1"/>
  <c r="AA770" i="1"/>
  <c r="AB770" i="1" s="1"/>
  <c r="AD824" i="1"/>
  <c r="AA802" i="1"/>
  <c r="AB802" i="1" s="1"/>
  <c r="AC798" i="1"/>
  <c r="AE798" i="1" s="1"/>
  <c r="AA795" i="1"/>
  <c r="AD795" i="1" s="1"/>
  <c r="AA783" i="1"/>
  <c r="AD783" i="1" s="1"/>
  <c r="J817" i="1"/>
  <c r="J816" i="1"/>
  <c r="AB862" i="1"/>
  <c r="AD862" i="1"/>
  <c r="AA810" i="1"/>
  <c r="AB810" i="1" s="1"/>
  <c r="AC794" i="1"/>
  <c r="AE794" i="1" s="1"/>
  <c r="AC806" i="1"/>
  <c r="AE806" i="1" s="1"/>
  <c r="AC802" i="1"/>
  <c r="AE802" i="1" s="1"/>
  <c r="AC787" i="1"/>
  <c r="AE787" i="1" s="1"/>
  <c r="AC779" i="1"/>
  <c r="AE779" i="1" s="1"/>
  <c r="AC775" i="1"/>
  <c r="AE775" i="1" s="1"/>
  <c r="AC771" i="1"/>
  <c r="AE771" i="1" s="1"/>
  <c r="J813" i="1"/>
  <c r="AA778" i="1"/>
  <c r="AD778" i="1" s="1"/>
  <c r="J828" i="1"/>
  <c r="J812" i="1"/>
  <c r="AD832" i="1"/>
  <c r="AA809" i="1"/>
  <c r="AD809" i="1" s="1"/>
  <c r="AD843" i="1"/>
  <c r="AD823" i="1"/>
  <c r="AB821" i="1"/>
  <c r="AD836" i="1"/>
  <c r="AC811" i="1"/>
  <c r="AE811" i="1" s="1"/>
  <c r="AC807" i="1"/>
  <c r="AE807" i="1" s="1"/>
  <c r="AC803" i="1"/>
  <c r="AE803" i="1" s="1"/>
  <c r="AA799" i="1"/>
  <c r="AB799" i="1" s="1"/>
  <c r="J824" i="1"/>
  <c r="AC810" i="1"/>
  <c r="AE810" i="1" s="1"/>
  <c r="AA806" i="1"/>
  <c r="AD806" i="1" s="1"/>
  <c r="AA787" i="1"/>
  <c r="AD787" i="1" s="1"/>
  <c r="AA779" i="1"/>
  <c r="AD779" i="1" s="1"/>
  <c r="AA775" i="1"/>
  <c r="AD775" i="1" s="1"/>
  <c r="AA771" i="1"/>
  <c r="AB771" i="1" s="1"/>
  <c r="AA786" i="1"/>
  <c r="AB786" i="1" s="1"/>
  <c r="J829" i="1"/>
  <c r="J827" i="1"/>
  <c r="AC770" i="1"/>
  <c r="AE770" i="1" s="1"/>
  <c r="AD844" i="1"/>
  <c r="AB818" i="1"/>
  <c r="AD819" i="1"/>
  <c r="AD833" i="1"/>
  <c r="AD817" i="1"/>
  <c r="AC805" i="1"/>
  <c r="AE805" i="1" s="1"/>
  <c r="AC801" i="1"/>
  <c r="AE801" i="1" s="1"/>
  <c r="AA798" i="1"/>
  <c r="AD798" i="1" s="1"/>
  <c r="AA797" i="1"/>
  <c r="AD797" i="1" s="1"/>
  <c r="AC793" i="1"/>
  <c r="AE793" i="1" s="1"/>
  <c r="AC790" i="1"/>
  <c r="AE790" i="1" s="1"/>
  <c r="AA789" i="1"/>
  <c r="AB789" i="1" s="1"/>
  <c r="AC786" i="1"/>
  <c r="AE786" i="1" s="1"/>
  <c r="AC785" i="1"/>
  <c r="AE785" i="1" s="1"/>
  <c r="AC782" i="1"/>
  <c r="AE782" i="1" s="1"/>
  <c r="AA781" i="1"/>
  <c r="AD781" i="1" s="1"/>
  <c r="AA777" i="1"/>
  <c r="AB777" i="1" s="1"/>
  <c r="AC774" i="1"/>
  <c r="AE774" i="1" s="1"/>
  <c r="AA773" i="1"/>
  <c r="AB773" i="1" s="1"/>
  <c r="AA790" i="1"/>
  <c r="AB790" i="1" s="1"/>
  <c r="AA782" i="1"/>
  <c r="AD782" i="1" s="1"/>
  <c r="AC778" i="1"/>
  <c r="AE778" i="1" s="1"/>
  <c r="AA774" i="1"/>
  <c r="AD774" i="1" s="1"/>
  <c r="AA794" i="1"/>
  <c r="AD794" i="1" s="1"/>
  <c r="AC808" i="1"/>
  <c r="AE808" i="1" s="1"/>
  <c r="AC804" i="1"/>
  <c r="AE804" i="1" s="1"/>
  <c r="J826" i="1"/>
  <c r="AA811" i="1"/>
  <c r="AB811" i="1" s="1"/>
  <c r="AA803" i="1"/>
  <c r="AB803" i="1" s="1"/>
  <c r="AC795" i="1"/>
  <c r="AE795" i="1" s="1"/>
  <c r="J838" i="1"/>
  <c r="AA807" i="1"/>
  <c r="AB807" i="1" s="1"/>
  <c r="AC791" i="1"/>
  <c r="AE791" i="1" s="1"/>
  <c r="AC783" i="1"/>
  <c r="AE783" i="1" s="1"/>
  <c r="AD852" i="1"/>
  <c r="AD841" i="1"/>
  <c r="AD827" i="1"/>
  <c r="AA808" i="1"/>
  <c r="AD808" i="1" s="1"/>
  <c r="AA804" i="1"/>
  <c r="AB804" i="1" s="1"/>
  <c r="AA800" i="1"/>
  <c r="AB800" i="1" s="1"/>
  <c r="AA796" i="1"/>
  <c r="AB796" i="1" s="1"/>
  <c r="AA792" i="1"/>
  <c r="AD792" i="1" s="1"/>
  <c r="AA788" i="1"/>
  <c r="AB788" i="1" s="1"/>
  <c r="AC784" i="1"/>
  <c r="AE784" i="1" s="1"/>
  <c r="AA780" i="1"/>
  <c r="AD780" i="1" s="1"/>
  <c r="AA776" i="1"/>
  <c r="AB776" i="1" s="1"/>
  <c r="AA772" i="1"/>
  <c r="AB772" i="1" s="1"/>
  <c r="J836" i="1"/>
  <c r="J820" i="1"/>
  <c r="AH831" i="1"/>
  <c r="AI831" i="1"/>
  <c r="AH815" i="1"/>
  <c r="AI815" i="1"/>
  <c r="AH830" i="1"/>
  <c r="AI830" i="1"/>
  <c r="AH814" i="1"/>
  <c r="AI814" i="1"/>
  <c r="AH833" i="1"/>
  <c r="AI833" i="1"/>
  <c r="AI813" i="1"/>
  <c r="AH813" i="1"/>
  <c r="J822" i="1"/>
  <c r="AH817" i="1"/>
  <c r="AI817" i="1"/>
  <c r="AH832" i="1"/>
  <c r="AI832" i="1"/>
  <c r="AI829" i="1"/>
  <c r="AH829" i="1"/>
  <c r="AH828" i="1"/>
  <c r="AI828" i="1"/>
  <c r="AH812" i="1"/>
  <c r="AI812" i="1"/>
  <c r="AI827" i="1"/>
  <c r="AH827" i="1"/>
  <c r="AI826" i="1"/>
  <c r="AH826" i="1"/>
  <c r="AH816" i="1"/>
  <c r="AI816" i="1"/>
  <c r="AI824" i="1"/>
  <c r="AH824" i="1"/>
  <c r="AI825" i="1"/>
  <c r="AH825" i="1"/>
  <c r="AI837" i="1"/>
  <c r="AI835" i="1"/>
  <c r="AI819" i="1"/>
  <c r="AC809" i="1"/>
  <c r="AE809" i="1" s="1"/>
  <c r="AA801" i="1"/>
  <c r="AC797" i="1"/>
  <c r="AE797" i="1" s="1"/>
  <c r="AH823" i="1"/>
  <c r="AI834" i="1"/>
  <c r="AI818" i="1"/>
  <c r="AB820" i="1"/>
  <c r="AD820" i="1"/>
  <c r="AI822" i="1"/>
  <c r="AH838" i="1"/>
  <c r="AB822" i="1"/>
  <c r="AD822" i="1"/>
  <c r="AI820" i="1"/>
  <c r="AD857" i="1"/>
  <c r="AB857" i="1"/>
  <c r="AA805" i="1"/>
  <c r="AB805" i="1" s="1"/>
  <c r="AH821" i="1"/>
  <c r="AC800" i="1"/>
  <c r="AE800" i="1" s="1"/>
  <c r="AA793" i="1"/>
  <c r="AA785" i="1"/>
  <c r="AC777" i="1"/>
  <c r="AE777" i="1" s="1"/>
  <c r="AH836" i="1"/>
  <c r="AC789" i="1"/>
  <c r="AE789" i="1" s="1"/>
  <c r="AC773" i="1"/>
  <c r="AE773" i="1" s="1"/>
  <c r="AC781" i="1"/>
  <c r="AE781" i="1" s="1"/>
  <c r="AC796" i="1"/>
  <c r="AE796" i="1" s="1"/>
  <c r="AC788" i="1"/>
  <c r="AE788" i="1" s="1"/>
  <c r="AC776" i="1"/>
  <c r="AE776" i="1" s="1"/>
  <c r="AC772" i="1"/>
  <c r="AE772" i="1" s="1"/>
  <c r="AA784" i="1"/>
  <c r="AD848" i="1"/>
  <c r="AB848" i="1"/>
  <c r="AC792" i="1"/>
  <c r="AE792" i="1" s="1"/>
  <c r="AC799" i="1"/>
  <c r="AE799" i="1" s="1"/>
  <c r="AC780" i="1"/>
  <c r="AE780" i="1" s="1"/>
  <c r="AR770" i="1"/>
  <c r="AT770" i="1" s="1"/>
  <c r="AR771" i="1"/>
  <c r="AT771" i="1" s="1"/>
  <c r="AR772" i="1"/>
  <c r="AT772" i="1" s="1"/>
  <c r="AR773" i="1"/>
  <c r="AT773" i="1" s="1"/>
  <c r="AR774" i="1"/>
  <c r="AT774" i="1" s="1"/>
  <c r="AR775" i="1"/>
  <c r="AT775" i="1" s="1"/>
  <c r="AR776" i="1"/>
  <c r="AT776" i="1" s="1"/>
  <c r="AR777" i="1"/>
  <c r="AT777" i="1" s="1"/>
  <c r="AR778" i="1"/>
  <c r="AT778" i="1" s="1"/>
  <c r="AR779" i="1"/>
  <c r="AT779" i="1" s="1"/>
  <c r="AR780" i="1"/>
  <c r="AT780" i="1" s="1"/>
  <c r="AR781" i="1"/>
  <c r="AT781" i="1" s="1"/>
  <c r="AR782" i="1"/>
  <c r="AT782" i="1" s="1"/>
  <c r="AR783" i="1"/>
  <c r="AT783" i="1" s="1"/>
  <c r="AR784" i="1"/>
  <c r="AT784" i="1" s="1"/>
  <c r="AR785" i="1"/>
  <c r="AT785" i="1" s="1"/>
  <c r="AR786" i="1"/>
  <c r="AT786" i="1" s="1"/>
  <c r="AR787" i="1"/>
  <c r="AT787" i="1" s="1"/>
  <c r="AR788" i="1"/>
  <c r="AT788" i="1" s="1"/>
  <c r="AR789" i="1"/>
  <c r="AT789" i="1" s="1"/>
  <c r="AR790" i="1"/>
  <c r="AT790" i="1" s="1"/>
  <c r="AR791" i="1"/>
  <c r="AT791" i="1" s="1"/>
  <c r="AR792" i="1"/>
  <c r="AT792" i="1" s="1"/>
  <c r="AR793" i="1"/>
  <c r="AT793" i="1" s="1"/>
  <c r="AR794" i="1"/>
  <c r="AT794" i="1" s="1"/>
  <c r="AR795" i="1"/>
  <c r="AT795" i="1" s="1"/>
  <c r="AR796" i="1"/>
  <c r="AT796" i="1" s="1"/>
  <c r="AR797" i="1"/>
  <c r="AT797" i="1" s="1"/>
  <c r="AR798" i="1"/>
  <c r="AT798" i="1" s="1"/>
  <c r="AR799" i="1"/>
  <c r="AT799" i="1" s="1"/>
  <c r="AR800" i="1"/>
  <c r="AT800" i="1" s="1"/>
  <c r="AR801" i="1"/>
  <c r="AT801" i="1" s="1"/>
  <c r="AR802" i="1"/>
  <c r="AT802" i="1" s="1"/>
  <c r="AR803" i="1"/>
  <c r="AT803" i="1" s="1"/>
  <c r="AR804" i="1"/>
  <c r="AT804" i="1" s="1"/>
  <c r="AR805" i="1"/>
  <c r="AT805" i="1" s="1"/>
  <c r="AR806" i="1"/>
  <c r="AT806" i="1" s="1"/>
  <c r="AR807" i="1"/>
  <c r="AT807" i="1" s="1"/>
  <c r="AR808" i="1"/>
  <c r="AT808" i="1" s="1"/>
  <c r="AR809" i="1"/>
  <c r="AT809" i="1" s="1"/>
  <c r="AR810" i="1"/>
  <c r="AT810" i="1" s="1"/>
  <c r="AR811" i="1"/>
  <c r="AT811" i="1" s="1"/>
  <c r="AQ770" i="1"/>
  <c r="AS770" i="1" s="1"/>
  <c r="AQ771" i="1"/>
  <c r="AS771" i="1" s="1"/>
  <c r="AQ772" i="1"/>
  <c r="AS772" i="1" s="1"/>
  <c r="AQ773" i="1"/>
  <c r="AS773" i="1" s="1"/>
  <c r="AI773" i="1" s="1"/>
  <c r="AQ774" i="1"/>
  <c r="AS774" i="1" s="1"/>
  <c r="AI774" i="1" s="1"/>
  <c r="AQ775" i="1"/>
  <c r="AS775" i="1" s="1"/>
  <c r="AQ776" i="1"/>
  <c r="AS776" i="1" s="1"/>
  <c r="AI776" i="1" s="1"/>
  <c r="AQ777" i="1"/>
  <c r="AS777" i="1" s="1"/>
  <c r="AQ778" i="1"/>
  <c r="AS778" i="1" s="1"/>
  <c r="AQ779" i="1"/>
  <c r="AS779" i="1" s="1"/>
  <c r="AH779" i="1" s="1"/>
  <c r="AQ780" i="1"/>
  <c r="AS780" i="1" s="1"/>
  <c r="AQ781" i="1"/>
  <c r="AS781" i="1" s="1"/>
  <c r="AQ782" i="1"/>
  <c r="AS782" i="1" s="1"/>
  <c r="AQ783" i="1"/>
  <c r="AS783" i="1" s="1"/>
  <c r="AQ784" i="1"/>
  <c r="AS784" i="1" s="1"/>
  <c r="AQ785" i="1"/>
  <c r="AS785" i="1" s="1"/>
  <c r="AH785" i="1" s="1"/>
  <c r="AQ786" i="1"/>
  <c r="AS786" i="1" s="1"/>
  <c r="AQ787" i="1"/>
  <c r="AS787" i="1" s="1"/>
  <c r="AQ788" i="1"/>
  <c r="AS788" i="1" s="1"/>
  <c r="AQ789" i="1"/>
  <c r="AS789" i="1" s="1"/>
  <c r="AI789" i="1" s="1"/>
  <c r="AQ790" i="1"/>
  <c r="AS790" i="1" s="1"/>
  <c r="AI790" i="1" s="1"/>
  <c r="AQ791" i="1"/>
  <c r="AS791" i="1" s="1"/>
  <c r="AQ792" i="1"/>
  <c r="AS792" i="1" s="1"/>
  <c r="AI792" i="1" s="1"/>
  <c r="AQ793" i="1"/>
  <c r="AS793" i="1" s="1"/>
  <c r="AQ794" i="1"/>
  <c r="AS794" i="1" s="1"/>
  <c r="AQ795" i="1"/>
  <c r="AS795" i="1" s="1"/>
  <c r="AH795" i="1" s="1"/>
  <c r="AQ796" i="1"/>
  <c r="AS796" i="1" s="1"/>
  <c r="AQ797" i="1"/>
  <c r="AS797" i="1" s="1"/>
  <c r="AQ798" i="1"/>
  <c r="AS798" i="1" s="1"/>
  <c r="AQ799" i="1"/>
  <c r="AS799" i="1" s="1"/>
  <c r="AQ800" i="1"/>
  <c r="AS800" i="1" s="1"/>
  <c r="AH800" i="1" s="1"/>
  <c r="AQ801" i="1"/>
  <c r="AS801" i="1" s="1"/>
  <c r="AH801" i="1" s="1"/>
  <c r="AQ802" i="1"/>
  <c r="AS802" i="1" s="1"/>
  <c r="AQ803" i="1"/>
  <c r="AS803" i="1" s="1"/>
  <c r="AQ804" i="1"/>
  <c r="AS804" i="1" s="1"/>
  <c r="AQ805" i="1"/>
  <c r="AS805" i="1" s="1"/>
  <c r="AQ806" i="1"/>
  <c r="AS806" i="1" s="1"/>
  <c r="AI806" i="1" s="1"/>
  <c r="AQ807" i="1"/>
  <c r="AS807" i="1" s="1"/>
  <c r="AQ808" i="1"/>
  <c r="AS808" i="1" s="1"/>
  <c r="AI808" i="1" s="1"/>
  <c r="AQ809" i="1"/>
  <c r="AS809" i="1" s="1"/>
  <c r="AQ810" i="1"/>
  <c r="AS810" i="1" s="1"/>
  <c r="AQ811" i="1"/>
  <c r="AS811" i="1" s="1"/>
  <c r="AH811" i="1" s="1"/>
  <c r="AP770" i="1"/>
  <c r="AP771" i="1"/>
  <c r="AP772" i="1"/>
  <c r="AP773" i="1"/>
  <c r="AP774" i="1"/>
  <c r="AP775" i="1"/>
  <c r="AP776" i="1"/>
  <c r="AP777" i="1"/>
  <c r="AP778" i="1"/>
  <c r="AP779" i="1"/>
  <c r="AP780" i="1"/>
  <c r="AP781" i="1"/>
  <c r="AP782" i="1"/>
  <c r="AP783" i="1"/>
  <c r="AP784" i="1"/>
  <c r="AP785" i="1"/>
  <c r="AP786" i="1"/>
  <c r="AP787" i="1"/>
  <c r="AP788" i="1"/>
  <c r="AP789" i="1"/>
  <c r="AP790" i="1"/>
  <c r="AP791" i="1"/>
  <c r="AP792" i="1"/>
  <c r="AP793" i="1"/>
  <c r="AP794" i="1"/>
  <c r="AP795" i="1"/>
  <c r="AP796" i="1"/>
  <c r="AP797" i="1"/>
  <c r="AP798" i="1"/>
  <c r="AP799" i="1"/>
  <c r="AP800" i="1"/>
  <c r="AP801" i="1"/>
  <c r="AP802" i="1"/>
  <c r="AP803" i="1"/>
  <c r="AP804" i="1"/>
  <c r="AP805" i="1"/>
  <c r="AP806" i="1"/>
  <c r="AP807" i="1"/>
  <c r="AP808" i="1"/>
  <c r="AP809" i="1"/>
  <c r="AP810" i="1"/>
  <c r="AP811"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N770" i="1"/>
  <c r="AN771" i="1"/>
  <c r="AN772" i="1"/>
  <c r="AN773" i="1"/>
  <c r="AN774" i="1"/>
  <c r="AN775" i="1"/>
  <c r="AN776" i="1"/>
  <c r="AN777" i="1"/>
  <c r="AN778" i="1"/>
  <c r="AN779" i="1"/>
  <c r="AN780" i="1"/>
  <c r="AN781" i="1"/>
  <c r="AN782" i="1"/>
  <c r="AN783" i="1"/>
  <c r="AN784" i="1"/>
  <c r="AN785" i="1"/>
  <c r="AN786" i="1"/>
  <c r="AN787" i="1"/>
  <c r="AN788" i="1"/>
  <c r="AN789" i="1"/>
  <c r="AN790" i="1"/>
  <c r="AN791" i="1"/>
  <c r="AN792" i="1"/>
  <c r="AN793" i="1"/>
  <c r="AN794" i="1"/>
  <c r="AN795" i="1"/>
  <c r="AN796" i="1"/>
  <c r="AN797" i="1"/>
  <c r="AN798" i="1"/>
  <c r="AN799" i="1"/>
  <c r="AN800" i="1"/>
  <c r="AN801" i="1"/>
  <c r="AN802" i="1"/>
  <c r="AN803" i="1"/>
  <c r="AN804" i="1"/>
  <c r="AN805" i="1"/>
  <c r="AN806" i="1"/>
  <c r="AN807" i="1"/>
  <c r="AN808" i="1"/>
  <c r="AN809" i="1"/>
  <c r="AN810" i="1"/>
  <c r="AN811"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I770" i="1" a="1"/>
  <c r="I770" i="1" s="1"/>
  <c r="I771" i="1" a="1"/>
  <c r="I771" i="1" s="1"/>
  <c r="I772" i="1" a="1"/>
  <c r="I772" i="1" s="1"/>
  <c r="I773" i="1" a="1"/>
  <c r="I773" i="1" s="1"/>
  <c r="I774" i="1" a="1"/>
  <c r="I774" i="1" s="1"/>
  <c r="I775" i="1" a="1"/>
  <c r="I775" i="1" s="1"/>
  <c r="I776" i="1" a="1"/>
  <c r="I776" i="1" s="1"/>
  <c r="I777" i="1" a="1"/>
  <c r="I777" i="1" s="1"/>
  <c r="I778" i="1" a="1"/>
  <c r="I778" i="1" s="1"/>
  <c r="I779" i="1" a="1"/>
  <c r="I779" i="1" s="1"/>
  <c r="I780" i="1" a="1"/>
  <c r="I780" i="1" s="1"/>
  <c r="I781" i="1" a="1"/>
  <c r="I781" i="1" s="1"/>
  <c r="I782" i="1" a="1"/>
  <c r="I782" i="1" s="1"/>
  <c r="I783" i="1" a="1"/>
  <c r="I783" i="1" s="1"/>
  <c r="I784" i="1" a="1"/>
  <c r="I784" i="1" s="1"/>
  <c r="I785" i="1" a="1"/>
  <c r="I785" i="1" s="1"/>
  <c r="I786" i="1" a="1"/>
  <c r="I786" i="1" s="1"/>
  <c r="I787" i="1" a="1"/>
  <c r="I787" i="1" s="1"/>
  <c r="I788" i="1" a="1"/>
  <c r="I788" i="1" s="1"/>
  <c r="I789" i="1" a="1"/>
  <c r="I789" i="1" s="1"/>
  <c r="I790" i="1" a="1"/>
  <c r="I790" i="1" s="1"/>
  <c r="I791" i="1" a="1"/>
  <c r="I791" i="1" s="1"/>
  <c r="I792" i="1" a="1"/>
  <c r="I792" i="1" s="1"/>
  <c r="I793" i="1" a="1"/>
  <c r="I793" i="1" s="1"/>
  <c r="I794" i="1" a="1"/>
  <c r="I794" i="1" s="1"/>
  <c r="I795" i="1" a="1"/>
  <c r="I795" i="1" s="1"/>
  <c r="I796" i="1" a="1"/>
  <c r="I796" i="1" s="1"/>
  <c r="I797" i="1" a="1"/>
  <c r="I797" i="1" s="1"/>
  <c r="I798" i="1" a="1"/>
  <c r="I798" i="1" s="1"/>
  <c r="I799" i="1" a="1"/>
  <c r="I799" i="1" s="1"/>
  <c r="I800" i="1" a="1"/>
  <c r="I800" i="1" s="1"/>
  <c r="I801" i="1" a="1"/>
  <c r="I801" i="1" s="1"/>
  <c r="I802" i="1" a="1"/>
  <c r="I802" i="1" s="1"/>
  <c r="I803" i="1" a="1"/>
  <c r="I803" i="1" s="1"/>
  <c r="I804" i="1" a="1"/>
  <c r="I804" i="1" s="1"/>
  <c r="I805" i="1" a="1"/>
  <c r="I805" i="1" s="1"/>
  <c r="I806" i="1" a="1"/>
  <c r="I806" i="1" s="1"/>
  <c r="I807" i="1" a="1"/>
  <c r="I807" i="1" s="1"/>
  <c r="I808" i="1" a="1"/>
  <c r="I808" i="1" s="1"/>
  <c r="I809" i="1" a="1"/>
  <c r="I809" i="1" s="1"/>
  <c r="I810" i="1" a="1"/>
  <c r="I810" i="1" s="1"/>
  <c r="I811" i="1" a="1"/>
  <c r="I811" i="1" s="1"/>
  <c r="H770" i="1" a="1"/>
  <c r="H770" i="1" s="1"/>
  <c r="H771" i="1" a="1"/>
  <c r="H771" i="1" s="1"/>
  <c r="H772" i="1" a="1"/>
  <c r="H772" i="1" s="1"/>
  <c r="H773" i="1" a="1"/>
  <c r="H773" i="1" s="1"/>
  <c r="H774" i="1" a="1"/>
  <c r="H774" i="1" s="1"/>
  <c r="H775" i="1" a="1"/>
  <c r="H775" i="1" s="1"/>
  <c r="H776" i="1" a="1"/>
  <c r="H776" i="1" s="1"/>
  <c r="H777" i="1" a="1"/>
  <c r="H777" i="1" s="1"/>
  <c r="H778" i="1" a="1"/>
  <c r="H778" i="1" s="1"/>
  <c r="J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J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O721" i="1"/>
  <c r="P721" i="1"/>
  <c r="Q721" i="1"/>
  <c r="R721" i="1"/>
  <c r="S721" i="1"/>
  <c r="T721" i="1"/>
  <c r="U721" i="1"/>
  <c r="V721" i="1"/>
  <c r="W721" i="1"/>
  <c r="X721" i="1"/>
  <c r="Y721" i="1"/>
  <c r="Z721" i="1"/>
  <c r="O722" i="1"/>
  <c r="P722" i="1"/>
  <c r="Q722" i="1"/>
  <c r="R722" i="1"/>
  <c r="S722" i="1"/>
  <c r="T722" i="1"/>
  <c r="U722" i="1"/>
  <c r="V722" i="1"/>
  <c r="W722" i="1"/>
  <c r="X722" i="1"/>
  <c r="Y722" i="1"/>
  <c r="Z722" i="1"/>
  <c r="O723" i="1"/>
  <c r="P723" i="1"/>
  <c r="Q723" i="1"/>
  <c r="R723" i="1"/>
  <c r="S723" i="1"/>
  <c r="T723" i="1"/>
  <c r="U723" i="1"/>
  <c r="V723" i="1"/>
  <c r="W723" i="1"/>
  <c r="X723" i="1"/>
  <c r="Y723" i="1"/>
  <c r="Z723" i="1"/>
  <c r="O724" i="1"/>
  <c r="P724" i="1"/>
  <c r="Q724" i="1"/>
  <c r="R724" i="1"/>
  <c r="S724" i="1"/>
  <c r="T724" i="1"/>
  <c r="U724" i="1"/>
  <c r="V724" i="1"/>
  <c r="W724" i="1"/>
  <c r="X724" i="1"/>
  <c r="Y724" i="1"/>
  <c r="Z724" i="1"/>
  <c r="O725" i="1"/>
  <c r="P725" i="1"/>
  <c r="Q725" i="1"/>
  <c r="R725" i="1"/>
  <c r="S725" i="1"/>
  <c r="T725" i="1"/>
  <c r="U725" i="1"/>
  <c r="V725" i="1"/>
  <c r="W725" i="1"/>
  <c r="X725" i="1"/>
  <c r="Y725" i="1"/>
  <c r="Z725" i="1"/>
  <c r="O726" i="1"/>
  <c r="P726" i="1"/>
  <c r="Q726" i="1"/>
  <c r="R726" i="1"/>
  <c r="S726" i="1"/>
  <c r="T726" i="1"/>
  <c r="U726" i="1"/>
  <c r="V726" i="1"/>
  <c r="W726" i="1"/>
  <c r="X726" i="1"/>
  <c r="Y726" i="1"/>
  <c r="Z726" i="1"/>
  <c r="O727" i="1"/>
  <c r="P727" i="1"/>
  <c r="Q727" i="1"/>
  <c r="R727" i="1"/>
  <c r="S727" i="1"/>
  <c r="T727" i="1"/>
  <c r="U727" i="1"/>
  <c r="V727" i="1"/>
  <c r="W727" i="1"/>
  <c r="X727" i="1"/>
  <c r="Y727" i="1"/>
  <c r="Z727" i="1"/>
  <c r="O728" i="1"/>
  <c r="P728" i="1"/>
  <c r="Q728" i="1"/>
  <c r="R728" i="1"/>
  <c r="S728" i="1"/>
  <c r="T728" i="1"/>
  <c r="U728" i="1"/>
  <c r="V728" i="1"/>
  <c r="W728" i="1"/>
  <c r="X728" i="1"/>
  <c r="Y728" i="1"/>
  <c r="Z728" i="1"/>
  <c r="O729" i="1"/>
  <c r="P729" i="1"/>
  <c r="Q729" i="1"/>
  <c r="R729" i="1"/>
  <c r="S729" i="1"/>
  <c r="T729" i="1"/>
  <c r="U729" i="1"/>
  <c r="V729" i="1"/>
  <c r="W729" i="1"/>
  <c r="X729" i="1"/>
  <c r="Y729" i="1"/>
  <c r="Z729" i="1"/>
  <c r="O730" i="1"/>
  <c r="P730" i="1"/>
  <c r="Q730" i="1"/>
  <c r="R730" i="1"/>
  <c r="S730" i="1"/>
  <c r="T730" i="1"/>
  <c r="U730" i="1"/>
  <c r="V730" i="1"/>
  <c r="W730" i="1"/>
  <c r="X730" i="1"/>
  <c r="Y730" i="1"/>
  <c r="Z730" i="1"/>
  <c r="O731" i="1"/>
  <c r="P731" i="1"/>
  <c r="Q731" i="1"/>
  <c r="R731" i="1"/>
  <c r="S731" i="1"/>
  <c r="T731" i="1"/>
  <c r="U731" i="1"/>
  <c r="V731" i="1"/>
  <c r="W731" i="1"/>
  <c r="X731" i="1"/>
  <c r="Y731" i="1"/>
  <c r="Z731" i="1"/>
  <c r="O732" i="1"/>
  <c r="P732" i="1"/>
  <c r="Q732" i="1"/>
  <c r="R732" i="1"/>
  <c r="S732" i="1"/>
  <c r="T732" i="1"/>
  <c r="U732" i="1"/>
  <c r="V732" i="1"/>
  <c r="W732" i="1"/>
  <c r="X732" i="1"/>
  <c r="Y732" i="1"/>
  <c r="Z732" i="1"/>
  <c r="O733" i="1"/>
  <c r="P733" i="1"/>
  <c r="Q733" i="1"/>
  <c r="R733" i="1"/>
  <c r="S733" i="1"/>
  <c r="T733" i="1"/>
  <c r="U733" i="1"/>
  <c r="V733" i="1"/>
  <c r="W733" i="1"/>
  <c r="X733" i="1"/>
  <c r="Y733" i="1"/>
  <c r="Z733" i="1"/>
  <c r="O734" i="1"/>
  <c r="P734" i="1"/>
  <c r="Q734" i="1"/>
  <c r="R734" i="1"/>
  <c r="S734" i="1"/>
  <c r="T734" i="1"/>
  <c r="U734" i="1"/>
  <c r="V734" i="1"/>
  <c r="W734" i="1"/>
  <c r="X734" i="1"/>
  <c r="Y734" i="1"/>
  <c r="Z734" i="1"/>
  <c r="O735" i="1"/>
  <c r="P735" i="1"/>
  <c r="Q735" i="1"/>
  <c r="R735" i="1"/>
  <c r="S735" i="1"/>
  <c r="T735" i="1"/>
  <c r="U735" i="1"/>
  <c r="V735" i="1"/>
  <c r="W735" i="1"/>
  <c r="X735" i="1"/>
  <c r="Y735" i="1"/>
  <c r="Z735" i="1"/>
  <c r="O736" i="1"/>
  <c r="P736" i="1"/>
  <c r="Q736" i="1"/>
  <c r="R736" i="1"/>
  <c r="S736" i="1"/>
  <c r="T736" i="1"/>
  <c r="U736" i="1"/>
  <c r="V736" i="1"/>
  <c r="W736" i="1"/>
  <c r="X736" i="1"/>
  <c r="Y736" i="1"/>
  <c r="Z736" i="1"/>
  <c r="O737" i="1"/>
  <c r="P737" i="1"/>
  <c r="Q737" i="1"/>
  <c r="R737" i="1"/>
  <c r="S737" i="1"/>
  <c r="T737" i="1"/>
  <c r="U737" i="1"/>
  <c r="V737" i="1"/>
  <c r="W737" i="1"/>
  <c r="X737" i="1"/>
  <c r="Y737" i="1"/>
  <c r="Z737" i="1"/>
  <c r="O738" i="1"/>
  <c r="P738" i="1"/>
  <c r="Q738" i="1"/>
  <c r="R738" i="1"/>
  <c r="S738" i="1"/>
  <c r="T738" i="1"/>
  <c r="U738" i="1"/>
  <c r="V738" i="1"/>
  <c r="W738" i="1"/>
  <c r="X738" i="1"/>
  <c r="Y738" i="1"/>
  <c r="Z738" i="1"/>
  <c r="O739" i="1"/>
  <c r="P739" i="1"/>
  <c r="Q739" i="1"/>
  <c r="R739" i="1"/>
  <c r="S739" i="1"/>
  <c r="T739" i="1"/>
  <c r="U739" i="1"/>
  <c r="V739" i="1"/>
  <c r="W739" i="1"/>
  <c r="X739" i="1"/>
  <c r="Y739" i="1"/>
  <c r="Z739" i="1"/>
  <c r="O740" i="1"/>
  <c r="P740" i="1"/>
  <c r="Q740" i="1"/>
  <c r="R740" i="1"/>
  <c r="S740" i="1"/>
  <c r="T740" i="1"/>
  <c r="U740" i="1"/>
  <c r="V740" i="1"/>
  <c r="W740" i="1"/>
  <c r="X740" i="1"/>
  <c r="Y740" i="1"/>
  <c r="Z740" i="1"/>
  <c r="O741" i="1"/>
  <c r="P741" i="1"/>
  <c r="Q741" i="1"/>
  <c r="R741" i="1"/>
  <c r="S741" i="1"/>
  <c r="T741" i="1"/>
  <c r="U741" i="1"/>
  <c r="V741" i="1"/>
  <c r="W741" i="1"/>
  <c r="X741" i="1"/>
  <c r="Y741" i="1"/>
  <c r="Z741" i="1"/>
  <c r="O742" i="1"/>
  <c r="P742" i="1"/>
  <c r="Q742" i="1"/>
  <c r="R742" i="1"/>
  <c r="S742" i="1"/>
  <c r="T742" i="1"/>
  <c r="U742" i="1"/>
  <c r="V742" i="1"/>
  <c r="W742" i="1"/>
  <c r="X742" i="1"/>
  <c r="Y742" i="1"/>
  <c r="Z742" i="1"/>
  <c r="O743" i="1"/>
  <c r="P743" i="1"/>
  <c r="Q743" i="1"/>
  <c r="R743" i="1"/>
  <c r="S743" i="1"/>
  <c r="T743" i="1"/>
  <c r="U743" i="1"/>
  <c r="V743" i="1"/>
  <c r="W743" i="1"/>
  <c r="X743" i="1"/>
  <c r="Y743" i="1"/>
  <c r="Z743" i="1"/>
  <c r="O744" i="1"/>
  <c r="P744" i="1"/>
  <c r="Q744" i="1"/>
  <c r="R744" i="1"/>
  <c r="S744" i="1"/>
  <c r="T744" i="1"/>
  <c r="U744" i="1"/>
  <c r="V744" i="1"/>
  <c r="W744" i="1"/>
  <c r="X744" i="1"/>
  <c r="Y744" i="1"/>
  <c r="Z744" i="1"/>
  <c r="O745" i="1"/>
  <c r="P745" i="1"/>
  <c r="Q745" i="1"/>
  <c r="R745" i="1"/>
  <c r="S745" i="1"/>
  <c r="T745" i="1"/>
  <c r="U745" i="1"/>
  <c r="V745" i="1"/>
  <c r="W745" i="1"/>
  <c r="X745" i="1"/>
  <c r="Y745" i="1"/>
  <c r="Z745" i="1"/>
  <c r="O746" i="1"/>
  <c r="P746" i="1"/>
  <c r="Q746" i="1"/>
  <c r="R746" i="1"/>
  <c r="S746" i="1"/>
  <c r="T746" i="1"/>
  <c r="U746" i="1"/>
  <c r="V746" i="1"/>
  <c r="W746" i="1"/>
  <c r="X746" i="1"/>
  <c r="Y746" i="1"/>
  <c r="Z746" i="1"/>
  <c r="O747" i="1"/>
  <c r="P747" i="1"/>
  <c r="Q747" i="1"/>
  <c r="R747" i="1"/>
  <c r="S747" i="1"/>
  <c r="T747" i="1"/>
  <c r="U747" i="1"/>
  <c r="V747" i="1"/>
  <c r="W747" i="1"/>
  <c r="X747" i="1"/>
  <c r="Y747" i="1"/>
  <c r="Z747" i="1"/>
  <c r="O748" i="1"/>
  <c r="P748" i="1"/>
  <c r="Q748" i="1"/>
  <c r="R748" i="1"/>
  <c r="S748" i="1"/>
  <c r="T748" i="1"/>
  <c r="U748" i="1"/>
  <c r="V748" i="1"/>
  <c r="W748" i="1"/>
  <c r="X748" i="1"/>
  <c r="Y748" i="1"/>
  <c r="Z748" i="1"/>
  <c r="O749" i="1"/>
  <c r="P749" i="1"/>
  <c r="Q749" i="1"/>
  <c r="R749" i="1"/>
  <c r="S749" i="1"/>
  <c r="T749" i="1"/>
  <c r="U749" i="1"/>
  <c r="V749" i="1"/>
  <c r="W749" i="1"/>
  <c r="X749" i="1"/>
  <c r="Y749" i="1"/>
  <c r="Z749" i="1"/>
  <c r="O750" i="1"/>
  <c r="P750" i="1"/>
  <c r="Q750" i="1"/>
  <c r="R750" i="1"/>
  <c r="S750" i="1"/>
  <c r="T750" i="1"/>
  <c r="U750" i="1"/>
  <c r="V750" i="1"/>
  <c r="W750" i="1"/>
  <c r="X750" i="1"/>
  <c r="Y750" i="1"/>
  <c r="Z750" i="1"/>
  <c r="O751" i="1"/>
  <c r="P751" i="1"/>
  <c r="Q751" i="1"/>
  <c r="R751" i="1"/>
  <c r="S751" i="1"/>
  <c r="T751" i="1"/>
  <c r="U751" i="1"/>
  <c r="V751" i="1"/>
  <c r="W751" i="1"/>
  <c r="X751" i="1"/>
  <c r="Y751" i="1"/>
  <c r="Z751" i="1"/>
  <c r="O752" i="1"/>
  <c r="P752" i="1"/>
  <c r="Q752" i="1"/>
  <c r="R752" i="1"/>
  <c r="S752" i="1"/>
  <c r="T752" i="1"/>
  <c r="U752" i="1"/>
  <c r="V752" i="1"/>
  <c r="W752" i="1"/>
  <c r="X752" i="1"/>
  <c r="Y752" i="1"/>
  <c r="Z752" i="1"/>
  <c r="O753" i="1"/>
  <c r="P753" i="1"/>
  <c r="Q753" i="1"/>
  <c r="R753" i="1"/>
  <c r="S753" i="1"/>
  <c r="T753" i="1"/>
  <c r="U753" i="1"/>
  <c r="V753" i="1"/>
  <c r="W753" i="1"/>
  <c r="X753" i="1"/>
  <c r="Y753" i="1"/>
  <c r="Z753" i="1"/>
  <c r="O754" i="1"/>
  <c r="P754" i="1"/>
  <c r="Q754" i="1"/>
  <c r="R754" i="1"/>
  <c r="S754" i="1"/>
  <c r="T754" i="1"/>
  <c r="U754" i="1"/>
  <c r="V754" i="1"/>
  <c r="W754" i="1"/>
  <c r="X754" i="1"/>
  <c r="Y754" i="1"/>
  <c r="Z754" i="1"/>
  <c r="O755" i="1"/>
  <c r="P755" i="1"/>
  <c r="Q755" i="1"/>
  <c r="R755" i="1"/>
  <c r="S755" i="1"/>
  <c r="T755" i="1"/>
  <c r="U755" i="1"/>
  <c r="V755" i="1"/>
  <c r="W755" i="1"/>
  <c r="X755" i="1"/>
  <c r="Y755" i="1"/>
  <c r="Z755" i="1"/>
  <c r="O756" i="1"/>
  <c r="P756" i="1"/>
  <c r="Q756" i="1"/>
  <c r="R756" i="1"/>
  <c r="S756" i="1"/>
  <c r="T756" i="1"/>
  <c r="U756" i="1"/>
  <c r="V756" i="1"/>
  <c r="W756" i="1"/>
  <c r="X756" i="1"/>
  <c r="Y756" i="1"/>
  <c r="Z756" i="1"/>
  <c r="O757" i="1"/>
  <c r="P757" i="1"/>
  <c r="Q757" i="1"/>
  <c r="R757" i="1"/>
  <c r="S757" i="1"/>
  <c r="T757" i="1"/>
  <c r="U757" i="1"/>
  <c r="V757" i="1"/>
  <c r="W757" i="1"/>
  <c r="X757" i="1"/>
  <c r="Y757" i="1"/>
  <c r="Z757" i="1"/>
  <c r="O758" i="1"/>
  <c r="P758" i="1"/>
  <c r="Q758" i="1"/>
  <c r="R758" i="1"/>
  <c r="S758" i="1"/>
  <c r="T758" i="1"/>
  <c r="U758" i="1"/>
  <c r="V758" i="1"/>
  <c r="W758" i="1"/>
  <c r="X758" i="1"/>
  <c r="Y758" i="1"/>
  <c r="Z758" i="1"/>
  <c r="O759" i="1"/>
  <c r="P759" i="1"/>
  <c r="Q759" i="1"/>
  <c r="R759" i="1"/>
  <c r="S759" i="1"/>
  <c r="T759" i="1"/>
  <c r="U759" i="1"/>
  <c r="V759" i="1"/>
  <c r="W759" i="1"/>
  <c r="X759" i="1"/>
  <c r="Y759" i="1"/>
  <c r="Z759" i="1"/>
  <c r="O760" i="1"/>
  <c r="P760" i="1"/>
  <c r="Q760" i="1"/>
  <c r="R760" i="1"/>
  <c r="S760" i="1"/>
  <c r="T760" i="1"/>
  <c r="U760" i="1"/>
  <c r="V760" i="1"/>
  <c r="W760" i="1"/>
  <c r="X760" i="1"/>
  <c r="Y760" i="1"/>
  <c r="Z760" i="1"/>
  <c r="O761" i="1"/>
  <c r="P761" i="1"/>
  <c r="Q761" i="1"/>
  <c r="R761" i="1"/>
  <c r="S761" i="1"/>
  <c r="T761" i="1"/>
  <c r="U761" i="1"/>
  <c r="V761" i="1"/>
  <c r="W761" i="1"/>
  <c r="X761" i="1"/>
  <c r="Y761" i="1"/>
  <c r="Z761" i="1"/>
  <c r="O762" i="1"/>
  <c r="P762" i="1"/>
  <c r="Q762" i="1"/>
  <c r="R762" i="1"/>
  <c r="S762" i="1"/>
  <c r="T762" i="1"/>
  <c r="U762" i="1"/>
  <c r="V762" i="1"/>
  <c r="W762" i="1"/>
  <c r="X762" i="1"/>
  <c r="Y762" i="1"/>
  <c r="Z762" i="1"/>
  <c r="O763" i="1"/>
  <c r="P763" i="1"/>
  <c r="Q763" i="1"/>
  <c r="R763" i="1"/>
  <c r="S763" i="1"/>
  <c r="T763" i="1"/>
  <c r="U763" i="1"/>
  <c r="V763" i="1"/>
  <c r="W763" i="1"/>
  <c r="X763" i="1"/>
  <c r="Y763" i="1"/>
  <c r="Z763" i="1"/>
  <c r="O764" i="1"/>
  <c r="P764" i="1"/>
  <c r="Q764" i="1"/>
  <c r="R764" i="1"/>
  <c r="S764" i="1"/>
  <c r="T764" i="1"/>
  <c r="U764" i="1"/>
  <c r="V764" i="1"/>
  <c r="W764" i="1"/>
  <c r="X764" i="1"/>
  <c r="Y764" i="1"/>
  <c r="Z764" i="1"/>
  <c r="O765" i="1"/>
  <c r="P765" i="1"/>
  <c r="Q765" i="1"/>
  <c r="R765" i="1"/>
  <c r="S765" i="1"/>
  <c r="T765" i="1"/>
  <c r="U765" i="1"/>
  <c r="V765" i="1"/>
  <c r="W765" i="1"/>
  <c r="X765" i="1"/>
  <c r="Y765" i="1"/>
  <c r="Z765" i="1"/>
  <c r="O766" i="1"/>
  <c r="P766" i="1"/>
  <c r="Q766" i="1"/>
  <c r="R766" i="1"/>
  <c r="S766" i="1"/>
  <c r="T766" i="1"/>
  <c r="U766" i="1"/>
  <c r="V766" i="1"/>
  <c r="W766" i="1"/>
  <c r="X766" i="1"/>
  <c r="Y766" i="1"/>
  <c r="Z766" i="1"/>
  <c r="O767" i="1"/>
  <c r="P767" i="1"/>
  <c r="Q767" i="1"/>
  <c r="R767" i="1"/>
  <c r="S767" i="1"/>
  <c r="T767" i="1"/>
  <c r="U767" i="1"/>
  <c r="V767" i="1"/>
  <c r="W767" i="1"/>
  <c r="X767" i="1"/>
  <c r="Y767" i="1"/>
  <c r="Z767" i="1"/>
  <c r="O768" i="1"/>
  <c r="P768" i="1"/>
  <c r="Q768" i="1"/>
  <c r="R768" i="1"/>
  <c r="S768" i="1"/>
  <c r="T768" i="1"/>
  <c r="U768" i="1"/>
  <c r="V768" i="1"/>
  <c r="W768" i="1"/>
  <c r="X768" i="1"/>
  <c r="Y768" i="1"/>
  <c r="Z768" i="1"/>
  <c r="O769" i="1"/>
  <c r="P769" i="1"/>
  <c r="Q769" i="1"/>
  <c r="R769" i="1"/>
  <c r="S769" i="1"/>
  <c r="T769" i="1"/>
  <c r="U769" i="1"/>
  <c r="V769" i="1"/>
  <c r="W769" i="1"/>
  <c r="X769" i="1"/>
  <c r="Y769" i="1"/>
  <c r="Z769" i="1"/>
  <c r="Z720" i="1"/>
  <c r="Y720" i="1"/>
  <c r="X720" i="1"/>
  <c r="W720" i="1"/>
  <c r="V720" i="1"/>
  <c r="U720" i="1"/>
  <c r="T720" i="1"/>
  <c r="S720" i="1"/>
  <c r="R720" i="1"/>
  <c r="Q720" i="1"/>
  <c r="P720" i="1"/>
  <c r="O720"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N3"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755" i="1"/>
  <c r="AN756" i="1"/>
  <c r="AN757" i="1"/>
  <c r="AN758" i="1"/>
  <c r="AN759" i="1"/>
  <c r="AN760" i="1"/>
  <c r="AN761" i="1"/>
  <c r="AN762" i="1"/>
  <c r="AN763" i="1"/>
  <c r="AN764" i="1"/>
  <c r="AN765" i="1"/>
  <c r="AN766" i="1"/>
  <c r="AN767" i="1"/>
  <c r="AN768" i="1"/>
  <c r="AN769" i="1"/>
  <c r="AO3" i="1"/>
  <c r="AO4"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633" i="1"/>
  <c r="AP634" i="1"/>
  <c r="AP635" i="1"/>
  <c r="AP636" i="1"/>
  <c r="AP637" i="1"/>
  <c r="AP638" i="1"/>
  <c r="AP639" i="1"/>
  <c r="AP640" i="1"/>
  <c r="AP641" i="1"/>
  <c r="AP642" i="1"/>
  <c r="AP643" i="1"/>
  <c r="AP644" i="1"/>
  <c r="AP645" i="1"/>
  <c r="AP646" i="1"/>
  <c r="AP647" i="1"/>
  <c r="AP648" i="1"/>
  <c r="AP649" i="1"/>
  <c r="AP650" i="1"/>
  <c r="AP651" i="1"/>
  <c r="AP652" i="1"/>
  <c r="AP653" i="1"/>
  <c r="AP654" i="1"/>
  <c r="AP655" i="1"/>
  <c r="AP656" i="1"/>
  <c r="AP657" i="1"/>
  <c r="AP658" i="1"/>
  <c r="AP659" i="1"/>
  <c r="AP660" i="1"/>
  <c r="AP661" i="1"/>
  <c r="AP662" i="1"/>
  <c r="AP663" i="1"/>
  <c r="AP664" i="1"/>
  <c r="AP665" i="1"/>
  <c r="AP666" i="1"/>
  <c r="AP667" i="1"/>
  <c r="AP668" i="1"/>
  <c r="AP669" i="1"/>
  <c r="AP670" i="1"/>
  <c r="AP671" i="1"/>
  <c r="AP672" i="1"/>
  <c r="AP673" i="1"/>
  <c r="AP674" i="1"/>
  <c r="AP675" i="1"/>
  <c r="AP676" i="1"/>
  <c r="AP677" i="1"/>
  <c r="AP678" i="1"/>
  <c r="AP679" i="1"/>
  <c r="AP680" i="1"/>
  <c r="AP681" i="1"/>
  <c r="AP682" i="1"/>
  <c r="AP683" i="1"/>
  <c r="AP684" i="1"/>
  <c r="AP685" i="1"/>
  <c r="AP686" i="1"/>
  <c r="AP687" i="1"/>
  <c r="AP688" i="1"/>
  <c r="AP689" i="1"/>
  <c r="AP690" i="1"/>
  <c r="AP691" i="1"/>
  <c r="AP692" i="1"/>
  <c r="AP693" i="1"/>
  <c r="AP694" i="1"/>
  <c r="AP695" i="1"/>
  <c r="AP696" i="1"/>
  <c r="AP697" i="1"/>
  <c r="AP698" i="1"/>
  <c r="AP699" i="1"/>
  <c r="AP700" i="1"/>
  <c r="AP701" i="1"/>
  <c r="AP702" i="1"/>
  <c r="AP703" i="1"/>
  <c r="AP704" i="1"/>
  <c r="AP705" i="1"/>
  <c r="AP706" i="1"/>
  <c r="AP707" i="1"/>
  <c r="AP708" i="1"/>
  <c r="AP709" i="1"/>
  <c r="AP710" i="1"/>
  <c r="AP711" i="1"/>
  <c r="AP712" i="1"/>
  <c r="AP713" i="1"/>
  <c r="AP714" i="1"/>
  <c r="AP715" i="1"/>
  <c r="AP716" i="1"/>
  <c r="AP717" i="1"/>
  <c r="AP718" i="1"/>
  <c r="AP719" i="1"/>
  <c r="AP720" i="1"/>
  <c r="AP721" i="1"/>
  <c r="AP722" i="1"/>
  <c r="AP723" i="1"/>
  <c r="AP724" i="1"/>
  <c r="AP725" i="1"/>
  <c r="AP726" i="1"/>
  <c r="AP727" i="1"/>
  <c r="AP728" i="1"/>
  <c r="AP729" i="1"/>
  <c r="AP730" i="1"/>
  <c r="AP731" i="1"/>
  <c r="AP732" i="1"/>
  <c r="AP733" i="1"/>
  <c r="AP734" i="1"/>
  <c r="AP735" i="1"/>
  <c r="AP736" i="1"/>
  <c r="AP737" i="1"/>
  <c r="AP738" i="1"/>
  <c r="AP739" i="1"/>
  <c r="AP740" i="1"/>
  <c r="AP741" i="1"/>
  <c r="AP742" i="1"/>
  <c r="AP743" i="1"/>
  <c r="AP744" i="1"/>
  <c r="AP745" i="1"/>
  <c r="AP746" i="1"/>
  <c r="AP747" i="1"/>
  <c r="AP748" i="1"/>
  <c r="AP749" i="1"/>
  <c r="AP750" i="1"/>
  <c r="AP751" i="1"/>
  <c r="AP752" i="1"/>
  <c r="AP753" i="1"/>
  <c r="AP754" i="1"/>
  <c r="AP755" i="1"/>
  <c r="AP756" i="1"/>
  <c r="AP757" i="1"/>
  <c r="AP758" i="1"/>
  <c r="AP759" i="1"/>
  <c r="AP760" i="1"/>
  <c r="AP761" i="1"/>
  <c r="AP762" i="1"/>
  <c r="AP763" i="1"/>
  <c r="AP764" i="1"/>
  <c r="AP765" i="1"/>
  <c r="AP766" i="1"/>
  <c r="AP767" i="1"/>
  <c r="AP768" i="1"/>
  <c r="AP769" i="1"/>
  <c r="AQ3" i="1"/>
  <c r="AS3" i="1" s="1"/>
  <c r="AQ4" i="1"/>
  <c r="AS4" i="1" s="1"/>
  <c r="AQ5" i="1"/>
  <c r="AS5" i="1" s="1"/>
  <c r="AQ6" i="1"/>
  <c r="AS6" i="1" s="1"/>
  <c r="AQ7" i="1"/>
  <c r="AS7" i="1" s="1"/>
  <c r="AQ8" i="1"/>
  <c r="AS8" i="1" s="1"/>
  <c r="AQ9" i="1"/>
  <c r="AS9" i="1" s="1"/>
  <c r="AQ10" i="1"/>
  <c r="AS10" i="1" s="1"/>
  <c r="AQ11" i="1"/>
  <c r="AS11" i="1" s="1"/>
  <c r="AQ12" i="1"/>
  <c r="AS12" i="1" s="1"/>
  <c r="AQ13" i="1"/>
  <c r="AS13" i="1" s="1"/>
  <c r="AQ14" i="1"/>
  <c r="AS14" i="1" s="1"/>
  <c r="AQ15" i="1"/>
  <c r="AS15" i="1" s="1"/>
  <c r="AQ16" i="1"/>
  <c r="AS16" i="1" s="1"/>
  <c r="AQ17" i="1"/>
  <c r="AS17" i="1" s="1"/>
  <c r="AQ18" i="1"/>
  <c r="AS18" i="1" s="1"/>
  <c r="AQ19" i="1"/>
  <c r="AS19" i="1" s="1"/>
  <c r="AQ20" i="1"/>
  <c r="AS20" i="1" s="1"/>
  <c r="AQ21" i="1"/>
  <c r="AS21" i="1" s="1"/>
  <c r="AQ22" i="1"/>
  <c r="AS22" i="1" s="1"/>
  <c r="AQ23" i="1"/>
  <c r="AS23" i="1" s="1"/>
  <c r="AQ24" i="1"/>
  <c r="AS24" i="1" s="1"/>
  <c r="AQ25" i="1"/>
  <c r="AS25" i="1" s="1"/>
  <c r="AQ26" i="1"/>
  <c r="AS26" i="1" s="1"/>
  <c r="AQ27" i="1"/>
  <c r="AS27" i="1" s="1"/>
  <c r="AQ28" i="1"/>
  <c r="AS28" i="1" s="1"/>
  <c r="AQ29" i="1"/>
  <c r="AS29" i="1" s="1"/>
  <c r="AQ30" i="1"/>
  <c r="AS30" i="1" s="1"/>
  <c r="AQ31" i="1"/>
  <c r="AS31" i="1" s="1"/>
  <c r="AQ32" i="1"/>
  <c r="AS32" i="1" s="1"/>
  <c r="AQ33" i="1"/>
  <c r="AS33" i="1" s="1"/>
  <c r="AQ34" i="1"/>
  <c r="AS34" i="1" s="1"/>
  <c r="AQ35" i="1"/>
  <c r="AS35" i="1" s="1"/>
  <c r="AQ36" i="1"/>
  <c r="AS36" i="1" s="1"/>
  <c r="AQ37" i="1"/>
  <c r="AS37" i="1" s="1"/>
  <c r="AQ38" i="1"/>
  <c r="AS38" i="1" s="1"/>
  <c r="AQ39" i="1"/>
  <c r="AS39" i="1" s="1"/>
  <c r="AQ40" i="1"/>
  <c r="AS40" i="1" s="1"/>
  <c r="AQ41" i="1"/>
  <c r="AS41" i="1" s="1"/>
  <c r="AQ42" i="1"/>
  <c r="AS42" i="1" s="1"/>
  <c r="AQ43" i="1"/>
  <c r="AS43" i="1" s="1"/>
  <c r="AQ44" i="1"/>
  <c r="AS44" i="1" s="1"/>
  <c r="AQ45" i="1"/>
  <c r="AS45" i="1" s="1"/>
  <c r="AQ46" i="1"/>
  <c r="AS46" i="1" s="1"/>
  <c r="AQ47" i="1"/>
  <c r="AS47" i="1" s="1"/>
  <c r="AQ48" i="1"/>
  <c r="AS48" i="1" s="1"/>
  <c r="AQ49" i="1"/>
  <c r="AS49" i="1" s="1"/>
  <c r="AQ50" i="1"/>
  <c r="AS50" i="1" s="1"/>
  <c r="AQ51" i="1"/>
  <c r="AS51" i="1" s="1"/>
  <c r="AQ52" i="1"/>
  <c r="AS52" i="1" s="1"/>
  <c r="AQ53" i="1"/>
  <c r="AS53" i="1" s="1"/>
  <c r="AQ54" i="1"/>
  <c r="AS54" i="1" s="1"/>
  <c r="AQ55" i="1"/>
  <c r="AS55" i="1" s="1"/>
  <c r="AQ56" i="1"/>
  <c r="AS56" i="1" s="1"/>
  <c r="AQ57" i="1"/>
  <c r="AS57" i="1" s="1"/>
  <c r="AQ58" i="1"/>
  <c r="AS58" i="1" s="1"/>
  <c r="AQ59" i="1"/>
  <c r="AS59" i="1" s="1"/>
  <c r="AQ60" i="1"/>
  <c r="AS60" i="1" s="1"/>
  <c r="AQ61" i="1"/>
  <c r="AS61" i="1" s="1"/>
  <c r="AQ62" i="1"/>
  <c r="AS62" i="1" s="1"/>
  <c r="AQ63" i="1"/>
  <c r="AS63" i="1" s="1"/>
  <c r="AQ64" i="1"/>
  <c r="AS64" i="1" s="1"/>
  <c r="AQ65" i="1"/>
  <c r="AS65" i="1" s="1"/>
  <c r="AQ66" i="1"/>
  <c r="AS66" i="1" s="1"/>
  <c r="AQ67" i="1"/>
  <c r="AS67" i="1" s="1"/>
  <c r="AQ68" i="1"/>
  <c r="AS68" i="1" s="1"/>
  <c r="AQ69" i="1"/>
  <c r="AS69" i="1" s="1"/>
  <c r="AQ70" i="1"/>
  <c r="AS70" i="1" s="1"/>
  <c r="AQ71" i="1"/>
  <c r="AS71" i="1" s="1"/>
  <c r="AQ72" i="1"/>
  <c r="AS72" i="1" s="1"/>
  <c r="AQ73" i="1"/>
  <c r="AS73" i="1" s="1"/>
  <c r="AQ74" i="1"/>
  <c r="AS74" i="1" s="1"/>
  <c r="AQ75" i="1"/>
  <c r="AS75" i="1" s="1"/>
  <c r="AQ76" i="1"/>
  <c r="AS76" i="1" s="1"/>
  <c r="AQ77" i="1"/>
  <c r="AS77" i="1" s="1"/>
  <c r="AQ78" i="1"/>
  <c r="AS78" i="1" s="1"/>
  <c r="AQ79" i="1"/>
  <c r="AS79" i="1" s="1"/>
  <c r="AQ80" i="1"/>
  <c r="AS80" i="1" s="1"/>
  <c r="AQ81" i="1"/>
  <c r="AS81" i="1" s="1"/>
  <c r="AQ82" i="1"/>
  <c r="AS82" i="1" s="1"/>
  <c r="AQ83" i="1"/>
  <c r="AS83" i="1" s="1"/>
  <c r="AQ84" i="1"/>
  <c r="AS84" i="1" s="1"/>
  <c r="AQ85" i="1"/>
  <c r="AS85" i="1" s="1"/>
  <c r="AQ86" i="1"/>
  <c r="AS86" i="1" s="1"/>
  <c r="AQ87" i="1"/>
  <c r="AS87" i="1" s="1"/>
  <c r="AQ88" i="1"/>
  <c r="AS88" i="1" s="1"/>
  <c r="AQ89" i="1"/>
  <c r="AS89" i="1" s="1"/>
  <c r="AQ90" i="1"/>
  <c r="AS90" i="1" s="1"/>
  <c r="AQ91" i="1"/>
  <c r="AS91" i="1" s="1"/>
  <c r="AQ92" i="1"/>
  <c r="AS92" i="1" s="1"/>
  <c r="AQ93" i="1"/>
  <c r="AS93" i="1" s="1"/>
  <c r="AQ94" i="1"/>
  <c r="AS94" i="1" s="1"/>
  <c r="AQ95" i="1"/>
  <c r="AS95" i="1" s="1"/>
  <c r="AQ96" i="1"/>
  <c r="AS96" i="1" s="1"/>
  <c r="AQ97" i="1"/>
  <c r="AS97" i="1" s="1"/>
  <c r="AQ98" i="1"/>
  <c r="AS98" i="1" s="1"/>
  <c r="AQ99" i="1"/>
  <c r="AS99" i="1" s="1"/>
  <c r="AQ100" i="1"/>
  <c r="AS100" i="1" s="1"/>
  <c r="AQ101" i="1"/>
  <c r="AS101" i="1" s="1"/>
  <c r="AQ102" i="1"/>
  <c r="AS102" i="1" s="1"/>
  <c r="AQ103" i="1"/>
  <c r="AS103" i="1" s="1"/>
  <c r="AQ104" i="1"/>
  <c r="AS104" i="1" s="1"/>
  <c r="AQ105" i="1"/>
  <c r="AS105" i="1" s="1"/>
  <c r="AQ106" i="1"/>
  <c r="AS106" i="1" s="1"/>
  <c r="AQ107" i="1"/>
  <c r="AS107" i="1" s="1"/>
  <c r="AQ108" i="1"/>
  <c r="AS108" i="1" s="1"/>
  <c r="AQ109" i="1"/>
  <c r="AS109" i="1" s="1"/>
  <c r="AQ110" i="1"/>
  <c r="AS110" i="1" s="1"/>
  <c r="AQ111" i="1"/>
  <c r="AS111" i="1" s="1"/>
  <c r="AQ112" i="1"/>
  <c r="AS112" i="1" s="1"/>
  <c r="AQ113" i="1"/>
  <c r="AS113" i="1" s="1"/>
  <c r="AQ114" i="1"/>
  <c r="AS114" i="1" s="1"/>
  <c r="AQ115" i="1"/>
  <c r="AS115" i="1" s="1"/>
  <c r="AQ116" i="1"/>
  <c r="AS116" i="1" s="1"/>
  <c r="AQ117" i="1"/>
  <c r="AS117" i="1" s="1"/>
  <c r="AQ118" i="1"/>
  <c r="AS118" i="1" s="1"/>
  <c r="AQ119" i="1"/>
  <c r="AS119" i="1" s="1"/>
  <c r="AQ120" i="1"/>
  <c r="AS120" i="1" s="1"/>
  <c r="AQ121" i="1"/>
  <c r="AS121" i="1" s="1"/>
  <c r="AQ122" i="1"/>
  <c r="AS122" i="1" s="1"/>
  <c r="AQ123" i="1"/>
  <c r="AS123" i="1" s="1"/>
  <c r="AQ124" i="1"/>
  <c r="AS124" i="1" s="1"/>
  <c r="AQ125" i="1"/>
  <c r="AS125" i="1" s="1"/>
  <c r="AQ126" i="1"/>
  <c r="AS126" i="1" s="1"/>
  <c r="AQ127" i="1"/>
  <c r="AS127" i="1" s="1"/>
  <c r="AQ128" i="1"/>
  <c r="AS128" i="1" s="1"/>
  <c r="AQ129" i="1"/>
  <c r="AS129" i="1" s="1"/>
  <c r="AQ130" i="1"/>
  <c r="AS130" i="1" s="1"/>
  <c r="AQ131" i="1"/>
  <c r="AS131" i="1" s="1"/>
  <c r="AQ132" i="1"/>
  <c r="AS132" i="1" s="1"/>
  <c r="AQ133" i="1"/>
  <c r="AS133" i="1" s="1"/>
  <c r="AQ134" i="1"/>
  <c r="AS134" i="1" s="1"/>
  <c r="AQ135" i="1"/>
  <c r="AS135" i="1" s="1"/>
  <c r="AQ136" i="1"/>
  <c r="AS136" i="1" s="1"/>
  <c r="AQ137" i="1"/>
  <c r="AS137" i="1" s="1"/>
  <c r="AQ138" i="1"/>
  <c r="AS138" i="1" s="1"/>
  <c r="AQ139" i="1"/>
  <c r="AS139" i="1" s="1"/>
  <c r="AQ140" i="1"/>
  <c r="AS140" i="1" s="1"/>
  <c r="AQ141" i="1"/>
  <c r="AS141" i="1" s="1"/>
  <c r="AQ142" i="1"/>
  <c r="AS142" i="1" s="1"/>
  <c r="AQ143" i="1"/>
  <c r="AS143" i="1" s="1"/>
  <c r="AQ144" i="1"/>
  <c r="AS144" i="1" s="1"/>
  <c r="AQ145" i="1"/>
  <c r="AS145" i="1" s="1"/>
  <c r="AQ146" i="1"/>
  <c r="AS146" i="1" s="1"/>
  <c r="AQ147" i="1"/>
  <c r="AS147" i="1" s="1"/>
  <c r="AQ148" i="1"/>
  <c r="AS148" i="1" s="1"/>
  <c r="AQ149" i="1"/>
  <c r="AS149" i="1" s="1"/>
  <c r="AQ150" i="1"/>
  <c r="AS150" i="1" s="1"/>
  <c r="AQ151" i="1"/>
  <c r="AS151" i="1" s="1"/>
  <c r="AQ152" i="1"/>
  <c r="AS152" i="1" s="1"/>
  <c r="AQ153" i="1"/>
  <c r="AS153" i="1" s="1"/>
  <c r="AQ154" i="1"/>
  <c r="AS154" i="1" s="1"/>
  <c r="AQ155" i="1"/>
  <c r="AS155" i="1" s="1"/>
  <c r="AQ156" i="1"/>
  <c r="AS156" i="1" s="1"/>
  <c r="AQ157" i="1"/>
  <c r="AS157" i="1" s="1"/>
  <c r="AQ158" i="1"/>
  <c r="AS158" i="1" s="1"/>
  <c r="AQ159" i="1"/>
  <c r="AS159" i="1" s="1"/>
  <c r="AQ160" i="1"/>
  <c r="AS160" i="1" s="1"/>
  <c r="AQ161" i="1"/>
  <c r="AS161" i="1" s="1"/>
  <c r="AQ162" i="1"/>
  <c r="AS162" i="1" s="1"/>
  <c r="AQ163" i="1"/>
  <c r="AS163" i="1" s="1"/>
  <c r="AQ164" i="1"/>
  <c r="AS164" i="1" s="1"/>
  <c r="AQ165" i="1"/>
  <c r="AS165" i="1" s="1"/>
  <c r="AQ166" i="1"/>
  <c r="AS166" i="1" s="1"/>
  <c r="AQ167" i="1"/>
  <c r="AS167" i="1" s="1"/>
  <c r="AQ168" i="1"/>
  <c r="AS168" i="1" s="1"/>
  <c r="AQ169" i="1"/>
  <c r="AS169" i="1" s="1"/>
  <c r="AQ170" i="1"/>
  <c r="AS170" i="1" s="1"/>
  <c r="AQ171" i="1"/>
  <c r="AS171" i="1" s="1"/>
  <c r="AQ172" i="1"/>
  <c r="AS172" i="1" s="1"/>
  <c r="AQ173" i="1"/>
  <c r="AS173" i="1" s="1"/>
  <c r="AQ174" i="1"/>
  <c r="AS174" i="1" s="1"/>
  <c r="AQ175" i="1"/>
  <c r="AS175" i="1" s="1"/>
  <c r="AQ176" i="1"/>
  <c r="AS176" i="1" s="1"/>
  <c r="AQ177" i="1"/>
  <c r="AS177" i="1" s="1"/>
  <c r="AQ178" i="1"/>
  <c r="AS178" i="1" s="1"/>
  <c r="AQ179" i="1"/>
  <c r="AS179" i="1" s="1"/>
  <c r="AQ180" i="1"/>
  <c r="AS180" i="1" s="1"/>
  <c r="AQ181" i="1"/>
  <c r="AS181" i="1" s="1"/>
  <c r="AQ182" i="1"/>
  <c r="AS182" i="1" s="1"/>
  <c r="AQ183" i="1"/>
  <c r="AS183" i="1" s="1"/>
  <c r="AQ184" i="1"/>
  <c r="AS184" i="1" s="1"/>
  <c r="AQ185" i="1"/>
  <c r="AS185" i="1" s="1"/>
  <c r="AQ186" i="1"/>
  <c r="AS186" i="1" s="1"/>
  <c r="AQ187" i="1"/>
  <c r="AS187" i="1" s="1"/>
  <c r="AQ188" i="1"/>
  <c r="AS188" i="1" s="1"/>
  <c r="AQ189" i="1"/>
  <c r="AS189" i="1" s="1"/>
  <c r="AQ190" i="1"/>
  <c r="AS190" i="1" s="1"/>
  <c r="AQ191" i="1"/>
  <c r="AS191" i="1" s="1"/>
  <c r="AQ192" i="1"/>
  <c r="AS192" i="1" s="1"/>
  <c r="AQ193" i="1"/>
  <c r="AS193" i="1" s="1"/>
  <c r="AQ194" i="1"/>
  <c r="AS194" i="1" s="1"/>
  <c r="AQ195" i="1"/>
  <c r="AS195" i="1" s="1"/>
  <c r="AQ196" i="1"/>
  <c r="AS196" i="1" s="1"/>
  <c r="AQ197" i="1"/>
  <c r="AS197" i="1" s="1"/>
  <c r="AQ198" i="1"/>
  <c r="AS198" i="1" s="1"/>
  <c r="AQ199" i="1"/>
  <c r="AS199" i="1" s="1"/>
  <c r="AQ200" i="1"/>
  <c r="AS200" i="1" s="1"/>
  <c r="AQ201" i="1"/>
  <c r="AS201" i="1" s="1"/>
  <c r="AQ202" i="1"/>
  <c r="AS202" i="1" s="1"/>
  <c r="AQ203" i="1"/>
  <c r="AS203" i="1" s="1"/>
  <c r="AQ204" i="1"/>
  <c r="AS204" i="1" s="1"/>
  <c r="AQ205" i="1"/>
  <c r="AS205" i="1" s="1"/>
  <c r="AQ206" i="1"/>
  <c r="AS206" i="1" s="1"/>
  <c r="AQ207" i="1"/>
  <c r="AS207" i="1" s="1"/>
  <c r="AQ208" i="1"/>
  <c r="AS208" i="1" s="1"/>
  <c r="AQ209" i="1"/>
  <c r="AS209" i="1" s="1"/>
  <c r="AQ210" i="1"/>
  <c r="AS210" i="1" s="1"/>
  <c r="AQ211" i="1"/>
  <c r="AS211" i="1" s="1"/>
  <c r="AQ212" i="1"/>
  <c r="AS212" i="1" s="1"/>
  <c r="AQ213" i="1"/>
  <c r="AS213" i="1" s="1"/>
  <c r="AQ214" i="1"/>
  <c r="AS214" i="1" s="1"/>
  <c r="AQ215" i="1"/>
  <c r="AS215" i="1" s="1"/>
  <c r="AQ216" i="1"/>
  <c r="AS216" i="1" s="1"/>
  <c r="AQ217" i="1"/>
  <c r="AS217" i="1" s="1"/>
  <c r="AQ218" i="1"/>
  <c r="AS218" i="1" s="1"/>
  <c r="AQ219" i="1"/>
  <c r="AS219" i="1" s="1"/>
  <c r="AQ220" i="1"/>
  <c r="AS220" i="1" s="1"/>
  <c r="AQ221" i="1"/>
  <c r="AS221" i="1" s="1"/>
  <c r="AQ222" i="1"/>
  <c r="AS222" i="1" s="1"/>
  <c r="AQ223" i="1"/>
  <c r="AS223" i="1" s="1"/>
  <c r="AQ224" i="1"/>
  <c r="AS224" i="1" s="1"/>
  <c r="AQ225" i="1"/>
  <c r="AS225" i="1" s="1"/>
  <c r="AQ226" i="1"/>
  <c r="AS226" i="1" s="1"/>
  <c r="AQ227" i="1"/>
  <c r="AS227" i="1" s="1"/>
  <c r="AQ228" i="1"/>
  <c r="AS228" i="1" s="1"/>
  <c r="AQ229" i="1"/>
  <c r="AS229" i="1" s="1"/>
  <c r="AQ230" i="1"/>
  <c r="AS230" i="1" s="1"/>
  <c r="AQ231" i="1"/>
  <c r="AS231" i="1" s="1"/>
  <c r="AQ232" i="1"/>
  <c r="AS232" i="1" s="1"/>
  <c r="AQ233" i="1"/>
  <c r="AS233" i="1" s="1"/>
  <c r="AQ234" i="1"/>
  <c r="AS234" i="1" s="1"/>
  <c r="AQ235" i="1"/>
  <c r="AS235" i="1" s="1"/>
  <c r="AQ236" i="1"/>
  <c r="AS236" i="1" s="1"/>
  <c r="AQ237" i="1"/>
  <c r="AS237" i="1" s="1"/>
  <c r="AQ238" i="1"/>
  <c r="AS238" i="1" s="1"/>
  <c r="AQ239" i="1"/>
  <c r="AS239" i="1" s="1"/>
  <c r="AQ240" i="1"/>
  <c r="AS240" i="1" s="1"/>
  <c r="AQ241" i="1"/>
  <c r="AS241" i="1" s="1"/>
  <c r="AQ242" i="1"/>
  <c r="AS242" i="1" s="1"/>
  <c r="AQ243" i="1"/>
  <c r="AS243" i="1" s="1"/>
  <c r="AQ244" i="1"/>
  <c r="AS244" i="1" s="1"/>
  <c r="AQ245" i="1"/>
  <c r="AS245" i="1" s="1"/>
  <c r="AQ246" i="1"/>
  <c r="AS246" i="1" s="1"/>
  <c r="AQ247" i="1"/>
  <c r="AS247" i="1" s="1"/>
  <c r="AQ248" i="1"/>
  <c r="AS248" i="1" s="1"/>
  <c r="AQ249" i="1"/>
  <c r="AS249" i="1" s="1"/>
  <c r="AQ250" i="1"/>
  <c r="AS250" i="1" s="1"/>
  <c r="AQ251" i="1"/>
  <c r="AS251" i="1" s="1"/>
  <c r="AQ252" i="1"/>
  <c r="AS252" i="1" s="1"/>
  <c r="AQ253" i="1"/>
  <c r="AS253" i="1" s="1"/>
  <c r="AQ254" i="1"/>
  <c r="AS254" i="1" s="1"/>
  <c r="AQ255" i="1"/>
  <c r="AS255" i="1" s="1"/>
  <c r="AQ256" i="1"/>
  <c r="AS256" i="1" s="1"/>
  <c r="AQ257" i="1"/>
  <c r="AS257" i="1" s="1"/>
  <c r="AQ258" i="1"/>
  <c r="AS258" i="1" s="1"/>
  <c r="AQ259" i="1"/>
  <c r="AS259" i="1" s="1"/>
  <c r="AQ260" i="1"/>
  <c r="AS260" i="1" s="1"/>
  <c r="AQ261" i="1"/>
  <c r="AS261" i="1" s="1"/>
  <c r="AQ262" i="1"/>
  <c r="AS262" i="1" s="1"/>
  <c r="AQ263" i="1"/>
  <c r="AS263" i="1" s="1"/>
  <c r="AQ264" i="1"/>
  <c r="AS264" i="1" s="1"/>
  <c r="AQ265" i="1"/>
  <c r="AS265" i="1" s="1"/>
  <c r="AQ266" i="1"/>
  <c r="AS266" i="1" s="1"/>
  <c r="AQ267" i="1"/>
  <c r="AS267" i="1" s="1"/>
  <c r="AQ268" i="1"/>
  <c r="AS268" i="1" s="1"/>
  <c r="AQ269" i="1"/>
  <c r="AS269" i="1" s="1"/>
  <c r="AQ270" i="1"/>
  <c r="AS270" i="1" s="1"/>
  <c r="AQ271" i="1"/>
  <c r="AS271" i="1" s="1"/>
  <c r="AQ272" i="1"/>
  <c r="AS272" i="1" s="1"/>
  <c r="AQ273" i="1"/>
  <c r="AS273" i="1" s="1"/>
  <c r="AQ274" i="1"/>
  <c r="AS274" i="1" s="1"/>
  <c r="AQ275" i="1"/>
  <c r="AS275" i="1" s="1"/>
  <c r="AQ276" i="1"/>
  <c r="AS276" i="1" s="1"/>
  <c r="AQ277" i="1"/>
  <c r="AS277" i="1" s="1"/>
  <c r="AQ278" i="1"/>
  <c r="AS278" i="1" s="1"/>
  <c r="AQ279" i="1"/>
  <c r="AS279" i="1" s="1"/>
  <c r="AQ280" i="1"/>
  <c r="AS280" i="1" s="1"/>
  <c r="AQ281" i="1"/>
  <c r="AS281" i="1" s="1"/>
  <c r="AQ282" i="1"/>
  <c r="AS282" i="1" s="1"/>
  <c r="AQ283" i="1"/>
  <c r="AS283" i="1" s="1"/>
  <c r="AQ284" i="1"/>
  <c r="AS284" i="1" s="1"/>
  <c r="AQ285" i="1"/>
  <c r="AS285" i="1" s="1"/>
  <c r="AQ286" i="1"/>
  <c r="AS286" i="1" s="1"/>
  <c r="AQ287" i="1"/>
  <c r="AS287" i="1" s="1"/>
  <c r="AQ288" i="1"/>
  <c r="AS288" i="1" s="1"/>
  <c r="AQ289" i="1"/>
  <c r="AS289" i="1" s="1"/>
  <c r="AQ290" i="1"/>
  <c r="AS290" i="1" s="1"/>
  <c r="AQ291" i="1"/>
  <c r="AS291" i="1" s="1"/>
  <c r="AQ292" i="1"/>
  <c r="AS292" i="1" s="1"/>
  <c r="AQ293" i="1"/>
  <c r="AS293" i="1" s="1"/>
  <c r="AQ294" i="1"/>
  <c r="AS294" i="1" s="1"/>
  <c r="AQ295" i="1"/>
  <c r="AS295" i="1" s="1"/>
  <c r="AQ296" i="1"/>
  <c r="AS296" i="1" s="1"/>
  <c r="AQ297" i="1"/>
  <c r="AS297" i="1" s="1"/>
  <c r="AQ298" i="1"/>
  <c r="AS298" i="1" s="1"/>
  <c r="AQ299" i="1"/>
  <c r="AS299" i="1" s="1"/>
  <c r="AQ300" i="1"/>
  <c r="AS300" i="1" s="1"/>
  <c r="AQ301" i="1"/>
  <c r="AS301" i="1" s="1"/>
  <c r="AQ302" i="1"/>
  <c r="AS302" i="1" s="1"/>
  <c r="AQ303" i="1"/>
  <c r="AS303" i="1" s="1"/>
  <c r="AQ304" i="1"/>
  <c r="AS304" i="1" s="1"/>
  <c r="AQ305" i="1"/>
  <c r="AS305" i="1" s="1"/>
  <c r="AQ306" i="1"/>
  <c r="AS306" i="1" s="1"/>
  <c r="AQ307" i="1"/>
  <c r="AS307" i="1" s="1"/>
  <c r="AQ308" i="1"/>
  <c r="AS308" i="1" s="1"/>
  <c r="AQ309" i="1"/>
  <c r="AS309" i="1" s="1"/>
  <c r="AQ310" i="1"/>
  <c r="AS310" i="1" s="1"/>
  <c r="AQ311" i="1"/>
  <c r="AS311" i="1" s="1"/>
  <c r="AQ312" i="1"/>
  <c r="AS312" i="1" s="1"/>
  <c r="AQ313" i="1"/>
  <c r="AS313" i="1" s="1"/>
  <c r="AQ314" i="1"/>
  <c r="AS314" i="1" s="1"/>
  <c r="AQ315" i="1"/>
  <c r="AS315" i="1" s="1"/>
  <c r="AQ316" i="1"/>
  <c r="AS316" i="1" s="1"/>
  <c r="AQ317" i="1"/>
  <c r="AS317" i="1" s="1"/>
  <c r="AQ318" i="1"/>
  <c r="AS318" i="1" s="1"/>
  <c r="AQ319" i="1"/>
  <c r="AS319" i="1" s="1"/>
  <c r="AQ320" i="1"/>
  <c r="AS320" i="1" s="1"/>
  <c r="AQ321" i="1"/>
  <c r="AS321" i="1" s="1"/>
  <c r="AQ322" i="1"/>
  <c r="AS322" i="1" s="1"/>
  <c r="AQ323" i="1"/>
  <c r="AS323" i="1" s="1"/>
  <c r="AQ324" i="1"/>
  <c r="AS324" i="1" s="1"/>
  <c r="AQ325" i="1"/>
  <c r="AS325" i="1" s="1"/>
  <c r="AQ326" i="1"/>
  <c r="AS326" i="1" s="1"/>
  <c r="AQ327" i="1"/>
  <c r="AS327" i="1" s="1"/>
  <c r="AQ328" i="1"/>
  <c r="AS328" i="1" s="1"/>
  <c r="AQ329" i="1"/>
  <c r="AS329" i="1" s="1"/>
  <c r="AQ330" i="1"/>
  <c r="AS330" i="1" s="1"/>
  <c r="AQ331" i="1"/>
  <c r="AS331" i="1" s="1"/>
  <c r="AQ332" i="1"/>
  <c r="AS332" i="1" s="1"/>
  <c r="AQ333" i="1"/>
  <c r="AS333" i="1" s="1"/>
  <c r="AQ334" i="1"/>
  <c r="AS334" i="1" s="1"/>
  <c r="AQ335" i="1"/>
  <c r="AS335" i="1" s="1"/>
  <c r="AQ336" i="1"/>
  <c r="AS336" i="1" s="1"/>
  <c r="AQ337" i="1"/>
  <c r="AS337" i="1" s="1"/>
  <c r="AQ338" i="1"/>
  <c r="AS338" i="1" s="1"/>
  <c r="AQ339" i="1"/>
  <c r="AS339" i="1" s="1"/>
  <c r="AQ340" i="1"/>
  <c r="AS340" i="1" s="1"/>
  <c r="AQ341" i="1"/>
  <c r="AS341" i="1" s="1"/>
  <c r="AQ342" i="1"/>
  <c r="AS342" i="1" s="1"/>
  <c r="AQ343" i="1"/>
  <c r="AS343" i="1" s="1"/>
  <c r="AQ344" i="1"/>
  <c r="AS344" i="1" s="1"/>
  <c r="AQ345" i="1"/>
  <c r="AS345" i="1" s="1"/>
  <c r="AQ346" i="1"/>
  <c r="AS346" i="1" s="1"/>
  <c r="AQ347" i="1"/>
  <c r="AS347" i="1" s="1"/>
  <c r="AQ348" i="1"/>
  <c r="AS348" i="1" s="1"/>
  <c r="AQ349" i="1"/>
  <c r="AS349" i="1" s="1"/>
  <c r="AQ350" i="1"/>
  <c r="AS350" i="1" s="1"/>
  <c r="AQ351" i="1"/>
  <c r="AS351" i="1" s="1"/>
  <c r="AQ352" i="1"/>
  <c r="AS352" i="1" s="1"/>
  <c r="AQ353" i="1"/>
  <c r="AS353" i="1" s="1"/>
  <c r="AQ354" i="1"/>
  <c r="AS354" i="1" s="1"/>
  <c r="AQ355" i="1"/>
  <c r="AS355" i="1" s="1"/>
  <c r="AQ356" i="1"/>
  <c r="AS356" i="1" s="1"/>
  <c r="AQ357" i="1"/>
  <c r="AS357" i="1" s="1"/>
  <c r="AQ358" i="1"/>
  <c r="AS358" i="1" s="1"/>
  <c r="AQ359" i="1"/>
  <c r="AS359" i="1" s="1"/>
  <c r="AQ360" i="1"/>
  <c r="AS360" i="1" s="1"/>
  <c r="AQ361" i="1"/>
  <c r="AS361" i="1" s="1"/>
  <c r="AQ362" i="1"/>
  <c r="AS362" i="1" s="1"/>
  <c r="AQ363" i="1"/>
  <c r="AS363" i="1" s="1"/>
  <c r="AQ364" i="1"/>
  <c r="AS364" i="1" s="1"/>
  <c r="AQ365" i="1"/>
  <c r="AS365" i="1" s="1"/>
  <c r="AQ366" i="1"/>
  <c r="AS366" i="1" s="1"/>
  <c r="AQ367" i="1"/>
  <c r="AS367" i="1" s="1"/>
  <c r="AQ368" i="1"/>
  <c r="AS368" i="1" s="1"/>
  <c r="AQ369" i="1"/>
  <c r="AS369" i="1" s="1"/>
  <c r="AQ370" i="1"/>
  <c r="AS370" i="1" s="1"/>
  <c r="AQ371" i="1"/>
  <c r="AS371" i="1" s="1"/>
  <c r="AQ372" i="1"/>
  <c r="AS372" i="1" s="1"/>
  <c r="AQ373" i="1"/>
  <c r="AS373" i="1" s="1"/>
  <c r="AQ374" i="1"/>
  <c r="AS374" i="1" s="1"/>
  <c r="AQ375" i="1"/>
  <c r="AS375" i="1" s="1"/>
  <c r="AQ376" i="1"/>
  <c r="AS376" i="1" s="1"/>
  <c r="AQ377" i="1"/>
  <c r="AS377" i="1" s="1"/>
  <c r="AQ378" i="1"/>
  <c r="AS378" i="1" s="1"/>
  <c r="AQ379" i="1"/>
  <c r="AS379" i="1" s="1"/>
  <c r="AQ380" i="1"/>
  <c r="AS380" i="1" s="1"/>
  <c r="AQ381" i="1"/>
  <c r="AS381" i="1" s="1"/>
  <c r="AQ382" i="1"/>
  <c r="AS382" i="1" s="1"/>
  <c r="AQ383" i="1"/>
  <c r="AS383" i="1" s="1"/>
  <c r="AQ384" i="1"/>
  <c r="AS384" i="1" s="1"/>
  <c r="AQ385" i="1"/>
  <c r="AS385" i="1" s="1"/>
  <c r="AQ386" i="1"/>
  <c r="AS386" i="1" s="1"/>
  <c r="AQ387" i="1"/>
  <c r="AS387" i="1" s="1"/>
  <c r="AQ388" i="1"/>
  <c r="AS388" i="1" s="1"/>
  <c r="AQ389" i="1"/>
  <c r="AS389" i="1" s="1"/>
  <c r="AQ390" i="1"/>
  <c r="AS390" i="1" s="1"/>
  <c r="AQ391" i="1"/>
  <c r="AS391" i="1" s="1"/>
  <c r="AQ392" i="1"/>
  <c r="AS392" i="1" s="1"/>
  <c r="AQ393" i="1"/>
  <c r="AS393" i="1" s="1"/>
  <c r="AQ394" i="1"/>
  <c r="AS394" i="1" s="1"/>
  <c r="AQ395" i="1"/>
  <c r="AS395" i="1" s="1"/>
  <c r="AQ396" i="1"/>
  <c r="AS396" i="1" s="1"/>
  <c r="AQ397" i="1"/>
  <c r="AS397" i="1" s="1"/>
  <c r="AQ398" i="1"/>
  <c r="AS398" i="1" s="1"/>
  <c r="AQ399" i="1"/>
  <c r="AS399" i="1" s="1"/>
  <c r="AQ400" i="1"/>
  <c r="AS400" i="1" s="1"/>
  <c r="AQ401" i="1"/>
  <c r="AS401" i="1" s="1"/>
  <c r="AQ402" i="1"/>
  <c r="AS402" i="1" s="1"/>
  <c r="AQ403" i="1"/>
  <c r="AS403" i="1" s="1"/>
  <c r="AQ404" i="1"/>
  <c r="AS404" i="1" s="1"/>
  <c r="AQ405" i="1"/>
  <c r="AS405" i="1" s="1"/>
  <c r="AQ406" i="1"/>
  <c r="AS406" i="1" s="1"/>
  <c r="AQ407" i="1"/>
  <c r="AS407" i="1" s="1"/>
  <c r="AQ408" i="1"/>
  <c r="AS408" i="1" s="1"/>
  <c r="AQ409" i="1"/>
  <c r="AS409" i="1" s="1"/>
  <c r="AQ410" i="1"/>
  <c r="AS410" i="1" s="1"/>
  <c r="AQ411" i="1"/>
  <c r="AS411" i="1" s="1"/>
  <c r="AQ412" i="1"/>
  <c r="AS412" i="1" s="1"/>
  <c r="AQ413" i="1"/>
  <c r="AS413" i="1" s="1"/>
  <c r="AQ414" i="1"/>
  <c r="AS414" i="1" s="1"/>
  <c r="AQ415" i="1"/>
  <c r="AS415" i="1" s="1"/>
  <c r="AQ416" i="1"/>
  <c r="AS416" i="1" s="1"/>
  <c r="AQ417" i="1"/>
  <c r="AS417" i="1" s="1"/>
  <c r="AQ418" i="1"/>
  <c r="AS418" i="1" s="1"/>
  <c r="AQ419" i="1"/>
  <c r="AS419" i="1" s="1"/>
  <c r="AQ420" i="1"/>
  <c r="AS420" i="1" s="1"/>
  <c r="AQ421" i="1"/>
  <c r="AS421" i="1" s="1"/>
  <c r="AQ422" i="1"/>
  <c r="AS422" i="1" s="1"/>
  <c r="AQ423" i="1"/>
  <c r="AS423" i="1" s="1"/>
  <c r="AQ424" i="1"/>
  <c r="AS424" i="1" s="1"/>
  <c r="AQ425" i="1"/>
  <c r="AS425" i="1" s="1"/>
  <c r="AQ426" i="1"/>
  <c r="AS426" i="1" s="1"/>
  <c r="AQ427" i="1"/>
  <c r="AS427" i="1" s="1"/>
  <c r="AQ428" i="1"/>
  <c r="AS428" i="1" s="1"/>
  <c r="AQ429" i="1"/>
  <c r="AS429" i="1" s="1"/>
  <c r="AQ430" i="1"/>
  <c r="AS430" i="1" s="1"/>
  <c r="AQ431" i="1"/>
  <c r="AS431" i="1" s="1"/>
  <c r="AQ432" i="1"/>
  <c r="AS432" i="1" s="1"/>
  <c r="AQ433" i="1"/>
  <c r="AS433" i="1" s="1"/>
  <c r="AQ434" i="1"/>
  <c r="AS434" i="1" s="1"/>
  <c r="AQ435" i="1"/>
  <c r="AS435" i="1" s="1"/>
  <c r="AQ436" i="1"/>
  <c r="AS436" i="1" s="1"/>
  <c r="AQ437" i="1"/>
  <c r="AS437" i="1" s="1"/>
  <c r="AQ438" i="1"/>
  <c r="AS438" i="1" s="1"/>
  <c r="AQ439" i="1"/>
  <c r="AS439" i="1" s="1"/>
  <c r="AQ440" i="1"/>
  <c r="AS440" i="1" s="1"/>
  <c r="AQ441" i="1"/>
  <c r="AS441" i="1" s="1"/>
  <c r="AQ442" i="1"/>
  <c r="AS442" i="1" s="1"/>
  <c r="AQ443" i="1"/>
  <c r="AS443" i="1" s="1"/>
  <c r="AQ444" i="1"/>
  <c r="AS444" i="1" s="1"/>
  <c r="AQ445" i="1"/>
  <c r="AS445" i="1" s="1"/>
  <c r="AQ446" i="1"/>
  <c r="AS446" i="1" s="1"/>
  <c r="AQ447" i="1"/>
  <c r="AS447" i="1" s="1"/>
  <c r="AQ448" i="1"/>
  <c r="AS448" i="1" s="1"/>
  <c r="AQ449" i="1"/>
  <c r="AS449" i="1" s="1"/>
  <c r="AQ450" i="1"/>
  <c r="AS450" i="1" s="1"/>
  <c r="AQ451" i="1"/>
  <c r="AS451" i="1" s="1"/>
  <c r="AQ452" i="1"/>
  <c r="AS452" i="1" s="1"/>
  <c r="AQ453" i="1"/>
  <c r="AS453" i="1" s="1"/>
  <c r="AQ454" i="1"/>
  <c r="AS454" i="1" s="1"/>
  <c r="AQ455" i="1"/>
  <c r="AS455" i="1" s="1"/>
  <c r="AQ456" i="1"/>
  <c r="AS456" i="1" s="1"/>
  <c r="AQ457" i="1"/>
  <c r="AS457" i="1" s="1"/>
  <c r="AQ458" i="1"/>
  <c r="AS458" i="1" s="1"/>
  <c r="AQ459" i="1"/>
  <c r="AS459" i="1" s="1"/>
  <c r="AQ460" i="1"/>
  <c r="AS460" i="1" s="1"/>
  <c r="AQ461" i="1"/>
  <c r="AS461" i="1" s="1"/>
  <c r="AQ462" i="1"/>
  <c r="AS462" i="1" s="1"/>
  <c r="AQ463" i="1"/>
  <c r="AS463" i="1" s="1"/>
  <c r="AQ464" i="1"/>
  <c r="AS464" i="1" s="1"/>
  <c r="AQ465" i="1"/>
  <c r="AS465" i="1" s="1"/>
  <c r="AQ466" i="1"/>
  <c r="AS466" i="1" s="1"/>
  <c r="AQ467" i="1"/>
  <c r="AS467" i="1" s="1"/>
  <c r="AQ468" i="1"/>
  <c r="AS468" i="1" s="1"/>
  <c r="AQ469" i="1"/>
  <c r="AS469" i="1" s="1"/>
  <c r="AQ470" i="1"/>
  <c r="AS470" i="1" s="1"/>
  <c r="AQ471" i="1"/>
  <c r="AS471" i="1" s="1"/>
  <c r="AQ472" i="1"/>
  <c r="AS472" i="1" s="1"/>
  <c r="AQ473" i="1"/>
  <c r="AS473" i="1" s="1"/>
  <c r="AQ474" i="1"/>
  <c r="AS474" i="1" s="1"/>
  <c r="AQ475" i="1"/>
  <c r="AS475" i="1" s="1"/>
  <c r="AQ476" i="1"/>
  <c r="AS476" i="1" s="1"/>
  <c r="AQ477" i="1"/>
  <c r="AS477" i="1" s="1"/>
  <c r="AQ478" i="1"/>
  <c r="AS478" i="1" s="1"/>
  <c r="AQ479" i="1"/>
  <c r="AS479" i="1" s="1"/>
  <c r="AQ480" i="1"/>
  <c r="AS480" i="1" s="1"/>
  <c r="AQ481" i="1"/>
  <c r="AS481" i="1" s="1"/>
  <c r="AQ482" i="1"/>
  <c r="AS482" i="1" s="1"/>
  <c r="AQ483" i="1"/>
  <c r="AS483" i="1" s="1"/>
  <c r="AQ484" i="1"/>
  <c r="AS484" i="1" s="1"/>
  <c r="AQ485" i="1"/>
  <c r="AS485" i="1" s="1"/>
  <c r="AQ486" i="1"/>
  <c r="AS486" i="1" s="1"/>
  <c r="AQ487" i="1"/>
  <c r="AS487" i="1" s="1"/>
  <c r="AQ488" i="1"/>
  <c r="AS488" i="1" s="1"/>
  <c r="AQ489" i="1"/>
  <c r="AS489" i="1" s="1"/>
  <c r="AQ490" i="1"/>
  <c r="AS490" i="1" s="1"/>
  <c r="AQ491" i="1"/>
  <c r="AS491" i="1" s="1"/>
  <c r="AQ492" i="1"/>
  <c r="AS492" i="1" s="1"/>
  <c r="AQ493" i="1"/>
  <c r="AS493" i="1" s="1"/>
  <c r="AQ494" i="1"/>
  <c r="AS494" i="1" s="1"/>
  <c r="AQ495" i="1"/>
  <c r="AS495" i="1" s="1"/>
  <c r="AQ496" i="1"/>
  <c r="AS496" i="1" s="1"/>
  <c r="AQ497" i="1"/>
  <c r="AS497" i="1" s="1"/>
  <c r="AQ498" i="1"/>
  <c r="AS498" i="1" s="1"/>
  <c r="AQ499" i="1"/>
  <c r="AS499" i="1" s="1"/>
  <c r="AQ500" i="1"/>
  <c r="AS500" i="1" s="1"/>
  <c r="AQ501" i="1"/>
  <c r="AS501" i="1" s="1"/>
  <c r="AQ502" i="1"/>
  <c r="AS502" i="1" s="1"/>
  <c r="AQ503" i="1"/>
  <c r="AS503" i="1" s="1"/>
  <c r="AQ504" i="1"/>
  <c r="AS504" i="1" s="1"/>
  <c r="AQ505" i="1"/>
  <c r="AS505" i="1" s="1"/>
  <c r="AQ506" i="1"/>
  <c r="AS506" i="1" s="1"/>
  <c r="AQ507" i="1"/>
  <c r="AS507" i="1" s="1"/>
  <c r="AQ508" i="1"/>
  <c r="AS508" i="1" s="1"/>
  <c r="AQ509" i="1"/>
  <c r="AS509" i="1" s="1"/>
  <c r="AQ510" i="1"/>
  <c r="AS510" i="1" s="1"/>
  <c r="AQ511" i="1"/>
  <c r="AS511" i="1" s="1"/>
  <c r="AQ512" i="1"/>
  <c r="AS512" i="1" s="1"/>
  <c r="AQ513" i="1"/>
  <c r="AS513" i="1" s="1"/>
  <c r="AQ514" i="1"/>
  <c r="AS514" i="1" s="1"/>
  <c r="AQ515" i="1"/>
  <c r="AS515" i="1" s="1"/>
  <c r="AQ516" i="1"/>
  <c r="AS516" i="1" s="1"/>
  <c r="AQ517" i="1"/>
  <c r="AS517" i="1" s="1"/>
  <c r="AQ518" i="1"/>
  <c r="AS518" i="1" s="1"/>
  <c r="AQ519" i="1"/>
  <c r="AS519" i="1" s="1"/>
  <c r="AQ520" i="1"/>
  <c r="AS520" i="1" s="1"/>
  <c r="AQ521" i="1"/>
  <c r="AS521" i="1" s="1"/>
  <c r="AQ522" i="1"/>
  <c r="AS522" i="1" s="1"/>
  <c r="AQ523" i="1"/>
  <c r="AS523" i="1" s="1"/>
  <c r="AQ524" i="1"/>
  <c r="AS524" i="1" s="1"/>
  <c r="AQ525" i="1"/>
  <c r="AS525" i="1" s="1"/>
  <c r="AQ526" i="1"/>
  <c r="AS526" i="1" s="1"/>
  <c r="AQ527" i="1"/>
  <c r="AS527" i="1" s="1"/>
  <c r="AQ528" i="1"/>
  <c r="AS528" i="1" s="1"/>
  <c r="AQ529" i="1"/>
  <c r="AS529" i="1" s="1"/>
  <c r="AQ530" i="1"/>
  <c r="AS530" i="1" s="1"/>
  <c r="AQ531" i="1"/>
  <c r="AS531" i="1" s="1"/>
  <c r="AQ532" i="1"/>
  <c r="AS532" i="1" s="1"/>
  <c r="AQ533" i="1"/>
  <c r="AS533" i="1" s="1"/>
  <c r="AQ534" i="1"/>
  <c r="AS534" i="1" s="1"/>
  <c r="AQ535" i="1"/>
  <c r="AS535" i="1" s="1"/>
  <c r="AQ536" i="1"/>
  <c r="AS536" i="1" s="1"/>
  <c r="AQ537" i="1"/>
  <c r="AS537" i="1" s="1"/>
  <c r="AQ538" i="1"/>
  <c r="AS538" i="1" s="1"/>
  <c r="AQ539" i="1"/>
  <c r="AS539" i="1" s="1"/>
  <c r="AQ540" i="1"/>
  <c r="AS540" i="1" s="1"/>
  <c r="AQ541" i="1"/>
  <c r="AS541" i="1" s="1"/>
  <c r="AQ542" i="1"/>
  <c r="AS542" i="1" s="1"/>
  <c r="AQ543" i="1"/>
  <c r="AS543" i="1" s="1"/>
  <c r="AQ544" i="1"/>
  <c r="AS544" i="1" s="1"/>
  <c r="AQ545" i="1"/>
  <c r="AS545" i="1" s="1"/>
  <c r="AQ546" i="1"/>
  <c r="AS546" i="1" s="1"/>
  <c r="AQ547" i="1"/>
  <c r="AS547" i="1" s="1"/>
  <c r="AQ548" i="1"/>
  <c r="AS548" i="1" s="1"/>
  <c r="AQ549" i="1"/>
  <c r="AS549" i="1" s="1"/>
  <c r="AQ550" i="1"/>
  <c r="AS550" i="1" s="1"/>
  <c r="AQ551" i="1"/>
  <c r="AS551" i="1" s="1"/>
  <c r="AQ552" i="1"/>
  <c r="AS552" i="1" s="1"/>
  <c r="AQ553" i="1"/>
  <c r="AS553" i="1" s="1"/>
  <c r="AQ554" i="1"/>
  <c r="AS554" i="1" s="1"/>
  <c r="AQ555" i="1"/>
  <c r="AS555" i="1" s="1"/>
  <c r="AQ556" i="1"/>
  <c r="AS556" i="1" s="1"/>
  <c r="AQ557" i="1"/>
  <c r="AS557" i="1" s="1"/>
  <c r="AQ558" i="1"/>
  <c r="AS558" i="1" s="1"/>
  <c r="AQ559" i="1"/>
  <c r="AS559" i="1" s="1"/>
  <c r="AQ560" i="1"/>
  <c r="AS560" i="1" s="1"/>
  <c r="AQ561" i="1"/>
  <c r="AS561" i="1" s="1"/>
  <c r="AQ562" i="1"/>
  <c r="AS562" i="1" s="1"/>
  <c r="AQ563" i="1"/>
  <c r="AS563" i="1" s="1"/>
  <c r="AQ564" i="1"/>
  <c r="AS564" i="1" s="1"/>
  <c r="AQ565" i="1"/>
  <c r="AS565" i="1" s="1"/>
  <c r="AH565" i="1" s="1"/>
  <c r="AQ566" i="1"/>
  <c r="AS566" i="1" s="1"/>
  <c r="AH566" i="1" s="1"/>
  <c r="AQ567" i="1"/>
  <c r="AS567" i="1" s="1"/>
  <c r="AQ568" i="1"/>
  <c r="AS568" i="1" s="1"/>
  <c r="AQ569" i="1"/>
  <c r="AS569" i="1" s="1"/>
  <c r="AQ570" i="1"/>
  <c r="AS570" i="1" s="1"/>
  <c r="AI570" i="1" s="1"/>
  <c r="AQ571" i="1"/>
  <c r="AS571" i="1" s="1"/>
  <c r="AI571" i="1" s="1"/>
  <c r="AQ572" i="1"/>
  <c r="AS572" i="1" s="1"/>
  <c r="AI572" i="1" s="1"/>
  <c r="AQ573" i="1"/>
  <c r="AS573" i="1" s="1"/>
  <c r="AI573" i="1" s="1"/>
  <c r="AQ574" i="1"/>
  <c r="AS574" i="1" s="1"/>
  <c r="AI574" i="1" s="1"/>
  <c r="AQ575" i="1"/>
  <c r="AS575" i="1" s="1"/>
  <c r="AQ576" i="1"/>
  <c r="AS576" i="1" s="1"/>
  <c r="AQ577" i="1"/>
  <c r="AS577" i="1" s="1"/>
  <c r="AQ578" i="1"/>
  <c r="AS578" i="1" s="1"/>
  <c r="AH578" i="1" s="1"/>
  <c r="AQ579" i="1"/>
  <c r="AS579" i="1" s="1"/>
  <c r="AQ580" i="1"/>
  <c r="AS580" i="1" s="1"/>
  <c r="AQ581" i="1"/>
  <c r="AS581" i="1" s="1"/>
  <c r="AH581" i="1" s="1"/>
  <c r="AQ582" i="1"/>
  <c r="AS582" i="1" s="1"/>
  <c r="AQ583" i="1"/>
  <c r="AS583" i="1" s="1"/>
  <c r="AH583" i="1" s="1"/>
  <c r="AQ584" i="1"/>
  <c r="AS584" i="1" s="1"/>
  <c r="AH584" i="1" s="1"/>
  <c r="AQ585" i="1"/>
  <c r="AS585" i="1" s="1"/>
  <c r="AQ586" i="1"/>
  <c r="AS586" i="1" s="1"/>
  <c r="AQ587" i="1"/>
  <c r="AS587" i="1" s="1"/>
  <c r="AI587" i="1" s="1"/>
  <c r="AQ588" i="1"/>
  <c r="AS588" i="1" s="1"/>
  <c r="AI588" i="1" s="1"/>
  <c r="AQ589" i="1"/>
  <c r="AS589" i="1" s="1"/>
  <c r="AI589" i="1" s="1"/>
  <c r="AQ590" i="1"/>
  <c r="AS590" i="1" s="1"/>
  <c r="AQ591" i="1"/>
  <c r="AS591" i="1" s="1"/>
  <c r="AI591" i="1" s="1"/>
  <c r="AQ592" i="1"/>
  <c r="AS592" i="1" s="1"/>
  <c r="AI592" i="1" s="1"/>
  <c r="AQ593" i="1"/>
  <c r="AS593" i="1" s="1"/>
  <c r="AQ594" i="1"/>
  <c r="AS594" i="1" s="1"/>
  <c r="AQ595" i="1"/>
  <c r="AS595" i="1" s="1"/>
  <c r="AQ596" i="1"/>
  <c r="AS596" i="1" s="1"/>
  <c r="AI596" i="1" s="1"/>
  <c r="AQ597" i="1"/>
  <c r="AS597" i="1" s="1"/>
  <c r="AQ598" i="1"/>
  <c r="AS598" i="1" s="1"/>
  <c r="AI598" i="1" s="1"/>
  <c r="AQ599" i="1"/>
  <c r="AS599" i="1" s="1"/>
  <c r="AQ600" i="1"/>
  <c r="AS600" i="1" s="1"/>
  <c r="AQ601" i="1"/>
  <c r="AS601" i="1" s="1"/>
  <c r="AQ602" i="1"/>
  <c r="AS602" i="1" s="1"/>
  <c r="AH602" i="1" s="1"/>
  <c r="AQ603" i="1"/>
  <c r="AS603" i="1" s="1"/>
  <c r="AH603" i="1" s="1"/>
  <c r="AQ604" i="1"/>
  <c r="AS604" i="1" s="1"/>
  <c r="AQ605" i="1"/>
  <c r="AS605" i="1" s="1"/>
  <c r="AI605" i="1" s="1"/>
  <c r="AQ606" i="1"/>
  <c r="AS606" i="1" s="1"/>
  <c r="AI606" i="1" s="1"/>
  <c r="AQ607" i="1"/>
  <c r="AS607" i="1" s="1"/>
  <c r="AQ608" i="1"/>
  <c r="AS608" i="1" s="1"/>
  <c r="AI608" i="1" s="1"/>
  <c r="AQ609" i="1"/>
  <c r="AS609" i="1" s="1"/>
  <c r="AI609" i="1" s="1"/>
  <c r="AQ610" i="1"/>
  <c r="AS610" i="1" s="1"/>
  <c r="AQ611" i="1"/>
  <c r="AS611" i="1" s="1"/>
  <c r="AQ612" i="1"/>
  <c r="AS612" i="1" s="1"/>
  <c r="AQ613" i="1"/>
  <c r="AS613" i="1" s="1"/>
  <c r="AQ614" i="1"/>
  <c r="AS614" i="1" s="1"/>
  <c r="AQ615" i="1"/>
  <c r="AS615" i="1" s="1"/>
  <c r="AI615" i="1" s="1"/>
  <c r="AQ616" i="1"/>
  <c r="AS616" i="1" s="1"/>
  <c r="AQ617" i="1"/>
  <c r="AS617" i="1" s="1"/>
  <c r="AQ618" i="1"/>
  <c r="AS618" i="1" s="1"/>
  <c r="AQ619" i="1"/>
  <c r="AS619" i="1" s="1"/>
  <c r="AH619" i="1" s="1"/>
  <c r="AQ620" i="1"/>
  <c r="AS620" i="1" s="1"/>
  <c r="AH620" i="1" s="1"/>
  <c r="AQ621" i="1"/>
  <c r="AS621" i="1" s="1"/>
  <c r="AQ622" i="1"/>
  <c r="AS622" i="1" s="1"/>
  <c r="AQ623" i="1"/>
  <c r="AS623" i="1" s="1"/>
  <c r="AI623" i="1" s="1"/>
  <c r="AQ624" i="1"/>
  <c r="AS624" i="1" s="1"/>
  <c r="AH624" i="1" s="1"/>
  <c r="AQ625" i="1"/>
  <c r="AS625" i="1" s="1"/>
  <c r="AI625" i="1" s="1"/>
  <c r="AQ626" i="1"/>
  <c r="AS626" i="1" s="1"/>
  <c r="AH626" i="1" s="1"/>
  <c r="AQ627" i="1"/>
  <c r="AS627" i="1" s="1"/>
  <c r="AQ628" i="1"/>
  <c r="AS628" i="1" s="1"/>
  <c r="AQ629" i="1"/>
  <c r="AS629" i="1" s="1"/>
  <c r="AQ630" i="1"/>
  <c r="AS630" i="1" s="1"/>
  <c r="AI630" i="1" s="1"/>
  <c r="AQ631" i="1"/>
  <c r="AS631" i="1" s="1"/>
  <c r="AQ632" i="1"/>
  <c r="AS632" i="1" s="1"/>
  <c r="AQ633" i="1"/>
  <c r="AS633" i="1" s="1"/>
  <c r="AQ634" i="1"/>
  <c r="AS634" i="1" s="1"/>
  <c r="AQ635" i="1"/>
  <c r="AS635" i="1" s="1"/>
  <c r="AH635" i="1" s="1"/>
  <c r="AQ636" i="1"/>
  <c r="AS636" i="1" s="1"/>
  <c r="AH636" i="1" s="1"/>
  <c r="AQ637" i="1"/>
  <c r="AS637" i="1" s="1"/>
  <c r="AH637" i="1" s="1"/>
  <c r="AQ638" i="1"/>
  <c r="AS638" i="1" s="1"/>
  <c r="AQ639" i="1"/>
  <c r="AS639" i="1" s="1"/>
  <c r="AH639" i="1" s="1"/>
  <c r="AQ640" i="1"/>
  <c r="AS640" i="1" s="1"/>
  <c r="AQ641" i="1"/>
  <c r="AS641" i="1" s="1"/>
  <c r="AQ642" i="1"/>
  <c r="AS642" i="1" s="1"/>
  <c r="AH642" i="1" s="1"/>
  <c r="AQ643" i="1"/>
  <c r="AS643" i="1" s="1"/>
  <c r="AI643" i="1" s="1"/>
  <c r="AQ644" i="1"/>
  <c r="AS644" i="1" s="1"/>
  <c r="AQ645" i="1"/>
  <c r="AS645" i="1" s="1"/>
  <c r="AQ646" i="1"/>
  <c r="AS646" i="1" s="1"/>
  <c r="AQ647" i="1"/>
  <c r="AS647" i="1" s="1"/>
  <c r="AI647" i="1" s="1"/>
  <c r="AQ648" i="1"/>
  <c r="AS648" i="1" s="1"/>
  <c r="AH648" i="1" s="1"/>
  <c r="AQ649" i="1"/>
  <c r="AS649" i="1" s="1"/>
  <c r="AQ650" i="1"/>
  <c r="AS650" i="1" s="1"/>
  <c r="AQ651" i="1"/>
  <c r="AS651" i="1" s="1"/>
  <c r="AQ652" i="1"/>
  <c r="AS652" i="1" s="1"/>
  <c r="AI652" i="1" s="1"/>
  <c r="AQ653" i="1"/>
  <c r="AS653" i="1" s="1"/>
  <c r="AH653" i="1" s="1"/>
  <c r="AQ654" i="1"/>
  <c r="AS654" i="1" s="1"/>
  <c r="AQ655" i="1"/>
  <c r="AS655" i="1" s="1"/>
  <c r="AH655" i="1" s="1"/>
  <c r="AQ656" i="1"/>
  <c r="AS656" i="1" s="1"/>
  <c r="AH656" i="1" s="1"/>
  <c r="AQ657" i="1"/>
  <c r="AS657" i="1" s="1"/>
  <c r="AQ658" i="1"/>
  <c r="AS658" i="1" s="1"/>
  <c r="AQ659" i="1"/>
  <c r="AS659" i="1" s="1"/>
  <c r="AI659" i="1" s="1"/>
  <c r="AQ660" i="1"/>
  <c r="AS660" i="1" s="1"/>
  <c r="AQ661" i="1"/>
  <c r="AS661" i="1" s="1"/>
  <c r="AQ662" i="1"/>
  <c r="AS662" i="1" s="1"/>
  <c r="AQ663" i="1"/>
  <c r="AS663" i="1" s="1"/>
  <c r="AI663" i="1" s="1"/>
  <c r="AQ664" i="1"/>
  <c r="AS664" i="1" s="1"/>
  <c r="AQ665" i="1"/>
  <c r="AS665" i="1" s="1"/>
  <c r="AQ666" i="1"/>
  <c r="AS666" i="1" s="1"/>
  <c r="AQ667" i="1"/>
  <c r="AS667" i="1" s="1"/>
  <c r="AQ668" i="1"/>
  <c r="AS668" i="1" s="1"/>
  <c r="AH668" i="1" s="1"/>
  <c r="AQ669" i="1"/>
  <c r="AS669" i="1" s="1"/>
  <c r="AH669" i="1" s="1"/>
  <c r="AQ670" i="1"/>
  <c r="AS670" i="1" s="1"/>
  <c r="AQ671" i="1"/>
  <c r="AS671" i="1" s="1"/>
  <c r="AQ672" i="1"/>
  <c r="AS672" i="1" s="1"/>
  <c r="AQ673" i="1"/>
  <c r="AS673" i="1" s="1"/>
  <c r="AQ674" i="1"/>
  <c r="AS674" i="1" s="1"/>
  <c r="AH674" i="1" s="1"/>
  <c r="AQ675" i="1"/>
  <c r="AS675" i="1" s="1"/>
  <c r="AI675" i="1" s="1"/>
  <c r="AQ676" i="1"/>
  <c r="AS676" i="1" s="1"/>
  <c r="AQ677" i="1"/>
  <c r="AS677" i="1" s="1"/>
  <c r="AQ678" i="1"/>
  <c r="AS678" i="1" s="1"/>
  <c r="AQ679" i="1"/>
  <c r="AS679" i="1" s="1"/>
  <c r="AI679" i="1" s="1"/>
  <c r="AQ680" i="1"/>
  <c r="AS680" i="1" s="1"/>
  <c r="AH680" i="1" s="1"/>
  <c r="AQ681" i="1"/>
  <c r="AS681" i="1" s="1"/>
  <c r="AQ682" i="1"/>
  <c r="AS682" i="1" s="1"/>
  <c r="AQ683" i="1"/>
  <c r="AS683" i="1" s="1"/>
  <c r="AQ684" i="1"/>
  <c r="AS684" i="1" s="1"/>
  <c r="AI684" i="1" s="1"/>
  <c r="AQ685" i="1"/>
  <c r="AS685" i="1" s="1"/>
  <c r="AI685" i="1" s="1"/>
  <c r="AQ686" i="1"/>
  <c r="AS686" i="1" s="1"/>
  <c r="AQ687" i="1"/>
  <c r="AS687" i="1" s="1"/>
  <c r="AQ688" i="1"/>
  <c r="AS688" i="1" s="1"/>
  <c r="AI688" i="1" s="1"/>
  <c r="AQ689" i="1"/>
  <c r="AS689" i="1" s="1"/>
  <c r="AQ690" i="1"/>
  <c r="AS690" i="1" s="1"/>
  <c r="AQ691" i="1"/>
  <c r="AS691" i="1" s="1"/>
  <c r="AI691" i="1" s="1"/>
  <c r="AQ692" i="1"/>
  <c r="AS692" i="1" s="1"/>
  <c r="AQ693" i="1"/>
  <c r="AS693" i="1" s="1"/>
  <c r="AQ694" i="1"/>
  <c r="AS694" i="1" s="1"/>
  <c r="AQ695" i="1"/>
  <c r="AS695" i="1" s="1"/>
  <c r="AH695" i="1" s="1"/>
  <c r="AQ696" i="1"/>
  <c r="AS696" i="1" s="1"/>
  <c r="AH696" i="1" s="1"/>
  <c r="AQ697" i="1"/>
  <c r="AS697" i="1" s="1"/>
  <c r="AQ698" i="1"/>
  <c r="AS698" i="1" s="1"/>
  <c r="AQ699" i="1"/>
  <c r="AS699" i="1" s="1"/>
  <c r="AQ700" i="1"/>
  <c r="AS700" i="1" s="1"/>
  <c r="AI700" i="1" s="1"/>
  <c r="AQ701" i="1"/>
  <c r="AS701" i="1" s="1"/>
  <c r="AI701" i="1" s="1"/>
  <c r="AQ702" i="1"/>
  <c r="AS702" i="1" s="1"/>
  <c r="AQ703" i="1"/>
  <c r="AS703" i="1" s="1"/>
  <c r="AQ704" i="1"/>
  <c r="AS704" i="1" s="1"/>
  <c r="AI704" i="1" s="1"/>
  <c r="AQ705" i="1"/>
  <c r="AS705" i="1" s="1"/>
  <c r="AQ706" i="1"/>
  <c r="AS706" i="1" s="1"/>
  <c r="AH706" i="1" s="1"/>
  <c r="AQ707" i="1"/>
  <c r="AS707" i="1" s="1"/>
  <c r="AI707" i="1" s="1"/>
  <c r="AQ708" i="1"/>
  <c r="AS708" i="1" s="1"/>
  <c r="AQ709" i="1"/>
  <c r="AS709" i="1" s="1"/>
  <c r="AQ710" i="1"/>
  <c r="AS710" i="1" s="1"/>
  <c r="AQ711" i="1"/>
  <c r="AS711" i="1" s="1"/>
  <c r="AH711" i="1" s="1"/>
  <c r="AQ712" i="1"/>
  <c r="AS712" i="1" s="1"/>
  <c r="AH712" i="1" s="1"/>
  <c r="AQ713" i="1"/>
  <c r="AS713" i="1" s="1"/>
  <c r="AQ714" i="1"/>
  <c r="AS714" i="1" s="1"/>
  <c r="AQ715" i="1"/>
  <c r="AS715" i="1" s="1"/>
  <c r="AQ716" i="1"/>
  <c r="AS716" i="1" s="1"/>
  <c r="AI716" i="1" s="1"/>
  <c r="AQ717" i="1"/>
  <c r="AS717" i="1" s="1"/>
  <c r="AI717" i="1" s="1"/>
  <c r="AQ718" i="1"/>
  <c r="AS718" i="1" s="1"/>
  <c r="AQ719" i="1"/>
  <c r="AS719" i="1" s="1"/>
  <c r="AI719" i="1" s="1"/>
  <c r="AQ720" i="1"/>
  <c r="AS720" i="1" s="1"/>
  <c r="AI720" i="1" s="1"/>
  <c r="AQ721" i="1"/>
  <c r="AS721" i="1" s="1"/>
  <c r="AH721" i="1" s="1"/>
  <c r="AQ722" i="1"/>
  <c r="AS722" i="1" s="1"/>
  <c r="AH722" i="1" s="1"/>
  <c r="AQ723" i="1"/>
  <c r="AS723" i="1" s="1"/>
  <c r="AI723" i="1" s="1"/>
  <c r="AQ724" i="1"/>
  <c r="AS724" i="1" s="1"/>
  <c r="AH724" i="1" s="1"/>
  <c r="AQ725" i="1"/>
  <c r="AS725" i="1" s="1"/>
  <c r="AH725" i="1" s="1"/>
  <c r="AQ726" i="1"/>
  <c r="AS726" i="1" s="1"/>
  <c r="AH726" i="1" s="1"/>
  <c r="AQ727" i="1"/>
  <c r="AS727" i="1" s="1"/>
  <c r="AI727" i="1" s="1"/>
  <c r="AQ728" i="1"/>
  <c r="AS728" i="1" s="1"/>
  <c r="AQ729" i="1"/>
  <c r="AS729" i="1" s="1"/>
  <c r="AI729" i="1" s="1"/>
  <c r="AQ730" i="1"/>
  <c r="AS730" i="1" s="1"/>
  <c r="AQ731" i="1"/>
  <c r="AS731" i="1" s="1"/>
  <c r="AI731" i="1" s="1"/>
  <c r="AQ732" i="1"/>
  <c r="AS732" i="1" s="1"/>
  <c r="AI732" i="1" s="1"/>
  <c r="AQ733" i="1"/>
  <c r="AS733" i="1" s="1"/>
  <c r="AI733" i="1" s="1"/>
  <c r="AQ734" i="1"/>
  <c r="AS734" i="1" s="1"/>
  <c r="AI734" i="1" s="1"/>
  <c r="AQ735" i="1"/>
  <c r="AS735" i="1" s="1"/>
  <c r="AI735" i="1" s="1"/>
  <c r="AQ736" i="1"/>
  <c r="AS736" i="1" s="1"/>
  <c r="AI736" i="1" s="1"/>
  <c r="AQ737" i="1"/>
  <c r="AS737" i="1" s="1"/>
  <c r="AH737" i="1" s="1"/>
  <c r="AQ738" i="1"/>
  <c r="AS738" i="1" s="1"/>
  <c r="AI738" i="1" s="1"/>
  <c r="AQ739" i="1"/>
  <c r="AS739" i="1" s="1"/>
  <c r="AI739" i="1" s="1"/>
  <c r="AQ740" i="1"/>
  <c r="AS740" i="1" s="1"/>
  <c r="AI740" i="1" s="1"/>
  <c r="AQ741" i="1"/>
  <c r="AS741" i="1" s="1"/>
  <c r="AI741" i="1" s="1"/>
  <c r="AQ742" i="1"/>
  <c r="AS742" i="1" s="1"/>
  <c r="AH742" i="1" s="1"/>
  <c r="AQ743" i="1"/>
  <c r="AS743" i="1" s="1"/>
  <c r="AI743" i="1" s="1"/>
  <c r="AQ744" i="1"/>
  <c r="AS744" i="1" s="1"/>
  <c r="AI744" i="1" s="1"/>
  <c r="AQ745" i="1"/>
  <c r="AS745" i="1" s="1"/>
  <c r="AQ746" i="1"/>
  <c r="AS746" i="1" s="1"/>
  <c r="AQ747" i="1"/>
  <c r="AS747" i="1" s="1"/>
  <c r="AH747" i="1" s="1"/>
  <c r="AQ748" i="1"/>
  <c r="AS748" i="1" s="1"/>
  <c r="AI748" i="1" s="1"/>
  <c r="AQ749" i="1"/>
  <c r="AS749" i="1" s="1"/>
  <c r="AQ750" i="1"/>
  <c r="AS750" i="1" s="1"/>
  <c r="AQ751" i="1"/>
  <c r="AS751" i="1" s="1"/>
  <c r="AI751" i="1" s="1"/>
  <c r="AQ752" i="1"/>
  <c r="AS752" i="1" s="1"/>
  <c r="AI752" i="1" s="1"/>
  <c r="AQ753" i="1"/>
  <c r="AS753" i="1" s="1"/>
  <c r="AH753" i="1" s="1"/>
  <c r="AQ754" i="1"/>
  <c r="AS754" i="1" s="1"/>
  <c r="AH754" i="1" s="1"/>
  <c r="AQ755" i="1"/>
  <c r="AS755" i="1" s="1"/>
  <c r="AI755" i="1" s="1"/>
  <c r="AQ756" i="1"/>
  <c r="AS756" i="1" s="1"/>
  <c r="AH756" i="1" s="1"/>
  <c r="AQ757" i="1"/>
  <c r="AS757" i="1" s="1"/>
  <c r="AI757" i="1" s="1"/>
  <c r="AQ758" i="1"/>
  <c r="AS758" i="1" s="1"/>
  <c r="AH758" i="1" s="1"/>
  <c r="AQ759" i="1"/>
  <c r="AS759" i="1" s="1"/>
  <c r="AQ760" i="1"/>
  <c r="AS760" i="1" s="1"/>
  <c r="AI760" i="1" s="1"/>
  <c r="AQ761" i="1"/>
  <c r="AS761" i="1" s="1"/>
  <c r="AI761" i="1" s="1"/>
  <c r="AQ762" i="1"/>
  <c r="AS762" i="1" s="1"/>
  <c r="AQ763" i="1"/>
  <c r="AS763" i="1" s="1"/>
  <c r="AH763" i="1" s="1"/>
  <c r="AQ764" i="1"/>
  <c r="AS764" i="1" s="1"/>
  <c r="AI764" i="1" s="1"/>
  <c r="AQ765" i="1"/>
  <c r="AS765" i="1" s="1"/>
  <c r="AI765" i="1" s="1"/>
  <c r="AQ766" i="1"/>
  <c r="AS766" i="1" s="1"/>
  <c r="AI766" i="1" s="1"/>
  <c r="AQ767" i="1"/>
  <c r="AS767" i="1" s="1"/>
  <c r="AI767" i="1" s="1"/>
  <c r="AQ768" i="1"/>
  <c r="AS768" i="1" s="1"/>
  <c r="AI768" i="1" s="1"/>
  <c r="AQ769" i="1"/>
  <c r="AS769" i="1" s="1"/>
  <c r="AH769" i="1" s="1"/>
  <c r="AR3" i="1"/>
  <c r="AT3" i="1" s="1"/>
  <c r="AR4" i="1"/>
  <c r="AT4" i="1" s="1"/>
  <c r="AR5" i="1"/>
  <c r="AT5" i="1" s="1"/>
  <c r="AR6" i="1"/>
  <c r="AT6" i="1" s="1"/>
  <c r="AR7" i="1"/>
  <c r="AT7" i="1" s="1"/>
  <c r="AR8" i="1"/>
  <c r="AT8" i="1" s="1"/>
  <c r="AR9" i="1"/>
  <c r="AT9" i="1" s="1"/>
  <c r="AR10" i="1"/>
  <c r="AT10" i="1" s="1"/>
  <c r="AR11" i="1"/>
  <c r="AT11" i="1" s="1"/>
  <c r="AR12" i="1"/>
  <c r="AT12" i="1" s="1"/>
  <c r="AR13" i="1"/>
  <c r="AT13" i="1" s="1"/>
  <c r="AR14" i="1"/>
  <c r="AT14" i="1" s="1"/>
  <c r="AR15" i="1"/>
  <c r="AT15" i="1" s="1"/>
  <c r="AR16" i="1"/>
  <c r="AT16" i="1" s="1"/>
  <c r="AR17" i="1"/>
  <c r="AT17" i="1" s="1"/>
  <c r="AR18" i="1"/>
  <c r="AT18" i="1" s="1"/>
  <c r="AR19" i="1"/>
  <c r="AT19" i="1" s="1"/>
  <c r="AR20" i="1"/>
  <c r="AT20" i="1" s="1"/>
  <c r="AR21" i="1"/>
  <c r="AT21" i="1" s="1"/>
  <c r="AR22" i="1"/>
  <c r="AT22" i="1" s="1"/>
  <c r="AR23" i="1"/>
  <c r="AT23" i="1" s="1"/>
  <c r="AR24" i="1"/>
  <c r="AT24" i="1" s="1"/>
  <c r="AR25" i="1"/>
  <c r="AT25" i="1" s="1"/>
  <c r="AR26" i="1"/>
  <c r="AT26" i="1" s="1"/>
  <c r="AR27" i="1"/>
  <c r="AT27" i="1" s="1"/>
  <c r="AR28" i="1"/>
  <c r="AT28" i="1" s="1"/>
  <c r="AR29" i="1"/>
  <c r="AT29" i="1" s="1"/>
  <c r="AR30" i="1"/>
  <c r="AT30" i="1" s="1"/>
  <c r="AR31" i="1"/>
  <c r="AT31" i="1" s="1"/>
  <c r="AR32" i="1"/>
  <c r="AT32" i="1" s="1"/>
  <c r="AR33" i="1"/>
  <c r="AT33" i="1" s="1"/>
  <c r="AR34" i="1"/>
  <c r="AT34" i="1" s="1"/>
  <c r="AR35" i="1"/>
  <c r="AT35" i="1" s="1"/>
  <c r="AR36" i="1"/>
  <c r="AT36" i="1" s="1"/>
  <c r="AR37" i="1"/>
  <c r="AT37" i="1" s="1"/>
  <c r="AR38" i="1"/>
  <c r="AT38" i="1" s="1"/>
  <c r="AR39" i="1"/>
  <c r="AT39" i="1" s="1"/>
  <c r="AR40" i="1"/>
  <c r="AT40" i="1" s="1"/>
  <c r="AR41" i="1"/>
  <c r="AT41" i="1" s="1"/>
  <c r="AR42" i="1"/>
  <c r="AT42" i="1" s="1"/>
  <c r="AR43" i="1"/>
  <c r="AT43" i="1" s="1"/>
  <c r="AR44" i="1"/>
  <c r="AT44" i="1" s="1"/>
  <c r="AR45" i="1"/>
  <c r="AT45" i="1" s="1"/>
  <c r="AR46" i="1"/>
  <c r="AT46" i="1" s="1"/>
  <c r="AR47" i="1"/>
  <c r="AT47" i="1" s="1"/>
  <c r="AR48" i="1"/>
  <c r="AT48" i="1" s="1"/>
  <c r="AR49" i="1"/>
  <c r="AT49" i="1" s="1"/>
  <c r="AR50" i="1"/>
  <c r="AT50" i="1" s="1"/>
  <c r="AR51" i="1"/>
  <c r="AT51" i="1" s="1"/>
  <c r="AR52" i="1"/>
  <c r="AT52" i="1" s="1"/>
  <c r="AR53" i="1"/>
  <c r="AT53" i="1" s="1"/>
  <c r="AR54" i="1"/>
  <c r="AT54" i="1" s="1"/>
  <c r="AR55" i="1"/>
  <c r="AT55" i="1" s="1"/>
  <c r="AR56" i="1"/>
  <c r="AT56" i="1" s="1"/>
  <c r="AR57" i="1"/>
  <c r="AT57" i="1" s="1"/>
  <c r="AR58" i="1"/>
  <c r="AT58" i="1" s="1"/>
  <c r="AR59" i="1"/>
  <c r="AT59" i="1" s="1"/>
  <c r="AR60" i="1"/>
  <c r="AT60" i="1" s="1"/>
  <c r="AR61" i="1"/>
  <c r="AT61" i="1" s="1"/>
  <c r="AR62" i="1"/>
  <c r="AT62" i="1" s="1"/>
  <c r="AR63" i="1"/>
  <c r="AT63" i="1" s="1"/>
  <c r="AR64" i="1"/>
  <c r="AT64" i="1" s="1"/>
  <c r="AR65" i="1"/>
  <c r="AT65" i="1" s="1"/>
  <c r="AR66" i="1"/>
  <c r="AT66" i="1" s="1"/>
  <c r="AR67" i="1"/>
  <c r="AT67" i="1" s="1"/>
  <c r="AR68" i="1"/>
  <c r="AT68" i="1" s="1"/>
  <c r="AR69" i="1"/>
  <c r="AT69" i="1" s="1"/>
  <c r="AR70" i="1"/>
  <c r="AT70" i="1" s="1"/>
  <c r="AR71" i="1"/>
  <c r="AT71" i="1" s="1"/>
  <c r="AR72" i="1"/>
  <c r="AT72" i="1" s="1"/>
  <c r="AR73" i="1"/>
  <c r="AT73" i="1" s="1"/>
  <c r="AR74" i="1"/>
  <c r="AT74" i="1" s="1"/>
  <c r="AR75" i="1"/>
  <c r="AT75" i="1" s="1"/>
  <c r="AR76" i="1"/>
  <c r="AT76" i="1" s="1"/>
  <c r="AR77" i="1"/>
  <c r="AT77" i="1" s="1"/>
  <c r="AR78" i="1"/>
  <c r="AT78" i="1" s="1"/>
  <c r="AR79" i="1"/>
  <c r="AT79" i="1" s="1"/>
  <c r="AR80" i="1"/>
  <c r="AT80" i="1" s="1"/>
  <c r="AR81" i="1"/>
  <c r="AT81" i="1" s="1"/>
  <c r="AR82" i="1"/>
  <c r="AT82" i="1" s="1"/>
  <c r="AR83" i="1"/>
  <c r="AT83" i="1" s="1"/>
  <c r="AR84" i="1"/>
  <c r="AT84" i="1" s="1"/>
  <c r="AR85" i="1"/>
  <c r="AT85" i="1" s="1"/>
  <c r="AR86" i="1"/>
  <c r="AT86" i="1" s="1"/>
  <c r="AR87" i="1"/>
  <c r="AT87" i="1" s="1"/>
  <c r="AR88" i="1"/>
  <c r="AT88" i="1" s="1"/>
  <c r="AR89" i="1"/>
  <c r="AT89" i="1" s="1"/>
  <c r="AR90" i="1"/>
  <c r="AT90" i="1" s="1"/>
  <c r="AR91" i="1"/>
  <c r="AT91" i="1" s="1"/>
  <c r="AR92" i="1"/>
  <c r="AT92" i="1" s="1"/>
  <c r="AR93" i="1"/>
  <c r="AT93" i="1" s="1"/>
  <c r="AR94" i="1"/>
  <c r="AT94" i="1" s="1"/>
  <c r="AR95" i="1"/>
  <c r="AT95" i="1" s="1"/>
  <c r="AR96" i="1"/>
  <c r="AT96" i="1" s="1"/>
  <c r="AR97" i="1"/>
  <c r="AT97" i="1" s="1"/>
  <c r="AR98" i="1"/>
  <c r="AT98" i="1" s="1"/>
  <c r="AR99" i="1"/>
  <c r="AT99" i="1" s="1"/>
  <c r="AR100" i="1"/>
  <c r="AT100" i="1" s="1"/>
  <c r="AR101" i="1"/>
  <c r="AT101" i="1" s="1"/>
  <c r="AR102" i="1"/>
  <c r="AT102" i="1" s="1"/>
  <c r="AR103" i="1"/>
  <c r="AT103" i="1" s="1"/>
  <c r="AR104" i="1"/>
  <c r="AT104" i="1" s="1"/>
  <c r="AR105" i="1"/>
  <c r="AT105" i="1" s="1"/>
  <c r="AR106" i="1"/>
  <c r="AT106" i="1" s="1"/>
  <c r="AR107" i="1"/>
  <c r="AT107" i="1" s="1"/>
  <c r="AR108" i="1"/>
  <c r="AT108" i="1" s="1"/>
  <c r="AR109" i="1"/>
  <c r="AT109" i="1" s="1"/>
  <c r="AR110" i="1"/>
  <c r="AT110" i="1" s="1"/>
  <c r="AR111" i="1"/>
  <c r="AT111" i="1" s="1"/>
  <c r="AR112" i="1"/>
  <c r="AT112" i="1" s="1"/>
  <c r="AR113" i="1"/>
  <c r="AT113" i="1" s="1"/>
  <c r="AR114" i="1"/>
  <c r="AT114" i="1" s="1"/>
  <c r="AR115" i="1"/>
  <c r="AT115" i="1" s="1"/>
  <c r="AR116" i="1"/>
  <c r="AT116" i="1" s="1"/>
  <c r="AR117" i="1"/>
  <c r="AT117" i="1" s="1"/>
  <c r="AR118" i="1"/>
  <c r="AT118" i="1" s="1"/>
  <c r="AR119" i="1"/>
  <c r="AT119" i="1" s="1"/>
  <c r="AR120" i="1"/>
  <c r="AT120" i="1" s="1"/>
  <c r="AR121" i="1"/>
  <c r="AT121" i="1" s="1"/>
  <c r="AR122" i="1"/>
  <c r="AT122" i="1" s="1"/>
  <c r="AR123" i="1"/>
  <c r="AT123" i="1" s="1"/>
  <c r="AR124" i="1"/>
  <c r="AT124" i="1" s="1"/>
  <c r="AR125" i="1"/>
  <c r="AT125" i="1" s="1"/>
  <c r="AR126" i="1"/>
  <c r="AT126" i="1" s="1"/>
  <c r="AR127" i="1"/>
  <c r="AT127" i="1" s="1"/>
  <c r="AR128" i="1"/>
  <c r="AT128" i="1" s="1"/>
  <c r="AR129" i="1"/>
  <c r="AT129" i="1" s="1"/>
  <c r="AR130" i="1"/>
  <c r="AT130" i="1" s="1"/>
  <c r="AR131" i="1"/>
  <c r="AT131" i="1" s="1"/>
  <c r="AR132" i="1"/>
  <c r="AT132" i="1" s="1"/>
  <c r="AR133" i="1"/>
  <c r="AT133" i="1" s="1"/>
  <c r="AR134" i="1"/>
  <c r="AT134" i="1" s="1"/>
  <c r="AR135" i="1"/>
  <c r="AT135" i="1" s="1"/>
  <c r="AR136" i="1"/>
  <c r="AT136" i="1" s="1"/>
  <c r="AR137" i="1"/>
  <c r="AT137" i="1" s="1"/>
  <c r="AR138" i="1"/>
  <c r="AT138" i="1" s="1"/>
  <c r="AR139" i="1"/>
  <c r="AT139" i="1" s="1"/>
  <c r="AR140" i="1"/>
  <c r="AT140" i="1" s="1"/>
  <c r="AR141" i="1"/>
  <c r="AT141" i="1" s="1"/>
  <c r="AR142" i="1"/>
  <c r="AT142" i="1" s="1"/>
  <c r="AR143" i="1"/>
  <c r="AT143" i="1" s="1"/>
  <c r="AR144" i="1"/>
  <c r="AT144" i="1" s="1"/>
  <c r="AR145" i="1"/>
  <c r="AT145" i="1" s="1"/>
  <c r="AR146" i="1"/>
  <c r="AT146" i="1" s="1"/>
  <c r="AR147" i="1"/>
  <c r="AT147" i="1" s="1"/>
  <c r="AR148" i="1"/>
  <c r="AT148" i="1" s="1"/>
  <c r="AR149" i="1"/>
  <c r="AT149" i="1" s="1"/>
  <c r="AR150" i="1"/>
  <c r="AT150" i="1" s="1"/>
  <c r="AR151" i="1"/>
  <c r="AT151" i="1" s="1"/>
  <c r="AR152" i="1"/>
  <c r="AT152" i="1" s="1"/>
  <c r="AR153" i="1"/>
  <c r="AT153" i="1" s="1"/>
  <c r="AR154" i="1"/>
  <c r="AT154" i="1" s="1"/>
  <c r="AR155" i="1"/>
  <c r="AT155" i="1" s="1"/>
  <c r="AR156" i="1"/>
  <c r="AT156" i="1" s="1"/>
  <c r="AR157" i="1"/>
  <c r="AT157" i="1" s="1"/>
  <c r="AR158" i="1"/>
  <c r="AT158" i="1" s="1"/>
  <c r="AR159" i="1"/>
  <c r="AT159" i="1" s="1"/>
  <c r="AR160" i="1"/>
  <c r="AT160" i="1" s="1"/>
  <c r="AR161" i="1"/>
  <c r="AT161" i="1" s="1"/>
  <c r="AR162" i="1"/>
  <c r="AT162" i="1" s="1"/>
  <c r="AR163" i="1"/>
  <c r="AT163" i="1" s="1"/>
  <c r="AR164" i="1"/>
  <c r="AT164" i="1" s="1"/>
  <c r="AR165" i="1"/>
  <c r="AT165" i="1" s="1"/>
  <c r="AR166" i="1"/>
  <c r="AT166" i="1" s="1"/>
  <c r="AR167" i="1"/>
  <c r="AT167" i="1" s="1"/>
  <c r="AR168" i="1"/>
  <c r="AT168" i="1" s="1"/>
  <c r="AR169" i="1"/>
  <c r="AT169" i="1" s="1"/>
  <c r="AR170" i="1"/>
  <c r="AT170" i="1" s="1"/>
  <c r="AR171" i="1"/>
  <c r="AT171" i="1" s="1"/>
  <c r="AR172" i="1"/>
  <c r="AT172" i="1" s="1"/>
  <c r="AR173" i="1"/>
  <c r="AT173" i="1" s="1"/>
  <c r="AR174" i="1"/>
  <c r="AT174" i="1" s="1"/>
  <c r="AR175" i="1"/>
  <c r="AT175" i="1" s="1"/>
  <c r="AR176" i="1"/>
  <c r="AT176" i="1" s="1"/>
  <c r="AR177" i="1"/>
  <c r="AT177" i="1" s="1"/>
  <c r="AR178" i="1"/>
  <c r="AT178" i="1" s="1"/>
  <c r="AR179" i="1"/>
  <c r="AT179" i="1" s="1"/>
  <c r="AR180" i="1"/>
  <c r="AT180" i="1" s="1"/>
  <c r="AR181" i="1"/>
  <c r="AT181" i="1" s="1"/>
  <c r="AR182" i="1"/>
  <c r="AT182" i="1" s="1"/>
  <c r="AR183" i="1"/>
  <c r="AT183" i="1" s="1"/>
  <c r="AR184" i="1"/>
  <c r="AT184" i="1" s="1"/>
  <c r="AR185" i="1"/>
  <c r="AT185" i="1" s="1"/>
  <c r="AR186" i="1"/>
  <c r="AT186" i="1" s="1"/>
  <c r="AR187" i="1"/>
  <c r="AT187" i="1" s="1"/>
  <c r="AR188" i="1"/>
  <c r="AT188" i="1" s="1"/>
  <c r="AR189" i="1"/>
  <c r="AT189" i="1" s="1"/>
  <c r="AR190" i="1"/>
  <c r="AT190" i="1" s="1"/>
  <c r="AR191" i="1"/>
  <c r="AT191" i="1" s="1"/>
  <c r="AR192" i="1"/>
  <c r="AT192" i="1" s="1"/>
  <c r="AR193" i="1"/>
  <c r="AT193" i="1" s="1"/>
  <c r="AR194" i="1"/>
  <c r="AT194" i="1" s="1"/>
  <c r="AR195" i="1"/>
  <c r="AT195" i="1" s="1"/>
  <c r="AR196" i="1"/>
  <c r="AT196" i="1" s="1"/>
  <c r="AR197" i="1"/>
  <c r="AT197" i="1" s="1"/>
  <c r="AR198" i="1"/>
  <c r="AT198" i="1" s="1"/>
  <c r="AR199" i="1"/>
  <c r="AT199" i="1" s="1"/>
  <c r="AR200" i="1"/>
  <c r="AT200" i="1" s="1"/>
  <c r="AR201" i="1"/>
  <c r="AT201" i="1" s="1"/>
  <c r="AR202" i="1"/>
  <c r="AT202" i="1" s="1"/>
  <c r="AR203" i="1"/>
  <c r="AT203" i="1" s="1"/>
  <c r="AR204" i="1"/>
  <c r="AT204" i="1" s="1"/>
  <c r="AR205" i="1"/>
  <c r="AT205" i="1" s="1"/>
  <c r="AR206" i="1"/>
  <c r="AT206" i="1" s="1"/>
  <c r="AR207" i="1"/>
  <c r="AT207" i="1" s="1"/>
  <c r="AR208" i="1"/>
  <c r="AT208" i="1" s="1"/>
  <c r="AR209" i="1"/>
  <c r="AT209" i="1" s="1"/>
  <c r="AR210" i="1"/>
  <c r="AT210" i="1" s="1"/>
  <c r="AR211" i="1"/>
  <c r="AT211" i="1" s="1"/>
  <c r="AR212" i="1"/>
  <c r="AT212" i="1" s="1"/>
  <c r="AR213" i="1"/>
  <c r="AT213" i="1" s="1"/>
  <c r="AR214" i="1"/>
  <c r="AT214" i="1" s="1"/>
  <c r="AR215" i="1"/>
  <c r="AT215" i="1" s="1"/>
  <c r="AR216" i="1"/>
  <c r="AT216" i="1" s="1"/>
  <c r="AR217" i="1"/>
  <c r="AT217" i="1" s="1"/>
  <c r="AR218" i="1"/>
  <c r="AT218" i="1" s="1"/>
  <c r="AR219" i="1"/>
  <c r="AT219" i="1" s="1"/>
  <c r="AR220" i="1"/>
  <c r="AT220" i="1" s="1"/>
  <c r="AR221" i="1"/>
  <c r="AT221" i="1" s="1"/>
  <c r="AR222" i="1"/>
  <c r="AT222" i="1" s="1"/>
  <c r="AR223" i="1"/>
  <c r="AT223" i="1" s="1"/>
  <c r="AR224" i="1"/>
  <c r="AT224" i="1" s="1"/>
  <c r="AR225" i="1"/>
  <c r="AT225" i="1" s="1"/>
  <c r="AR226" i="1"/>
  <c r="AT226" i="1" s="1"/>
  <c r="AR227" i="1"/>
  <c r="AT227" i="1" s="1"/>
  <c r="AR228" i="1"/>
  <c r="AT228" i="1" s="1"/>
  <c r="AR229" i="1"/>
  <c r="AT229" i="1" s="1"/>
  <c r="AR230" i="1"/>
  <c r="AT230" i="1" s="1"/>
  <c r="AR231" i="1"/>
  <c r="AT231" i="1" s="1"/>
  <c r="AR232" i="1"/>
  <c r="AT232" i="1" s="1"/>
  <c r="AR233" i="1"/>
  <c r="AT233" i="1" s="1"/>
  <c r="AR234" i="1"/>
  <c r="AT234" i="1" s="1"/>
  <c r="AR235" i="1"/>
  <c r="AT235" i="1" s="1"/>
  <c r="AR236" i="1"/>
  <c r="AT236" i="1" s="1"/>
  <c r="AR237" i="1"/>
  <c r="AT237" i="1" s="1"/>
  <c r="AR238" i="1"/>
  <c r="AT238" i="1" s="1"/>
  <c r="AR239" i="1"/>
  <c r="AT239" i="1" s="1"/>
  <c r="AR240" i="1"/>
  <c r="AT240" i="1" s="1"/>
  <c r="AR241" i="1"/>
  <c r="AT241" i="1" s="1"/>
  <c r="AR242" i="1"/>
  <c r="AT242" i="1" s="1"/>
  <c r="AR243" i="1"/>
  <c r="AT243" i="1" s="1"/>
  <c r="AR244" i="1"/>
  <c r="AT244" i="1" s="1"/>
  <c r="AR245" i="1"/>
  <c r="AT245" i="1" s="1"/>
  <c r="AR246" i="1"/>
  <c r="AT246" i="1" s="1"/>
  <c r="AR247" i="1"/>
  <c r="AT247" i="1" s="1"/>
  <c r="AR248" i="1"/>
  <c r="AT248" i="1" s="1"/>
  <c r="AR249" i="1"/>
  <c r="AT249" i="1" s="1"/>
  <c r="AR250" i="1"/>
  <c r="AT250" i="1" s="1"/>
  <c r="AR251" i="1"/>
  <c r="AT251" i="1" s="1"/>
  <c r="AR252" i="1"/>
  <c r="AT252" i="1" s="1"/>
  <c r="AR253" i="1"/>
  <c r="AT253" i="1" s="1"/>
  <c r="AR254" i="1"/>
  <c r="AT254" i="1" s="1"/>
  <c r="AR255" i="1"/>
  <c r="AT255" i="1" s="1"/>
  <c r="AR256" i="1"/>
  <c r="AT256" i="1" s="1"/>
  <c r="AR257" i="1"/>
  <c r="AT257" i="1" s="1"/>
  <c r="AR258" i="1"/>
  <c r="AT258" i="1" s="1"/>
  <c r="AR259" i="1"/>
  <c r="AT259" i="1" s="1"/>
  <c r="AR260" i="1"/>
  <c r="AT260" i="1" s="1"/>
  <c r="AR261" i="1"/>
  <c r="AT261" i="1" s="1"/>
  <c r="AR262" i="1"/>
  <c r="AT262" i="1" s="1"/>
  <c r="AR263" i="1"/>
  <c r="AT263" i="1" s="1"/>
  <c r="AR264" i="1"/>
  <c r="AT264" i="1" s="1"/>
  <c r="AR265" i="1"/>
  <c r="AT265" i="1" s="1"/>
  <c r="AR266" i="1"/>
  <c r="AT266" i="1" s="1"/>
  <c r="AR267" i="1"/>
  <c r="AT267" i="1" s="1"/>
  <c r="AR268" i="1"/>
  <c r="AT268" i="1" s="1"/>
  <c r="AR269" i="1"/>
  <c r="AT269" i="1" s="1"/>
  <c r="AR270" i="1"/>
  <c r="AT270" i="1" s="1"/>
  <c r="AR271" i="1"/>
  <c r="AT271" i="1" s="1"/>
  <c r="AR272" i="1"/>
  <c r="AT272" i="1" s="1"/>
  <c r="AR273" i="1"/>
  <c r="AT273" i="1" s="1"/>
  <c r="AR274" i="1"/>
  <c r="AT274" i="1" s="1"/>
  <c r="AR275" i="1"/>
  <c r="AT275" i="1" s="1"/>
  <c r="AR276" i="1"/>
  <c r="AT276" i="1" s="1"/>
  <c r="AR277" i="1"/>
  <c r="AT277" i="1" s="1"/>
  <c r="AR278" i="1"/>
  <c r="AT278" i="1" s="1"/>
  <c r="AR279" i="1"/>
  <c r="AT279" i="1" s="1"/>
  <c r="AR280" i="1"/>
  <c r="AT280" i="1" s="1"/>
  <c r="AR281" i="1"/>
  <c r="AT281" i="1" s="1"/>
  <c r="AR282" i="1"/>
  <c r="AT282" i="1" s="1"/>
  <c r="AR283" i="1"/>
  <c r="AT283" i="1" s="1"/>
  <c r="AR284" i="1"/>
  <c r="AT284" i="1" s="1"/>
  <c r="AR285" i="1"/>
  <c r="AT285" i="1" s="1"/>
  <c r="AR286" i="1"/>
  <c r="AT286" i="1" s="1"/>
  <c r="AR287" i="1"/>
  <c r="AT287" i="1" s="1"/>
  <c r="AR288" i="1"/>
  <c r="AT288" i="1" s="1"/>
  <c r="AR289" i="1"/>
  <c r="AT289" i="1" s="1"/>
  <c r="AR290" i="1"/>
  <c r="AT290" i="1" s="1"/>
  <c r="AR291" i="1"/>
  <c r="AT291" i="1" s="1"/>
  <c r="AR292" i="1"/>
  <c r="AT292" i="1" s="1"/>
  <c r="AR293" i="1"/>
  <c r="AT293" i="1" s="1"/>
  <c r="AR294" i="1"/>
  <c r="AT294" i="1" s="1"/>
  <c r="AR295" i="1"/>
  <c r="AT295" i="1" s="1"/>
  <c r="AR296" i="1"/>
  <c r="AT296" i="1" s="1"/>
  <c r="AR297" i="1"/>
  <c r="AT297" i="1" s="1"/>
  <c r="AR298" i="1"/>
  <c r="AT298" i="1" s="1"/>
  <c r="AR299" i="1"/>
  <c r="AT299" i="1" s="1"/>
  <c r="AR300" i="1"/>
  <c r="AT300" i="1" s="1"/>
  <c r="AR301" i="1"/>
  <c r="AT301" i="1" s="1"/>
  <c r="AR302" i="1"/>
  <c r="AT302" i="1" s="1"/>
  <c r="AR303" i="1"/>
  <c r="AT303" i="1" s="1"/>
  <c r="AR304" i="1"/>
  <c r="AT304" i="1" s="1"/>
  <c r="AR305" i="1"/>
  <c r="AT305" i="1" s="1"/>
  <c r="AR306" i="1"/>
  <c r="AT306" i="1" s="1"/>
  <c r="AR307" i="1"/>
  <c r="AT307" i="1" s="1"/>
  <c r="AR308" i="1"/>
  <c r="AT308" i="1" s="1"/>
  <c r="AR309" i="1"/>
  <c r="AT309" i="1" s="1"/>
  <c r="AR310" i="1"/>
  <c r="AT310" i="1" s="1"/>
  <c r="AR311" i="1"/>
  <c r="AT311" i="1" s="1"/>
  <c r="AR312" i="1"/>
  <c r="AT312" i="1" s="1"/>
  <c r="AR313" i="1"/>
  <c r="AT313" i="1" s="1"/>
  <c r="AR314" i="1"/>
  <c r="AT314" i="1" s="1"/>
  <c r="AR315" i="1"/>
  <c r="AT315" i="1" s="1"/>
  <c r="AR316" i="1"/>
  <c r="AT316" i="1" s="1"/>
  <c r="AR317" i="1"/>
  <c r="AT317" i="1" s="1"/>
  <c r="AR318" i="1"/>
  <c r="AT318" i="1" s="1"/>
  <c r="AR319" i="1"/>
  <c r="AT319" i="1" s="1"/>
  <c r="AR320" i="1"/>
  <c r="AT320" i="1" s="1"/>
  <c r="AR321" i="1"/>
  <c r="AT321" i="1" s="1"/>
  <c r="AR322" i="1"/>
  <c r="AT322" i="1" s="1"/>
  <c r="AR323" i="1"/>
  <c r="AT323" i="1" s="1"/>
  <c r="AR324" i="1"/>
  <c r="AT324" i="1" s="1"/>
  <c r="AR325" i="1"/>
  <c r="AT325" i="1" s="1"/>
  <c r="AR326" i="1"/>
  <c r="AT326" i="1" s="1"/>
  <c r="AR327" i="1"/>
  <c r="AT327" i="1" s="1"/>
  <c r="AR328" i="1"/>
  <c r="AT328" i="1" s="1"/>
  <c r="AR329" i="1"/>
  <c r="AT329" i="1" s="1"/>
  <c r="AR330" i="1"/>
  <c r="AT330" i="1" s="1"/>
  <c r="AR331" i="1"/>
  <c r="AT331" i="1" s="1"/>
  <c r="AR332" i="1"/>
  <c r="AT332" i="1" s="1"/>
  <c r="AR333" i="1"/>
  <c r="AT333" i="1" s="1"/>
  <c r="AR334" i="1"/>
  <c r="AT334" i="1" s="1"/>
  <c r="AR335" i="1"/>
  <c r="AT335" i="1" s="1"/>
  <c r="AR336" i="1"/>
  <c r="AT336" i="1" s="1"/>
  <c r="AR337" i="1"/>
  <c r="AT337" i="1" s="1"/>
  <c r="AR338" i="1"/>
  <c r="AT338" i="1" s="1"/>
  <c r="AR339" i="1"/>
  <c r="AT339" i="1" s="1"/>
  <c r="AR340" i="1"/>
  <c r="AT340" i="1" s="1"/>
  <c r="AR341" i="1"/>
  <c r="AT341" i="1" s="1"/>
  <c r="AR342" i="1"/>
  <c r="AT342" i="1" s="1"/>
  <c r="AR343" i="1"/>
  <c r="AT343" i="1" s="1"/>
  <c r="AR344" i="1"/>
  <c r="AT344" i="1" s="1"/>
  <c r="AR345" i="1"/>
  <c r="AT345" i="1" s="1"/>
  <c r="AR346" i="1"/>
  <c r="AT346" i="1" s="1"/>
  <c r="AR347" i="1"/>
  <c r="AT347" i="1" s="1"/>
  <c r="AR348" i="1"/>
  <c r="AT348" i="1" s="1"/>
  <c r="AR349" i="1"/>
  <c r="AT349" i="1" s="1"/>
  <c r="AR350" i="1"/>
  <c r="AT350" i="1" s="1"/>
  <c r="AR351" i="1"/>
  <c r="AT351" i="1" s="1"/>
  <c r="AR352" i="1"/>
  <c r="AT352" i="1" s="1"/>
  <c r="AR353" i="1"/>
  <c r="AT353" i="1" s="1"/>
  <c r="AR354" i="1"/>
  <c r="AT354" i="1" s="1"/>
  <c r="AR355" i="1"/>
  <c r="AT355" i="1" s="1"/>
  <c r="AR356" i="1"/>
  <c r="AT356" i="1" s="1"/>
  <c r="AR357" i="1"/>
  <c r="AT357" i="1" s="1"/>
  <c r="AR358" i="1"/>
  <c r="AT358" i="1" s="1"/>
  <c r="AR359" i="1"/>
  <c r="AT359" i="1" s="1"/>
  <c r="AR360" i="1"/>
  <c r="AT360" i="1" s="1"/>
  <c r="AR361" i="1"/>
  <c r="AT361" i="1" s="1"/>
  <c r="AR362" i="1"/>
  <c r="AT362" i="1" s="1"/>
  <c r="AR363" i="1"/>
  <c r="AT363" i="1" s="1"/>
  <c r="AR364" i="1"/>
  <c r="AT364" i="1" s="1"/>
  <c r="AR365" i="1"/>
  <c r="AT365" i="1" s="1"/>
  <c r="AR366" i="1"/>
  <c r="AT366" i="1" s="1"/>
  <c r="AR367" i="1"/>
  <c r="AT367" i="1" s="1"/>
  <c r="AR368" i="1"/>
  <c r="AT368" i="1" s="1"/>
  <c r="AR369" i="1"/>
  <c r="AT369" i="1" s="1"/>
  <c r="AR370" i="1"/>
  <c r="AT370" i="1" s="1"/>
  <c r="AR371" i="1"/>
  <c r="AT371" i="1" s="1"/>
  <c r="AR372" i="1"/>
  <c r="AT372" i="1" s="1"/>
  <c r="AR373" i="1"/>
  <c r="AT373" i="1" s="1"/>
  <c r="AR374" i="1"/>
  <c r="AT374" i="1" s="1"/>
  <c r="AR375" i="1"/>
  <c r="AT375" i="1" s="1"/>
  <c r="AR376" i="1"/>
  <c r="AT376" i="1" s="1"/>
  <c r="AR377" i="1"/>
  <c r="AT377" i="1" s="1"/>
  <c r="AR378" i="1"/>
  <c r="AT378" i="1" s="1"/>
  <c r="AR379" i="1"/>
  <c r="AT379" i="1" s="1"/>
  <c r="AR380" i="1"/>
  <c r="AT380" i="1" s="1"/>
  <c r="AR381" i="1"/>
  <c r="AT381" i="1" s="1"/>
  <c r="AR382" i="1"/>
  <c r="AT382" i="1" s="1"/>
  <c r="AR383" i="1"/>
  <c r="AT383" i="1" s="1"/>
  <c r="AR384" i="1"/>
  <c r="AT384" i="1" s="1"/>
  <c r="AR385" i="1"/>
  <c r="AT385" i="1" s="1"/>
  <c r="AR386" i="1"/>
  <c r="AT386" i="1" s="1"/>
  <c r="AR387" i="1"/>
  <c r="AT387" i="1" s="1"/>
  <c r="AR388" i="1"/>
  <c r="AT388" i="1" s="1"/>
  <c r="AR389" i="1"/>
  <c r="AT389" i="1" s="1"/>
  <c r="AR390" i="1"/>
  <c r="AT390" i="1" s="1"/>
  <c r="AR391" i="1"/>
  <c r="AT391" i="1" s="1"/>
  <c r="AR392" i="1"/>
  <c r="AT392" i="1" s="1"/>
  <c r="AR393" i="1"/>
  <c r="AT393" i="1" s="1"/>
  <c r="AR394" i="1"/>
  <c r="AT394" i="1" s="1"/>
  <c r="AR395" i="1"/>
  <c r="AT395" i="1" s="1"/>
  <c r="AR396" i="1"/>
  <c r="AT396" i="1" s="1"/>
  <c r="AR397" i="1"/>
  <c r="AT397" i="1" s="1"/>
  <c r="AR398" i="1"/>
  <c r="AT398" i="1" s="1"/>
  <c r="AR399" i="1"/>
  <c r="AT399" i="1" s="1"/>
  <c r="AR400" i="1"/>
  <c r="AT400" i="1" s="1"/>
  <c r="AR401" i="1"/>
  <c r="AT401" i="1" s="1"/>
  <c r="AR402" i="1"/>
  <c r="AT402" i="1" s="1"/>
  <c r="AR403" i="1"/>
  <c r="AT403" i="1" s="1"/>
  <c r="AR404" i="1"/>
  <c r="AT404" i="1" s="1"/>
  <c r="AR405" i="1"/>
  <c r="AT405" i="1" s="1"/>
  <c r="AR406" i="1"/>
  <c r="AT406" i="1" s="1"/>
  <c r="AR407" i="1"/>
  <c r="AT407" i="1" s="1"/>
  <c r="AR408" i="1"/>
  <c r="AT408" i="1" s="1"/>
  <c r="AR409" i="1"/>
  <c r="AT409" i="1" s="1"/>
  <c r="AR410" i="1"/>
  <c r="AT410" i="1" s="1"/>
  <c r="AR411" i="1"/>
  <c r="AT411" i="1" s="1"/>
  <c r="AR412" i="1"/>
  <c r="AT412" i="1" s="1"/>
  <c r="AR413" i="1"/>
  <c r="AT413" i="1" s="1"/>
  <c r="AR414" i="1"/>
  <c r="AT414" i="1" s="1"/>
  <c r="AR415" i="1"/>
  <c r="AT415" i="1" s="1"/>
  <c r="AR416" i="1"/>
  <c r="AT416" i="1" s="1"/>
  <c r="AR417" i="1"/>
  <c r="AT417" i="1" s="1"/>
  <c r="AR418" i="1"/>
  <c r="AT418" i="1" s="1"/>
  <c r="AR419" i="1"/>
  <c r="AT419" i="1" s="1"/>
  <c r="AR420" i="1"/>
  <c r="AT420" i="1" s="1"/>
  <c r="AR421" i="1"/>
  <c r="AT421" i="1" s="1"/>
  <c r="AR422" i="1"/>
  <c r="AT422" i="1" s="1"/>
  <c r="AR423" i="1"/>
  <c r="AT423" i="1" s="1"/>
  <c r="AR424" i="1"/>
  <c r="AT424" i="1" s="1"/>
  <c r="AR425" i="1"/>
  <c r="AT425" i="1" s="1"/>
  <c r="AR426" i="1"/>
  <c r="AT426" i="1" s="1"/>
  <c r="AR427" i="1"/>
  <c r="AT427" i="1" s="1"/>
  <c r="AR428" i="1"/>
  <c r="AT428" i="1" s="1"/>
  <c r="AR429" i="1"/>
  <c r="AT429" i="1" s="1"/>
  <c r="AR430" i="1"/>
  <c r="AT430" i="1" s="1"/>
  <c r="AR431" i="1"/>
  <c r="AT431" i="1" s="1"/>
  <c r="AR432" i="1"/>
  <c r="AT432" i="1" s="1"/>
  <c r="AR433" i="1"/>
  <c r="AT433" i="1" s="1"/>
  <c r="AR434" i="1"/>
  <c r="AT434" i="1" s="1"/>
  <c r="AR435" i="1"/>
  <c r="AT435" i="1" s="1"/>
  <c r="AR436" i="1"/>
  <c r="AT436" i="1" s="1"/>
  <c r="AR437" i="1"/>
  <c r="AT437" i="1" s="1"/>
  <c r="AR438" i="1"/>
  <c r="AT438" i="1" s="1"/>
  <c r="AR439" i="1"/>
  <c r="AT439" i="1" s="1"/>
  <c r="AR440" i="1"/>
  <c r="AT440" i="1" s="1"/>
  <c r="AR441" i="1"/>
  <c r="AT441" i="1" s="1"/>
  <c r="AR442" i="1"/>
  <c r="AT442" i="1" s="1"/>
  <c r="AR443" i="1"/>
  <c r="AT443" i="1" s="1"/>
  <c r="AR444" i="1"/>
  <c r="AT444" i="1" s="1"/>
  <c r="AR445" i="1"/>
  <c r="AT445" i="1" s="1"/>
  <c r="AR446" i="1"/>
  <c r="AT446" i="1" s="1"/>
  <c r="AR447" i="1"/>
  <c r="AT447" i="1" s="1"/>
  <c r="AR448" i="1"/>
  <c r="AT448" i="1" s="1"/>
  <c r="AR449" i="1"/>
  <c r="AT449" i="1" s="1"/>
  <c r="AR450" i="1"/>
  <c r="AT450" i="1" s="1"/>
  <c r="AR451" i="1"/>
  <c r="AT451" i="1" s="1"/>
  <c r="AR452" i="1"/>
  <c r="AT452" i="1" s="1"/>
  <c r="AR453" i="1"/>
  <c r="AT453" i="1" s="1"/>
  <c r="AR454" i="1"/>
  <c r="AT454" i="1" s="1"/>
  <c r="AR455" i="1"/>
  <c r="AT455" i="1" s="1"/>
  <c r="AR456" i="1"/>
  <c r="AT456" i="1" s="1"/>
  <c r="AR457" i="1"/>
  <c r="AT457" i="1" s="1"/>
  <c r="AR458" i="1"/>
  <c r="AT458" i="1" s="1"/>
  <c r="AR459" i="1"/>
  <c r="AT459" i="1" s="1"/>
  <c r="AR460" i="1"/>
  <c r="AT460" i="1" s="1"/>
  <c r="AR461" i="1"/>
  <c r="AT461" i="1" s="1"/>
  <c r="AR462" i="1"/>
  <c r="AT462" i="1" s="1"/>
  <c r="AR463" i="1"/>
  <c r="AT463" i="1" s="1"/>
  <c r="AR464" i="1"/>
  <c r="AT464" i="1" s="1"/>
  <c r="AR465" i="1"/>
  <c r="AT465" i="1" s="1"/>
  <c r="AR466" i="1"/>
  <c r="AT466" i="1" s="1"/>
  <c r="AR467" i="1"/>
  <c r="AT467" i="1" s="1"/>
  <c r="AR468" i="1"/>
  <c r="AT468" i="1" s="1"/>
  <c r="AR469" i="1"/>
  <c r="AT469" i="1" s="1"/>
  <c r="AR470" i="1"/>
  <c r="AT470" i="1" s="1"/>
  <c r="AR471" i="1"/>
  <c r="AT471" i="1" s="1"/>
  <c r="AR472" i="1"/>
  <c r="AT472" i="1" s="1"/>
  <c r="AR473" i="1"/>
  <c r="AT473" i="1" s="1"/>
  <c r="AR474" i="1"/>
  <c r="AT474" i="1" s="1"/>
  <c r="AR475" i="1"/>
  <c r="AT475" i="1" s="1"/>
  <c r="AR476" i="1"/>
  <c r="AT476" i="1" s="1"/>
  <c r="AR477" i="1"/>
  <c r="AT477" i="1" s="1"/>
  <c r="AR478" i="1"/>
  <c r="AT478" i="1" s="1"/>
  <c r="AR479" i="1"/>
  <c r="AT479" i="1" s="1"/>
  <c r="AR480" i="1"/>
  <c r="AT480" i="1" s="1"/>
  <c r="AR481" i="1"/>
  <c r="AT481" i="1" s="1"/>
  <c r="AR482" i="1"/>
  <c r="AT482" i="1" s="1"/>
  <c r="AR483" i="1"/>
  <c r="AT483" i="1" s="1"/>
  <c r="AR484" i="1"/>
  <c r="AT484" i="1" s="1"/>
  <c r="AR485" i="1"/>
  <c r="AT485" i="1" s="1"/>
  <c r="AR486" i="1"/>
  <c r="AT486" i="1" s="1"/>
  <c r="AR487" i="1"/>
  <c r="AT487" i="1" s="1"/>
  <c r="AR488" i="1"/>
  <c r="AT488" i="1" s="1"/>
  <c r="AR489" i="1"/>
  <c r="AT489" i="1" s="1"/>
  <c r="AR490" i="1"/>
  <c r="AT490" i="1" s="1"/>
  <c r="AR491" i="1"/>
  <c r="AT491" i="1" s="1"/>
  <c r="AR492" i="1"/>
  <c r="AT492" i="1" s="1"/>
  <c r="AR493" i="1"/>
  <c r="AT493" i="1" s="1"/>
  <c r="AR494" i="1"/>
  <c r="AT494" i="1" s="1"/>
  <c r="AR495" i="1"/>
  <c r="AT495" i="1" s="1"/>
  <c r="AR496" i="1"/>
  <c r="AT496" i="1" s="1"/>
  <c r="AR497" i="1"/>
  <c r="AT497" i="1" s="1"/>
  <c r="AR498" i="1"/>
  <c r="AT498" i="1" s="1"/>
  <c r="AR499" i="1"/>
  <c r="AT499" i="1" s="1"/>
  <c r="AR500" i="1"/>
  <c r="AT500" i="1" s="1"/>
  <c r="AR501" i="1"/>
  <c r="AT501" i="1" s="1"/>
  <c r="AR502" i="1"/>
  <c r="AT502" i="1" s="1"/>
  <c r="AR503" i="1"/>
  <c r="AT503" i="1" s="1"/>
  <c r="AR504" i="1"/>
  <c r="AT504" i="1" s="1"/>
  <c r="AR505" i="1"/>
  <c r="AT505" i="1" s="1"/>
  <c r="AR506" i="1"/>
  <c r="AT506" i="1" s="1"/>
  <c r="AR507" i="1"/>
  <c r="AT507" i="1" s="1"/>
  <c r="AR508" i="1"/>
  <c r="AT508" i="1" s="1"/>
  <c r="AR509" i="1"/>
  <c r="AT509" i="1" s="1"/>
  <c r="AR510" i="1"/>
  <c r="AT510" i="1" s="1"/>
  <c r="AR511" i="1"/>
  <c r="AT511" i="1" s="1"/>
  <c r="AR512" i="1"/>
  <c r="AT512" i="1" s="1"/>
  <c r="AR513" i="1"/>
  <c r="AT513" i="1" s="1"/>
  <c r="AR514" i="1"/>
  <c r="AT514" i="1" s="1"/>
  <c r="AR515" i="1"/>
  <c r="AT515" i="1" s="1"/>
  <c r="AR516" i="1"/>
  <c r="AT516" i="1" s="1"/>
  <c r="AR517" i="1"/>
  <c r="AT517" i="1" s="1"/>
  <c r="AR518" i="1"/>
  <c r="AT518" i="1" s="1"/>
  <c r="AR519" i="1"/>
  <c r="AT519" i="1" s="1"/>
  <c r="AR520" i="1"/>
  <c r="AT520" i="1" s="1"/>
  <c r="AR521" i="1"/>
  <c r="AT521" i="1" s="1"/>
  <c r="AR522" i="1"/>
  <c r="AT522" i="1" s="1"/>
  <c r="AR523" i="1"/>
  <c r="AT523" i="1" s="1"/>
  <c r="AR524" i="1"/>
  <c r="AT524" i="1" s="1"/>
  <c r="AR525" i="1"/>
  <c r="AT525" i="1" s="1"/>
  <c r="AR526" i="1"/>
  <c r="AT526" i="1" s="1"/>
  <c r="AR527" i="1"/>
  <c r="AT527" i="1" s="1"/>
  <c r="AR528" i="1"/>
  <c r="AT528" i="1" s="1"/>
  <c r="AR529" i="1"/>
  <c r="AT529" i="1" s="1"/>
  <c r="AR530" i="1"/>
  <c r="AT530" i="1" s="1"/>
  <c r="AR531" i="1"/>
  <c r="AT531" i="1" s="1"/>
  <c r="AR532" i="1"/>
  <c r="AT532" i="1" s="1"/>
  <c r="AR533" i="1"/>
  <c r="AT533" i="1" s="1"/>
  <c r="AR534" i="1"/>
  <c r="AT534" i="1" s="1"/>
  <c r="AR535" i="1"/>
  <c r="AT535" i="1" s="1"/>
  <c r="AR536" i="1"/>
  <c r="AT536" i="1" s="1"/>
  <c r="AR537" i="1"/>
  <c r="AT537" i="1" s="1"/>
  <c r="AR538" i="1"/>
  <c r="AT538" i="1" s="1"/>
  <c r="AR539" i="1"/>
  <c r="AT539" i="1" s="1"/>
  <c r="AR540" i="1"/>
  <c r="AT540" i="1" s="1"/>
  <c r="AR541" i="1"/>
  <c r="AT541" i="1" s="1"/>
  <c r="AR542" i="1"/>
  <c r="AT542" i="1" s="1"/>
  <c r="AR543" i="1"/>
  <c r="AT543" i="1" s="1"/>
  <c r="AR544" i="1"/>
  <c r="AT544" i="1" s="1"/>
  <c r="AR545" i="1"/>
  <c r="AT545" i="1" s="1"/>
  <c r="AR546" i="1"/>
  <c r="AT546" i="1" s="1"/>
  <c r="AR547" i="1"/>
  <c r="AT547" i="1" s="1"/>
  <c r="AR548" i="1"/>
  <c r="AT548" i="1" s="1"/>
  <c r="AR549" i="1"/>
  <c r="AT549" i="1" s="1"/>
  <c r="AR550" i="1"/>
  <c r="AT550" i="1" s="1"/>
  <c r="AR551" i="1"/>
  <c r="AT551" i="1" s="1"/>
  <c r="AR552" i="1"/>
  <c r="AT552" i="1" s="1"/>
  <c r="AR553" i="1"/>
  <c r="AT553" i="1" s="1"/>
  <c r="AR554" i="1"/>
  <c r="AT554" i="1" s="1"/>
  <c r="AR555" i="1"/>
  <c r="AT555" i="1" s="1"/>
  <c r="AR556" i="1"/>
  <c r="AT556" i="1" s="1"/>
  <c r="AR557" i="1"/>
  <c r="AT557" i="1" s="1"/>
  <c r="AR558" i="1"/>
  <c r="AT558" i="1" s="1"/>
  <c r="AR559" i="1"/>
  <c r="AT559" i="1" s="1"/>
  <c r="AR560" i="1"/>
  <c r="AT560" i="1" s="1"/>
  <c r="AR561" i="1"/>
  <c r="AT561" i="1" s="1"/>
  <c r="AR562" i="1"/>
  <c r="AT562" i="1" s="1"/>
  <c r="AR563" i="1"/>
  <c r="AT563" i="1" s="1"/>
  <c r="AR564" i="1"/>
  <c r="AT564" i="1" s="1"/>
  <c r="AR565" i="1"/>
  <c r="AT565" i="1" s="1"/>
  <c r="AR566" i="1"/>
  <c r="AT566" i="1" s="1"/>
  <c r="AR567" i="1"/>
  <c r="AT567" i="1" s="1"/>
  <c r="AR568" i="1"/>
  <c r="AT568" i="1" s="1"/>
  <c r="AR569" i="1"/>
  <c r="AT569" i="1" s="1"/>
  <c r="AR570" i="1"/>
  <c r="AT570" i="1" s="1"/>
  <c r="AR571" i="1"/>
  <c r="AT571" i="1" s="1"/>
  <c r="AR572" i="1"/>
  <c r="AT572" i="1" s="1"/>
  <c r="AR573" i="1"/>
  <c r="AT573" i="1" s="1"/>
  <c r="AR574" i="1"/>
  <c r="AT574" i="1" s="1"/>
  <c r="AR575" i="1"/>
  <c r="AT575" i="1" s="1"/>
  <c r="AR576" i="1"/>
  <c r="AT576" i="1" s="1"/>
  <c r="AR577" i="1"/>
  <c r="AT577" i="1" s="1"/>
  <c r="AR578" i="1"/>
  <c r="AT578" i="1" s="1"/>
  <c r="AR579" i="1"/>
  <c r="AT579" i="1" s="1"/>
  <c r="AR580" i="1"/>
  <c r="AT580" i="1" s="1"/>
  <c r="AR581" i="1"/>
  <c r="AT581" i="1" s="1"/>
  <c r="AR582" i="1"/>
  <c r="AT582" i="1" s="1"/>
  <c r="AR583" i="1"/>
  <c r="AT583" i="1" s="1"/>
  <c r="AR584" i="1"/>
  <c r="AT584" i="1" s="1"/>
  <c r="AR585" i="1"/>
  <c r="AT585" i="1" s="1"/>
  <c r="AR586" i="1"/>
  <c r="AT586" i="1" s="1"/>
  <c r="AR587" i="1"/>
  <c r="AT587" i="1" s="1"/>
  <c r="AR588" i="1"/>
  <c r="AT588" i="1" s="1"/>
  <c r="AR589" i="1"/>
  <c r="AT589" i="1" s="1"/>
  <c r="AR590" i="1"/>
  <c r="AT590" i="1" s="1"/>
  <c r="AR591" i="1"/>
  <c r="AT591" i="1" s="1"/>
  <c r="AR592" i="1"/>
  <c r="AT592" i="1" s="1"/>
  <c r="AR593" i="1"/>
  <c r="AT593" i="1" s="1"/>
  <c r="AR594" i="1"/>
  <c r="AT594" i="1" s="1"/>
  <c r="AR595" i="1"/>
  <c r="AT595" i="1" s="1"/>
  <c r="AR596" i="1"/>
  <c r="AT596" i="1" s="1"/>
  <c r="AR597" i="1"/>
  <c r="AT597" i="1" s="1"/>
  <c r="AR598" i="1"/>
  <c r="AT598" i="1" s="1"/>
  <c r="AR599" i="1"/>
  <c r="AT599" i="1" s="1"/>
  <c r="AR600" i="1"/>
  <c r="AT600" i="1" s="1"/>
  <c r="AR601" i="1"/>
  <c r="AT601" i="1" s="1"/>
  <c r="AR602" i="1"/>
  <c r="AT602" i="1" s="1"/>
  <c r="AR603" i="1"/>
  <c r="AT603" i="1" s="1"/>
  <c r="AR604" i="1"/>
  <c r="AT604" i="1" s="1"/>
  <c r="AR605" i="1"/>
  <c r="AT605" i="1" s="1"/>
  <c r="AR606" i="1"/>
  <c r="AT606" i="1" s="1"/>
  <c r="AR607" i="1"/>
  <c r="AT607" i="1" s="1"/>
  <c r="AR608" i="1"/>
  <c r="AT608" i="1" s="1"/>
  <c r="AR609" i="1"/>
  <c r="AT609" i="1" s="1"/>
  <c r="AR610" i="1"/>
  <c r="AT610" i="1" s="1"/>
  <c r="AR611" i="1"/>
  <c r="AT611" i="1" s="1"/>
  <c r="AR612" i="1"/>
  <c r="AT612" i="1" s="1"/>
  <c r="AR613" i="1"/>
  <c r="AT613" i="1" s="1"/>
  <c r="AR614" i="1"/>
  <c r="AT614" i="1" s="1"/>
  <c r="AR615" i="1"/>
  <c r="AT615" i="1" s="1"/>
  <c r="AR616" i="1"/>
  <c r="AT616" i="1" s="1"/>
  <c r="AR617" i="1"/>
  <c r="AT617" i="1" s="1"/>
  <c r="AR618" i="1"/>
  <c r="AT618" i="1" s="1"/>
  <c r="AR619" i="1"/>
  <c r="AT619" i="1" s="1"/>
  <c r="AR620" i="1"/>
  <c r="AT620" i="1" s="1"/>
  <c r="AR621" i="1"/>
  <c r="AT621" i="1" s="1"/>
  <c r="AR622" i="1"/>
  <c r="AT622" i="1" s="1"/>
  <c r="AR623" i="1"/>
  <c r="AT623" i="1" s="1"/>
  <c r="AR624" i="1"/>
  <c r="AT624" i="1" s="1"/>
  <c r="AR625" i="1"/>
  <c r="AT625" i="1" s="1"/>
  <c r="AR626" i="1"/>
  <c r="AT626" i="1" s="1"/>
  <c r="AR627" i="1"/>
  <c r="AT627" i="1" s="1"/>
  <c r="AR628" i="1"/>
  <c r="AT628" i="1" s="1"/>
  <c r="AR629" i="1"/>
  <c r="AT629" i="1" s="1"/>
  <c r="AR630" i="1"/>
  <c r="AT630" i="1" s="1"/>
  <c r="AR631" i="1"/>
  <c r="AT631" i="1" s="1"/>
  <c r="AR632" i="1"/>
  <c r="AT632" i="1" s="1"/>
  <c r="AR633" i="1"/>
  <c r="AT633" i="1" s="1"/>
  <c r="AR634" i="1"/>
  <c r="AT634" i="1" s="1"/>
  <c r="AR635" i="1"/>
  <c r="AT635" i="1" s="1"/>
  <c r="AR636" i="1"/>
  <c r="AT636" i="1" s="1"/>
  <c r="AR637" i="1"/>
  <c r="AT637" i="1" s="1"/>
  <c r="AR638" i="1"/>
  <c r="AT638" i="1" s="1"/>
  <c r="AR639" i="1"/>
  <c r="AT639" i="1" s="1"/>
  <c r="AR640" i="1"/>
  <c r="AT640" i="1" s="1"/>
  <c r="AR641" i="1"/>
  <c r="AT641" i="1" s="1"/>
  <c r="AR642" i="1"/>
  <c r="AT642" i="1" s="1"/>
  <c r="AR643" i="1"/>
  <c r="AT643" i="1" s="1"/>
  <c r="AR644" i="1"/>
  <c r="AT644" i="1" s="1"/>
  <c r="AR645" i="1"/>
  <c r="AT645" i="1" s="1"/>
  <c r="AR646" i="1"/>
  <c r="AT646" i="1" s="1"/>
  <c r="AR647" i="1"/>
  <c r="AT647" i="1" s="1"/>
  <c r="AR648" i="1"/>
  <c r="AT648" i="1" s="1"/>
  <c r="AR649" i="1"/>
  <c r="AT649" i="1" s="1"/>
  <c r="AR650" i="1"/>
  <c r="AT650" i="1" s="1"/>
  <c r="AR651" i="1"/>
  <c r="AT651" i="1" s="1"/>
  <c r="AR652" i="1"/>
  <c r="AT652" i="1" s="1"/>
  <c r="AR653" i="1"/>
  <c r="AT653" i="1" s="1"/>
  <c r="AR654" i="1"/>
  <c r="AT654" i="1" s="1"/>
  <c r="AR655" i="1"/>
  <c r="AT655" i="1" s="1"/>
  <c r="AR656" i="1"/>
  <c r="AT656" i="1" s="1"/>
  <c r="AR657" i="1"/>
  <c r="AT657" i="1" s="1"/>
  <c r="AR658" i="1"/>
  <c r="AT658" i="1" s="1"/>
  <c r="AR659" i="1"/>
  <c r="AT659" i="1" s="1"/>
  <c r="AR660" i="1"/>
  <c r="AT660" i="1" s="1"/>
  <c r="AR661" i="1"/>
  <c r="AT661" i="1" s="1"/>
  <c r="AR662" i="1"/>
  <c r="AT662" i="1" s="1"/>
  <c r="AR663" i="1"/>
  <c r="AT663" i="1" s="1"/>
  <c r="AR664" i="1"/>
  <c r="AT664" i="1" s="1"/>
  <c r="AR665" i="1"/>
  <c r="AT665" i="1" s="1"/>
  <c r="AR666" i="1"/>
  <c r="AT666" i="1" s="1"/>
  <c r="AR667" i="1"/>
  <c r="AT667" i="1" s="1"/>
  <c r="AR668" i="1"/>
  <c r="AT668" i="1" s="1"/>
  <c r="AR669" i="1"/>
  <c r="AT669" i="1" s="1"/>
  <c r="AR670" i="1"/>
  <c r="AT670" i="1" s="1"/>
  <c r="AR671" i="1"/>
  <c r="AT671" i="1" s="1"/>
  <c r="AR672" i="1"/>
  <c r="AT672" i="1" s="1"/>
  <c r="AR673" i="1"/>
  <c r="AT673" i="1" s="1"/>
  <c r="AR674" i="1"/>
  <c r="AT674" i="1" s="1"/>
  <c r="AR675" i="1"/>
  <c r="AT675" i="1" s="1"/>
  <c r="AR676" i="1"/>
  <c r="AT676" i="1" s="1"/>
  <c r="AR677" i="1"/>
  <c r="AT677" i="1" s="1"/>
  <c r="AR678" i="1"/>
  <c r="AT678" i="1" s="1"/>
  <c r="AR679" i="1"/>
  <c r="AT679" i="1" s="1"/>
  <c r="AR680" i="1"/>
  <c r="AT680" i="1" s="1"/>
  <c r="AR681" i="1"/>
  <c r="AT681" i="1" s="1"/>
  <c r="AR682" i="1"/>
  <c r="AT682" i="1" s="1"/>
  <c r="AR683" i="1"/>
  <c r="AT683" i="1" s="1"/>
  <c r="AR684" i="1"/>
  <c r="AT684" i="1" s="1"/>
  <c r="AR685" i="1"/>
  <c r="AT685" i="1" s="1"/>
  <c r="AR686" i="1"/>
  <c r="AT686" i="1" s="1"/>
  <c r="AR687" i="1"/>
  <c r="AT687" i="1" s="1"/>
  <c r="AR688" i="1"/>
  <c r="AT688" i="1" s="1"/>
  <c r="AR689" i="1"/>
  <c r="AT689" i="1" s="1"/>
  <c r="AR690" i="1"/>
  <c r="AT690" i="1" s="1"/>
  <c r="AR691" i="1"/>
  <c r="AT691" i="1" s="1"/>
  <c r="AR692" i="1"/>
  <c r="AT692" i="1" s="1"/>
  <c r="AR693" i="1"/>
  <c r="AT693" i="1" s="1"/>
  <c r="AR694" i="1"/>
  <c r="AT694" i="1" s="1"/>
  <c r="AR695" i="1"/>
  <c r="AT695" i="1" s="1"/>
  <c r="AR696" i="1"/>
  <c r="AT696" i="1" s="1"/>
  <c r="AR697" i="1"/>
  <c r="AT697" i="1" s="1"/>
  <c r="AR698" i="1"/>
  <c r="AT698" i="1" s="1"/>
  <c r="AR699" i="1"/>
  <c r="AT699" i="1" s="1"/>
  <c r="AR700" i="1"/>
  <c r="AT700" i="1" s="1"/>
  <c r="AR701" i="1"/>
  <c r="AT701" i="1" s="1"/>
  <c r="AR702" i="1"/>
  <c r="AT702" i="1" s="1"/>
  <c r="AR703" i="1"/>
  <c r="AT703" i="1" s="1"/>
  <c r="AR704" i="1"/>
  <c r="AT704" i="1" s="1"/>
  <c r="AR705" i="1"/>
  <c r="AT705" i="1" s="1"/>
  <c r="AR706" i="1"/>
  <c r="AT706" i="1" s="1"/>
  <c r="AR707" i="1"/>
  <c r="AT707" i="1" s="1"/>
  <c r="AR708" i="1"/>
  <c r="AT708" i="1" s="1"/>
  <c r="AR709" i="1"/>
  <c r="AT709" i="1" s="1"/>
  <c r="AR710" i="1"/>
  <c r="AT710" i="1" s="1"/>
  <c r="AR711" i="1"/>
  <c r="AT711" i="1" s="1"/>
  <c r="AR712" i="1"/>
  <c r="AT712" i="1" s="1"/>
  <c r="AR713" i="1"/>
  <c r="AT713" i="1" s="1"/>
  <c r="AR714" i="1"/>
  <c r="AT714" i="1" s="1"/>
  <c r="AR715" i="1"/>
  <c r="AT715" i="1" s="1"/>
  <c r="AR716" i="1"/>
  <c r="AT716" i="1" s="1"/>
  <c r="AR717" i="1"/>
  <c r="AT717" i="1" s="1"/>
  <c r="AR718" i="1"/>
  <c r="AT718" i="1" s="1"/>
  <c r="AR719" i="1"/>
  <c r="AT719" i="1" s="1"/>
  <c r="AR720" i="1"/>
  <c r="AT720" i="1" s="1"/>
  <c r="AR721" i="1"/>
  <c r="AT721" i="1" s="1"/>
  <c r="AR722" i="1"/>
  <c r="AT722" i="1" s="1"/>
  <c r="AR723" i="1"/>
  <c r="AT723" i="1" s="1"/>
  <c r="AR724" i="1"/>
  <c r="AT724" i="1" s="1"/>
  <c r="AR725" i="1"/>
  <c r="AT725" i="1" s="1"/>
  <c r="AR726" i="1"/>
  <c r="AT726" i="1" s="1"/>
  <c r="AR727" i="1"/>
  <c r="AT727" i="1" s="1"/>
  <c r="AR728" i="1"/>
  <c r="AT728" i="1" s="1"/>
  <c r="AR729" i="1"/>
  <c r="AT729" i="1" s="1"/>
  <c r="AR730" i="1"/>
  <c r="AT730" i="1" s="1"/>
  <c r="AR731" i="1"/>
  <c r="AT731" i="1" s="1"/>
  <c r="AR732" i="1"/>
  <c r="AT732" i="1" s="1"/>
  <c r="AR733" i="1"/>
  <c r="AT733" i="1" s="1"/>
  <c r="AR734" i="1"/>
  <c r="AT734" i="1" s="1"/>
  <c r="AR735" i="1"/>
  <c r="AT735" i="1" s="1"/>
  <c r="AR736" i="1"/>
  <c r="AT736" i="1" s="1"/>
  <c r="AR737" i="1"/>
  <c r="AT737" i="1" s="1"/>
  <c r="AR738" i="1"/>
  <c r="AR739" i="1"/>
  <c r="AT739" i="1" s="1"/>
  <c r="AR740" i="1"/>
  <c r="AT740" i="1" s="1"/>
  <c r="AR741" i="1"/>
  <c r="AT741" i="1" s="1"/>
  <c r="AR742" i="1"/>
  <c r="AT742" i="1" s="1"/>
  <c r="AR743" i="1"/>
  <c r="AT743" i="1" s="1"/>
  <c r="AR744" i="1"/>
  <c r="AT744" i="1" s="1"/>
  <c r="AR745" i="1"/>
  <c r="AT745" i="1" s="1"/>
  <c r="AR746" i="1"/>
  <c r="AT746" i="1" s="1"/>
  <c r="AR747" i="1"/>
  <c r="AT747" i="1" s="1"/>
  <c r="AR748" i="1"/>
  <c r="AT748" i="1" s="1"/>
  <c r="AR749" i="1"/>
  <c r="AT749" i="1" s="1"/>
  <c r="AR750" i="1"/>
  <c r="AT750" i="1" s="1"/>
  <c r="AR751" i="1"/>
  <c r="AT751" i="1" s="1"/>
  <c r="AR752" i="1"/>
  <c r="AT752" i="1" s="1"/>
  <c r="AR753" i="1"/>
  <c r="AT753" i="1" s="1"/>
  <c r="AR754" i="1"/>
  <c r="AT754" i="1" s="1"/>
  <c r="AR755" i="1"/>
  <c r="AT755" i="1" s="1"/>
  <c r="AR756" i="1"/>
  <c r="AT756" i="1" s="1"/>
  <c r="AR757" i="1"/>
  <c r="AT757" i="1" s="1"/>
  <c r="AR758" i="1"/>
  <c r="AT758" i="1" s="1"/>
  <c r="AR759" i="1"/>
  <c r="AT759" i="1" s="1"/>
  <c r="AR760" i="1"/>
  <c r="AT760" i="1" s="1"/>
  <c r="AR761" i="1"/>
  <c r="AT761" i="1" s="1"/>
  <c r="AR762" i="1"/>
  <c r="AT762" i="1" s="1"/>
  <c r="AR763" i="1"/>
  <c r="AT763" i="1" s="1"/>
  <c r="AR764" i="1"/>
  <c r="AT764" i="1" s="1"/>
  <c r="AR765" i="1"/>
  <c r="AT765" i="1" s="1"/>
  <c r="AR766" i="1"/>
  <c r="AT766" i="1" s="1"/>
  <c r="AR767" i="1"/>
  <c r="AT767" i="1" s="1"/>
  <c r="AR768" i="1"/>
  <c r="AT768" i="1" s="1"/>
  <c r="AR769" i="1"/>
  <c r="AT769" i="1" s="1"/>
  <c r="AT738" i="1"/>
  <c r="I720" i="1" a="1"/>
  <c r="I720" i="1" s="1"/>
  <c r="I721" i="1" a="1"/>
  <c r="I721" i="1" s="1"/>
  <c r="I722" i="1" a="1"/>
  <c r="I722" i="1" s="1"/>
  <c r="I723" i="1" a="1"/>
  <c r="I723" i="1" s="1"/>
  <c r="I724" i="1" a="1"/>
  <c r="I724" i="1" s="1"/>
  <c r="I725" i="1" a="1"/>
  <c r="I725" i="1" s="1"/>
  <c r="I726" i="1" a="1"/>
  <c r="I726" i="1" s="1"/>
  <c r="I727" i="1" a="1"/>
  <c r="I727" i="1" s="1"/>
  <c r="I728" i="1" a="1"/>
  <c r="I728" i="1" s="1"/>
  <c r="I729" i="1" a="1"/>
  <c r="I729" i="1" s="1"/>
  <c r="I730" i="1" a="1"/>
  <c r="I730" i="1" s="1"/>
  <c r="I731" i="1" a="1"/>
  <c r="I731" i="1" s="1"/>
  <c r="I732" i="1" a="1"/>
  <c r="I732" i="1" s="1"/>
  <c r="I733" i="1" a="1"/>
  <c r="I733" i="1" s="1"/>
  <c r="I734" i="1" a="1"/>
  <c r="I734" i="1" s="1"/>
  <c r="I735" i="1" a="1"/>
  <c r="I735" i="1" s="1"/>
  <c r="I736" i="1" a="1"/>
  <c r="I736" i="1" s="1"/>
  <c r="I737" i="1" a="1"/>
  <c r="I737" i="1" s="1"/>
  <c r="I738" i="1" a="1"/>
  <c r="I738" i="1" s="1"/>
  <c r="I739" i="1" a="1"/>
  <c r="I739" i="1" s="1"/>
  <c r="I740" i="1" a="1"/>
  <c r="I740" i="1" s="1"/>
  <c r="I741" i="1" a="1"/>
  <c r="I741" i="1" s="1"/>
  <c r="I742" i="1" a="1"/>
  <c r="I742" i="1" s="1"/>
  <c r="I743" i="1" a="1"/>
  <c r="I743" i="1" s="1"/>
  <c r="I744" i="1" a="1"/>
  <c r="I744" i="1" s="1"/>
  <c r="I745" i="1" a="1"/>
  <c r="I745" i="1" s="1"/>
  <c r="I746" i="1" a="1"/>
  <c r="I746" i="1" s="1"/>
  <c r="I747" i="1" a="1"/>
  <c r="I747" i="1" s="1"/>
  <c r="I748" i="1" a="1"/>
  <c r="I748" i="1" s="1"/>
  <c r="I749" i="1" a="1"/>
  <c r="I749" i="1" s="1"/>
  <c r="I750" i="1" a="1"/>
  <c r="I750" i="1" s="1"/>
  <c r="I751" i="1" a="1"/>
  <c r="I751" i="1" s="1"/>
  <c r="I752" i="1" a="1"/>
  <c r="I752" i="1" s="1"/>
  <c r="I753" i="1" a="1"/>
  <c r="I753" i="1" s="1"/>
  <c r="I754" i="1" a="1"/>
  <c r="I754" i="1" s="1"/>
  <c r="I755" i="1" a="1"/>
  <c r="I755" i="1" s="1"/>
  <c r="I756" i="1" a="1"/>
  <c r="I756" i="1" s="1"/>
  <c r="I757" i="1" a="1"/>
  <c r="I757" i="1" s="1"/>
  <c r="I758" i="1" a="1"/>
  <c r="I758" i="1" s="1"/>
  <c r="I759" i="1" a="1"/>
  <c r="I759" i="1" s="1"/>
  <c r="I760" i="1" a="1"/>
  <c r="I760" i="1" s="1"/>
  <c r="I761" i="1" a="1"/>
  <c r="I761" i="1" s="1"/>
  <c r="I762" i="1" a="1"/>
  <c r="I762" i="1" s="1"/>
  <c r="I763" i="1" a="1"/>
  <c r="I763" i="1" s="1"/>
  <c r="I764" i="1" a="1"/>
  <c r="I764" i="1" s="1"/>
  <c r="I765" i="1" a="1"/>
  <c r="I765" i="1" s="1"/>
  <c r="I766" i="1" a="1"/>
  <c r="I766" i="1" s="1"/>
  <c r="I767" i="1" a="1"/>
  <c r="I767" i="1" s="1"/>
  <c r="I768" i="1" a="1"/>
  <c r="I768" i="1" s="1"/>
  <c r="I769" i="1" a="1"/>
  <c r="I76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O562" i="1"/>
  <c r="P562" i="1"/>
  <c r="Q562" i="1"/>
  <c r="R562" i="1"/>
  <c r="S562" i="1"/>
  <c r="T562" i="1"/>
  <c r="U562" i="1"/>
  <c r="V562" i="1"/>
  <c r="W562" i="1"/>
  <c r="X562" i="1"/>
  <c r="Y562" i="1"/>
  <c r="Z562" i="1"/>
  <c r="O563" i="1"/>
  <c r="P563" i="1"/>
  <c r="Q563" i="1"/>
  <c r="R563" i="1"/>
  <c r="S563" i="1"/>
  <c r="T563" i="1"/>
  <c r="U563" i="1"/>
  <c r="V563" i="1"/>
  <c r="W563" i="1"/>
  <c r="X563" i="1"/>
  <c r="Y563" i="1"/>
  <c r="Z563" i="1"/>
  <c r="O564" i="1"/>
  <c r="P564" i="1"/>
  <c r="Q564" i="1"/>
  <c r="R564" i="1"/>
  <c r="S564" i="1"/>
  <c r="T564" i="1"/>
  <c r="U564" i="1"/>
  <c r="V564" i="1"/>
  <c r="W564" i="1"/>
  <c r="X564" i="1"/>
  <c r="Y564" i="1"/>
  <c r="Z564" i="1"/>
  <c r="O565" i="1"/>
  <c r="P565" i="1"/>
  <c r="Q565" i="1"/>
  <c r="R565" i="1"/>
  <c r="S565" i="1"/>
  <c r="T565" i="1"/>
  <c r="U565" i="1"/>
  <c r="V565" i="1"/>
  <c r="W565" i="1"/>
  <c r="X565" i="1"/>
  <c r="Y565" i="1"/>
  <c r="Z565" i="1"/>
  <c r="O566" i="1"/>
  <c r="P566" i="1"/>
  <c r="Q566" i="1"/>
  <c r="R566" i="1"/>
  <c r="S566" i="1"/>
  <c r="T566" i="1"/>
  <c r="U566" i="1"/>
  <c r="V566" i="1"/>
  <c r="W566" i="1"/>
  <c r="X566" i="1"/>
  <c r="Y566" i="1"/>
  <c r="Z566" i="1"/>
  <c r="O567" i="1"/>
  <c r="P567" i="1"/>
  <c r="Q567" i="1"/>
  <c r="R567" i="1"/>
  <c r="S567" i="1"/>
  <c r="T567" i="1"/>
  <c r="U567" i="1"/>
  <c r="V567" i="1"/>
  <c r="W567" i="1"/>
  <c r="X567" i="1"/>
  <c r="Y567" i="1"/>
  <c r="Z567" i="1"/>
  <c r="O568" i="1"/>
  <c r="P568" i="1"/>
  <c r="Q568" i="1"/>
  <c r="R568" i="1"/>
  <c r="S568" i="1"/>
  <c r="T568" i="1"/>
  <c r="U568" i="1"/>
  <c r="V568" i="1"/>
  <c r="W568" i="1"/>
  <c r="X568" i="1"/>
  <c r="Y568" i="1"/>
  <c r="Z568" i="1"/>
  <c r="O569" i="1"/>
  <c r="P569" i="1"/>
  <c r="Q569" i="1"/>
  <c r="R569" i="1"/>
  <c r="S569" i="1"/>
  <c r="T569" i="1"/>
  <c r="U569" i="1"/>
  <c r="V569" i="1"/>
  <c r="W569" i="1"/>
  <c r="X569" i="1"/>
  <c r="Y569" i="1"/>
  <c r="Z569" i="1"/>
  <c r="O570" i="1"/>
  <c r="P570" i="1"/>
  <c r="Q570" i="1"/>
  <c r="R570" i="1"/>
  <c r="S570" i="1"/>
  <c r="T570" i="1"/>
  <c r="U570" i="1"/>
  <c r="V570" i="1"/>
  <c r="W570" i="1"/>
  <c r="X570" i="1"/>
  <c r="Y570" i="1"/>
  <c r="Z570" i="1"/>
  <c r="O571" i="1"/>
  <c r="P571" i="1"/>
  <c r="Q571" i="1"/>
  <c r="R571" i="1"/>
  <c r="S571" i="1"/>
  <c r="T571" i="1"/>
  <c r="U571" i="1"/>
  <c r="V571" i="1"/>
  <c r="W571" i="1"/>
  <c r="X571" i="1"/>
  <c r="Y571" i="1"/>
  <c r="Z571" i="1"/>
  <c r="O572" i="1"/>
  <c r="P572" i="1"/>
  <c r="Q572" i="1"/>
  <c r="R572" i="1"/>
  <c r="S572" i="1"/>
  <c r="T572" i="1"/>
  <c r="U572" i="1"/>
  <c r="V572" i="1"/>
  <c r="W572" i="1"/>
  <c r="X572" i="1"/>
  <c r="Y572" i="1"/>
  <c r="Z572" i="1"/>
  <c r="O573" i="1"/>
  <c r="P573" i="1"/>
  <c r="Q573" i="1"/>
  <c r="R573" i="1"/>
  <c r="S573" i="1"/>
  <c r="T573" i="1"/>
  <c r="U573" i="1"/>
  <c r="V573" i="1"/>
  <c r="W573" i="1"/>
  <c r="X573" i="1"/>
  <c r="Y573" i="1"/>
  <c r="Z573" i="1"/>
  <c r="O574" i="1"/>
  <c r="P574" i="1"/>
  <c r="Q574" i="1"/>
  <c r="R574" i="1"/>
  <c r="S574" i="1"/>
  <c r="T574" i="1"/>
  <c r="U574" i="1"/>
  <c r="V574" i="1"/>
  <c r="W574" i="1"/>
  <c r="X574" i="1"/>
  <c r="Y574" i="1"/>
  <c r="Z574" i="1"/>
  <c r="O575" i="1"/>
  <c r="P575" i="1"/>
  <c r="Q575" i="1"/>
  <c r="R575" i="1"/>
  <c r="S575" i="1"/>
  <c r="T575" i="1"/>
  <c r="U575" i="1"/>
  <c r="V575" i="1"/>
  <c r="W575" i="1"/>
  <c r="X575" i="1"/>
  <c r="Y575" i="1"/>
  <c r="Z575" i="1"/>
  <c r="O576" i="1"/>
  <c r="P576" i="1"/>
  <c r="Q576" i="1"/>
  <c r="R576" i="1"/>
  <c r="S576" i="1"/>
  <c r="T576" i="1"/>
  <c r="U576" i="1"/>
  <c r="V576" i="1"/>
  <c r="W576" i="1"/>
  <c r="X576" i="1"/>
  <c r="Y576" i="1"/>
  <c r="Z576" i="1"/>
  <c r="O577" i="1"/>
  <c r="P577" i="1"/>
  <c r="Q577" i="1"/>
  <c r="R577" i="1"/>
  <c r="S577" i="1"/>
  <c r="T577" i="1"/>
  <c r="U577" i="1"/>
  <c r="V577" i="1"/>
  <c r="W577" i="1"/>
  <c r="X577" i="1"/>
  <c r="Y577" i="1"/>
  <c r="Z577" i="1"/>
  <c r="O578" i="1"/>
  <c r="P578" i="1"/>
  <c r="Q578" i="1"/>
  <c r="R578" i="1"/>
  <c r="S578" i="1"/>
  <c r="T578" i="1"/>
  <c r="U578" i="1"/>
  <c r="V578" i="1"/>
  <c r="W578" i="1"/>
  <c r="X578" i="1"/>
  <c r="Y578" i="1"/>
  <c r="Z578" i="1"/>
  <c r="O579" i="1"/>
  <c r="P579" i="1"/>
  <c r="Q579" i="1"/>
  <c r="R579" i="1"/>
  <c r="S579" i="1"/>
  <c r="T579" i="1"/>
  <c r="U579" i="1"/>
  <c r="V579" i="1"/>
  <c r="W579" i="1"/>
  <c r="X579" i="1"/>
  <c r="Y579" i="1"/>
  <c r="Z579" i="1"/>
  <c r="O580" i="1"/>
  <c r="P580" i="1"/>
  <c r="Q580" i="1"/>
  <c r="R580" i="1"/>
  <c r="S580" i="1"/>
  <c r="T580" i="1"/>
  <c r="U580" i="1"/>
  <c r="V580" i="1"/>
  <c r="W580" i="1"/>
  <c r="X580" i="1"/>
  <c r="Y580" i="1"/>
  <c r="Z580" i="1"/>
  <c r="O581" i="1"/>
  <c r="P581" i="1"/>
  <c r="Q581" i="1"/>
  <c r="R581" i="1"/>
  <c r="S581" i="1"/>
  <c r="T581" i="1"/>
  <c r="U581" i="1"/>
  <c r="V581" i="1"/>
  <c r="W581" i="1"/>
  <c r="X581" i="1"/>
  <c r="Y581" i="1"/>
  <c r="Z581" i="1"/>
  <c r="O582" i="1"/>
  <c r="P582" i="1"/>
  <c r="Q582" i="1"/>
  <c r="R582" i="1"/>
  <c r="S582" i="1"/>
  <c r="T582" i="1"/>
  <c r="U582" i="1"/>
  <c r="V582" i="1"/>
  <c r="W582" i="1"/>
  <c r="X582" i="1"/>
  <c r="Y582" i="1"/>
  <c r="Z582" i="1"/>
  <c r="O583" i="1"/>
  <c r="P583" i="1"/>
  <c r="Q583" i="1"/>
  <c r="R583" i="1"/>
  <c r="S583" i="1"/>
  <c r="T583" i="1"/>
  <c r="U583" i="1"/>
  <c r="V583" i="1"/>
  <c r="W583" i="1"/>
  <c r="X583" i="1"/>
  <c r="Y583" i="1"/>
  <c r="Z583" i="1"/>
  <c r="O584" i="1"/>
  <c r="P584" i="1"/>
  <c r="Q584" i="1"/>
  <c r="R584" i="1"/>
  <c r="S584" i="1"/>
  <c r="T584" i="1"/>
  <c r="U584" i="1"/>
  <c r="V584" i="1"/>
  <c r="W584" i="1"/>
  <c r="X584" i="1"/>
  <c r="Y584" i="1"/>
  <c r="Z584" i="1"/>
  <c r="O585" i="1"/>
  <c r="P585" i="1"/>
  <c r="Q585" i="1"/>
  <c r="R585" i="1"/>
  <c r="S585" i="1"/>
  <c r="T585" i="1"/>
  <c r="U585" i="1"/>
  <c r="V585" i="1"/>
  <c r="W585" i="1"/>
  <c r="X585" i="1"/>
  <c r="Y585" i="1"/>
  <c r="Z585" i="1"/>
  <c r="O586" i="1"/>
  <c r="P586" i="1"/>
  <c r="Q586" i="1"/>
  <c r="R586" i="1"/>
  <c r="S586" i="1"/>
  <c r="T586" i="1"/>
  <c r="U586" i="1"/>
  <c r="V586" i="1"/>
  <c r="W586" i="1"/>
  <c r="X586" i="1"/>
  <c r="Y586" i="1"/>
  <c r="Z586" i="1"/>
  <c r="O587" i="1"/>
  <c r="P587" i="1"/>
  <c r="Q587" i="1"/>
  <c r="R587" i="1"/>
  <c r="S587" i="1"/>
  <c r="T587" i="1"/>
  <c r="U587" i="1"/>
  <c r="V587" i="1"/>
  <c r="W587" i="1"/>
  <c r="X587" i="1"/>
  <c r="Y587" i="1"/>
  <c r="Z587" i="1"/>
  <c r="O588" i="1"/>
  <c r="P588" i="1"/>
  <c r="Q588" i="1"/>
  <c r="R588" i="1"/>
  <c r="S588" i="1"/>
  <c r="T588" i="1"/>
  <c r="U588" i="1"/>
  <c r="V588" i="1"/>
  <c r="W588" i="1"/>
  <c r="X588" i="1"/>
  <c r="Y588" i="1"/>
  <c r="Z588" i="1"/>
  <c r="O589" i="1"/>
  <c r="P589" i="1"/>
  <c r="Q589" i="1"/>
  <c r="R589" i="1"/>
  <c r="S589" i="1"/>
  <c r="T589" i="1"/>
  <c r="U589" i="1"/>
  <c r="V589" i="1"/>
  <c r="W589" i="1"/>
  <c r="X589" i="1"/>
  <c r="Y589" i="1"/>
  <c r="Z589" i="1"/>
  <c r="O590" i="1"/>
  <c r="P590" i="1"/>
  <c r="Q590" i="1"/>
  <c r="R590" i="1"/>
  <c r="S590" i="1"/>
  <c r="T590" i="1"/>
  <c r="U590" i="1"/>
  <c r="V590" i="1"/>
  <c r="W590" i="1"/>
  <c r="X590" i="1"/>
  <c r="Y590" i="1"/>
  <c r="Z590" i="1"/>
  <c r="O591" i="1"/>
  <c r="P591" i="1"/>
  <c r="Q591" i="1"/>
  <c r="R591" i="1"/>
  <c r="S591" i="1"/>
  <c r="T591" i="1"/>
  <c r="U591" i="1"/>
  <c r="V591" i="1"/>
  <c r="W591" i="1"/>
  <c r="X591" i="1"/>
  <c r="Y591" i="1"/>
  <c r="Z591" i="1"/>
  <c r="O592" i="1"/>
  <c r="P592" i="1"/>
  <c r="Q592" i="1"/>
  <c r="R592" i="1"/>
  <c r="S592" i="1"/>
  <c r="T592" i="1"/>
  <c r="U592" i="1"/>
  <c r="V592" i="1"/>
  <c r="W592" i="1"/>
  <c r="X592" i="1"/>
  <c r="Y592" i="1"/>
  <c r="Z592" i="1"/>
  <c r="O593" i="1"/>
  <c r="P593" i="1"/>
  <c r="Q593" i="1"/>
  <c r="R593" i="1"/>
  <c r="S593" i="1"/>
  <c r="T593" i="1"/>
  <c r="U593" i="1"/>
  <c r="V593" i="1"/>
  <c r="W593" i="1"/>
  <c r="X593" i="1"/>
  <c r="Y593" i="1"/>
  <c r="Z593" i="1"/>
  <c r="O594" i="1"/>
  <c r="P594" i="1"/>
  <c r="Q594" i="1"/>
  <c r="R594" i="1"/>
  <c r="S594" i="1"/>
  <c r="T594" i="1"/>
  <c r="U594" i="1"/>
  <c r="V594" i="1"/>
  <c r="W594" i="1"/>
  <c r="X594" i="1"/>
  <c r="Y594" i="1"/>
  <c r="Z594" i="1"/>
  <c r="O595" i="1"/>
  <c r="P595" i="1"/>
  <c r="Q595" i="1"/>
  <c r="R595" i="1"/>
  <c r="S595" i="1"/>
  <c r="T595" i="1"/>
  <c r="U595" i="1"/>
  <c r="V595" i="1"/>
  <c r="W595" i="1"/>
  <c r="X595" i="1"/>
  <c r="Y595" i="1"/>
  <c r="Z595" i="1"/>
  <c r="O596" i="1"/>
  <c r="P596" i="1"/>
  <c r="Q596" i="1"/>
  <c r="R596" i="1"/>
  <c r="S596" i="1"/>
  <c r="T596" i="1"/>
  <c r="U596" i="1"/>
  <c r="V596" i="1"/>
  <c r="W596" i="1"/>
  <c r="X596" i="1"/>
  <c r="Y596" i="1"/>
  <c r="Z596" i="1"/>
  <c r="O597" i="1"/>
  <c r="P597" i="1"/>
  <c r="Q597" i="1"/>
  <c r="R597" i="1"/>
  <c r="S597" i="1"/>
  <c r="T597" i="1"/>
  <c r="U597" i="1"/>
  <c r="V597" i="1"/>
  <c r="W597" i="1"/>
  <c r="X597" i="1"/>
  <c r="Y597" i="1"/>
  <c r="Z597" i="1"/>
  <c r="O598" i="1"/>
  <c r="P598" i="1"/>
  <c r="Q598" i="1"/>
  <c r="R598" i="1"/>
  <c r="S598" i="1"/>
  <c r="T598" i="1"/>
  <c r="U598" i="1"/>
  <c r="V598" i="1"/>
  <c r="W598" i="1"/>
  <c r="X598" i="1"/>
  <c r="Y598" i="1"/>
  <c r="Z598" i="1"/>
  <c r="O599" i="1"/>
  <c r="P599" i="1"/>
  <c r="Q599" i="1"/>
  <c r="R599" i="1"/>
  <c r="S599" i="1"/>
  <c r="T599" i="1"/>
  <c r="U599" i="1"/>
  <c r="V599" i="1"/>
  <c r="W599" i="1"/>
  <c r="X599" i="1"/>
  <c r="Y599" i="1"/>
  <c r="Z599" i="1"/>
  <c r="O600" i="1"/>
  <c r="P600" i="1"/>
  <c r="Q600" i="1"/>
  <c r="R600" i="1"/>
  <c r="S600" i="1"/>
  <c r="T600" i="1"/>
  <c r="U600" i="1"/>
  <c r="V600" i="1"/>
  <c r="W600" i="1"/>
  <c r="X600" i="1"/>
  <c r="Y600" i="1"/>
  <c r="Z600" i="1"/>
  <c r="O601" i="1"/>
  <c r="P601" i="1"/>
  <c r="Q601" i="1"/>
  <c r="R601" i="1"/>
  <c r="S601" i="1"/>
  <c r="T601" i="1"/>
  <c r="U601" i="1"/>
  <c r="V601" i="1"/>
  <c r="W601" i="1"/>
  <c r="X601" i="1"/>
  <c r="Y601" i="1"/>
  <c r="Z601" i="1"/>
  <c r="O602" i="1"/>
  <c r="P602" i="1"/>
  <c r="Q602" i="1"/>
  <c r="R602" i="1"/>
  <c r="S602" i="1"/>
  <c r="T602" i="1"/>
  <c r="U602" i="1"/>
  <c r="V602" i="1"/>
  <c r="W602" i="1"/>
  <c r="X602" i="1"/>
  <c r="Y602" i="1"/>
  <c r="Z602" i="1"/>
  <c r="O603" i="1"/>
  <c r="P603" i="1"/>
  <c r="Q603" i="1"/>
  <c r="R603" i="1"/>
  <c r="S603" i="1"/>
  <c r="T603" i="1"/>
  <c r="U603" i="1"/>
  <c r="V603" i="1"/>
  <c r="W603" i="1"/>
  <c r="X603" i="1"/>
  <c r="Y603" i="1"/>
  <c r="Z603" i="1"/>
  <c r="O604" i="1"/>
  <c r="P604" i="1"/>
  <c r="Q604" i="1"/>
  <c r="R604" i="1"/>
  <c r="S604" i="1"/>
  <c r="T604" i="1"/>
  <c r="U604" i="1"/>
  <c r="V604" i="1"/>
  <c r="W604" i="1"/>
  <c r="X604" i="1"/>
  <c r="Y604" i="1"/>
  <c r="Z604" i="1"/>
  <c r="O605" i="1"/>
  <c r="P605" i="1"/>
  <c r="Q605" i="1"/>
  <c r="R605" i="1"/>
  <c r="S605" i="1"/>
  <c r="T605" i="1"/>
  <c r="U605" i="1"/>
  <c r="V605" i="1"/>
  <c r="W605" i="1"/>
  <c r="X605" i="1"/>
  <c r="Y605" i="1"/>
  <c r="Z605" i="1"/>
  <c r="O606" i="1"/>
  <c r="P606" i="1"/>
  <c r="Q606" i="1"/>
  <c r="R606" i="1"/>
  <c r="S606" i="1"/>
  <c r="T606" i="1"/>
  <c r="U606" i="1"/>
  <c r="V606" i="1"/>
  <c r="W606" i="1"/>
  <c r="X606" i="1"/>
  <c r="Y606" i="1"/>
  <c r="Z606" i="1"/>
  <c r="O607" i="1"/>
  <c r="P607" i="1"/>
  <c r="Q607" i="1"/>
  <c r="R607" i="1"/>
  <c r="S607" i="1"/>
  <c r="T607" i="1"/>
  <c r="U607" i="1"/>
  <c r="V607" i="1"/>
  <c r="W607" i="1"/>
  <c r="X607" i="1"/>
  <c r="Y607" i="1"/>
  <c r="Z607" i="1"/>
  <c r="O608" i="1"/>
  <c r="P608" i="1"/>
  <c r="Q608" i="1"/>
  <c r="R608" i="1"/>
  <c r="S608" i="1"/>
  <c r="T608" i="1"/>
  <c r="U608" i="1"/>
  <c r="V608" i="1"/>
  <c r="W608" i="1"/>
  <c r="X608" i="1"/>
  <c r="Y608" i="1"/>
  <c r="Z608" i="1"/>
  <c r="O609" i="1"/>
  <c r="P609" i="1"/>
  <c r="Q609" i="1"/>
  <c r="R609" i="1"/>
  <c r="S609" i="1"/>
  <c r="T609" i="1"/>
  <c r="U609" i="1"/>
  <c r="V609" i="1"/>
  <c r="W609" i="1"/>
  <c r="X609" i="1"/>
  <c r="Y609" i="1"/>
  <c r="Z609" i="1"/>
  <c r="O610" i="1"/>
  <c r="P610" i="1"/>
  <c r="Q610" i="1"/>
  <c r="R610" i="1"/>
  <c r="S610" i="1"/>
  <c r="T610" i="1"/>
  <c r="U610" i="1"/>
  <c r="V610" i="1"/>
  <c r="W610" i="1"/>
  <c r="X610" i="1"/>
  <c r="Y610" i="1"/>
  <c r="Z610" i="1"/>
  <c r="O611" i="1"/>
  <c r="P611" i="1"/>
  <c r="Q611" i="1"/>
  <c r="R611" i="1"/>
  <c r="S611" i="1"/>
  <c r="T611" i="1"/>
  <c r="U611" i="1"/>
  <c r="V611" i="1"/>
  <c r="W611" i="1"/>
  <c r="X611" i="1"/>
  <c r="Y611" i="1"/>
  <c r="Z611" i="1"/>
  <c r="O612" i="1"/>
  <c r="P612" i="1"/>
  <c r="Q612" i="1"/>
  <c r="R612" i="1"/>
  <c r="S612" i="1"/>
  <c r="T612" i="1"/>
  <c r="U612" i="1"/>
  <c r="V612" i="1"/>
  <c r="W612" i="1"/>
  <c r="X612" i="1"/>
  <c r="Y612" i="1"/>
  <c r="Z612" i="1"/>
  <c r="O613" i="1"/>
  <c r="P613" i="1"/>
  <c r="Q613" i="1"/>
  <c r="R613" i="1"/>
  <c r="S613" i="1"/>
  <c r="T613" i="1"/>
  <c r="U613" i="1"/>
  <c r="V613" i="1"/>
  <c r="W613" i="1"/>
  <c r="X613" i="1"/>
  <c r="Y613" i="1"/>
  <c r="Z613" i="1"/>
  <c r="O614" i="1"/>
  <c r="P614" i="1"/>
  <c r="Q614" i="1"/>
  <c r="R614" i="1"/>
  <c r="S614" i="1"/>
  <c r="T614" i="1"/>
  <c r="U614" i="1"/>
  <c r="V614" i="1"/>
  <c r="W614" i="1"/>
  <c r="X614" i="1"/>
  <c r="Y614" i="1"/>
  <c r="Z614" i="1"/>
  <c r="O615" i="1"/>
  <c r="P615" i="1"/>
  <c r="Q615" i="1"/>
  <c r="R615" i="1"/>
  <c r="S615" i="1"/>
  <c r="T615" i="1"/>
  <c r="U615" i="1"/>
  <c r="V615" i="1"/>
  <c r="W615" i="1"/>
  <c r="X615" i="1"/>
  <c r="Y615" i="1"/>
  <c r="Z615" i="1"/>
  <c r="O616" i="1"/>
  <c r="P616" i="1"/>
  <c r="Q616" i="1"/>
  <c r="R616" i="1"/>
  <c r="S616" i="1"/>
  <c r="T616" i="1"/>
  <c r="U616" i="1"/>
  <c r="V616" i="1"/>
  <c r="W616" i="1"/>
  <c r="X616" i="1"/>
  <c r="Y616" i="1"/>
  <c r="Z616" i="1"/>
  <c r="O617" i="1"/>
  <c r="P617" i="1"/>
  <c r="Q617" i="1"/>
  <c r="R617" i="1"/>
  <c r="S617" i="1"/>
  <c r="T617" i="1"/>
  <c r="U617" i="1"/>
  <c r="V617" i="1"/>
  <c r="W617" i="1"/>
  <c r="X617" i="1"/>
  <c r="Y617" i="1"/>
  <c r="Z617" i="1"/>
  <c r="O618" i="1"/>
  <c r="P618" i="1"/>
  <c r="Q618" i="1"/>
  <c r="R618" i="1"/>
  <c r="S618" i="1"/>
  <c r="T618" i="1"/>
  <c r="U618" i="1"/>
  <c r="V618" i="1"/>
  <c r="W618" i="1"/>
  <c r="X618" i="1"/>
  <c r="Y618" i="1"/>
  <c r="Z618" i="1"/>
  <c r="O619" i="1"/>
  <c r="P619" i="1"/>
  <c r="Q619" i="1"/>
  <c r="R619" i="1"/>
  <c r="S619" i="1"/>
  <c r="T619" i="1"/>
  <c r="U619" i="1"/>
  <c r="V619" i="1"/>
  <c r="W619" i="1"/>
  <c r="X619" i="1"/>
  <c r="Y619" i="1"/>
  <c r="Z619" i="1"/>
  <c r="O620" i="1"/>
  <c r="P620" i="1"/>
  <c r="Q620" i="1"/>
  <c r="R620" i="1"/>
  <c r="S620" i="1"/>
  <c r="T620" i="1"/>
  <c r="U620" i="1"/>
  <c r="V620" i="1"/>
  <c r="W620" i="1"/>
  <c r="X620" i="1"/>
  <c r="Y620" i="1"/>
  <c r="Z620" i="1"/>
  <c r="O621" i="1"/>
  <c r="P621" i="1"/>
  <c r="Q621" i="1"/>
  <c r="R621" i="1"/>
  <c r="S621" i="1"/>
  <c r="T621" i="1"/>
  <c r="U621" i="1"/>
  <c r="V621" i="1"/>
  <c r="W621" i="1"/>
  <c r="X621" i="1"/>
  <c r="Y621" i="1"/>
  <c r="Z621" i="1"/>
  <c r="O622" i="1"/>
  <c r="P622" i="1"/>
  <c r="Q622" i="1"/>
  <c r="R622" i="1"/>
  <c r="S622" i="1"/>
  <c r="T622" i="1"/>
  <c r="U622" i="1"/>
  <c r="V622" i="1"/>
  <c r="W622" i="1"/>
  <c r="X622" i="1"/>
  <c r="Y622" i="1"/>
  <c r="Z622" i="1"/>
  <c r="O623" i="1"/>
  <c r="P623" i="1"/>
  <c r="Q623" i="1"/>
  <c r="R623" i="1"/>
  <c r="S623" i="1"/>
  <c r="T623" i="1"/>
  <c r="U623" i="1"/>
  <c r="V623" i="1"/>
  <c r="W623" i="1"/>
  <c r="X623" i="1"/>
  <c r="Y623" i="1"/>
  <c r="Z623" i="1"/>
  <c r="O624" i="1"/>
  <c r="P624" i="1"/>
  <c r="Q624" i="1"/>
  <c r="R624" i="1"/>
  <c r="S624" i="1"/>
  <c r="T624" i="1"/>
  <c r="U624" i="1"/>
  <c r="V624" i="1"/>
  <c r="W624" i="1"/>
  <c r="X624" i="1"/>
  <c r="Y624" i="1"/>
  <c r="Z624" i="1"/>
  <c r="O625" i="1"/>
  <c r="P625" i="1"/>
  <c r="Q625" i="1"/>
  <c r="R625" i="1"/>
  <c r="S625" i="1"/>
  <c r="T625" i="1"/>
  <c r="U625" i="1"/>
  <c r="V625" i="1"/>
  <c r="W625" i="1"/>
  <c r="X625" i="1"/>
  <c r="Y625" i="1"/>
  <c r="Z625" i="1"/>
  <c r="O626" i="1"/>
  <c r="P626" i="1"/>
  <c r="Q626" i="1"/>
  <c r="R626" i="1"/>
  <c r="S626" i="1"/>
  <c r="T626" i="1"/>
  <c r="U626" i="1"/>
  <c r="V626" i="1"/>
  <c r="W626" i="1"/>
  <c r="X626" i="1"/>
  <c r="Y626" i="1"/>
  <c r="Z626" i="1"/>
  <c r="O627" i="1"/>
  <c r="P627" i="1"/>
  <c r="Q627" i="1"/>
  <c r="R627" i="1"/>
  <c r="S627" i="1"/>
  <c r="T627" i="1"/>
  <c r="U627" i="1"/>
  <c r="V627" i="1"/>
  <c r="W627" i="1"/>
  <c r="X627" i="1"/>
  <c r="Y627" i="1"/>
  <c r="Z627" i="1"/>
  <c r="O628" i="1"/>
  <c r="P628" i="1"/>
  <c r="Q628" i="1"/>
  <c r="R628" i="1"/>
  <c r="S628" i="1"/>
  <c r="T628" i="1"/>
  <c r="U628" i="1"/>
  <c r="V628" i="1"/>
  <c r="W628" i="1"/>
  <c r="X628" i="1"/>
  <c r="Y628" i="1"/>
  <c r="Z628" i="1"/>
  <c r="O629" i="1"/>
  <c r="P629" i="1"/>
  <c r="Q629" i="1"/>
  <c r="R629" i="1"/>
  <c r="S629" i="1"/>
  <c r="T629" i="1"/>
  <c r="U629" i="1"/>
  <c r="V629" i="1"/>
  <c r="W629" i="1"/>
  <c r="X629" i="1"/>
  <c r="Y629" i="1"/>
  <c r="Z629" i="1"/>
  <c r="O630" i="1"/>
  <c r="P630" i="1"/>
  <c r="Q630" i="1"/>
  <c r="R630" i="1"/>
  <c r="S630" i="1"/>
  <c r="T630" i="1"/>
  <c r="U630" i="1"/>
  <c r="V630" i="1"/>
  <c r="W630" i="1"/>
  <c r="X630" i="1"/>
  <c r="Y630" i="1"/>
  <c r="Z630" i="1"/>
  <c r="O631" i="1"/>
  <c r="P631" i="1"/>
  <c r="Q631" i="1"/>
  <c r="R631" i="1"/>
  <c r="S631" i="1"/>
  <c r="T631" i="1"/>
  <c r="U631" i="1"/>
  <c r="V631" i="1"/>
  <c r="W631" i="1"/>
  <c r="X631" i="1"/>
  <c r="Y631" i="1"/>
  <c r="Z631" i="1"/>
  <c r="O632" i="1"/>
  <c r="P632" i="1"/>
  <c r="Q632" i="1"/>
  <c r="R632" i="1"/>
  <c r="S632" i="1"/>
  <c r="T632" i="1"/>
  <c r="U632" i="1"/>
  <c r="V632" i="1"/>
  <c r="W632" i="1"/>
  <c r="X632" i="1"/>
  <c r="Y632" i="1"/>
  <c r="Z632" i="1"/>
  <c r="O633" i="1"/>
  <c r="P633" i="1"/>
  <c r="Q633" i="1"/>
  <c r="R633" i="1"/>
  <c r="S633" i="1"/>
  <c r="T633" i="1"/>
  <c r="U633" i="1"/>
  <c r="V633" i="1"/>
  <c r="W633" i="1"/>
  <c r="X633" i="1"/>
  <c r="Y633" i="1"/>
  <c r="Z633" i="1"/>
  <c r="O634" i="1"/>
  <c r="P634" i="1"/>
  <c r="Q634" i="1"/>
  <c r="R634" i="1"/>
  <c r="S634" i="1"/>
  <c r="T634" i="1"/>
  <c r="U634" i="1"/>
  <c r="V634" i="1"/>
  <c r="W634" i="1"/>
  <c r="X634" i="1"/>
  <c r="Y634" i="1"/>
  <c r="Z634" i="1"/>
  <c r="O635" i="1"/>
  <c r="P635" i="1"/>
  <c r="Q635" i="1"/>
  <c r="R635" i="1"/>
  <c r="S635" i="1"/>
  <c r="T635" i="1"/>
  <c r="U635" i="1"/>
  <c r="V635" i="1"/>
  <c r="W635" i="1"/>
  <c r="X635" i="1"/>
  <c r="Y635" i="1"/>
  <c r="Z635" i="1"/>
  <c r="O636" i="1"/>
  <c r="P636" i="1"/>
  <c r="Q636" i="1"/>
  <c r="R636" i="1"/>
  <c r="S636" i="1"/>
  <c r="T636" i="1"/>
  <c r="U636" i="1"/>
  <c r="V636" i="1"/>
  <c r="W636" i="1"/>
  <c r="X636" i="1"/>
  <c r="Y636" i="1"/>
  <c r="Z636" i="1"/>
  <c r="O637" i="1"/>
  <c r="P637" i="1"/>
  <c r="Q637" i="1"/>
  <c r="R637" i="1"/>
  <c r="S637" i="1"/>
  <c r="T637" i="1"/>
  <c r="U637" i="1"/>
  <c r="V637" i="1"/>
  <c r="W637" i="1"/>
  <c r="X637" i="1"/>
  <c r="Y637" i="1"/>
  <c r="Z637" i="1"/>
  <c r="O638" i="1"/>
  <c r="P638" i="1"/>
  <c r="Q638" i="1"/>
  <c r="R638" i="1"/>
  <c r="S638" i="1"/>
  <c r="T638" i="1"/>
  <c r="U638" i="1"/>
  <c r="V638" i="1"/>
  <c r="W638" i="1"/>
  <c r="X638" i="1"/>
  <c r="Y638" i="1"/>
  <c r="Z638" i="1"/>
  <c r="O639" i="1"/>
  <c r="P639" i="1"/>
  <c r="Q639" i="1"/>
  <c r="R639" i="1"/>
  <c r="S639" i="1"/>
  <c r="T639" i="1"/>
  <c r="U639" i="1"/>
  <c r="V639" i="1"/>
  <c r="W639" i="1"/>
  <c r="X639" i="1"/>
  <c r="Y639" i="1"/>
  <c r="Z639" i="1"/>
  <c r="O640" i="1"/>
  <c r="P640" i="1"/>
  <c r="Q640" i="1"/>
  <c r="R640" i="1"/>
  <c r="S640" i="1"/>
  <c r="T640" i="1"/>
  <c r="U640" i="1"/>
  <c r="V640" i="1"/>
  <c r="W640" i="1"/>
  <c r="X640" i="1"/>
  <c r="Y640" i="1"/>
  <c r="Z640" i="1"/>
  <c r="O641" i="1"/>
  <c r="P641" i="1"/>
  <c r="Q641" i="1"/>
  <c r="R641" i="1"/>
  <c r="S641" i="1"/>
  <c r="T641" i="1"/>
  <c r="U641" i="1"/>
  <c r="V641" i="1"/>
  <c r="W641" i="1"/>
  <c r="X641" i="1"/>
  <c r="Y641" i="1"/>
  <c r="Z641" i="1"/>
  <c r="O642" i="1"/>
  <c r="P642" i="1"/>
  <c r="Q642" i="1"/>
  <c r="R642" i="1"/>
  <c r="S642" i="1"/>
  <c r="T642" i="1"/>
  <c r="U642" i="1"/>
  <c r="V642" i="1"/>
  <c r="W642" i="1"/>
  <c r="X642" i="1"/>
  <c r="Y642" i="1"/>
  <c r="Z642" i="1"/>
  <c r="O643" i="1"/>
  <c r="P643" i="1"/>
  <c r="Q643" i="1"/>
  <c r="R643" i="1"/>
  <c r="S643" i="1"/>
  <c r="T643" i="1"/>
  <c r="U643" i="1"/>
  <c r="V643" i="1"/>
  <c r="W643" i="1"/>
  <c r="X643" i="1"/>
  <c r="Y643" i="1"/>
  <c r="Z643" i="1"/>
  <c r="O644" i="1"/>
  <c r="P644" i="1"/>
  <c r="Q644" i="1"/>
  <c r="R644" i="1"/>
  <c r="S644" i="1"/>
  <c r="T644" i="1"/>
  <c r="U644" i="1"/>
  <c r="V644" i="1"/>
  <c r="W644" i="1"/>
  <c r="X644" i="1"/>
  <c r="Y644" i="1"/>
  <c r="Z644" i="1"/>
  <c r="O645" i="1"/>
  <c r="P645" i="1"/>
  <c r="Q645" i="1"/>
  <c r="R645" i="1"/>
  <c r="S645" i="1"/>
  <c r="T645" i="1"/>
  <c r="U645" i="1"/>
  <c r="V645" i="1"/>
  <c r="W645" i="1"/>
  <c r="X645" i="1"/>
  <c r="Y645" i="1"/>
  <c r="Z645" i="1"/>
  <c r="O646" i="1"/>
  <c r="P646" i="1"/>
  <c r="Q646" i="1"/>
  <c r="R646" i="1"/>
  <c r="S646" i="1"/>
  <c r="T646" i="1"/>
  <c r="U646" i="1"/>
  <c r="V646" i="1"/>
  <c r="W646" i="1"/>
  <c r="X646" i="1"/>
  <c r="Y646" i="1"/>
  <c r="Z646" i="1"/>
  <c r="O647" i="1"/>
  <c r="P647" i="1"/>
  <c r="Q647" i="1"/>
  <c r="R647" i="1"/>
  <c r="S647" i="1"/>
  <c r="T647" i="1"/>
  <c r="U647" i="1"/>
  <c r="V647" i="1"/>
  <c r="W647" i="1"/>
  <c r="X647" i="1"/>
  <c r="Y647" i="1"/>
  <c r="Z647" i="1"/>
  <c r="O648" i="1"/>
  <c r="P648" i="1"/>
  <c r="Q648" i="1"/>
  <c r="R648" i="1"/>
  <c r="S648" i="1"/>
  <c r="T648" i="1"/>
  <c r="U648" i="1"/>
  <c r="V648" i="1"/>
  <c r="W648" i="1"/>
  <c r="X648" i="1"/>
  <c r="Y648" i="1"/>
  <c r="Z648" i="1"/>
  <c r="O649" i="1"/>
  <c r="P649" i="1"/>
  <c r="Q649" i="1"/>
  <c r="R649" i="1"/>
  <c r="S649" i="1"/>
  <c r="T649" i="1"/>
  <c r="U649" i="1"/>
  <c r="V649" i="1"/>
  <c r="W649" i="1"/>
  <c r="X649" i="1"/>
  <c r="Y649" i="1"/>
  <c r="Z649" i="1"/>
  <c r="O650" i="1"/>
  <c r="P650" i="1"/>
  <c r="Q650" i="1"/>
  <c r="R650" i="1"/>
  <c r="S650" i="1"/>
  <c r="T650" i="1"/>
  <c r="U650" i="1"/>
  <c r="V650" i="1"/>
  <c r="W650" i="1"/>
  <c r="X650" i="1"/>
  <c r="Y650" i="1"/>
  <c r="Z650" i="1"/>
  <c r="O651" i="1"/>
  <c r="P651" i="1"/>
  <c r="Q651" i="1"/>
  <c r="R651" i="1"/>
  <c r="S651" i="1"/>
  <c r="T651" i="1"/>
  <c r="U651" i="1"/>
  <c r="V651" i="1"/>
  <c r="W651" i="1"/>
  <c r="X651" i="1"/>
  <c r="Y651" i="1"/>
  <c r="Z651" i="1"/>
  <c r="O652" i="1"/>
  <c r="P652" i="1"/>
  <c r="Q652" i="1"/>
  <c r="R652" i="1"/>
  <c r="S652" i="1"/>
  <c r="T652" i="1"/>
  <c r="U652" i="1"/>
  <c r="V652" i="1"/>
  <c r="W652" i="1"/>
  <c r="X652" i="1"/>
  <c r="Y652" i="1"/>
  <c r="Z652" i="1"/>
  <c r="O653" i="1"/>
  <c r="P653" i="1"/>
  <c r="Q653" i="1"/>
  <c r="R653" i="1"/>
  <c r="S653" i="1"/>
  <c r="T653" i="1"/>
  <c r="U653" i="1"/>
  <c r="V653" i="1"/>
  <c r="W653" i="1"/>
  <c r="X653" i="1"/>
  <c r="Y653" i="1"/>
  <c r="Z653" i="1"/>
  <c r="O654" i="1"/>
  <c r="P654" i="1"/>
  <c r="Q654" i="1"/>
  <c r="R654" i="1"/>
  <c r="S654" i="1"/>
  <c r="T654" i="1"/>
  <c r="U654" i="1"/>
  <c r="V654" i="1"/>
  <c r="W654" i="1"/>
  <c r="X654" i="1"/>
  <c r="Y654" i="1"/>
  <c r="Z654" i="1"/>
  <c r="O655" i="1"/>
  <c r="P655" i="1"/>
  <c r="Q655" i="1"/>
  <c r="R655" i="1"/>
  <c r="S655" i="1"/>
  <c r="T655" i="1"/>
  <c r="U655" i="1"/>
  <c r="V655" i="1"/>
  <c r="W655" i="1"/>
  <c r="X655" i="1"/>
  <c r="Y655" i="1"/>
  <c r="Z655" i="1"/>
  <c r="O656" i="1"/>
  <c r="P656" i="1"/>
  <c r="Q656" i="1"/>
  <c r="R656" i="1"/>
  <c r="S656" i="1"/>
  <c r="T656" i="1"/>
  <c r="U656" i="1"/>
  <c r="V656" i="1"/>
  <c r="W656" i="1"/>
  <c r="X656" i="1"/>
  <c r="Y656" i="1"/>
  <c r="Z656" i="1"/>
  <c r="O657" i="1"/>
  <c r="P657" i="1"/>
  <c r="Q657" i="1"/>
  <c r="R657" i="1"/>
  <c r="S657" i="1"/>
  <c r="T657" i="1"/>
  <c r="U657" i="1"/>
  <c r="V657" i="1"/>
  <c r="W657" i="1"/>
  <c r="X657" i="1"/>
  <c r="Y657" i="1"/>
  <c r="Z657" i="1"/>
  <c r="O658" i="1"/>
  <c r="P658" i="1"/>
  <c r="Q658" i="1"/>
  <c r="R658" i="1"/>
  <c r="S658" i="1"/>
  <c r="T658" i="1"/>
  <c r="U658" i="1"/>
  <c r="V658" i="1"/>
  <c r="W658" i="1"/>
  <c r="X658" i="1"/>
  <c r="Y658" i="1"/>
  <c r="Z658" i="1"/>
  <c r="O659" i="1"/>
  <c r="P659" i="1"/>
  <c r="Q659" i="1"/>
  <c r="R659" i="1"/>
  <c r="S659" i="1"/>
  <c r="T659" i="1"/>
  <c r="U659" i="1"/>
  <c r="V659" i="1"/>
  <c r="W659" i="1"/>
  <c r="X659" i="1"/>
  <c r="Y659" i="1"/>
  <c r="Z659" i="1"/>
  <c r="O660" i="1"/>
  <c r="P660" i="1"/>
  <c r="Q660" i="1"/>
  <c r="R660" i="1"/>
  <c r="S660" i="1"/>
  <c r="T660" i="1"/>
  <c r="U660" i="1"/>
  <c r="V660" i="1"/>
  <c r="W660" i="1"/>
  <c r="X660" i="1"/>
  <c r="Y660" i="1"/>
  <c r="Z660" i="1"/>
  <c r="O661" i="1"/>
  <c r="P661" i="1"/>
  <c r="Q661" i="1"/>
  <c r="R661" i="1"/>
  <c r="S661" i="1"/>
  <c r="T661" i="1"/>
  <c r="U661" i="1"/>
  <c r="V661" i="1"/>
  <c r="W661" i="1"/>
  <c r="X661" i="1"/>
  <c r="Y661" i="1"/>
  <c r="Z661" i="1"/>
  <c r="O662" i="1"/>
  <c r="P662" i="1"/>
  <c r="Q662" i="1"/>
  <c r="R662" i="1"/>
  <c r="S662" i="1"/>
  <c r="T662" i="1"/>
  <c r="U662" i="1"/>
  <c r="V662" i="1"/>
  <c r="W662" i="1"/>
  <c r="X662" i="1"/>
  <c r="Y662" i="1"/>
  <c r="Z662" i="1"/>
  <c r="O663" i="1"/>
  <c r="P663" i="1"/>
  <c r="Q663" i="1"/>
  <c r="R663" i="1"/>
  <c r="S663" i="1"/>
  <c r="T663" i="1"/>
  <c r="U663" i="1"/>
  <c r="V663" i="1"/>
  <c r="W663" i="1"/>
  <c r="X663" i="1"/>
  <c r="Y663" i="1"/>
  <c r="Z663" i="1"/>
  <c r="O664" i="1"/>
  <c r="P664" i="1"/>
  <c r="Q664" i="1"/>
  <c r="R664" i="1"/>
  <c r="S664" i="1"/>
  <c r="T664" i="1"/>
  <c r="U664" i="1"/>
  <c r="V664" i="1"/>
  <c r="W664" i="1"/>
  <c r="X664" i="1"/>
  <c r="Y664" i="1"/>
  <c r="Z664" i="1"/>
  <c r="O665" i="1"/>
  <c r="P665" i="1"/>
  <c r="Q665" i="1"/>
  <c r="R665" i="1"/>
  <c r="S665" i="1"/>
  <c r="T665" i="1"/>
  <c r="U665" i="1"/>
  <c r="V665" i="1"/>
  <c r="W665" i="1"/>
  <c r="X665" i="1"/>
  <c r="Y665" i="1"/>
  <c r="Z665" i="1"/>
  <c r="O666" i="1"/>
  <c r="P666" i="1"/>
  <c r="Q666" i="1"/>
  <c r="R666" i="1"/>
  <c r="S666" i="1"/>
  <c r="T666" i="1"/>
  <c r="U666" i="1"/>
  <c r="V666" i="1"/>
  <c r="W666" i="1"/>
  <c r="X666" i="1"/>
  <c r="Y666" i="1"/>
  <c r="Z666" i="1"/>
  <c r="O667" i="1"/>
  <c r="P667" i="1"/>
  <c r="Q667" i="1"/>
  <c r="R667" i="1"/>
  <c r="S667" i="1"/>
  <c r="T667" i="1"/>
  <c r="U667" i="1"/>
  <c r="V667" i="1"/>
  <c r="W667" i="1"/>
  <c r="X667" i="1"/>
  <c r="Y667" i="1"/>
  <c r="Z667" i="1"/>
  <c r="O668" i="1"/>
  <c r="P668" i="1"/>
  <c r="Q668" i="1"/>
  <c r="R668" i="1"/>
  <c r="S668" i="1"/>
  <c r="T668" i="1"/>
  <c r="U668" i="1"/>
  <c r="V668" i="1"/>
  <c r="W668" i="1"/>
  <c r="X668" i="1"/>
  <c r="Y668" i="1"/>
  <c r="Z668" i="1"/>
  <c r="O669" i="1"/>
  <c r="P669" i="1"/>
  <c r="Q669" i="1"/>
  <c r="R669" i="1"/>
  <c r="S669" i="1"/>
  <c r="T669" i="1"/>
  <c r="U669" i="1"/>
  <c r="V669" i="1"/>
  <c r="W669" i="1"/>
  <c r="X669" i="1"/>
  <c r="Y669" i="1"/>
  <c r="Z669" i="1"/>
  <c r="O670" i="1"/>
  <c r="P670" i="1"/>
  <c r="Q670" i="1"/>
  <c r="R670" i="1"/>
  <c r="S670" i="1"/>
  <c r="T670" i="1"/>
  <c r="U670" i="1"/>
  <c r="V670" i="1"/>
  <c r="W670" i="1"/>
  <c r="X670" i="1"/>
  <c r="Y670" i="1"/>
  <c r="Z670" i="1"/>
  <c r="O671" i="1"/>
  <c r="P671" i="1"/>
  <c r="Q671" i="1"/>
  <c r="R671" i="1"/>
  <c r="S671" i="1"/>
  <c r="T671" i="1"/>
  <c r="U671" i="1"/>
  <c r="V671" i="1"/>
  <c r="W671" i="1"/>
  <c r="X671" i="1"/>
  <c r="Y671" i="1"/>
  <c r="Z671" i="1"/>
  <c r="O672" i="1"/>
  <c r="P672" i="1"/>
  <c r="Q672" i="1"/>
  <c r="R672" i="1"/>
  <c r="S672" i="1"/>
  <c r="T672" i="1"/>
  <c r="U672" i="1"/>
  <c r="V672" i="1"/>
  <c r="W672" i="1"/>
  <c r="X672" i="1"/>
  <c r="Y672" i="1"/>
  <c r="Z672" i="1"/>
  <c r="O673" i="1"/>
  <c r="P673" i="1"/>
  <c r="Q673" i="1"/>
  <c r="R673" i="1"/>
  <c r="S673" i="1"/>
  <c r="T673" i="1"/>
  <c r="U673" i="1"/>
  <c r="V673" i="1"/>
  <c r="W673" i="1"/>
  <c r="X673" i="1"/>
  <c r="Y673" i="1"/>
  <c r="Z673" i="1"/>
  <c r="O674" i="1"/>
  <c r="P674" i="1"/>
  <c r="Q674" i="1"/>
  <c r="R674" i="1"/>
  <c r="S674" i="1"/>
  <c r="T674" i="1"/>
  <c r="U674" i="1"/>
  <c r="V674" i="1"/>
  <c r="W674" i="1"/>
  <c r="X674" i="1"/>
  <c r="Y674" i="1"/>
  <c r="Z674" i="1"/>
  <c r="O675" i="1"/>
  <c r="P675" i="1"/>
  <c r="Q675" i="1"/>
  <c r="R675" i="1"/>
  <c r="S675" i="1"/>
  <c r="T675" i="1"/>
  <c r="U675" i="1"/>
  <c r="V675" i="1"/>
  <c r="W675" i="1"/>
  <c r="X675" i="1"/>
  <c r="Y675" i="1"/>
  <c r="Z675" i="1"/>
  <c r="O676" i="1"/>
  <c r="P676" i="1"/>
  <c r="Q676" i="1"/>
  <c r="R676" i="1"/>
  <c r="S676" i="1"/>
  <c r="T676" i="1"/>
  <c r="U676" i="1"/>
  <c r="V676" i="1"/>
  <c r="W676" i="1"/>
  <c r="X676" i="1"/>
  <c r="Y676" i="1"/>
  <c r="Z676" i="1"/>
  <c r="O677" i="1"/>
  <c r="P677" i="1"/>
  <c r="Q677" i="1"/>
  <c r="R677" i="1"/>
  <c r="S677" i="1"/>
  <c r="T677" i="1"/>
  <c r="U677" i="1"/>
  <c r="V677" i="1"/>
  <c r="W677" i="1"/>
  <c r="X677" i="1"/>
  <c r="Y677" i="1"/>
  <c r="Z677" i="1"/>
  <c r="O678" i="1"/>
  <c r="P678" i="1"/>
  <c r="Q678" i="1"/>
  <c r="R678" i="1"/>
  <c r="S678" i="1"/>
  <c r="T678" i="1"/>
  <c r="U678" i="1"/>
  <c r="V678" i="1"/>
  <c r="W678" i="1"/>
  <c r="X678" i="1"/>
  <c r="Y678" i="1"/>
  <c r="Z678" i="1"/>
  <c r="O679" i="1"/>
  <c r="P679" i="1"/>
  <c r="Q679" i="1"/>
  <c r="R679" i="1"/>
  <c r="S679" i="1"/>
  <c r="T679" i="1"/>
  <c r="U679" i="1"/>
  <c r="V679" i="1"/>
  <c r="W679" i="1"/>
  <c r="X679" i="1"/>
  <c r="Y679" i="1"/>
  <c r="Z679" i="1"/>
  <c r="O680" i="1"/>
  <c r="P680" i="1"/>
  <c r="Q680" i="1"/>
  <c r="R680" i="1"/>
  <c r="S680" i="1"/>
  <c r="T680" i="1"/>
  <c r="U680" i="1"/>
  <c r="V680" i="1"/>
  <c r="W680" i="1"/>
  <c r="X680" i="1"/>
  <c r="Y680" i="1"/>
  <c r="Z680" i="1"/>
  <c r="O681" i="1"/>
  <c r="P681" i="1"/>
  <c r="Q681" i="1"/>
  <c r="R681" i="1"/>
  <c r="S681" i="1"/>
  <c r="T681" i="1"/>
  <c r="U681" i="1"/>
  <c r="V681" i="1"/>
  <c r="W681" i="1"/>
  <c r="X681" i="1"/>
  <c r="Y681" i="1"/>
  <c r="Z681" i="1"/>
  <c r="O682" i="1"/>
  <c r="P682" i="1"/>
  <c r="Q682" i="1"/>
  <c r="R682" i="1"/>
  <c r="S682" i="1"/>
  <c r="T682" i="1"/>
  <c r="U682" i="1"/>
  <c r="V682" i="1"/>
  <c r="W682" i="1"/>
  <c r="X682" i="1"/>
  <c r="Y682" i="1"/>
  <c r="Z682" i="1"/>
  <c r="O683" i="1"/>
  <c r="P683" i="1"/>
  <c r="Q683" i="1"/>
  <c r="R683" i="1"/>
  <c r="S683" i="1"/>
  <c r="T683" i="1"/>
  <c r="U683" i="1"/>
  <c r="V683" i="1"/>
  <c r="W683" i="1"/>
  <c r="X683" i="1"/>
  <c r="Y683" i="1"/>
  <c r="Z683" i="1"/>
  <c r="O684" i="1"/>
  <c r="P684" i="1"/>
  <c r="Q684" i="1"/>
  <c r="R684" i="1"/>
  <c r="S684" i="1"/>
  <c r="T684" i="1"/>
  <c r="U684" i="1"/>
  <c r="V684" i="1"/>
  <c r="W684" i="1"/>
  <c r="X684" i="1"/>
  <c r="Y684" i="1"/>
  <c r="Z684" i="1"/>
  <c r="O685" i="1"/>
  <c r="P685" i="1"/>
  <c r="Q685" i="1"/>
  <c r="R685" i="1"/>
  <c r="S685" i="1"/>
  <c r="T685" i="1"/>
  <c r="U685" i="1"/>
  <c r="V685" i="1"/>
  <c r="W685" i="1"/>
  <c r="X685" i="1"/>
  <c r="Y685" i="1"/>
  <c r="Z685" i="1"/>
  <c r="O686" i="1"/>
  <c r="P686" i="1"/>
  <c r="Q686" i="1"/>
  <c r="R686" i="1"/>
  <c r="S686" i="1"/>
  <c r="T686" i="1"/>
  <c r="U686" i="1"/>
  <c r="V686" i="1"/>
  <c r="W686" i="1"/>
  <c r="X686" i="1"/>
  <c r="Y686" i="1"/>
  <c r="Z686" i="1"/>
  <c r="O687" i="1"/>
  <c r="P687" i="1"/>
  <c r="Q687" i="1"/>
  <c r="R687" i="1"/>
  <c r="S687" i="1"/>
  <c r="T687" i="1"/>
  <c r="U687" i="1"/>
  <c r="V687" i="1"/>
  <c r="W687" i="1"/>
  <c r="X687" i="1"/>
  <c r="Y687" i="1"/>
  <c r="Z687" i="1"/>
  <c r="O688" i="1"/>
  <c r="P688" i="1"/>
  <c r="Q688" i="1"/>
  <c r="R688" i="1"/>
  <c r="S688" i="1"/>
  <c r="T688" i="1"/>
  <c r="U688" i="1"/>
  <c r="V688" i="1"/>
  <c r="W688" i="1"/>
  <c r="X688" i="1"/>
  <c r="Y688" i="1"/>
  <c r="Z688" i="1"/>
  <c r="O689" i="1"/>
  <c r="P689" i="1"/>
  <c r="Q689" i="1"/>
  <c r="R689" i="1"/>
  <c r="S689" i="1"/>
  <c r="T689" i="1"/>
  <c r="U689" i="1"/>
  <c r="V689" i="1"/>
  <c r="W689" i="1"/>
  <c r="X689" i="1"/>
  <c r="Y689" i="1"/>
  <c r="Z689" i="1"/>
  <c r="O690" i="1"/>
  <c r="P690" i="1"/>
  <c r="Q690" i="1"/>
  <c r="R690" i="1"/>
  <c r="S690" i="1"/>
  <c r="T690" i="1"/>
  <c r="U690" i="1"/>
  <c r="V690" i="1"/>
  <c r="W690" i="1"/>
  <c r="X690" i="1"/>
  <c r="Y690" i="1"/>
  <c r="Z690" i="1"/>
  <c r="O691" i="1"/>
  <c r="P691" i="1"/>
  <c r="Q691" i="1"/>
  <c r="R691" i="1"/>
  <c r="S691" i="1"/>
  <c r="T691" i="1"/>
  <c r="U691" i="1"/>
  <c r="V691" i="1"/>
  <c r="W691" i="1"/>
  <c r="X691" i="1"/>
  <c r="Y691" i="1"/>
  <c r="Z691" i="1"/>
  <c r="O692" i="1"/>
  <c r="P692" i="1"/>
  <c r="Q692" i="1"/>
  <c r="R692" i="1"/>
  <c r="S692" i="1"/>
  <c r="T692" i="1"/>
  <c r="U692" i="1"/>
  <c r="V692" i="1"/>
  <c r="W692" i="1"/>
  <c r="X692" i="1"/>
  <c r="Y692" i="1"/>
  <c r="Z692" i="1"/>
  <c r="O693" i="1"/>
  <c r="P693" i="1"/>
  <c r="Q693" i="1"/>
  <c r="R693" i="1"/>
  <c r="S693" i="1"/>
  <c r="T693" i="1"/>
  <c r="U693" i="1"/>
  <c r="V693" i="1"/>
  <c r="W693" i="1"/>
  <c r="X693" i="1"/>
  <c r="Y693" i="1"/>
  <c r="Z693" i="1"/>
  <c r="O694" i="1"/>
  <c r="P694" i="1"/>
  <c r="Q694" i="1"/>
  <c r="R694" i="1"/>
  <c r="S694" i="1"/>
  <c r="T694" i="1"/>
  <c r="U694" i="1"/>
  <c r="V694" i="1"/>
  <c r="W694" i="1"/>
  <c r="X694" i="1"/>
  <c r="Y694" i="1"/>
  <c r="Z694" i="1"/>
  <c r="O695" i="1"/>
  <c r="P695" i="1"/>
  <c r="Q695" i="1"/>
  <c r="R695" i="1"/>
  <c r="S695" i="1"/>
  <c r="T695" i="1"/>
  <c r="U695" i="1"/>
  <c r="V695" i="1"/>
  <c r="W695" i="1"/>
  <c r="X695" i="1"/>
  <c r="Y695" i="1"/>
  <c r="Z695" i="1"/>
  <c r="O696" i="1"/>
  <c r="P696" i="1"/>
  <c r="Q696" i="1"/>
  <c r="R696" i="1"/>
  <c r="S696" i="1"/>
  <c r="T696" i="1"/>
  <c r="U696" i="1"/>
  <c r="V696" i="1"/>
  <c r="W696" i="1"/>
  <c r="X696" i="1"/>
  <c r="Y696" i="1"/>
  <c r="Z696" i="1"/>
  <c r="O697" i="1"/>
  <c r="P697" i="1"/>
  <c r="Q697" i="1"/>
  <c r="R697" i="1"/>
  <c r="S697" i="1"/>
  <c r="T697" i="1"/>
  <c r="U697" i="1"/>
  <c r="V697" i="1"/>
  <c r="W697" i="1"/>
  <c r="X697" i="1"/>
  <c r="Y697" i="1"/>
  <c r="Z697" i="1"/>
  <c r="O698" i="1"/>
  <c r="P698" i="1"/>
  <c r="Q698" i="1"/>
  <c r="R698" i="1"/>
  <c r="S698" i="1"/>
  <c r="T698" i="1"/>
  <c r="U698" i="1"/>
  <c r="V698" i="1"/>
  <c r="W698" i="1"/>
  <c r="X698" i="1"/>
  <c r="Y698" i="1"/>
  <c r="Z698" i="1"/>
  <c r="O699" i="1"/>
  <c r="P699" i="1"/>
  <c r="Q699" i="1"/>
  <c r="R699" i="1"/>
  <c r="S699" i="1"/>
  <c r="T699" i="1"/>
  <c r="U699" i="1"/>
  <c r="V699" i="1"/>
  <c r="W699" i="1"/>
  <c r="X699" i="1"/>
  <c r="Y699" i="1"/>
  <c r="Z699" i="1"/>
  <c r="O700" i="1"/>
  <c r="P700" i="1"/>
  <c r="Q700" i="1"/>
  <c r="R700" i="1"/>
  <c r="S700" i="1"/>
  <c r="T700" i="1"/>
  <c r="U700" i="1"/>
  <c r="V700" i="1"/>
  <c r="W700" i="1"/>
  <c r="X700" i="1"/>
  <c r="Y700" i="1"/>
  <c r="Z700" i="1"/>
  <c r="O701" i="1"/>
  <c r="P701" i="1"/>
  <c r="Q701" i="1"/>
  <c r="R701" i="1"/>
  <c r="S701" i="1"/>
  <c r="T701" i="1"/>
  <c r="U701" i="1"/>
  <c r="V701" i="1"/>
  <c r="W701" i="1"/>
  <c r="X701" i="1"/>
  <c r="Y701" i="1"/>
  <c r="Z701" i="1"/>
  <c r="O702" i="1"/>
  <c r="P702" i="1"/>
  <c r="Q702" i="1"/>
  <c r="R702" i="1"/>
  <c r="S702" i="1"/>
  <c r="T702" i="1"/>
  <c r="U702" i="1"/>
  <c r="V702" i="1"/>
  <c r="W702" i="1"/>
  <c r="X702" i="1"/>
  <c r="Y702" i="1"/>
  <c r="Z702" i="1"/>
  <c r="O703" i="1"/>
  <c r="P703" i="1"/>
  <c r="Q703" i="1"/>
  <c r="R703" i="1"/>
  <c r="S703" i="1"/>
  <c r="T703" i="1"/>
  <c r="U703" i="1"/>
  <c r="V703" i="1"/>
  <c r="W703" i="1"/>
  <c r="X703" i="1"/>
  <c r="Y703" i="1"/>
  <c r="Z703" i="1"/>
  <c r="O704" i="1"/>
  <c r="P704" i="1"/>
  <c r="Q704" i="1"/>
  <c r="R704" i="1"/>
  <c r="S704" i="1"/>
  <c r="T704" i="1"/>
  <c r="U704" i="1"/>
  <c r="V704" i="1"/>
  <c r="W704" i="1"/>
  <c r="X704" i="1"/>
  <c r="Y704" i="1"/>
  <c r="Z704" i="1"/>
  <c r="O705" i="1"/>
  <c r="P705" i="1"/>
  <c r="Q705" i="1"/>
  <c r="R705" i="1"/>
  <c r="S705" i="1"/>
  <c r="T705" i="1"/>
  <c r="U705" i="1"/>
  <c r="V705" i="1"/>
  <c r="W705" i="1"/>
  <c r="X705" i="1"/>
  <c r="Y705" i="1"/>
  <c r="Z705" i="1"/>
  <c r="O706" i="1"/>
  <c r="P706" i="1"/>
  <c r="Q706" i="1"/>
  <c r="R706" i="1"/>
  <c r="S706" i="1"/>
  <c r="T706" i="1"/>
  <c r="U706" i="1"/>
  <c r="V706" i="1"/>
  <c r="W706" i="1"/>
  <c r="X706" i="1"/>
  <c r="Y706" i="1"/>
  <c r="Z706" i="1"/>
  <c r="O707" i="1"/>
  <c r="P707" i="1"/>
  <c r="Q707" i="1"/>
  <c r="R707" i="1"/>
  <c r="S707" i="1"/>
  <c r="T707" i="1"/>
  <c r="U707" i="1"/>
  <c r="V707" i="1"/>
  <c r="W707" i="1"/>
  <c r="X707" i="1"/>
  <c r="Y707" i="1"/>
  <c r="Z707" i="1"/>
  <c r="O708" i="1"/>
  <c r="P708" i="1"/>
  <c r="Q708" i="1"/>
  <c r="R708" i="1"/>
  <c r="S708" i="1"/>
  <c r="T708" i="1"/>
  <c r="U708" i="1"/>
  <c r="V708" i="1"/>
  <c r="W708" i="1"/>
  <c r="X708" i="1"/>
  <c r="Y708" i="1"/>
  <c r="Z708" i="1"/>
  <c r="O709" i="1"/>
  <c r="P709" i="1"/>
  <c r="Q709" i="1"/>
  <c r="R709" i="1"/>
  <c r="S709" i="1"/>
  <c r="T709" i="1"/>
  <c r="U709" i="1"/>
  <c r="V709" i="1"/>
  <c r="W709" i="1"/>
  <c r="X709" i="1"/>
  <c r="Y709" i="1"/>
  <c r="Z709" i="1"/>
  <c r="O710" i="1"/>
  <c r="P710" i="1"/>
  <c r="Q710" i="1"/>
  <c r="R710" i="1"/>
  <c r="S710" i="1"/>
  <c r="T710" i="1"/>
  <c r="U710" i="1"/>
  <c r="V710" i="1"/>
  <c r="W710" i="1"/>
  <c r="X710" i="1"/>
  <c r="Y710" i="1"/>
  <c r="Z710" i="1"/>
  <c r="O711" i="1"/>
  <c r="P711" i="1"/>
  <c r="Q711" i="1"/>
  <c r="R711" i="1"/>
  <c r="S711" i="1"/>
  <c r="T711" i="1"/>
  <c r="U711" i="1"/>
  <c r="V711" i="1"/>
  <c r="W711" i="1"/>
  <c r="X711" i="1"/>
  <c r="Y711" i="1"/>
  <c r="Z711" i="1"/>
  <c r="O712" i="1"/>
  <c r="P712" i="1"/>
  <c r="Q712" i="1"/>
  <c r="R712" i="1"/>
  <c r="S712" i="1"/>
  <c r="T712" i="1"/>
  <c r="U712" i="1"/>
  <c r="V712" i="1"/>
  <c r="W712" i="1"/>
  <c r="X712" i="1"/>
  <c r="Y712" i="1"/>
  <c r="Z712" i="1"/>
  <c r="O713" i="1"/>
  <c r="P713" i="1"/>
  <c r="Q713" i="1"/>
  <c r="R713" i="1"/>
  <c r="S713" i="1"/>
  <c r="T713" i="1"/>
  <c r="U713" i="1"/>
  <c r="V713" i="1"/>
  <c r="W713" i="1"/>
  <c r="X713" i="1"/>
  <c r="Y713" i="1"/>
  <c r="Z713" i="1"/>
  <c r="O714" i="1"/>
  <c r="P714" i="1"/>
  <c r="Q714" i="1"/>
  <c r="R714" i="1"/>
  <c r="S714" i="1"/>
  <c r="T714" i="1"/>
  <c r="U714" i="1"/>
  <c r="V714" i="1"/>
  <c r="W714" i="1"/>
  <c r="X714" i="1"/>
  <c r="Y714" i="1"/>
  <c r="Z714" i="1"/>
  <c r="O715" i="1"/>
  <c r="P715" i="1"/>
  <c r="Q715" i="1"/>
  <c r="R715" i="1"/>
  <c r="S715" i="1"/>
  <c r="T715" i="1"/>
  <c r="U715" i="1"/>
  <c r="V715" i="1"/>
  <c r="W715" i="1"/>
  <c r="X715" i="1"/>
  <c r="Y715" i="1"/>
  <c r="Z715" i="1"/>
  <c r="O716" i="1"/>
  <c r="P716" i="1"/>
  <c r="Q716" i="1"/>
  <c r="R716" i="1"/>
  <c r="S716" i="1"/>
  <c r="T716" i="1"/>
  <c r="U716" i="1"/>
  <c r="V716" i="1"/>
  <c r="W716" i="1"/>
  <c r="X716" i="1"/>
  <c r="Y716" i="1"/>
  <c r="Z716" i="1"/>
  <c r="O717" i="1"/>
  <c r="P717" i="1"/>
  <c r="Q717" i="1"/>
  <c r="R717" i="1"/>
  <c r="S717" i="1"/>
  <c r="T717" i="1"/>
  <c r="U717" i="1"/>
  <c r="V717" i="1"/>
  <c r="W717" i="1"/>
  <c r="X717" i="1"/>
  <c r="Y717" i="1"/>
  <c r="Z717" i="1"/>
  <c r="O718" i="1"/>
  <c r="P718" i="1"/>
  <c r="Q718" i="1"/>
  <c r="R718" i="1"/>
  <c r="S718" i="1"/>
  <c r="T718" i="1"/>
  <c r="U718" i="1"/>
  <c r="V718" i="1"/>
  <c r="W718" i="1"/>
  <c r="X718" i="1"/>
  <c r="Y718" i="1"/>
  <c r="Z718" i="1"/>
  <c r="O719" i="1"/>
  <c r="P719" i="1"/>
  <c r="Q719" i="1"/>
  <c r="R719" i="1"/>
  <c r="S719" i="1"/>
  <c r="T719" i="1"/>
  <c r="U719" i="1"/>
  <c r="V719" i="1"/>
  <c r="W719" i="1"/>
  <c r="X719" i="1"/>
  <c r="Y719" i="1"/>
  <c r="Z719" i="1"/>
  <c r="Z561" i="1"/>
  <c r="Y561" i="1"/>
  <c r="X561" i="1"/>
  <c r="W561" i="1"/>
  <c r="V561" i="1"/>
  <c r="U561" i="1"/>
  <c r="T561" i="1"/>
  <c r="S561" i="1"/>
  <c r="R561" i="1"/>
  <c r="Q561" i="1"/>
  <c r="P561" i="1"/>
  <c r="O561" i="1"/>
  <c r="I561" i="1" a="1"/>
  <c r="I561" i="1" s="1"/>
  <c r="I562" i="1" a="1"/>
  <c r="I562" i="1" s="1"/>
  <c r="I563" i="1" a="1"/>
  <c r="I563" i="1" s="1"/>
  <c r="I564" i="1" a="1"/>
  <c r="I564"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84" i="1" a="1"/>
  <c r="I584" i="1" s="1"/>
  <c r="I585" i="1" a="1"/>
  <c r="I585" i="1" s="1"/>
  <c r="I586" i="1" a="1"/>
  <c r="I586" i="1" s="1"/>
  <c r="I587" i="1" a="1"/>
  <c r="I587" i="1" s="1"/>
  <c r="I588" i="1" a="1"/>
  <c r="I588"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s="1"/>
  <c r="I599" i="1" a="1"/>
  <c r="I599" i="1" s="1"/>
  <c r="I600" i="1" a="1"/>
  <c r="I600" i="1" s="1"/>
  <c r="I601" i="1" a="1"/>
  <c r="I601" i="1" s="1"/>
  <c r="I602" i="1" a="1"/>
  <c r="I602" i="1" s="1"/>
  <c r="I603" i="1" a="1"/>
  <c r="I603" i="1" s="1"/>
  <c r="I604" i="1" a="1"/>
  <c r="I604" i="1" s="1"/>
  <c r="I605" i="1" a="1"/>
  <c r="I605" i="1" s="1"/>
  <c r="I606" i="1" a="1"/>
  <c r="I606" i="1" s="1"/>
  <c r="I607" i="1" a="1"/>
  <c r="I607" i="1" s="1"/>
  <c r="I608" i="1" a="1"/>
  <c r="I608" i="1" s="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s="1"/>
  <c r="I629" i="1" a="1"/>
  <c r="I629" i="1" s="1"/>
  <c r="I630" i="1" a="1"/>
  <c r="I630" i="1" s="1"/>
  <c r="I631" i="1" a="1"/>
  <c r="I631" i="1" s="1"/>
  <c r="I632" i="1" a="1"/>
  <c r="I632" i="1" s="1"/>
  <c r="I633" i="1" a="1"/>
  <c r="I633" i="1" s="1"/>
  <c r="I634" i="1" a="1"/>
  <c r="I634" i="1" s="1"/>
  <c r="I635" i="1" a="1"/>
  <c r="I635" i="1" s="1"/>
  <c r="I636" i="1" a="1"/>
  <c r="I636" i="1" s="1"/>
  <c r="I637" i="1" a="1"/>
  <c r="I637" i="1" s="1"/>
  <c r="I638" i="1" a="1"/>
  <c r="I638" i="1" s="1"/>
  <c r="I639" i="1" a="1"/>
  <c r="I639" i="1" s="1"/>
  <c r="I640" i="1" a="1"/>
  <c r="I640" i="1" s="1"/>
  <c r="I641" i="1" a="1"/>
  <c r="I641" i="1" s="1"/>
  <c r="I642" i="1" a="1"/>
  <c r="I642" i="1" s="1"/>
  <c r="I643" i="1" a="1"/>
  <c r="I643" i="1" s="1"/>
  <c r="I644" i="1" a="1"/>
  <c r="I644" i="1" s="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668" i="1" a="1"/>
  <c r="I668" i="1" s="1"/>
  <c r="I669" i="1" a="1"/>
  <c r="I669" i="1" s="1"/>
  <c r="I670" i="1" a="1"/>
  <c r="I670" i="1" s="1"/>
  <c r="I671" i="1" a="1"/>
  <c r="I671" i="1" s="1"/>
  <c r="I672" i="1" a="1"/>
  <c r="I672" i="1" s="1"/>
  <c r="I673" i="1" a="1"/>
  <c r="I673" i="1" s="1"/>
  <c r="I674" i="1" a="1"/>
  <c r="I674" i="1" s="1"/>
  <c r="I675" i="1" a="1"/>
  <c r="I675" i="1" s="1"/>
  <c r="I676" i="1" a="1"/>
  <c r="I676" i="1" s="1"/>
  <c r="I677" i="1" a="1"/>
  <c r="I677" i="1" s="1"/>
  <c r="I678" i="1" a="1"/>
  <c r="I678" i="1" s="1"/>
  <c r="I679" i="1" a="1"/>
  <c r="I679" i="1" s="1"/>
  <c r="I680" i="1" a="1"/>
  <c r="I680" i="1" s="1"/>
  <c r="I681" i="1" a="1"/>
  <c r="I681" i="1" s="1"/>
  <c r="I682" i="1" a="1"/>
  <c r="I682" i="1" s="1"/>
  <c r="I683" i="1" a="1"/>
  <c r="I683" i="1" s="1"/>
  <c r="I684" i="1" a="1"/>
  <c r="I684" i="1" s="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s="1"/>
  <c r="I696" i="1" a="1"/>
  <c r="I696" i="1" s="1"/>
  <c r="I697" i="1" a="1"/>
  <c r="I697" i="1" s="1"/>
  <c r="I698" i="1" a="1"/>
  <c r="I698" i="1" s="1"/>
  <c r="I699" i="1" a="1"/>
  <c r="I699" i="1" s="1"/>
  <c r="I700" i="1" a="1"/>
  <c r="I700" i="1" s="1"/>
  <c r="I701" i="1" a="1"/>
  <c r="I701" i="1" s="1"/>
  <c r="I702" i="1" a="1"/>
  <c r="I702" i="1" s="1"/>
  <c r="I703" i="1" a="1"/>
  <c r="I703" i="1" s="1"/>
  <c r="I704" i="1" a="1"/>
  <c r="I704" i="1" s="1"/>
  <c r="I705" i="1" a="1"/>
  <c r="I705" i="1" s="1"/>
  <c r="I706" i="1" a="1"/>
  <c r="I706" i="1" s="1"/>
  <c r="I707" i="1" a="1"/>
  <c r="I707" i="1" s="1"/>
  <c r="I708" i="1" a="1"/>
  <c r="I708" i="1" s="1"/>
  <c r="I709" i="1" a="1"/>
  <c r="I709" i="1" s="1"/>
  <c r="I710" i="1" a="1"/>
  <c r="I710" i="1" s="1"/>
  <c r="I711" i="1" a="1"/>
  <c r="I711" i="1" s="1"/>
  <c r="I712" i="1" a="1"/>
  <c r="I712" i="1" s="1"/>
  <c r="I713" i="1" a="1"/>
  <c r="I713" i="1" s="1"/>
  <c r="I714" i="1" a="1"/>
  <c r="I714" i="1" s="1"/>
  <c r="I715" i="1" a="1"/>
  <c r="I715" i="1" s="1"/>
  <c r="I716" i="1" a="1"/>
  <c r="I716" i="1" s="1"/>
  <c r="I717" i="1" a="1"/>
  <c r="I717" i="1" s="1"/>
  <c r="I718" i="1" a="1"/>
  <c r="I718" i="1" s="1"/>
  <c r="I719" i="1" a="1"/>
  <c r="I719"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P559" i="1"/>
  <c r="Q559" i="1"/>
  <c r="R559" i="1"/>
  <c r="S559" i="1"/>
  <c r="T559" i="1"/>
  <c r="U559" i="1"/>
  <c r="V559" i="1"/>
  <c r="W559" i="1"/>
  <c r="X559" i="1"/>
  <c r="Y559" i="1"/>
  <c r="Z559" i="1"/>
  <c r="P560" i="1"/>
  <c r="Q560" i="1"/>
  <c r="R560" i="1"/>
  <c r="S560" i="1"/>
  <c r="T560" i="1"/>
  <c r="U560" i="1"/>
  <c r="V560" i="1"/>
  <c r="W560" i="1"/>
  <c r="X560" i="1"/>
  <c r="Y560" i="1"/>
  <c r="Z560" i="1"/>
  <c r="P558" i="1"/>
  <c r="O559" i="1"/>
  <c r="O560" i="1"/>
  <c r="Z558" i="1"/>
  <c r="Y558" i="1"/>
  <c r="X558" i="1"/>
  <c r="W558" i="1"/>
  <c r="V558" i="1"/>
  <c r="U558" i="1"/>
  <c r="T558" i="1"/>
  <c r="S558" i="1"/>
  <c r="R558" i="1"/>
  <c r="Q558" i="1"/>
  <c r="O558" i="1"/>
  <c r="J781" i="1" l="1"/>
  <c r="J796" i="1"/>
  <c r="J780" i="1"/>
  <c r="J779" i="1"/>
  <c r="J740" i="1"/>
  <c r="J804" i="1"/>
  <c r="AB806" i="1"/>
  <c r="AI725" i="1"/>
  <c r="AB782" i="1"/>
  <c r="AI742" i="1"/>
  <c r="AI726" i="1"/>
  <c r="AI724" i="1"/>
  <c r="AI721" i="1"/>
  <c r="AB795" i="1"/>
  <c r="J741" i="1"/>
  <c r="AB783" i="1"/>
  <c r="AH741" i="1"/>
  <c r="J783" i="1"/>
  <c r="AH723" i="1"/>
  <c r="AI737" i="1"/>
  <c r="AD790" i="1"/>
  <c r="AI722" i="1"/>
  <c r="AD802" i="1"/>
  <c r="AI805" i="1"/>
  <c r="AH805" i="1"/>
  <c r="AB791" i="1"/>
  <c r="J805" i="1"/>
  <c r="J803" i="1"/>
  <c r="AH744" i="1"/>
  <c r="J802" i="1"/>
  <c r="AD811" i="1"/>
  <c r="J787" i="1"/>
  <c r="AD773" i="1"/>
  <c r="J786" i="1"/>
  <c r="AH738" i="1"/>
  <c r="AB798" i="1"/>
  <c r="AB787" i="1"/>
  <c r="AB778" i="1"/>
  <c r="AC766" i="1"/>
  <c r="AE766" i="1" s="1"/>
  <c r="AC754" i="1"/>
  <c r="AE754" i="1" s="1"/>
  <c r="AA730" i="1"/>
  <c r="AD730" i="1" s="1"/>
  <c r="AC762" i="1"/>
  <c r="AE762" i="1" s="1"/>
  <c r="AA758" i="1"/>
  <c r="AD758" i="1" s="1"/>
  <c r="AC750" i="1"/>
  <c r="AE750" i="1" s="1"/>
  <c r="AC742" i="1"/>
  <c r="AE742" i="1" s="1"/>
  <c r="AC738" i="1"/>
  <c r="AE738" i="1" s="1"/>
  <c r="AC726" i="1"/>
  <c r="AE726" i="1" s="1"/>
  <c r="J792" i="1"/>
  <c r="AH735" i="1"/>
  <c r="J791" i="1"/>
  <c r="J809" i="1"/>
  <c r="J777" i="1"/>
  <c r="AD789" i="1"/>
  <c r="AD770" i="1"/>
  <c r="J793" i="1"/>
  <c r="AI769" i="1"/>
  <c r="AD786" i="1"/>
  <c r="AD800" i="1"/>
  <c r="AI763" i="1"/>
  <c r="J773" i="1"/>
  <c r="AD771" i="1"/>
  <c r="AI758" i="1"/>
  <c r="AD810" i="1"/>
  <c r="AH757" i="1"/>
  <c r="AH755" i="1"/>
  <c r="AI754" i="1"/>
  <c r="J798" i="1"/>
  <c r="J771" i="1"/>
  <c r="AB780" i="1"/>
  <c r="AD803" i="1"/>
  <c r="AD777" i="1"/>
  <c r="AI753" i="1"/>
  <c r="AD804" i="1"/>
  <c r="J808" i="1"/>
  <c r="AH751" i="1"/>
  <c r="AI747" i="1"/>
  <c r="J811" i="1"/>
  <c r="J795" i="1"/>
  <c r="AD807" i="1"/>
  <c r="AB781" i="1"/>
  <c r="J810" i="1"/>
  <c r="AH784" i="1"/>
  <c r="AI784" i="1"/>
  <c r="J782" i="1"/>
  <c r="J807" i="1"/>
  <c r="AC759" i="1"/>
  <c r="AE759" i="1" s="1"/>
  <c r="AC755" i="1"/>
  <c r="AE755" i="1" s="1"/>
  <c r="AC751" i="1"/>
  <c r="AE751" i="1" s="1"/>
  <c r="J806" i="1"/>
  <c r="AD805" i="1"/>
  <c r="AD772" i="1"/>
  <c r="AB775" i="1"/>
  <c r="AC720" i="1"/>
  <c r="AE720" i="1" s="1"/>
  <c r="AH740" i="1"/>
  <c r="AI756" i="1"/>
  <c r="AA768" i="1"/>
  <c r="AB768" i="1" s="1"/>
  <c r="AC764" i="1"/>
  <c r="AE764" i="1" s="1"/>
  <c r="AA760" i="1"/>
  <c r="AB760" i="1" s="1"/>
  <c r="AC756" i="1"/>
  <c r="AE756" i="1" s="1"/>
  <c r="AA752" i="1"/>
  <c r="AB752" i="1" s="1"/>
  <c r="AA748" i="1"/>
  <c r="AD748" i="1" s="1"/>
  <c r="AA744" i="1"/>
  <c r="AB744" i="1" s="1"/>
  <c r="AA740" i="1"/>
  <c r="AD740" i="1" s="1"/>
  <c r="AC736" i="1"/>
  <c r="AE736" i="1" s="1"/>
  <c r="AA732" i="1"/>
  <c r="AB732" i="1" s="1"/>
  <c r="AC728" i="1"/>
  <c r="AE728" i="1" s="1"/>
  <c r="AA724" i="1"/>
  <c r="AB724" i="1" s="1"/>
  <c r="J789" i="1"/>
  <c r="J776" i="1"/>
  <c r="AD788" i="1"/>
  <c r="AB792" i="1"/>
  <c r="AB809" i="1"/>
  <c r="AA720" i="1"/>
  <c r="AB720" i="1" s="1"/>
  <c r="J790" i="1"/>
  <c r="J749" i="1"/>
  <c r="AH767" i="1"/>
  <c r="AH739" i="1"/>
  <c r="AA764" i="1"/>
  <c r="AB764" i="1" s="1"/>
  <c r="AA756" i="1"/>
  <c r="AD756" i="1" s="1"/>
  <c r="AC744" i="1"/>
  <c r="AE744" i="1" s="1"/>
  <c r="AA736" i="1"/>
  <c r="AB736" i="1" s="1"/>
  <c r="AC732" i="1"/>
  <c r="AE732" i="1" s="1"/>
  <c r="AA728" i="1"/>
  <c r="AD728" i="1" s="1"/>
  <c r="AC724" i="1"/>
  <c r="AE724" i="1" s="1"/>
  <c r="J788" i="1"/>
  <c r="J775" i="1"/>
  <c r="AD799" i="1"/>
  <c r="AD776" i="1"/>
  <c r="AH764" i="1"/>
  <c r="AC769" i="1"/>
  <c r="AE769" i="1" s="1"/>
  <c r="AA759" i="1"/>
  <c r="AB759" i="1" s="1"/>
  <c r="AA751" i="1"/>
  <c r="AB751" i="1" s="1"/>
  <c r="AC747" i="1"/>
  <c r="AE747" i="1" s="1"/>
  <c r="AA739" i="1"/>
  <c r="AB739" i="1" s="1"/>
  <c r="AC723" i="1"/>
  <c r="AE723" i="1" s="1"/>
  <c r="J801" i="1"/>
  <c r="AD796" i="1"/>
  <c r="AA767" i="1"/>
  <c r="AD767" i="1" s="1"/>
  <c r="AC743" i="1"/>
  <c r="AE743" i="1" s="1"/>
  <c r="AA731" i="1"/>
  <c r="AB731" i="1" s="1"/>
  <c r="AA727" i="1"/>
  <c r="AD727" i="1" s="1"/>
  <c r="AB797" i="1"/>
  <c r="AH760" i="1"/>
  <c r="AH731" i="1"/>
  <c r="AA765" i="1"/>
  <c r="AB765" i="1" s="1"/>
  <c r="AA761" i="1"/>
  <c r="AB761" i="1" s="1"/>
  <c r="AA757" i="1"/>
  <c r="AD757" i="1" s="1"/>
  <c r="AC749" i="1"/>
  <c r="AE749" i="1" s="1"/>
  <c r="AA737" i="1"/>
  <c r="AB737" i="1" s="1"/>
  <c r="AC729" i="1"/>
  <c r="AE729" i="1" s="1"/>
  <c r="AC725" i="1"/>
  <c r="AE725" i="1" s="1"/>
  <c r="AC721" i="1"/>
  <c r="AE721" i="1" s="1"/>
  <c r="J785" i="1"/>
  <c r="J772" i="1"/>
  <c r="J799" i="1"/>
  <c r="AB779" i="1"/>
  <c r="AC763" i="1"/>
  <c r="AE763" i="1" s="1"/>
  <c r="AA755" i="1"/>
  <c r="AB755" i="1" s="1"/>
  <c r="AA747" i="1"/>
  <c r="AD747" i="1" s="1"/>
  <c r="AC739" i="1"/>
  <c r="AE739" i="1" s="1"/>
  <c r="AC735" i="1"/>
  <c r="AE735" i="1" s="1"/>
  <c r="AC761" i="1"/>
  <c r="AE761" i="1" s="1"/>
  <c r="AA753" i="1"/>
  <c r="AB753" i="1" s="1"/>
  <c r="AA749" i="1"/>
  <c r="AD749" i="1" s="1"/>
  <c r="AA745" i="1"/>
  <c r="AD745" i="1" s="1"/>
  <c r="AA741" i="1"/>
  <c r="AD741" i="1" s="1"/>
  <c r="AC737" i="1"/>
  <c r="AE737" i="1" s="1"/>
  <c r="AA733" i="1"/>
  <c r="AD733" i="1" s="1"/>
  <c r="AA729" i="1"/>
  <c r="AB729" i="1" s="1"/>
  <c r="AA725" i="1"/>
  <c r="AB725" i="1" s="1"/>
  <c r="AA721" i="1"/>
  <c r="AB721" i="1" s="1"/>
  <c r="AH761" i="1"/>
  <c r="AH732" i="1"/>
  <c r="J800" i="1"/>
  <c r="AH729" i="1"/>
  <c r="AA766" i="1"/>
  <c r="AB766" i="1" s="1"/>
  <c r="AA754" i="1"/>
  <c r="AB754" i="1" s="1"/>
  <c r="AC746" i="1"/>
  <c r="AE746" i="1" s="1"/>
  <c r="AA742" i="1"/>
  <c r="AD742" i="1" s="1"/>
  <c r="AC734" i="1"/>
  <c r="AE734" i="1" s="1"/>
  <c r="AC722" i="1"/>
  <c r="AE722" i="1" s="1"/>
  <c r="AC727" i="1"/>
  <c r="AE727" i="1" s="1"/>
  <c r="J797" i="1"/>
  <c r="J784" i="1"/>
  <c r="AH789" i="1"/>
  <c r="AB808" i="1"/>
  <c r="AB794" i="1"/>
  <c r="AA769" i="1"/>
  <c r="AB769" i="1" s="1"/>
  <c r="AC765" i="1"/>
  <c r="AE765" i="1" s="1"/>
  <c r="AC757" i="1"/>
  <c r="AE757" i="1" s="1"/>
  <c r="AA763" i="1"/>
  <c r="AD763" i="1" s="1"/>
  <c r="AA762" i="1"/>
  <c r="AB762" i="1" s="1"/>
  <c r="AC758" i="1"/>
  <c r="AE758" i="1" s="1"/>
  <c r="AA750" i="1"/>
  <c r="AB750" i="1" s="1"/>
  <c r="AA743" i="1"/>
  <c r="AD743" i="1" s="1"/>
  <c r="AA738" i="1"/>
  <c r="AB738" i="1" s="1"/>
  <c r="AA735" i="1"/>
  <c r="AB735" i="1" s="1"/>
  <c r="AC731" i="1"/>
  <c r="AE731" i="1" s="1"/>
  <c r="AC730" i="1"/>
  <c r="AE730" i="1" s="1"/>
  <c r="AA726" i="1"/>
  <c r="AB726" i="1" s="1"/>
  <c r="AA723" i="1"/>
  <c r="AB723" i="1" s="1"/>
  <c r="AH773" i="1"/>
  <c r="AB774" i="1"/>
  <c r="AA746" i="1"/>
  <c r="AB746" i="1" s="1"/>
  <c r="AA734" i="1"/>
  <c r="AB734" i="1" s="1"/>
  <c r="AA722" i="1"/>
  <c r="AB722" i="1" s="1"/>
  <c r="J770" i="1"/>
  <c r="AI800" i="1"/>
  <c r="AI804" i="1"/>
  <c r="AH804" i="1"/>
  <c r="AH787" i="1"/>
  <c r="AI787" i="1"/>
  <c r="AH802" i="1"/>
  <c r="AI802" i="1"/>
  <c r="AH786" i="1"/>
  <c r="AI786" i="1"/>
  <c r="AH770" i="1"/>
  <c r="AI770" i="1"/>
  <c r="AI750" i="1"/>
  <c r="AH750" i="1"/>
  <c r="AH803" i="1"/>
  <c r="AI803" i="1"/>
  <c r="AH771" i="1"/>
  <c r="AI771" i="1"/>
  <c r="AI749" i="1"/>
  <c r="AH749" i="1"/>
  <c r="AH762" i="1"/>
  <c r="AI762" i="1"/>
  <c r="AH746" i="1"/>
  <c r="AI746" i="1"/>
  <c r="AH730" i="1"/>
  <c r="AI730" i="1"/>
  <c r="AI799" i="1"/>
  <c r="AH799" i="1"/>
  <c r="AI783" i="1"/>
  <c r="AH783" i="1"/>
  <c r="AH745" i="1"/>
  <c r="AI745" i="1"/>
  <c r="AH798" i="1"/>
  <c r="AI798" i="1"/>
  <c r="AH782" i="1"/>
  <c r="AI782" i="1"/>
  <c r="AI728" i="1"/>
  <c r="AH728" i="1"/>
  <c r="AH797" i="1"/>
  <c r="AI797" i="1"/>
  <c r="AH781" i="1"/>
  <c r="AI781" i="1"/>
  <c r="AI772" i="1"/>
  <c r="AH772" i="1"/>
  <c r="AI759" i="1"/>
  <c r="AH759" i="1"/>
  <c r="AH796" i="1"/>
  <c r="AI796" i="1"/>
  <c r="AH780" i="1"/>
  <c r="AI780" i="1"/>
  <c r="J774" i="1"/>
  <c r="AI810" i="1"/>
  <c r="AH810" i="1"/>
  <c r="AI794" i="1"/>
  <c r="AH794" i="1"/>
  <c r="AI778" i="1"/>
  <c r="AH778" i="1"/>
  <c r="AI809" i="1"/>
  <c r="AH809" i="1"/>
  <c r="AI793" i="1"/>
  <c r="AH793" i="1"/>
  <c r="AI777" i="1"/>
  <c r="AH777" i="1"/>
  <c r="AI788" i="1"/>
  <c r="AH788" i="1"/>
  <c r="AI807" i="1"/>
  <c r="AH807" i="1"/>
  <c r="AI791" i="1"/>
  <c r="AH791" i="1"/>
  <c r="AI775" i="1"/>
  <c r="AH775" i="1"/>
  <c r="AH743" i="1"/>
  <c r="AH727" i="1"/>
  <c r="AH808" i="1"/>
  <c r="AH792" i="1"/>
  <c r="AH776" i="1"/>
  <c r="J578" i="1"/>
  <c r="AI801" i="1"/>
  <c r="AI785" i="1"/>
  <c r="AC753" i="1"/>
  <c r="AE753" i="1" s="1"/>
  <c r="AC745" i="1"/>
  <c r="AE745" i="1" s="1"/>
  <c r="AC741" i="1"/>
  <c r="AE741" i="1" s="1"/>
  <c r="AB785" i="1"/>
  <c r="AD785" i="1"/>
  <c r="AH806" i="1"/>
  <c r="AH790" i="1"/>
  <c r="AH774" i="1"/>
  <c r="AH768" i="1"/>
  <c r="AH752" i="1"/>
  <c r="AH736" i="1"/>
  <c r="AH720" i="1"/>
  <c r="AC768" i="1"/>
  <c r="AE768" i="1" s="1"/>
  <c r="AC733" i="1"/>
  <c r="AE733" i="1" s="1"/>
  <c r="AI811" i="1"/>
  <c r="AI795" i="1"/>
  <c r="AI779" i="1"/>
  <c r="AB793" i="1"/>
  <c r="AD793" i="1"/>
  <c r="AC752" i="1"/>
  <c r="AE752" i="1" s="1"/>
  <c r="AD801" i="1"/>
  <c r="AB801" i="1"/>
  <c r="AH766" i="1"/>
  <c r="AH734" i="1"/>
  <c r="AC760" i="1"/>
  <c r="AE760" i="1" s="1"/>
  <c r="AC748" i="1"/>
  <c r="AE748" i="1" s="1"/>
  <c r="AC740" i="1"/>
  <c r="AE740" i="1" s="1"/>
  <c r="AH765" i="1"/>
  <c r="AH733" i="1"/>
  <c r="AH748" i="1"/>
  <c r="AC767" i="1"/>
  <c r="AE767" i="1" s="1"/>
  <c r="AB784" i="1"/>
  <c r="AD784" i="1"/>
  <c r="J700" i="1"/>
  <c r="J652" i="1"/>
  <c r="J572" i="1"/>
  <c r="J585" i="1"/>
  <c r="J636" i="1"/>
  <c r="J570" i="1"/>
  <c r="J684" i="1"/>
  <c r="J710" i="1"/>
  <c r="J662" i="1"/>
  <c r="J620" i="1"/>
  <c r="J695" i="1"/>
  <c r="J694" i="1"/>
  <c r="J646" i="1"/>
  <c r="J586" i="1"/>
  <c r="J569" i="1"/>
  <c r="J679" i="1"/>
  <c r="J678" i="1"/>
  <c r="J604" i="1"/>
  <c r="J731" i="1"/>
  <c r="J577" i="1"/>
  <c r="J591" i="1"/>
  <c r="J762" i="1"/>
  <c r="J685" i="1"/>
  <c r="J689" i="1"/>
  <c r="J673" i="1"/>
  <c r="J593" i="1"/>
  <c r="J701" i="1"/>
  <c r="J683" i="1"/>
  <c r="J667" i="1"/>
  <c r="J619" i="1"/>
  <c r="J603" i="1"/>
  <c r="J571" i="1"/>
  <c r="J742" i="1"/>
  <c r="J621" i="1"/>
  <c r="J705" i="1"/>
  <c r="J561" i="1"/>
  <c r="J720" i="1"/>
  <c r="J735" i="1"/>
  <c r="J688" i="1"/>
  <c r="J750" i="1"/>
  <c r="AI627" i="1"/>
  <c r="AH627" i="1"/>
  <c r="J592" i="1"/>
  <c r="J719" i="1"/>
  <c r="J718" i="1"/>
  <c r="J702" i="1"/>
  <c r="J686" i="1"/>
  <c r="J606" i="1"/>
  <c r="J728" i="1"/>
  <c r="J699" i="1"/>
  <c r="J687" i="1"/>
  <c r="J607" i="1"/>
  <c r="J727" i="1"/>
  <c r="J682" i="1"/>
  <c r="J634" i="1"/>
  <c r="J602" i="1"/>
  <c r="J666" i="1"/>
  <c r="J618" i="1"/>
  <c r="J713" i="1"/>
  <c r="J681" i="1"/>
  <c r="J633" i="1"/>
  <c r="J601" i="1"/>
  <c r="J680" i="1"/>
  <c r="J664" i="1"/>
  <c r="J648" i="1"/>
  <c r="J714" i="1"/>
  <c r="J650" i="1"/>
  <c r="J697" i="1"/>
  <c r="J649" i="1"/>
  <c r="J617" i="1"/>
  <c r="J769" i="1"/>
  <c r="J698" i="1"/>
  <c r="J708" i="1"/>
  <c r="J660" i="1"/>
  <c r="J691" i="1"/>
  <c r="J659" i="1"/>
  <c r="J693" i="1"/>
  <c r="J692" i="1"/>
  <c r="J707" i="1"/>
  <c r="J675" i="1"/>
  <c r="J643" i="1"/>
  <c r="J706" i="1"/>
  <c r="J690" i="1"/>
  <c r="J674" i="1"/>
  <c r="J658" i="1"/>
  <c r="J748" i="1"/>
  <c r="J732" i="1"/>
  <c r="J709" i="1"/>
  <c r="J661" i="1"/>
  <c r="J676" i="1"/>
  <c r="J644" i="1"/>
  <c r="J763" i="1"/>
  <c r="AC635" i="1"/>
  <c r="AE635" i="1" s="1"/>
  <c r="J766" i="1"/>
  <c r="J715" i="1"/>
  <c r="J651" i="1"/>
  <c r="J635" i="1"/>
  <c r="AA708" i="1"/>
  <c r="AD708" i="1" s="1"/>
  <c r="AA600" i="1"/>
  <c r="AB600" i="1" s="1"/>
  <c r="AA596" i="1"/>
  <c r="AD596" i="1" s="1"/>
  <c r="AC592" i="1"/>
  <c r="AE592" i="1" s="1"/>
  <c r="AA588" i="1"/>
  <c r="AB588" i="1" s="1"/>
  <c r="AC584" i="1"/>
  <c r="AE584" i="1" s="1"/>
  <c r="AA580" i="1"/>
  <c r="AB580" i="1" s="1"/>
  <c r="AC576" i="1"/>
  <c r="AE576" i="1" s="1"/>
  <c r="AA572" i="1"/>
  <c r="AB572" i="1" s="1"/>
  <c r="AA568" i="1"/>
  <c r="AD568" i="1" s="1"/>
  <c r="AC564" i="1"/>
  <c r="AE564" i="1" s="1"/>
  <c r="J730" i="1"/>
  <c r="AC614" i="1"/>
  <c r="AE614" i="1" s="1"/>
  <c r="AC565" i="1"/>
  <c r="AE565" i="1" s="1"/>
  <c r="J665" i="1"/>
  <c r="AH630" i="1"/>
  <c r="AC622" i="1"/>
  <c r="AE622" i="1" s="1"/>
  <c r="AC621" i="1"/>
  <c r="AE621" i="1" s="1"/>
  <c r="AA569" i="1"/>
  <c r="AD569" i="1" s="1"/>
  <c r="AC563" i="1"/>
  <c r="AE563" i="1" s="1"/>
  <c r="J671" i="1"/>
  <c r="J632" i="1"/>
  <c r="J663" i="1"/>
  <c r="AH598" i="1"/>
  <c r="AA601" i="1"/>
  <c r="AB601" i="1" s="1"/>
  <c r="J725" i="1"/>
  <c r="J612" i="1"/>
  <c r="J596" i="1"/>
  <c r="J580" i="1"/>
  <c r="J564" i="1"/>
  <c r="J647" i="1"/>
  <c r="J755" i="1"/>
  <c r="J696" i="1"/>
  <c r="J627" i="1"/>
  <c r="J611" i="1"/>
  <c r="J595" i="1"/>
  <c r="J579" i="1"/>
  <c r="J615" i="1"/>
  <c r="AC602" i="1"/>
  <c r="AE602" i="1" s="1"/>
  <c r="AC594" i="1"/>
  <c r="AE594" i="1" s="1"/>
  <c r="J738" i="1"/>
  <c r="J642" i="1"/>
  <c r="J626" i="1"/>
  <c r="J610" i="1"/>
  <c r="J594" i="1"/>
  <c r="AA651" i="1"/>
  <c r="AD651" i="1" s="1"/>
  <c r="AC623" i="1"/>
  <c r="AE623" i="1" s="1"/>
  <c r="AC595" i="1"/>
  <c r="AE595" i="1" s="1"/>
  <c r="AA587" i="1"/>
  <c r="AB587" i="1" s="1"/>
  <c r="J753" i="1"/>
  <c r="J737" i="1"/>
  <c r="J717" i="1"/>
  <c r="J657" i="1"/>
  <c r="J641" i="1"/>
  <c r="J625" i="1"/>
  <c r="J609" i="1"/>
  <c r="J768" i="1"/>
  <c r="J736" i="1"/>
  <c r="J703" i="1"/>
  <c r="J716" i="1"/>
  <c r="J624" i="1"/>
  <c r="J767" i="1"/>
  <c r="AI703" i="1"/>
  <c r="AH703" i="1"/>
  <c r="AH687" i="1"/>
  <c r="AI687" i="1"/>
  <c r="AH634" i="1"/>
  <c r="AI634" i="1"/>
  <c r="AH664" i="1"/>
  <c r="AI664" i="1"/>
  <c r="AH632" i="1"/>
  <c r="AI632" i="1"/>
  <c r="AH600" i="1"/>
  <c r="AI600" i="1"/>
  <c r="AH618" i="1"/>
  <c r="AI618" i="1"/>
  <c r="AH631" i="1"/>
  <c r="AI631" i="1"/>
  <c r="AH599" i="1"/>
  <c r="AI599" i="1"/>
  <c r="AH567" i="1"/>
  <c r="AI567" i="1"/>
  <c r="AH622" i="1"/>
  <c r="AI622" i="1"/>
  <c r="AH640" i="1"/>
  <c r="AI640" i="1"/>
  <c r="AH672" i="1"/>
  <c r="AI672" i="1"/>
  <c r="AH671" i="1"/>
  <c r="AI671" i="1"/>
  <c r="AH690" i="1"/>
  <c r="AI690" i="1"/>
  <c r="AH658" i="1"/>
  <c r="AI658" i="1"/>
  <c r="J587" i="1"/>
  <c r="AI624" i="1"/>
  <c r="AA688" i="1"/>
  <c r="AD688" i="1" s="1"/>
  <c r="AA684" i="1"/>
  <c r="AD684" i="1" s="1"/>
  <c r="AC680" i="1"/>
  <c r="AE680" i="1" s="1"/>
  <c r="AC649" i="1"/>
  <c r="AE649" i="1" s="1"/>
  <c r="AA644" i="1"/>
  <c r="AD644" i="1" s="1"/>
  <c r="AA632" i="1"/>
  <c r="AB632" i="1" s="1"/>
  <c r="AA629" i="1"/>
  <c r="AD629" i="1" s="1"/>
  <c r="AC625" i="1"/>
  <c r="AE625" i="1" s="1"/>
  <c r="AA608" i="1"/>
  <c r="AD608" i="1" s="1"/>
  <c r="AC604" i="1"/>
  <c r="AE604" i="1" s="1"/>
  <c r="AC601" i="1"/>
  <c r="AE601" i="1" s="1"/>
  <c r="AC597" i="1"/>
  <c r="AE597" i="1" s="1"/>
  <c r="AA592" i="1"/>
  <c r="AB592" i="1" s="1"/>
  <c r="AA577" i="1"/>
  <c r="AD577" i="1" s="1"/>
  <c r="AA576" i="1"/>
  <c r="AD576" i="1" s="1"/>
  <c r="J757" i="1"/>
  <c r="AC568" i="1"/>
  <c r="AE568" i="1" s="1"/>
  <c r="J756" i="1"/>
  <c r="J723" i="1"/>
  <c r="J712" i="1"/>
  <c r="AC593" i="1"/>
  <c r="AE593" i="1" s="1"/>
  <c r="AC559" i="1"/>
  <c r="AE559" i="1" s="1"/>
  <c r="J711" i="1"/>
  <c r="J599" i="1"/>
  <c r="AH572" i="1"/>
  <c r="J721" i="1"/>
  <c r="J630" i="1"/>
  <c r="J614" i="1"/>
  <c r="J598" i="1"/>
  <c r="J582" i="1"/>
  <c r="J566" i="1"/>
  <c r="AI669" i="1"/>
  <c r="AH571" i="1"/>
  <c r="AA705" i="1"/>
  <c r="AB705" i="1" s="1"/>
  <c r="AC701" i="1"/>
  <c r="AE701" i="1" s="1"/>
  <c r="AA685" i="1"/>
  <c r="AB685" i="1" s="1"/>
  <c r="AC681" i="1"/>
  <c r="AE681" i="1" s="1"/>
  <c r="AA673" i="1"/>
  <c r="AB673" i="1" s="1"/>
  <c r="AA669" i="1"/>
  <c r="AB669" i="1" s="1"/>
  <c r="AA665" i="1"/>
  <c r="AD665" i="1" s="1"/>
  <c r="AA661" i="1"/>
  <c r="AD661" i="1" s="1"/>
  <c r="AC657" i="1"/>
  <c r="AE657" i="1" s="1"/>
  <c r="AA653" i="1"/>
  <c r="AD653" i="1" s="1"/>
  <c r="AA649" i="1"/>
  <c r="AD649" i="1" s="1"/>
  <c r="AA645" i="1"/>
  <c r="AB645" i="1" s="1"/>
  <c r="AA641" i="1"/>
  <c r="AB641" i="1" s="1"/>
  <c r="AC637" i="1"/>
  <c r="AE637" i="1" s="1"/>
  <c r="AA633" i="1"/>
  <c r="AB633" i="1" s="1"/>
  <c r="AC629" i="1"/>
  <c r="AE629" i="1" s="1"/>
  <c r="AA625" i="1"/>
  <c r="AD625" i="1" s="1"/>
  <c r="AA621" i="1"/>
  <c r="AD621" i="1" s="1"/>
  <c r="AA617" i="1"/>
  <c r="AD617" i="1" s="1"/>
  <c r="AA613" i="1"/>
  <c r="AB613" i="1" s="1"/>
  <c r="AA609" i="1"/>
  <c r="AC605" i="1"/>
  <c r="AE605" i="1" s="1"/>
  <c r="AA597" i="1"/>
  <c r="AD597" i="1" s="1"/>
  <c r="AA593" i="1"/>
  <c r="AB593" i="1" s="1"/>
  <c r="AA589" i="1"/>
  <c r="AD589" i="1" s="1"/>
  <c r="AC585" i="1"/>
  <c r="AE585" i="1" s="1"/>
  <c r="AA581" i="1"/>
  <c r="AB581" i="1" s="1"/>
  <c r="AC577" i="1"/>
  <c r="AE577" i="1" s="1"/>
  <c r="AA573" i="1"/>
  <c r="AD573" i="1" s="1"/>
  <c r="AC569" i="1"/>
  <c r="AE569" i="1" s="1"/>
  <c r="AA565" i="1"/>
  <c r="AD565" i="1" s="1"/>
  <c r="J752" i="1"/>
  <c r="J677" i="1"/>
  <c r="J645" i="1"/>
  <c r="J629" i="1"/>
  <c r="J581" i="1"/>
  <c r="AI668" i="1"/>
  <c r="J751" i="1"/>
  <c r="J722" i="1"/>
  <c r="J628" i="1"/>
  <c r="AH717" i="1"/>
  <c r="AA559" i="1"/>
  <c r="AB559" i="1" s="1"/>
  <c r="J563" i="1"/>
  <c r="J583" i="1"/>
  <c r="AA622" i="1"/>
  <c r="AD622" i="1" s="1"/>
  <c r="AA618" i="1"/>
  <c r="AB618" i="1" s="1"/>
  <c r="AA594" i="1"/>
  <c r="AB594" i="1" s="1"/>
  <c r="AC590" i="1"/>
  <c r="AE590" i="1" s="1"/>
  <c r="AA583" i="1"/>
  <c r="AD583" i="1" s="1"/>
  <c r="AA578" i="1"/>
  <c r="AD578" i="1" s="1"/>
  <c r="AA570" i="1"/>
  <c r="AD570" i="1" s="1"/>
  <c r="AC562" i="1"/>
  <c r="AE562" i="1" s="1"/>
  <c r="J765" i="1"/>
  <c r="J733" i="1"/>
  <c r="AC560" i="1"/>
  <c r="AE560" i="1" s="1"/>
  <c r="AA677" i="1"/>
  <c r="AB677" i="1" s="1"/>
  <c r="J562" i="1"/>
  <c r="AI653" i="1"/>
  <c r="AH700" i="1"/>
  <c r="AA706" i="1"/>
  <c r="AD706" i="1" s="1"/>
  <c r="AC702" i="1"/>
  <c r="AE702" i="1" s="1"/>
  <c r="AA696" i="1"/>
  <c r="AD696" i="1" s="1"/>
  <c r="AC694" i="1"/>
  <c r="AE694" i="1" s="1"/>
  <c r="AC692" i="1"/>
  <c r="AE692" i="1" s="1"/>
  <c r="AC682" i="1"/>
  <c r="AE682" i="1" s="1"/>
  <c r="AA678" i="1"/>
  <c r="AB678" i="1" s="1"/>
  <c r="AA670" i="1"/>
  <c r="AD670" i="1" s="1"/>
  <c r="AA666" i="1"/>
  <c r="AD666" i="1" s="1"/>
  <c r="AC658" i="1"/>
  <c r="AE658" i="1" s="1"/>
  <c r="AA654" i="1"/>
  <c r="AB654" i="1" s="1"/>
  <c r="AC650" i="1"/>
  <c r="AE650" i="1" s="1"/>
  <c r="AA646" i="1"/>
  <c r="AD646" i="1" s="1"/>
  <c r="AA642" i="1"/>
  <c r="AB642" i="1" s="1"/>
  <c r="AA638" i="1"/>
  <c r="AB638" i="1" s="1"/>
  <c r="AA634" i="1"/>
  <c r="AB634" i="1" s="1"/>
  <c r="AC630" i="1"/>
  <c r="AE630" i="1" s="1"/>
  <c r="AC626" i="1"/>
  <c r="AE626" i="1" s="1"/>
  <c r="AC618" i="1"/>
  <c r="AE618" i="1" s="1"/>
  <c r="AA614" i="1"/>
  <c r="AB614" i="1" s="1"/>
  <c r="AA610" i="1"/>
  <c r="AB610" i="1" s="1"/>
  <c r="AA606" i="1"/>
  <c r="AD606" i="1" s="1"/>
  <c r="AA602" i="1"/>
  <c r="AD602" i="1" s="1"/>
  <c r="AC598" i="1"/>
  <c r="AE598" i="1" s="1"/>
  <c r="AA590" i="1"/>
  <c r="AB590" i="1" s="1"/>
  <c r="AA586" i="1"/>
  <c r="AD586" i="1" s="1"/>
  <c r="AA582" i="1"/>
  <c r="AB582" i="1" s="1"/>
  <c r="AC578" i="1"/>
  <c r="AE578" i="1" s="1"/>
  <c r="AA574" i="1"/>
  <c r="AB574" i="1" s="1"/>
  <c r="AC570" i="1"/>
  <c r="AE570" i="1" s="1"/>
  <c r="AA566" i="1"/>
  <c r="AD566" i="1" s="1"/>
  <c r="AA562" i="1"/>
  <c r="AB562" i="1" s="1"/>
  <c r="AC588" i="1"/>
  <c r="AE588" i="1" s="1"/>
  <c r="AC558" i="1"/>
  <c r="AE558" i="1" s="1"/>
  <c r="AH685" i="1"/>
  <c r="AC656" i="1"/>
  <c r="AE656" i="1" s="1"/>
  <c r="AA636" i="1"/>
  <c r="AD636" i="1" s="1"/>
  <c r="AC628" i="1"/>
  <c r="AE628" i="1" s="1"/>
  <c r="AC616" i="1"/>
  <c r="AE616" i="1" s="1"/>
  <c r="AC608" i="1"/>
  <c r="AE608" i="1" s="1"/>
  <c r="J747" i="1"/>
  <c r="J739" i="1"/>
  <c r="J704" i="1"/>
  <c r="J672" i="1"/>
  <c r="J656" i="1"/>
  <c r="J608" i="1"/>
  <c r="J576" i="1"/>
  <c r="AI636" i="1"/>
  <c r="AH684" i="1"/>
  <c r="AC642" i="1"/>
  <c r="AE642" i="1" s="1"/>
  <c r="AA585" i="1"/>
  <c r="AB585" i="1" s="1"/>
  <c r="J746" i="1"/>
  <c r="J764" i="1"/>
  <c r="AA681" i="1"/>
  <c r="AB681" i="1" s="1"/>
  <c r="J655" i="1"/>
  <c r="J639" i="1"/>
  <c r="AI635" i="1"/>
  <c r="AA637" i="1"/>
  <c r="AD637" i="1" s="1"/>
  <c r="AA584" i="1"/>
  <c r="AD584" i="1" s="1"/>
  <c r="J761" i="1"/>
  <c r="J729" i="1"/>
  <c r="J584" i="1"/>
  <c r="AA657" i="1"/>
  <c r="AD657" i="1" s="1"/>
  <c r="J670" i="1"/>
  <c r="J638" i="1"/>
  <c r="J622" i="1"/>
  <c r="J590" i="1"/>
  <c r="J574" i="1"/>
  <c r="J567" i="1"/>
  <c r="AA691" i="1"/>
  <c r="AD691" i="1" s="1"/>
  <c r="AA663" i="1"/>
  <c r="AB663" i="1" s="1"/>
  <c r="AA639" i="1"/>
  <c r="AD639" i="1" s="1"/>
  <c r="AC611" i="1"/>
  <c r="AE611" i="1" s="1"/>
  <c r="AC587" i="1"/>
  <c r="AE587" i="1" s="1"/>
  <c r="AC583" i="1"/>
  <c r="AE583" i="1" s="1"/>
  <c r="AC581" i="1"/>
  <c r="AE581" i="1" s="1"/>
  <c r="J760" i="1"/>
  <c r="J744" i="1"/>
  <c r="J568" i="1"/>
  <c r="J653" i="1"/>
  <c r="J631" i="1"/>
  <c r="AA630" i="1"/>
  <c r="AB630" i="1" s="1"/>
  <c r="AC580" i="1"/>
  <c r="AE580" i="1" s="1"/>
  <c r="J759" i="1"/>
  <c r="J743" i="1"/>
  <c r="J600" i="1"/>
  <c r="AA558" i="1"/>
  <c r="AD558" i="1" s="1"/>
  <c r="J637" i="1"/>
  <c r="J668" i="1"/>
  <c r="J588" i="1"/>
  <c r="AC572" i="1"/>
  <c r="AE572" i="1" s="1"/>
  <c r="J758" i="1"/>
  <c r="J726" i="1"/>
  <c r="AI705" i="1"/>
  <c r="AH705" i="1"/>
  <c r="AI689" i="1"/>
  <c r="AH689" i="1"/>
  <c r="AH673" i="1"/>
  <c r="AI673" i="1"/>
  <c r="AH657" i="1"/>
  <c r="AI657" i="1"/>
  <c r="AI641" i="1"/>
  <c r="AH641" i="1"/>
  <c r="AI593" i="1"/>
  <c r="AH593" i="1"/>
  <c r="AI577" i="1"/>
  <c r="AH577" i="1"/>
  <c r="AI561" i="1"/>
  <c r="AH561" i="1"/>
  <c r="AI576" i="1"/>
  <c r="AH576" i="1"/>
  <c r="AI607" i="1"/>
  <c r="AH607" i="1"/>
  <c r="AI575" i="1"/>
  <c r="AH575" i="1"/>
  <c r="J616" i="1"/>
  <c r="AI718" i="1"/>
  <c r="AH718" i="1"/>
  <c r="AI702" i="1"/>
  <c r="AH702" i="1"/>
  <c r="AI686" i="1"/>
  <c r="AH686" i="1"/>
  <c r="AI670" i="1"/>
  <c r="AH670" i="1"/>
  <c r="AH654" i="1"/>
  <c r="AI654" i="1"/>
  <c r="AH638" i="1"/>
  <c r="AI638" i="1"/>
  <c r="AI590" i="1"/>
  <c r="AH590" i="1"/>
  <c r="J613" i="1"/>
  <c r="J597" i="1"/>
  <c r="J565" i="1"/>
  <c r="AI715" i="1"/>
  <c r="AH715" i="1"/>
  <c r="AI699" i="1"/>
  <c r="AH699" i="1"/>
  <c r="AI683" i="1"/>
  <c r="AH683" i="1"/>
  <c r="AI667" i="1"/>
  <c r="AH667" i="1"/>
  <c r="AI651" i="1"/>
  <c r="AH651" i="1"/>
  <c r="AI713" i="1"/>
  <c r="AH713" i="1"/>
  <c r="AI633" i="1"/>
  <c r="AH633" i="1"/>
  <c r="AI569" i="1"/>
  <c r="AH569" i="1"/>
  <c r="AH616" i="1"/>
  <c r="AI616" i="1"/>
  <c r="AH568" i="1"/>
  <c r="AI568" i="1"/>
  <c r="AH621" i="1"/>
  <c r="AI621" i="1"/>
  <c r="AH604" i="1"/>
  <c r="AI604" i="1"/>
  <c r="AI650" i="1"/>
  <c r="AH650" i="1"/>
  <c r="AI681" i="1"/>
  <c r="AH681" i="1"/>
  <c r="AI698" i="1"/>
  <c r="AH698" i="1"/>
  <c r="AI665" i="1"/>
  <c r="AH665" i="1"/>
  <c r="AI617" i="1"/>
  <c r="AH617" i="1"/>
  <c r="J640" i="1"/>
  <c r="AH710" i="1"/>
  <c r="AI710" i="1"/>
  <c r="AH694" i="1"/>
  <c r="AI694" i="1"/>
  <c r="AI678" i="1"/>
  <c r="AH678" i="1"/>
  <c r="AI662" i="1"/>
  <c r="AH662" i="1"/>
  <c r="AI646" i="1"/>
  <c r="AH646" i="1"/>
  <c r="AI614" i="1"/>
  <c r="AH614" i="1"/>
  <c r="AH582" i="1"/>
  <c r="AI582" i="1"/>
  <c r="J623" i="1"/>
  <c r="J575" i="1"/>
  <c r="AH709" i="1"/>
  <c r="AI709" i="1"/>
  <c r="AH693" i="1"/>
  <c r="AI693" i="1"/>
  <c r="AH677" i="1"/>
  <c r="AI677" i="1"/>
  <c r="AI661" i="1"/>
  <c r="AH661" i="1"/>
  <c r="AI645" i="1"/>
  <c r="AH645" i="1"/>
  <c r="AI629" i="1"/>
  <c r="AH629" i="1"/>
  <c r="AI613" i="1"/>
  <c r="AH613" i="1"/>
  <c r="AI597" i="1"/>
  <c r="AH597" i="1"/>
  <c r="AH714" i="1"/>
  <c r="AI714" i="1"/>
  <c r="AI666" i="1"/>
  <c r="AH666" i="1"/>
  <c r="AH586" i="1"/>
  <c r="AI586" i="1"/>
  <c r="AI649" i="1"/>
  <c r="AH649" i="1"/>
  <c r="AI585" i="1"/>
  <c r="AH585" i="1"/>
  <c r="AI708" i="1"/>
  <c r="AH708" i="1"/>
  <c r="AH692" i="1"/>
  <c r="AI692" i="1"/>
  <c r="AH676" i="1"/>
  <c r="AI676" i="1"/>
  <c r="AI660" i="1"/>
  <c r="AH660" i="1"/>
  <c r="AI644" i="1"/>
  <c r="AH644" i="1"/>
  <c r="AI628" i="1"/>
  <c r="AH628" i="1"/>
  <c r="AI612" i="1"/>
  <c r="AH612" i="1"/>
  <c r="AI580" i="1"/>
  <c r="AH580" i="1"/>
  <c r="AH564" i="1"/>
  <c r="AI564" i="1"/>
  <c r="AI682" i="1"/>
  <c r="AH682" i="1"/>
  <c r="J669" i="1"/>
  <c r="J605" i="1"/>
  <c r="J589" i="1"/>
  <c r="J573" i="1"/>
  <c r="AI611" i="1"/>
  <c r="AH611" i="1"/>
  <c r="AI595" i="1"/>
  <c r="AH595" i="1"/>
  <c r="AI579" i="1"/>
  <c r="AH579" i="1"/>
  <c r="AI563" i="1"/>
  <c r="AH563" i="1"/>
  <c r="AI697" i="1"/>
  <c r="AH697" i="1"/>
  <c r="AI601" i="1"/>
  <c r="AH601" i="1"/>
  <c r="J654" i="1"/>
  <c r="AH610" i="1"/>
  <c r="AI610" i="1"/>
  <c r="AH594" i="1"/>
  <c r="AI594" i="1"/>
  <c r="AH562" i="1"/>
  <c r="AI562" i="1"/>
  <c r="AI695" i="1"/>
  <c r="AA717" i="1"/>
  <c r="AC717" i="1"/>
  <c r="AE717" i="1" s="1"/>
  <c r="AA713" i="1"/>
  <c r="AC713" i="1"/>
  <c r="AE713" i="1" s="1"/>
  <c r="AA709" i="1"/>
  <c r="AC709" i="1"/>
  <c r="AE709" i="1" s="1"/>
  <c r="AA697" i="1"/>
  <c r="AC697" i="1"/>
  <c r="AE697" i="1" s="1"/>
  <c r="AA693" i="1"/>
  <c r="AC693" i="1"/>
  <c r="AE693" i="1" s="1"/>
  <c r="AA689" i="1"/>
  <c r="AC689" i="1"/>
  <c r="AE689" i="1" s="1"/>
  <c r="AA682" i="1"/>
  <c r="AI712" i="1"/>
  <c r="AI639" i="1"/>
  <c r="AI603" i="1"/>
  <c r="AI584" i="1"/>
  <c r="AI566" i="1"/>
  <c r="AH707" i="1"/>
  <c r="AH688" i="1"/>
  <c r="AH652" i="1"/>
  <c r="AH615" i="1"/>
  <c r="AA561" i="1"/>
  <c r="AB561" i="1" s="1"/>
  <c r="AC561" i="1"/>
  <c r="AE561" i="1" s="1"/>
  <c r="J724" i="1"/>
  <c r="AA560" i="1"/>
  <c r="AI711" i="1"/>
  <c r="AI674" i="1"/>
  <c r="AI656" i="1"/>
  <c r="AI620" i="1"/>
  <c r="AI602" i="1"/>
  <c r="AI583" i="1"/>
  <c r="AI565" i="1"/>
  <c r="AH596" i="1"/>
  <c r="AI655" i="1"/>
  <c r="AI637" i="1"/>
  <c r="AI619" i="1"/>
  <c r="AH704" i="1"/>
  <c r="AA694" i="1"/>
  <c r="AC666" i="1"/>
  <c r="AE666" i="1" s="1"/>
  <c r="J754" i="1"/>
  <c r="AI581" i="1"/>
  <c r="AA718" i="1"/>
  <c r="AC718" i="1"/>
  <c r="AE718" i="1" s="1"/>
  <c r="AA710" i="1"/>
  <c r="AC710" i="1"/>
  <c r="AE710" i="1" s="1"/>
  <c r="AA686" i="1"/>
  <c r="AC686" i="1"/>
  <c r="AE686" i="1" s="1"/>
  <c r="AH647" i="1"/>
  <c r="AH592" i="1"/>
  <c r="AH574" i="1"/>
  <c r="AC705" i="1"/>
  <c r="AE705" i="1" s="1"/>
  <c r="AC691" i="1"/>
  <c r="AE691" i="1" s="1"/>
  <c r="AC677" i="1"/>
  <c r="AE677" i="1" s="1"/>
  <c r="AA714" i="1"/>
  <c r="AC714" i="1"/>
  <c r="AE714" i="1" s="1"/>
  <c r="AA698" i="1"/>
  <c r="AC698" i="1"/>
  <c r="AE698" i="1" s="1"/>
  <c r="AA690" i="1"/>
  <c r="AC690" i="1"/>
  <c r="AE690" i="1" s="1"/>
  <c r="AA674" i="1"/>
  <c r="AC674" i="1"/>
  <c r="AE674" i="1" s="1"/>
  <c r="AA662" i="1"/>
  <c r="AC662" i="1"/>
  <c r="AE662" i="1" s="1"/>
  <c r="AC706" i="1"/>
  <c r="AE706" i="1" s="1"/>
  <c r="AC678" i="1"/>
  <c r="AE678" i="1" s="1"/>
  <c r="AI706" i="1"/>
  <c r="AI578" i="1"/>
  <c r="AH719" i="1"/>
  <c r="AH701" i="1"/>
  <c r="AH609" i="1"/>
  <c r="AH591" i="1"/>
  <c r="AH573" i="1"/>
  <c r="AH663" i="1"/>
  <c r="AH608" i="1"/>
  <c r="J734" i="1"/>
  <c r="AH625" i="1"/>
  <c r="AH589" i="1"/>
  <c r="AA719" i="1"/>
  <c r="AC719" i="1"/>
  <c r="AE719" i="1" s="1"/>
  <c r="AC715" i="1"/>
  <c r="AE715" i="1" s="1"/>
  <c r="AA711" i="1"/>
  <c r="AD711" i="1" s="1"/>
  <c r="AA707" i="1"/>
  <c r="AC707" i="1"/>
  <c r="AE707" i="1" s="1"/>
  <c r="AC703" i="1"/>
  <c r="AE703" i="1" s="1"/>
  <c r="AA699" i="1"/>
  <c r="AA695" i="1"/>
  <c r="AD695" i="1" s="1"/>
  <c r="AC695" i="1"/>
  <c r="AE695" i="1" s="1"/>
  <c r="AA687" i="1"/>
  <c r="AA683" i="1"/>
  <c r="AC683" i="1"/>
  <c r="AE683" i="1" s="1"/>
  <c r="AA679" i="1"/>
  <c r="AB679" i="1" s="1"/>
  <c r="AC679" i="1"/>
  <c r="AE679" i="1" s="1"/>
  <c r="AA675" i="1"/>
  <c r="AC675" i="1"/>
  <c r="AE675" i="1" s="1"/>
  <c r="AC671" i="1"/>
  <c r="AE671" i="1" s="1"/>
  <c r="AA671" i="1"/>
  <c r="AA667" i="1"/>
  <c r="AC667" i="1"/>
  <c r="AE667" i="1" s="1"/>
  <c r="AC663" i="1"/>
  <c r="AE663" i="1" s="1"/>
  <c r="AA659" i="1"/>
  <c r="AC659" i="1"/>
  <c r="AE659" i="1" s="1"/>
  <c r="AA655" i="1"/>
  <c r="AC655" i="1"/>
  <c r="AE655" i="1" s="1"/>
  <c r="AC651" i="1"/>
  <c r="AE651" i="1" s="1"/>
  <c r="AA647" i="1"/>
  <c r="AD647" i="1" s="1"/>
  <c r="AC643" i="1"/>
  <c r="AE643" i="1" s="1"/>
  <c r="AC639" i="1"/>
  <c r="AE639" i="1" s="1"/>
  <c r="AA635" i="1"/>
  <c r="AA631" i="1"/>
  <c r="AD631" i="1" s="1"/>
  <c r="AC631" i="1"/>
  <c r="AE631" i="1" s="1"/>
  <c r="AA627" i="1"/>
  <c r="AC627" i="1"/>
  <c r="AE627" i="1" s="1"/>
  <c r="AA623" i="1"/>
  <c r="AC619" i="1"/>
  <c r="AE619" i="1" s="1"/>
  <c r="AA619" i="1"/>
  <c r="AC615" i="1"/>
  <c r="AE615" i="1" s="1"/>
  <c r="AA611" i="1"/>
  <c r="AA607" i="1"/>
  <c r="AC607" i="1"/>
  <c r="AE607" i="1" s="1"/>
  <c r="AA603" i="1"/>
  <c r="AC603" i="1"/>
  <c r="AE603" i="1" s="1"/>
  <c r="AA599" i="1"/>
  <c r="AB599" i="1" s="1"/>
  <c r="AC599" i="1"/>
  <c r="AE599" i="1" s="1"/>
  <c r="AA595" i="1"/>
  <c r="AC591" i="1"/>
  <c r="AE591" i="1" s="1"/>
  <c r="AA579" i="1"/>
  <c r="AC579" i="1"/>
  <c r="AE579" i="1" s="1"/>
  <c r="AA575" i="1"/>
  <c r="AB575" i="1" s="1"/>
  <c r="AC575" i="1"/>
  <c r="AE575" i="1" s="1"/>
  <c r="AA571" i="1"/>
  <c r="AB571" i="1" s="1"/>
  <c r="AC571" i="1"/>
  <c r="AE571" i="1" s="1"/>
  <c r="AA567" i="1"/>
  <c r="AD567" i="1" s="1"/>
  <c r="AC567" i="1"/>
  <c r="AE567" i="1" s="1"/>
  <c r="AA563" i="1"/>
  <c r="AB563" i="1" s="1"/>
  <c r="AA703" i="1"/>
  <c r="AC647" i="1"/>
  <c r="AE647" i="1" s="1"/>
  <c r="AI648" i="1"/>
  <c r="AH716" i="1"/>
  <c r="AH679" i="1"/>
  <c r="AH643" i="1"/>
  <c r="AH606" i="1"/>
  <c r="AH588" i="1"/>
  <c r="AH570" i="1"/>
  <c r="AA702" i="1"/>
  <c r="AA591" i="1"/>
  <c r="AH623" i="1"/>
  <c r="AH605" i="1"/>
  <c r="AH587" i="1"/>
  <c r="AH659" i="1"/>
  <c r="AC600" i="1"/>
  <c r="AE600" i="1" s="1"/>
  <c r="AA715" i="1"/>
  <c r="AA701" i="1"/>
  <c r="AC687" i="1"/>
  <c r="AE687" i="1" s="1"/>
  <c r="AI626" i="1"/>
  <c r="AA716" i="1"/>
  <c r="AC716" i="1"/>
  <c r="AE716" i="1" s="1"/>
  <c r="AA712" i="1"/>
  <c r="AC712" i="1"/>
  <c r="AE712" i="1" s="1"/>
  <c r="AC708" i="1"/>
  <c r="AE708" i="1" s="1"/>
  <c r="AA704" i="1"/>
  <c r="AC704" i="1"/>
  <c r="AE704" i="1" s="1"/>
  <c r="AA700" i="1"/>
  <c r="AC700" i="1"/>
  <c r="AE700" i="1" s="1"/>
  <c r="AC696" i="1"/>
  <c r="AE696" i="1" s="1"/>
  <c r="AA692" i="1"/>
  <c r="AC688" i="1"/>
  <c r="AE688" i="1" s="1"/>
  <c r="AA680" i="1"/>
  <c r="AA676" i="1"/>
  <c r="AA672" i="1"/>
  <c r="AA668" i="1"/>
  <c r="AC664" i="1"/>
  <c r="AE664" i="1" s="1"/>
  <c r="AA660" i="1"/>
  <c r="AA656" i="1"/>
  <c r="AA652" i="1"/>
  <c r="AA648" i="1"/>
  <c r="AC644" i="1"/>
  <c r="AE644" i="1" s="1"/>
  <c r="AA640" i="1"/>
  <c r="AC636" i="1"/>
  <c r="AE636" i="1" s="1"/>
  <c r="AC632" i="1"/>
  <c r="AE632" i="1" s="1"/>
  <c r="AA628" i="1"/>
  <c r="AA624" i="1"/>
  <c r="AA620" i="1"/>
  <c r="AA616" i="1"/>
  <c r="AC612" i="1"/>
  <c r="AE612" i="1" s="1"/>
  <c r="AA604" i="1"/>
  <c r="AC699" i="1"/>
  <c r="AE699" i="1" s="1"/>
  <c r="AC685" i="1"/>
  <c r="AE685" i="1" s="1"/>
  <c r="AA658" i="1"/>
  <c r="J745" i="1"/>
  <c r="AI680" i="1"/>
  <c r="AH675" i="1"/>
  <c r="AC684" i="1"/>
  <c r="AE684" i="1" s="1"/>
  <c r="AA643" i="1"/>
  <c r="AA615" i="1"/>
  <c r="AD615" i="1" s="1"/>
  <c r="AI642" i="1"/>
  <c r="AC670" i="1"/>
  <c r="AE670" i="1" s="1"/>
  <c r="AI696" i="1"/>
  <c r="AH691" i="1"/>
  <c r="AC711" i="1"/>
  <c r="AE711" i="1" s="1"/>
  <c r="AA664" i="1"/>
  <c r="AC660" i="1"/>
  <c r="AE660" i="1" s="1"/>
  <c r="AC653" i="1"/>
  <c r="AE653" i="1" s="1"/>
  <c r="AA650" i="1"/>
  <c r="AC646" i="1"/>
  <c r="AE646" i="1" s="1"/>
  <c r="AA626" i="1"/>
  <c r="AA612" i="1"/>
  <c r="AA605" i="1"/>
  <c r="AA598" i="1"/>
  <c r="AA564" i="1"/>
  <c r="AB564" i="1" s="1"/>
  <c r="AC673" i="1"/>
  <c r="AE673" i="1" s="1"/>
  <c r="AC652" i="1"/>
  <c r="AE652" i="1" s="1"/>
  <c r="AC645" i="1"/>
  <c r="AE645" i="1" s="1"/>
  <c r="AC586" i="1"/>
  <c r="AE586" i="1" s="1"/>
  <c r="AC676" i="1"/>
  <c r="AE676" i="1" s="1"/>
  <c r="AC669" i="1"/>
  <c r="AE669" i="1" s="1"/>
  <c r="AC638" i="1"/>
  <c r="AE638" i="1" s="1"/>
  <c r="AC624" i="1"/>
  <c r="AE624" i="1" s="1"/>
  <c r="AC617" i="1"/>
  <c r="AE617" i="1" s="1"/>
  <c r="AC589" i="1"/>
  <c r="AE589" i="1" s="1"/>
  <c r="AC582" i="1"/>
  <c r="AE582" i="1" s="1"/>
  <c r="AC648" i="1"/>
  <c r="AE648" i="1" s="1"/>
  <c r="AC634" i="1"/>
  <c r="AE634" i="1" s="1"/>
  <c r="AC610" i="1"/>
  <c r="AE610" i="1" s="1"/>
  <c r="AC596" i="1"/>
  <c r="AE596" i="1" s="1"/>
  <c r="AC574" i="1"/>
  <c r="AE574" i="1" s="1"/>
  <c r="AC672" i="1"/>
  <c r="AE672" i="1" s="1"/>
  <c r="AC665" i="1"/>
  <c r="AE665" i="1" s="1"/>
  <c r="AC641" i="1"/>
  <c r="AE641" i="1" s="1"/>
  <c r="AC620" i="1"/>
  <c r="AE620" i="1" s="1"/>
  <c r="AC613" i="1"/>
  <c r="AE613" i="1" s="1"/>
  <c r="AC566" i="1"/>
  <c r="AE566" i="1" s="1"/>
  <c r="AC573" i="1"/>
  <c r="AE573" i="1" s="1"/>
  <c r="AC668" i="1"/>
  <c r="AE668" i="1" s="1"/>
  <c r="AC661" i="1"/>
  <c r="AE661" i="1" s="1"/>
  <c r="AC606" i="1"/>
  <c r="AE606" i="1" s="1"/>
  <c r="AC654" i="1"/>
  <c r="AE654" i="1" s="1"/>
  <c r="AC640" i="1"/>
  <c r="AE640" i="1" s="1"/>
  <c r="AC633" i="1"/>
  <c r="AE633" i="1" s="1"/>
  <c r="AC609" i="1"/>
  <c r="AE609" i="1" s="1"/>
  <c r="O553" i="1"/>
  <c r="P553" i="1"/>
  <c r="Q553" i="1"/>
  <c r="R553" i="1"/>
  <c r="S553" i="1"/>
  <c r="T553" i="1"/>
  <c r="U553" i="1"/>
  <c r="V553" i="1"/>
  <c r="W553" i="1"/>
  <c r="X553" i="1"/>
  <c r="Y553" i="1"/>
  <c r="Z553" i="1"/>
  <c r="O554" i="1"/>
  <c r="P554" i="1"/>
  <c r="Q554" i="1"/>
  <c r="R554" i="1"/>
  <c r="S554" i="1"/>
  <c r="T554" i="1"/>
  <c r="U554" i="1"/>
  <c r="V554" i="1"/>
  <c r="W554" i="1"/>
  <c r="X554" i="1"/>
  <c r="Y554" i="1"/>
  <c r="Z554" i="1"/>
  <c r="O555" i="1"/>
  <c r="P555" i="1"/>
  <c r="Q555" i="1"/>
  <c r="R555" i="1"/>
  <c r="S555" i="1"/>
  <c r="T555" i="1"/>
  <c r="U555" i="1"/>
  <c r="V555" i="1"/>
  <c r="W555" i="1"/>
  <c r="X555" i="1"/>
  <c r="Y555" i="1"/>
  <c r="Z555" i="1"/>
  <c r="O556" i="1"/>
  <c r="P556" i="1"/>
  <c r="Q556" i="1"/>
  <c r="R556" i="1"/>
  <c r="S556" i="1"/>
  <c r="T556" i="1"/>
  <c r="U556" i="1"/>
  <c r="V556" i="1"/>
  <c r="W556" i="1"/>
  <c r="X556" i="1"/>
  <c r="Y556" i="1"/>
  <c r="Z556" i="1"/>
  <c r="O557" i="1"/>
  <c r="P557" i="1"/>
  <c r="Q557" i="1"/>
  <c r="R557" i="1"/>
  <c r="S557" i="1"/>
  <c r="T557" i="1"/>
  <c r="U557" i="1"/>
  <c r="V557" i="1"/>
  <c r="W557" i="1"/>
  <c r="X557" i="1"/>
  <c r="Y557" i="1"/>
  <c r="Z557" i="1"/>
  <c r="Z552" i="1"/>
  <c r="Y552" i="1"/>
  <c r="X552" i="1"/>
  <c r="W552" i="1"/>
  <c r="V552" i="1"/>
  <c r="U552" i="1"/>
  <c r="T552" i="1"/>
  <c r="S552" i="1"/>
  <c r="R552" i="1"/>
  <c r="Q552" i="1"/>
  <c r="P552" i="1"/>
  <c r="O552" i="1"/>
  <c r="AH550" i="1"/>
  <c r="AH551" i="1"/>
  <c r="AH557" i="1"/>
  <c r="O549" i="1"/>
  <c r="P549" i="1"/>
  <c r="Q549" i="1"/>
  <c r="R549" i="1"/>
  <c r="S549" i="1"/>
  <c r="T549" i="1"/>
  <c r="U549" i="1"/>
  <c r="V549" i="1"/>
  <c r="W549" i="1"/>
  <c r="X549" i="1"/>
  <c r="Y549" i="1"/>
  <c r="Z549" i="1"/>
  <c r="O550" i="1"/>
  <c r="P550" i="1"/>
  <c r="Q550" i="1"/>
  <c r="R550" i="1"/>
  <c r="S550" i="1"/>
  <c r="T550" i="1"/>
  <c r="U550" i="1"/>
  <c r="V550" i="1"/>
  <c r="W550" i="1"/>
  <c r="X550" i="1"/>
  <c r="Y550" i="1"/>
  <c r="Z550" i="1"/>
  <c r="O551" i="1"/>
  <c r="P551" i="1"/>
  <c r="Q551" i="1"/>
  <c r="R551" i="1"/>
  <c r="S551" i="1"/>
  <c r="T551" i="1"/>
  <c r="U551" i="1"/>
  <c r="V551" i="1"/>
  <c r="W551" i="1"/>
  <c r="X551" i="1"/>
  <c r="Y551" i="1"/>
  <c r="Z551" i="1"/>
  <c r="Z548" i="1"/>
  <c r="Y548" i="1"/>
  <c r="X548" i="1"/>
  <c r="W548" i="1"/>
  <c r="V548" i="1"/>
  <c r="U548" i="1"/>
  <c r="T548" i="1"/>
  <c r="S548" i="1"/>
  <c r="R548" i="1"/>
  <c r="Q548" i="1"/>
  <c r="P548" i="1"/>
  <c r="O548" i="1"/>
  <c r="AD726" i="1" l="1"/>
  <c r="AB763" i="1"/>
  <c r="AD760" i="1"/>
  <c r="AD761" i="1"/>
  <c r="AD750" i="1"/>
  <c r="AB583" i="1"/>
  <c r="AD729" i="1"/>
  <c r="AD768" i="1"/>
  <c r="AD762" i="1"/>
  <c r="AD759" i="1"/>
  <c r="AD731" i="1"/>
  <c r="AD736" i="1"/>
  <c r="AB747" i="1"/>
  <c r="AD746" i="1"/>
  <c r="AD732" i="1"/>
  <c r="AD755" i="1"/>
  <c r="AD721" i="1"/>
  <c r="AD725" i="1"/>
  <c r="AB756" i="1"/>
  <c r="AB743" i="1"/>
  <c r="AB733" i="1"/>
  <c r="AB757" i="1"/>
  <c r="AB758" i="1"/>
  <c r="AD724" i="1"/>
  <c r="AB740" i="1"/>
  <c r="AB741" i="1"/>
  <c r="AB745" i="1"/>
  <c r="AB728" i="1"/>
  <c r="AB749" i="1"/>
  <c r="AD744" i="1"/>
  <c r="AB730" i="1"/>
  <c r="AB691" i="1"/>
  <c r="AB742" i="1"/>
  <c r="AB748" i="1"/>
  <c r="AD723" i="1"/>
  <c r="AD722" i="1"/>
  <c r="AD764" i="1"/>
  <c r="AD752" i="1"/>
  <c r="AB767" i="1"/>
  <c r="AD739" i="1"/>
  <c r="AD735" i="1"/>
  <c r="AD738" i="1"/>
  <c r="AD753" i="1"/>
  <c r="AD751" i="1"/>
  <c r="AB578" i="1"/>
  <c r="AD754" i="1"/>
  <c r="AD765" i="1"/>
  <c r="AD737" i="1"/>
  <c r="AD766" i="1"/>
  <c r="AD720" i="1"/>
  <c r="AD769" i="1"/>
  <c r="AD734" i="1"/>
  <c r="AB727" i="1"/>
  <c r="AB684" i="1"/>
  <c r="AB625" i="1"/>
  <c r="AD681" i="1"/>
  <c r="AB639" i="1"/>
  <c r="AB651" i="1"/>
  <c r="AB696" i="1"/>
  <c r="AB577" i="1"/>
  <c r="AD630" i="1"/>
  <c r="AB621" i="1"/>
  <c r="AB617" i="1"/>
  <c r="AD677" i="1"/>
  <c r="AB706" i="1"/>
  <c r="AD581" i="1"/>
  <c r="AB636" i="1"/>
  <c r="AD618" i="1"/>
  <c r="AD641" i="1"/>
  <c r="AB622" i="1"/>
  <c r="AD610" i="1"/>
  <c r="AD600" i="1"/>
  <c r="AD634" i="1"/>
  <c r="AB708" i="1"/>
  <c r="AB666" i="1"/>
  <c r="AD561" i="1"/>
  <c r="AB637" i="1"/>
  <c r="AD685" i="1"/>
  <c r="AD669" i="1"/>
  <c r="AD563" i="1"/>
  <c r="AB596" i="1"/>
  <c r="AD678" i="1"/>
  <c r="AD587" i="1"/>
  <c r="AD663" i="1"/>
  <c r="AD673" i="1"/>
  <c r="AD585" i="1"/>
  <c r="AB688" i="1"/>
  <c r="AB570" i="1"/>
  <c r="AB695" i="1"/>
  <c r="AB565" i="1"/>
  <c r="AD705" i="1"/>
  <c r="AB670" i="1"/>
  <c r="AB576" i="1"/>
  <c r="AB606" i="1"/>
  <c r="AB649" i="1"/>
  <c r="AB602" i="1"/>
  <c r="AD633" i="1"/>
  <c r="AB615" i="1"/>
  <c r="AB665" i="1"/>
  <c r="AD574" i="1"/>
  <c r="AD590" i="1"/>
  <c r="AB569" i="1"/>
  <c r="AD580" i="1"/>
  <c r="AB597" i="1"/>
  <c r="AD572" i="1"/>
  <c r="AD601" i="1"/>
  <c r="AD638" i="1"/>
  <c r="AD588" i="1"/>
  <c r="AB589" i="1"/>
  <c r="AB558" i="1"/>
  <c r="AB644" i="1"/>
  <c r="AB568" i="1"/>
  <c r="AD645" i="1"/>
  <c r="AD571" i="1"/>
  <c r="AB584" i="1"/>
  <c r="AD654" i="1"/>
  <c r="AD575" i="1"/>
  <c r="AB653" i="1"/>
  <c r="AB657" i="1"/>
  <c r="AD582" i="1"/>
  <c r="AD562" i="1"/>
  <c r="AB573" i="1"/>
  <c r="AB661" i="1"/>
  <c r="AB586" i="1"/>
  <c r="AD593" i="1"/>
  <c r="AB608" i="1"/>
  <c r="AD592" i="1"/>
  <c r="AB567" i="1"/>
  <c r="AD614" i="1"/>
  <c r="AD594" i="1"/>
  <c r="AD559" i="1"/>
  <c r="AB629" i="1"/>
  <c r="AB609" i="1"/>
  <c r="AD609" i="1"/>
  <c r="AD642" i="1"/>
  <c r="AD613" i="1"/>
  <c r="AD632" i="1"/>
  <c r="AB566" i="1"/>
  <c r="AB646" i="1"/>
  <c r="AB711" i="1"/>
  <c r="AB620" i="1"/>
  <c r="AD620" i="1"/>
  <c r="AD701" i="1"/>
  <c r="AB701" i="1"/>
  <c r="AD675" i="1"/>
  <c r="AB675" i="1"/>
  <c r="AB662" i="1"/>
  <c r="AD662" i="1"/>
  <c r="AB694" i="1"/>
  <c r="AD694" i="1"/>
  <c r="AD682" i="1"/>
  <c r="AB682" i="1"/>
  <c r="AD717" i="1"/>
  <c r="AB717" i="1"/>
  <c r="AB658" i="1"/>
  <c r="AD658" i="1"/>
  <c r="AB628" i="1"/>
  <c r="AD628" i="1"/>
  <c r="AB687" i="1"/>
  <c r="AD687" i="1"/>
  <c r="AB612" i="1"/>
  <c r="AD612" i="1"/>
  <c r="AB648" i="1"/>
  <c r="AD648" i="1"/>
  <c r="AB607" i="1"/>
  <c r="AD607" i="1"/>
  <c r="AB655" i="1"/>
  <c r="AD655" i="1"/>
  <c r="AB700" i="1"/>
  <c r="AD700" i="1"/>
  <c r="AB683" i="1"/>
  <c r="AD683" i="1"/>
  <c r="AB647" i="1"/>
  <c r="AB703" i="1"/>
  <c r="AD703" i="1"/>
  <c r="AB626" i="1"/>
  <c r="AD626" i="1"/>
  <c r="AB652" i="1"/>
  <c r="AD652" i="1"/>
  <c r="AD591" i="1"/>
  <c r="AB591" i="1"/>
  <c r="AD611" i="1"/>
  <c r="AB611" i="1"/>
  <c r="AB699" i="1"/>
  <c r="AD699" i="1"/>
  <c r="AB690" i="1"/>
  <c r="AD690" i="1"/>
  <c r="AB710" i="1"/>
  <c r="AD710" i="1"/>
  <c r="AB693" i="1"/>
  <c r="AD693" i="1"/>
  <c r="AB595" i="1"/>
  <c r="AD595" i="1"/>
  <c r="AD674" i="1"/>
  <c r="AB674" i="1"/>
  <c r="AD605" i="1"/>
  <c r="AB605" i="1"/>
  <c r="AB704" i="1"/>
  <c r="AD704" i="1"/>
  <c r="AD599" i="1"/>
  <c r="AD656" i="1"/>
  <c r="AB656" i="1"/>
  <c r="AD712" i="1"/>
  <c r="AB712" i="1"/>
  <c r="AB659" i="1"/>
  <c r="AD659" i="1"/>
  <c r="AB624" i="1"/>
  <c r="AD624" i="1"/>
  <c r="AB598" i="1"/>
  <c r="AD598" i="1"/>
  <c r="AB686" i="1"/>
  <c r="AD686" i="1"/>
  <c r="AD689" i="1"/>
  <c r="AB689" i="1"/>
  <c r="AD650" i="1"/>
  <c r="AB650" i="1"/>
  <c r="AD660" i="1"/>
  <c r="AB660" i="1"/>
  <c r="AD702" i="1"/>
  <c r="AB702" i="1"/>
  <c r="AB619" i="1"/>
  <c r="AD619" i="1"/>
  <c r="AD698" i="1"/>
  <c r="AB698" i="1"/>
  <c r="AB718" i="1"/>
  <c r="AD718" i="1"/>
  <c r="AB697" i="1"/>
  <c r="AD697" i="1"/>
  <c r="AB692" i="1"/>
  <c r="AD692" i="1"/>
  <c r="AB631" i="1"/>
  <c r="AB716" i="1"/>
  <c r="AD716" i="1"/>
  <c r="AD668" i="1"/>
  <c r="AB668" i="1"/>
  <c r="AB623" i="1"/>
  <c r="AD623" i="1"/>
  <c r="AD667" i="1"/>
  <c r="AB667" i="1"/>
  <c r="AB709" i="1"/>
  <c r="AD709" i="1"/>
  <c r="AB715" i="1"/>
  <c r="AD715" i="1"/>
  <c r="AB603" i="1"/>
  <c r="AD603" i="1"/>
  <c r="AD679" i="1"/>
  <c r="AD643" i="1"/>
  <c r="AB643" i="1"/>
  <c r="AB707" i="1"/>
  <c r="AD707" i="1"/>
  <c r="AB664" i="1"/>
  <c r="AD664" i="1"/>
  <c r="AD604" i="1"/>
  <c r="AB604" i="1"/>
  <c r="AB672" i="1"/>
  <c r="AD672" i="1"/>
  <c r="AB671" i="1"/>
  <c r="AD671" i="1"/>
  <c r="AD560" i="1"/>
  <c r="AB560" i="1"/>
  <c r="AB635" i="1"/>
  <c r="AD635" i="1"/>
  <c r="AB640" i="1"/>
  <c r="AD640" i="1"/>
  <c r="AD564" i="1"/>
  <c r="AB676" i="1"/>
  <c r="AD676" i="1"/>
  <c r="AB627" i="1"/>
  <c r="AD627" i="1"/>
  <c r="AD714" i="1"/>
  <c r="AB714" i="1"/>
  <c r="AD713" i="1"/>
  <c r="AB713" i="1"/>
  <c r="AB616" i="1"/>
  <c r="AD616" i="1"/>
  <c r="AB680" i="1"/>
  <c r="AD680" i="1"/>
  <c r="AB579" i="1"/>
  <c r="AD579" i="1"/>
  <c r="AD719" i="1"/>
  <c r="AB719" i="1"/>
  <c r="AC555" i="1"/>
  <c r="AE555" i="1" s="1"/>
  <c r="AA552" i="1"/>
  <c r="AB552" i="1" s="1"/>
  <c r="AA554" i="1"/>
  <c r="AB554" i="1" s="1"/>
  <c r="AA555" i="1"/>
  <c r="AD555" i="1" s="1"/>
  <c r="AA557" i="1"/>
  <c r="AD557" i="1" s="1"/>
  <c r="AA553" i="1"/>
  <c r="AD553" i="1" s="1"/>
  <c r="AA556" i="1"/>
  <c r="AD556" i="1" s="1"/>
  <c r="AC554" i="1"/>
  <c r="AE554" i="1" s="1"/>
  <c r="AI549" i="1"/>
  <c r="AH549" i="1"/>
  <c r="AC551" i="1"/>
  <c r="AE551" i="1" s="1"/>
  <c r="AC557" i="1"/>
  <c r="AE557" i="1" s="1"/>
  <c r="AC553" i="1"/>
  <c r="AE553" i="1" s="1"/>
  <c r="AC556" i="1"/>
  <c r="AE556" i="1" s="1"/>
  <c r="AC548" i="1"/>
  <c r="AE548" i="1" s="1"/>
  <c r="AC552" i="1"/>
  <c r="AE552" i="1" s="1"/>
  <c r="AI548" i="1"/>
  <c r="AH548" i="1"/>
  <c r="AI556" i="1"/>
  <c r="AH556" i="1"/>
  <c r="AH559" i="1"/>
  <c r="AI559" i="1"/>
  <c r="AA550" i="1"/>
  <c r="AD550" i="1" s="1"/>
  <c r="AC550" i="1"/>
  <c r="AE550" i="1" s="1"/>
  <c r="AA551" i="1"/>
  <c r="AB551" i="1" s="1"/>
  <c r="AA549" i="1"/>
  <c r="AB549" i="1" s="1"/>
  <c r="AC549" i="1"/>
  <c r="AE549" i="1" s="1"/>
  <c r="AA548" i="1"/>
  <c r="AD548" i="1" s="1"/>
  <c r="AH558" i="1"/>
  <c r="AI558" i="1"/>
  <c r="AH555" i="1"/>
  <c r="AI555" i="1"/>
  <c r="AH560" i="1"/>
  <c r="AI560" i="1"/>
  <c r="AH554" i="1"/>
  <c r="AI554" i="1"/>
  <c r="AH553" i="1"/>
  <c r="AI553" i="1"/>
  <c r="AH552" i="1"/>
  <c r="AI552" i="1"/>
  <c r="AI557" i="1"/>
  <c r="AI551" i="1"/>
  <c r="AI550" i="1"/>
  <c r="I558" i="1" a="1"/>
  <c r="I558" i="1" s="1"/>
  <c r="I559" i="1" a="1"/>
  <c r="I559" i="1" s="1"/>
  <c r="I560" i="1" a="1"/>
  <c r="I560" i="1" s="1"/>
  <c r="I557" i="1" a="1"/>
  <c r="I557" i="1" s="1"/>
  <c r="H558" i="1" a="1"/>
  <c r="H558" i="1" s="1"/>
  <c r="H559" i="1" a="1"/>
  <c r="H559" i="1" s="1"/>
  <c r="H560" i="1" a="1"/>
  <c r="H560" i="1" s="1"/>
  <c r="I552" i="1" a="1"/>
  <c r="I552" i="1" s="1"/>
  <c r="I553" i="1" a="1"/>
  <c r="I553" i="1" s="1"/>
  <c r="I554" i="1" a="1"/>
  <c r="I554" i="1" s="1"/>
  <c r="I555" i="1" a="1"/>
  <c r="I555" i="1" s="1"/>
  <c r="I556" i="1" a="1"/>
  <c r="I556" i="1" s="1"/>
  <c r="H552" i="1" a="1"/>
  <c r="H552" i="1" s="1"/>
  <c r="H553" i="1" a="1"/>
  <c r="H553" i="1" s="1"/>
  <c r="H554" i="1" a="1"/>
  <c r="H554" i="1" s="1"/>
  <c r="H555" i="1" a="1"/>
  <c r="H555" i="1" s="1"/>
  <c r="H556" i="1" a="1"/>
  <c r="H556" i="1" s="1"/>
  <c r="H557" i="1" a="1"/>
  <c r="H557" i="1" s="1"/>
  <c r="I548" i="1" a="1"/>
  <c r="I548" i="1" s="1"/>
  <c r="I549" i="1" a="1"/>
  <c r="I549" i="1" s="1"/>
  <c r="I550" i="1" a="1"/>
  <c r="I550" i="1" s="1"/>
  <c r="I551" i="1" a="1"/>
  <c r="I551" i="1" s="1"/>
  <c r="H548" i="1" a="1"/>
  <c r="H548" i="1" s="1"/>
  <c r="H549" i="1" a="1"/>
  <c r="H549" i="1" s="1"/>
  <c r="H550" i="1" a="1"/>
  <c r="H550" i="1" s="1"/>
  <c r="H551" i="1" a="1"/>
  <c r="H551" i="1" s="1"/>
  <c r="O546" i="1"/>
  <c r="P546" i="1"/>
  <c r="Q546" i="1"/>
  <c r="R546" i="1"/>
  <c r="S546" i="1"/>
  <c r="T546" i="1"/>
  <c r="U546" i="1"/>
  <c r="V546" i="1"/>
  <c r="W546" i="1"/>
  <c r="X546" i="1"/>
  <c r="Y546" i="1"/>
  <c r="Z546" i="1"/>
  <c r="O547" i="1"/>
  <c r="P547" i="1"/>
  <c r="Q547" i="1"/>
  <c r="R547" i="1"/>
  <c r="S547" i="1"/>
  <c r="T547" i="1"/>
  <c r="U547" i="1"/>
  <c r="V547" i="1"/>
  <c r="W547" i="1"/>
  <c r="X547" i="1"/>
  <c r="Y547" i="1"/>
  <c r="Z547" i="1"/>
  <c r="Z545" i="1"/>
  <c r="Y545" i="1"/>
  <c r="X545" i="1"/>
  <c r="W545" i="1"/>
  <c r="V545" i="1"/>
  <c r="U545" i="1"/>
  <c r="T545" i="1"/>
  <c r="S545" i="1"/>
  <c r="R545" i="1"/>
  <c r="Q545" i="1"/>
  <c r="P545" i="1"/>
  <c r="O545" i="1"/>
  <c r="Z527" i="1"/>
  <c r="Z528" i="1"/>
  <c r="Z529" i="1"/>
  <c r="Z530" i="1"/>
  <c r="Z531" i="1"/>
  <c r="Z532" i="1"/>
  <c r="Z533" i="1"/>
  <c r="Z534" i="1"/>
  <c r="Z535" i="1"/>
  <c r="Z536" i="1"/>
  <c r="Z537" i="1"/>
  <c r="Z538" i="1"/>
  <c r="Z539" i="1"/>
  <c r="Z540" i="1"/>
  <c r="Z541" i="1"/>
  <c r="Z542" i="1"/>
  <c r="Z543" i="1"/>
  <c r="Z544" i="1"/>
  <c r="Y527" i="1"/>
  <c r="Y528" i="1"/>
  <c r="Y529" i="1"/>
  <c r="Y530" i="1"/>
  <c r="Y531" i="1"/>
  <c r="Y532" i="1"/>
  <c r="Y533" i="1"/>
  <c r="Y534" i="1"/>
  <c r="Y535" i="1"/>
  <c r="Y536" i="1"/>
  <c r="Y537" i="1"/>
  <c r="Y538" i="1"/>
  <c r="Y539" i="1"/>
  <c r="Y540" i="1"/>
  <c r="Y541" i="1"/>
  <c r="Y542" i="1"/>
  <c r="Y543" i="1"/>
  <c r="Y544" i="1"/>
  <c r="X527" i="1"/>
  <c r="X528" i="1"/>
  <c r="X529" i="1"/>
  <c r="X530" i="1"/>
  <c r="X531" i="1"/>
  <c r="X532" i="1"/>
  <c r="X533" i="1"/>
  <c r="X534" i="1"/>
  <c r="X535" i="1"/>
  <c r="X536" i="1"/>
  <c r="X537" i="1"/>
  <c r="X538" i="1"/>
  <c r="X539" i="1"/>
  <c r="X540" i="1"/>
  <c r="X541" i="1"/>
  <c r="X542" i="1"/>
  <c r="X543" i="1"/>
  <c r="X544" i="1"/>
  <c r="W527" i="1"/>
  <c r="W528" i="1"/>
  <c r="W529" i="1"/>
  <c r="W530" i="1"/>
  <c r="W531" i="1"/>
  <c r="W532" i="1"/>
  <c r="W533" i="1"/>
  <c r="W534" i="1"/>
  <c r="W535" i="1"/>
  <c r="W536" i="1"/>
  <c r="W537" i="1"/>
  <c r="W538" i="1"/>
  <c r="W539" i="1"/>
  <c r="W540" i="1"/>
  <c r="W541" i="1"/>
  <c r="W542" i="1"/>
  <c r="W543" i="1"/>
  <c r="W544" i="1"/>
  <c r="V527" i="1"/>
  <c r="V528" i="1"/>
  <c r="V529" i="1"/>
  <c r="V530" i="1"/>
  <c r="V531" i="1"/>
  <c r="V532" i="1"/>
  <c r="V533" i="1"/>
  <c r="V534" i="1"/>
  <c r="V535" i="1"/>
  <c r="V536" i="1"/>
  <c r="V537" i="1"/>
  <c r="V538" i="1"/>
  <c r="V539" i="1"/>
  <c r="V540" i="1"/>
  <c r="V541" i="1"/>
  <c r="V542" i="1"/>
  <c r="V543" i="1"/>
  <c r="V544" i="1"/>
  <c r="U527" i="1"/>
  <c r="U528" i="1"/>
  <c r="U529" i="1"/>
  <c r="U530" i="1"/>
  <c r="U531" i="1"/>
  <c r="U532" i="1"/>
  <c r="U533" i="1"/>
  <c r="U534" i="1"/>
  <c r="U535" i="1"/>
  <c r="U536" i="1"/>
  <c r="U537" i="1"/>
  <c r="U538" i="1"/>
  <c r="U539" i="1"/>
  <c r="U540" i="1"/>
  <c r="U541" i="1"/>
  <c r="U542" i="1"/>
  <c r="U543" i="1"/>
  <c r="U544" i="1"/>
  <c r="T527" i="1"/>
  <c r="T528" i="1"/>
  <c r="T529" i="1"/>
  <c r="T530" i="1"/>
  <c r="T531" i="1"/>
  <c r="T532" i="1"/>
  <c r="T533" i="1"/>
  <c r="T534" i="1"/>
  <c r="T535" i="1"/>
  <c r="T536" i="1"/>
  <c r="T537" i="1"/>
  <c r="T538" i="1"/>
  <c r="T539" i="1"/>
  <c r="T540" i="1"/>
  <c r="T541" i="1"/>
  <c r="T542" i="1"/>
  <c r="T543" i="1"/>
  <c r="T544" i="1"/>
  <c r="S527" i="1"/>
  <c r="S528" i="1"/>
  <c r="S529" i="1"/>
  <c r="S530" i="1"/>
  <c r="S531" i="1"/>
  <c r="S532" i="1"/>
  <c r="S533" i="1"/>
  <c r="S534" i="1"/>
  <c r="S535" i="1"/>
  <c r="S536" i="1"/>
  <c r="S537" i="1"/>
  <c r="S538" i="1"/>
  <c r="S539" i="1"/>
  <c r="S540" i="1"/>
  <c r="S541" i="1"/>
  <c r="S542" i="1"/>
  <c r="S543" i="1"/>
  <c r="S544" i="1"/>
  <c r="R527" i="1"/>
  <c r="R528" i="1"/>
  <c r="R529" i="1"/>
  <c r="R530" i="1"/>
  <c r="R531" i="1"/>
  <c r="R532" i="1"/>
  <c r="R533" i="1"/>
  <c r="R534" i="1"/>
  <c r="R535" i="1"/>
  <c r="R536" i="1"/>
  <c r="R537" i="1"/>
  <c r="R538" i="1"/>
  <c r="R539" i="1"/>
  <c r="R540" i="1"/>
  <c r="R541" i="1"/>
  <c r="R542" i="1"/>
  <c r="R543" i="1"/>
  <c r="R544" i="1"/>
  <c r="Q527" i="1"/>
  <c r="Q528" i="1"/>
  <c r="Q529" i="1"/>
  <c r="Q530" i="1"/>
  <c r="Q531" i="1"/>
  <c r="Q532" i="1"/>
  <c r="Q533" i="1"/>
  <c r="Q534" i="1"/>
  <c r="Q535" i="1"/>
  <c r="Q536" i="1"/>
  <c r="Q537" i="1"/>
  <c r="Q538" i="1"/>
  <c r="Q539" i="1"/>
  <c r="Q540" i="1"/>
  <c r="Q541" i="1"/>
  <c r="Q542" i="1"/>
  <c r="Q543" i="1"/>
  <c r="Q544" i="1"/>
  <c r="P527" i="1"/>
  <c r="P528" i="1"/>
  <c r="P529" i="1"/>
  <c r="P530" i="1"/>
  <c r="P531" i="1"/>
  <c r="P532" i="1"/>
  <c r="P533" i="1"/>
  <c r="P534" i="1"/>
  <c r="P535" i="1"/>
  <c r="P536" i="1"/>
  <c r="P537" i="1"/>
  <c r="P538" i="1"/>
  <c r="P539" i="1"/>
  <c r="P540" i="1"/>
  <c r="P541" i="1"/>
  <c r="P542" i="1"/>
  <c r="P543" i="1"/>
  <c r="P544" i="1"/>
  <c r="Z526" i="1"/>
  <c r="Y526" i="1"/>
  <c r="X526" i="1"/>
  <c r="W526" i="1"/>
  <c r="V526" i="1"/>
  <c r="U526" i="1"/>
  <c r="T526" i="1"/>
  <c r="S526" i="1"/>
  <c r="R526" i="1"/>
  <c r="Q526" i="1"/>
  <c r="P526" i="1"/>
  <c r="O526" i="1"/>
  <c r="O527" i="1"/>
  <c r="O528" i="1"/>
  <c r="O529" i="1"/>
  <c r="O530" i="1"/>
  <c r="O531" i="1"/>
  <c r="O532" i="1"/>
  <c r="O533" i="1"/>
  <c r="O534" i="1"/>
  <c r="O535" i="1"/>
  <c r="O536" i="1"/>
  <c r="O537" i="1"/>
  <c r="O538" i="1"/>
  <c r="O539" i="1"/>
  <c r="O540" i="1"/>
  <c r="O541" i="1"/>
  <c r="O542" i="1"/>
  <c r="O543" i="1"/>
  <c r="O544" i="1"/>
  <c r="AC481" i="1"/>
  <c r="AE481" i="1" s="1"/>
  <c r="AA481" i="1"/>
  <c r="AD481" i="1" s="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AB553" i="1" l="1"/>
  <c r="AB555" i="1"/>
  <c r="AB556" i="1"/>
  <c r="AB557" i="1"/>
  <c r="AD554" i="1"/>
  <c r="AD552" i="1"/>
  <c r="AB550" i="1"/>
  <c r="AD549" i="1"/>
  <c r="AB548" i="1"/>
  <c r="AD551" i="1"/>
  <c r="J560" i="1"/>
  <c r="J558" i="1"/>
  <c r="J555" i="1"/>
  <c r="J559" i="1"/>
  <c r="J554" i="1"/>
  <c r="J556" i="1"/>
  <c r="J550" i="1"/>
  <c r="J553" i="1"/>
  <c r="J552" i="1"/>
  <c r="J557" i="1"/>
  <c r="J549" i="1"/>
  <c r="J551" i="1"/>
  <c r="J548" i="1"/>
  <c r="AC539" i="1"/>
  <c r="AE539" i="1" s="1"/>
  <c r="AC541" i="1"/>
  <c r="AE541" i="1" s="1"/>
  <c r="AC535" i="1"/>
  <c r="AE535" i="1" s="1"/>
  <c r="AA543" i="1"/>
  <c r="AD543" i="1" s="1"/>
  <c r="AA527" i="1"/>
  <c r="AB527" i="1" s="1"/>
  <c r="AC529" i="1"/>
  <c r="AE529" i="1" s="1"/>
  <c r="AC544" i="1"/>
  <c r="AE544" i="1" s="1"/>
  <c r="AA513" i="1"/>
  <c r="AD513" i="1" s="1"/>
  <c r="AA497" i="1"/>
  <c r="AB497" i="1" s="1"/>
  <c r="AA534" i="1"/>
  <c r="AD534" i="1" s="1"/>
  <c r="AA542" i="1"/>
  <c r="AD542" i="1" s="1"/>
  <c r="AA511" i="1"/>
  <c r="AB511" i="1" s="1"/>
  <c r="AA495" i="1"/>
  <c r="AB495" i="1" s="1"/>
  <c r="AA494" i="1"/>
  <c r="AB494" i="1" s="1"/>
  <c r="AB481" i="1"/>
  <c r="AA538" i="1"/>
  <c r="AD538" i="1" s="1"/>
  <c r="AA540" i="1"/>
  <c r="AB540" i="1" s="1"/>
  <c r="AC528" i="1"/>
  <c r="AE528" i="1" s="1"/>
  <c r="AA510" i="1"/>
  <c r="AB510" i="1" s="1"/>
  <c r="AA526" i="1"/>
  <c r="AD526" i="1" s="1"/>
  <c r="AA512" i="1"/>
  <c r="AD512" i="1" s="1"/>
  <c r="AA496" i="1"/>
  <c r="AB496" i="1" s="1"/>
  <c r="AA537" i="1"/>
  <c r="AB537" i="1" s="1"/>
  <c r="AC536" i="1"/>
  <c r="AE536" i="1" s="1"/>
  <c r="AC534" i="1"/>
  <c r="AE534" i="1" s="1"/>
  <c r="AA525" i="1"/>
  <c r="AB525" i="1" s="1"/>
  <c r="AA509" i="1"/>
  <c r="AD509" i="1" s="1"/>
  <c r="AA493" i="1"/>
  <c r="AB493" i="1" s="1"/>
  <c r="AA535" i="1"/>
  <c r="AD535" i="1" s="1"/>
  <c r="AA524" i="1"/>
  <c r="AB524" i="1" s="1"/>
  <c r="AA508" i="1"/>
  <c r="AD508" i="1" s="1"/>
  <c r="AA492" i="1"/>
  <c r="AD492" i="1" s="1"/>
  <c r="AC547" i="1"/>
  <c r="AE547" i="1" s="1"/>
  <c r="AA523" i="1"/>
  <c r="AB523" i="1" s="1"/>
  <c r="AA507" i="1"/>
  <c r="AD507" i="1" s="1"/>
  <c r="AA491" i="1"/>
  <c r="AB491" i="1" s="1"/>
  <c r="AC513" i="1"/>
  <c r="AE513" i="1" s="1"/>
  <c r="AC533" i="1"/>
  <c r="AE533" i="1" s="1"/>
  <c r="AA547" i="1"/>
  <c r="AD547" i="1" s="1"/>
  <c r="AA522" i="1"/>
  <c r="AB522" i="1" s="1"/>
  <c r="AA506" i="1"/>
  <c r="AB506" i="1" s="1"/>
  <c r="AA490" i="1"/>
  <c r="AD490" i="1" s="1"/>
  <c r="AC512" i="1"/>
  <c r="AE512" i="1" s="1"/>
  <c r="AA532" i="1"/>
  <c r="AB532" i="1" s="1"/>
  <c r="AA521" i="1"/>
  <c r="AD521" i="1" s="1"/>
  <c r="AA505" i="1"/>
  <c r="AD505" i="1" s="1"/>
  <c r="AA489" i="1"/>
  <c r="AD489" i="1" s="1"/>
  <c r="AC497" i="1"/>
  <c r="AE497" i="1" s="1"/>
  <c r="AC531" i="1"/>
  <c r="AE531" i="1" s="1"/>
  <c r="AA529" i="1"/>
  <c r="AD529" i="1" s="1"/>
  <c r="AC520" i="1"/>
  <c r="AE520" i="1" s="1"/>
  <c r="AC504" i="1"/>
  <c r="AE504" i="1" s="1"/>
  <c r="AC488" i="1"/>
  <c r="AE488" i="1" s="1"/>
  <c r="AC496" i="1"/>
  <c r="AE496" i="1" s="1"/>
  <c r="AA530" i="1"/>
  <c r="AD530" i="1" s="1"/>
  <c r="AA544" i="1"/>
  <c r="AB544" i="1" s="1"/>
  <c r="AA528" i="1"/>
  <c r="AD528" i="1" s="1"/>
  <c r="AA519" i="1"/>
  <c r="AB519" i="1" s="1"/>
  <c r="AA503" i="1"/>
  <c r="AB503" i="1" s="1"/>
  <c r="AA487" i="1"/>
  <c r="AB487" i="1" s="1"/>
  <c r="AC511" i="1"/>
  <c r="AE511" i="1" s="1"/>
  <c r="AC495" i="1"/>
  <c r="AE495" i="1" s="1"/>
  <c r="AC546" i="1"/>
  <c r="AE546" i="1" s="1"/>
  <c r="AA518" i="1"/>
  <c r="AB518" i="1" s="1"/>
  <c r="AC502" i="1"/>
  <c r="AE502" i="1" s="1"/>
  <c r="AA486" i="1"/>
  <c r="AB486" i="1" s="1"/>
  <c r="AC510" i="1"/>
  <c r="AE510" i="1" s="1"/>
  <c r="AC494" i="1"/>
  <c r="AE494" i="1" s="1"/>
  <c r="AC517" i="1"/>
  <c r="AE517" i="1" s="1"/>
  <c r="AC501" i="1"/>
  <c r="AE501" i="1" s="1"/>
  <c r="AC485" i="1"/>
  <c r="AE485" i="1" s="1"/>
  <c r="AC525" i="1"/>
  <c r="AE525" i="1" s="1"/>
  <c r="AC509" i="1"/>
  <c r="AE509" i="1" s="1"/>
  <c r="AC493" i="1"/>
  <c r="AE493" i="1" s="1"/>
  <c r="AC543" i="1"/>
  <c r="AE543" i="1" s="1"/>
  <c r="AC527" i="1"/>
  <c r="AE527" i="1" s="1"/>
  <c r="AA546" i="1"/>
  <c r="AB546" i="1" s="1"/>
  <c r="AC516" i="1"/>
  <c r="AE516" i="1" s="1"/>
  <c r="AA500" i="1"/>
  <c r="AD500" i="1" s="1"/>
  <c r="AC484" i="1"/>
  <c r="AE484" i="1" s="1"/>
  <c r="AC524" i="1"/>
  <c r="AE524" i="1" s="1"/>
  <c r="AC508" i="1"/>
  <c r="AE508" i="1" s="1"/>
  <c r="AC492" i="1"/>
  <c r="AE492" i="1" s="1"/>
  <c r="AC542" i="1"/>
  <c r="AE542" i="1" s="1"/>
  <c r="AC526" i="1"/>
  <c r="AE526" i="1" s="1"/>
  <c r="AC515" i="1"/>
  <c r="AE515" i="1" s="1"/>
  <c r="AC499" i="1"/>
  <c r="AE499" i="1" s="1"/>
  <c r="AC483" i="1"/>
  <c r="AE483" i="1" s="1"/>
  <c r="AC523" i="1"/>
  <c r="AE523" i="1" s="1"/>
  <c r="AC507" i="1"/>
  <c r="AE507" i="1" s="1"/>
  <c r="AC491" i="1"/>
  <c r="AE491" i="1" s="1"/>
  <c r="AA514" i="1"/>
  <c r="AD514" i="1" s="1"/>
  <c r="AA498" i="1"/>
  <c r="AB498" i="1" s="1"/>
  <c r="AA482" i="1"/>
  <c r="AB482" i="1" s="1"/>
  <c r="AC522" i="1"/>
  <c r="AE522" i="1" s="1"/>
  <c r="AC506" i="1"/>
  <c r="AE506" i="1" s="1"/>
  <c r="AC490" i="1"/>
  <c r="AE490" i="1" s="1"/>
  <c r="AA545" i="1"/>
  <c r="AB545" i="1" s="1"/>
  <c r="AA520" i="1"/>
  <c r="AA504" i="1"/>
  <c r="AA488" i="1"/>
  <c r="AC514" i="1"/>
  <c r="AE514" i="1" s="1"/>
  <c r="AC498" i="1"/>
  <c r="AE498" i="1" s="1"/>
  <c r="AC482" i="1"/>
  <c r="AE482" i="1" s="1"/>
  <c r="AC530" i="1"/>
  <c r="AE530" i="1" s="1"/>
  <c r="AA517" i="1"/>
  <c r="AC540" i="1"/>
  <c r="AE540" i="1" s="1"/>
  <c r="AC521" i="1"/>
  <c r="AE521" i="1" s="1"/>
  <c r="AC505" i="1"/>
  <c r="AE505" i="1" s="1"/>
  <c r="AC489" i="1"/>
  <c r="AE489" i="1" s="1"/>
  <c r="AA484" i="1"/>
  <c r="AA499" i="1"/>
  <c r="AA539" i="1"/>
  <c r="AC538" i="1"/>
  <c r="AE538" i="1" s="1"/>
  <c r="AC519" i="1"/>
  <c r="AE519" i="1" s="1"/>
  <c r="AC503" i="1"/>
  <c r="AE503" i="1" s="1"/>
  <c r="AC487" i="1"/>
  <c r="AE487" i="1" s="1"/>
  <c r="AA533" i="1"/>
  <c r="AC532" i="1"/>
  <c r="AE532" i="1" s="1"/>
  <c r="AA502" i="1"/>
  <c r="AA541" i="1"/>
  <c r="AA516" i="1"/>
  <c r="AA536" i="1"/>
  <c r="AC518" i="1"/>
  <c r="AE518" i="1" s="1"/>
  <c r="AC486" i="1"/>
  <c r="AE486" i="1" s="1"/>
  <c r="AA501" i="1"/>
  <c r="AA531" i="1"/>
  <c r="AC537" i="1"/>
  <c r="AE537" i="1" s="1"/>
  <c r="AC545" i="1"/>
  <c r="AE545" i="1" s="1"/>
  <c r="AA485" i="1"/>
  <c r="AA515" i="1"/>
  <c r="AA483" i="1"/>
  <c r="AC500" i="1"/>
  <c r="AE500" i="1" s="1"/>
  <c r="AH481" i="1"/>
  <c r="AH492" i="1"/>
  <c r="AH493" i="1"/>
  <c r="AI494" i="1"/>
  <c r="AH497" i="1"/>
  <c r="AH508" i="1"/>
  <c r="AH509" i="1"/>
  <c r="AI510" i="1"/>
  <c r="AH513" i="1"/>
  <c r="AH524" i="1"/>
  <c r="AH525" i="1"/>
  <c r="AI526" i="1"/>
  <c r="AH529" i="1"/>
  <c r="AH540" i="1"/>
  <c r="AH541" i="1"/>
  <c r="AI542" i="1"/>
  <c r="AI543" i="1"/>
  <c r="AI544" i="1"/>
  <c r="AH545" i="1"/>
  <c r="I526" i="1" a="1"/>
  <c r="I526" i="1" s="1"/>
  <c r="I527" i="1" a="1"/>
  <c r="I527" i="1" s="1"/>
  <c r="I528" i="1" a="1"/>
  <c r="I528" i="1" s="1"/>
  <c r="I529" i="1" a="1"/>
  <c r="I529" i="1" s="1"/>
  <c r="I530" i="1" a="1"/>
  <c r="I530" i="1" s="1"/>
  <c r="I531" i="1" a="1"/>
  <c r="I531" i="1" s="1"/>
  <c r="I532" i="1" a="1"/>
  <c r="I532" i="1" s="1"/>
  <c r="I533" i="1" a="1"/>
  <c r="I533" i="1" s="1"/>
  <c r="I534" i="1" a="1"/>
  <c r="I534"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I481" i="1" a="1"/>
  <c r="I481" i="1" s="1"/>
  <c r="I482" i="1" a="1"/>
  <c r="I482" i="1" s="1"/>
  <c r="I483" i="1" a="1"/>
  <c r="I483" i="1" s="1"/>
  <c r="I484" i="1" a="1"/>
  <c r="I484" i="1" s="1"/>
  <c r="I485" i="1" a="1"/>
  <c r="I485" i="1" s="1"/>
  <c r="I486" i="1" a="1"/>
  <c r="I486" i="1" s="1"/>
  <c r="I487" i="1" a="1"/>
  <c r="I487" i="1" s="1"/>
  <c r="I488" i="1" a="1"/>
  <c r="I488" i="1" s="1"/>
  <c r="I489" i="1" a="1"/>
  <c r="I489" i="1" s="1"/>
  <c r="I490" i="1" a="1"/>
  <c r="I490" i="1" s="1"/>
  <c r="I491" i="1" a="1"/>
  <c r="I491" i="1" s="1"/>
  <c r="I492" i="1" a="1"/>
  <c r="I492" i="1" s="1"/>
  <c r="I493" i="1" a="1"/>
  <c r="I493" i="1" s="1"/>
  <c r="I494" i="1" a="1"/>
  <c r="I494" i="1" s="1"/>
  <c r="I495" i="1" a="1"/>
  <c r="I495" i="1" s="1"/>
  <c r="I496" i="1" a="1"/>
  <c r="I496" i="1" s="1"/>
  <c r="I497" i="1" a="1"/>
  <c r="I497" i="1" s="1"/>
  <c r="I498" i="1" a="1"/>
  <c r="I498" i="1" s="1"/>
  <c r="I499" i="1" a="1"/>
  <c r="I499" i="1" s="1"/>
  <c r="I500" i="1" a="1"/>
  <c r="I500" i="1" s="1"/>
  <c r="I501" i="1" a="1"/>
  <c r="I501" i="1" s="1"/>
  <c r="I502" i="1" a="1"/>
  <c r="I502" i="1" s="1"/>
  <c r="I503" i="1" a="1"/>
  <c r="I503" i="1" s="1"/>
  <c r="I504" i="1" a="1"/>
  <c r="I504" i="1" s="1"/>
  <c r="I505" i="1" a="1"/>
  <c r="I505" i="1" s="1"/>
  <c r="I506" i="1" a="1"/>
  <c r="I506" i="1" s="1"/>
  <c r="I507" i="1" a="1"/>
  <c r="I507" i="1" s="1"/>
  <c r="I508" i="1" a="1"/>
  <c r="I508" i="1" s="1"/>
  <c r="I509" i="1" a="1"/>
  <c r="I509" i="1" s="1"/>
  <c r="I510" i="1" a="1"/>
  <c r="I510" i="1" s="1"/>
  <c r="I511" i="1" a="1"/>
  <c r="I511" i="1" s="1"/>
  <c r="I512" i="1" a="1"/>
  <c r="I512" i="1" s="1"/>
  <c r="I513" i="1" a="1"/>
  <c r="I513" i="1" s="1"/>
  <c r="I514" i="1" a="1"/>
  <c r="I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Z391" i="1"/>
  <c r="Z392" i="1"/>
  <c r="Z393" i="1"/>
  <c r="Z394" i="1"/>
  <c r="Z395" i="1"/>
  <c r="Z396" i="1"/>
  <c r="Z397" i="1"/>
  <c r="Z398" i="1"/>
  <c r="Z399" i="1"/>
  <c r="Z400" i="1"/>
  <c r="Z401" i="1"/>
  <c r="Z402" i="1"/>
  <c r="Z403"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Y391" i="1"/>
  <c r="Y392" i="1"/>
  <c r="Y393" i="1"/>
  <c r="Y394" i="1"/>
  <c r="Y395" i="1"/>
  <c r="Y396" i="1"/>
  <c r="Y397" i="1"/>
  <c r="Y398" i="1"/>
  <c r="Y399" i="1"/>
  <c r="Y400" i="1"/>
  <c r="Y401" i="1"/>
  <c r="Y402" i="1"/>
  <c r="Y403"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X391" i="1"/>
  <c r="X392" i="1"/>
  <c r="X393" i="1"/>
  <c r="X394" i="1"/>
  <c r="X395" i="1"/>
  <c r="X396" i="1"/>
  <c r="X397" i="1"/>
  <c r="X398" i="1"/>
  <c r="X399" i="1"/>
  <c r="X400" i="1"/>
  <c r="X401" i="1"/>
  <c r="X402" i="1"/>
  <c r="X403"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W391" i="1"/>
  <c r="W392" i="1"/>
  <c r="W393" i="1"/>
  <c r="W394" i="1"/>
  <c r="W395" i="1"/>
  <c r="W396" i="1"/>
  <c r="W397" i="1"/>
  <c r="W398" i="1"/>
  <c r="W399" i="1"/>
  <c r="W400" i="1"/>
  <c r="W401" i="1"/>
  <c r="W402" i="1"/>
  <c r="W403"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V391" i="1"/>
  <c r="V392" i="1"/>
  <c r="V393" i="1"/>
  <c r="V394" i="1"/>
  <c r="V395" i="1"/>
  <c r="V396" i="1"/>
  <c r="V397" i="1"/>
  <c r="V398" i="1"/>
  <c r="V399" i="1"/>
  <c r="V400" i="1"/>
  <c r="V401" i="1"/>
  <c r="V402" i="1"/>
  <c r="V403"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U391" i="1"/>
  <c r="U392" i="1"/>
  <c r="U393" i="1"/>
  <c r="U394" i="1"/>
  <c r="U395" i="1"/>
  <c r="U396" i="1"/>
  <c r="U397" i="1"/>
  <c r="U398" i="1"/>
  <c r="U399" i="1"/>
  <c r="U400" i="1"/>
  <c r="U401" i="1"/>
  <c r="U402" i="1"/>
  <c r="U403"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T391" i="1"/>
  <c r="T392" i="1"/>
  <c r="T393" i="1"/>
  <c r="T394" i="1"/>
  <c r="T395" i="1"/>
  <c r="T396" i="1"/>
  <c r="T397" i="1"/>
  <c r="T398" i="1"/>
  <c r="T399" i="1"/>
  <c r="T400" i="1"/>
  <c r="T401" i="1"/>
  <c r="T402" i="1"/>
  <c r="T403"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S391" i="1"/>
  <c r="S392" i="1"/>
  <c r="S393" i="1"/>
  <c r="S394" i="1"/>
  <c r="S395" i="1"/>
  <c r="S396" i="1"/>
  <c r="S397" i="1"/>
  <c r="S398" i="1"/>
  <c r="S399" i="1"/>
  <c r="S400" i="1"/>
  <c r="S401" i="1"/>
  <c r="S402" i="1"/>
  <c r="S403"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R391" i="1"/>
  <c r="R392" i="1"/>
  <c r="R393" i="1"/>
  <c r="R394" i="1"/>
  <c r="R395" i="1"/>
  <c r="R396" i="1"/>
  <c r="R397" i="1"/>
  <c r="R398" i="1"/>
  <c r="R399" i="1"/>
  <c r="R400" i="1"/>
  <c r="R401" i="1"/>
  <c r="R402" i="1"/>
  <c r="R403"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Q391" i="1"/>
  <c r="Q392" i="1"/>
  <c r="Q393" i="1"/>
  <c r="Q394" i="1"/>
  <c r="Q395" i="1"/>
  <c r="Q396" i="1"/>
  <c r="Q397" i="1"/>
  <c r="Q398" i="1"/>
  <c r="Q399" i="1"/>
  <c r="Q400" i="1"/>
  <c r="Q401" i="1"/>
  <c r="Q402" i="1"/>
  <c r="Q403"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Z390" i="1"/>
  <c r="Y390" i="1"/>
  <c r="X390" i="1"/>
  <c r="W390" i="1"/>
  <c r="V390" i="1"/>
  <c r="U390" i="1"/>
  <c r="T390" i="1"/>
  <c r="S390" i="1"/>
  <c r="R390" i="1"/>
  <c r="Q390" i="1"/>
  <c r="P390" i="1"/>
  <c r="P391" i="1"/>
  <c r="P392" i="1"/>
  <c r="P393" i="1"/>
  <c r="P394" i="1"/>
  <c r="P395" i="1"/>
  <c r="P396" i="1"/>
  <c r="P397" i="1"/>
  <c r="P398" i="1"/>
  <c r="P399" i="1"/>
  <c r="P400" i="1"/>
  <c r="P401" i="1"/>
  <c r="P402" i="1"/>
  <c r="P403"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O391" i="1"/>
  <c r="O392" i="1"/>
  <c r="O393" i="1"/>
  <c r="O394" i="1"/>
  <c r="O395" i="1"/>
  <c r="O396" i="1"/>
  <c r="O397" i="1"/>
  <c r="O398" i="1"/>
  <c r="O399" i="1"/>
  <c r="O400" i="1"/>
  <c r="O401" i="1"/>
  <c r="O402" i="1"/>
  <c r="O403"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390" i="1"/>
  <c r="AI395" i="1"/>
  <c r="AH398" i="1"/>
  <c r="AH399" i="1"/>
  <c r="AH401" i="1"/>
  <c r="AI406" i="1"/>
  <c r="AI408" i="1"/>
  <c r="AH409" i="1"/>
  <c r="AI412" i="1"/>
  <c r="AI413" i="1"/>
  <c r="AH416" i="1"/>
  <c r="AH417" i="1"/>
  <c r="AI422" i="1"/>
  <c r="AH430" i="1"/>
  <c r="AI431" i="1"/>
  <c r="AH433" i="1"/>
  <c r="AH436" i="1"/>
  <c r="AI441" i="1"/>
  <c r="AI443" i="1"/>
  <c r="AI444" i="1"/>
  <c r="AH449" i="1"/>
  <c r="AI457" i="1"/>
  <c r="AI458" i="1"/>
  <c r="AH459" i="1"/>
  <c r="AI460" i="1"/>
  <c r="AH461" i="1"/>
  <c r="AH462" i="1"/>
  <c r="AH465" i="1"/>
  <c r="AH473" i="1"/>
  <c r="AI475" i="1"/>
  <c r="AI476" i="1"/>
  <c r="AH478" i="1"/>
  <c r="H390" i="1" a="1"/>
  <c r="H390" i="1" s="1"/>
  <c r="I390" i="1" a="1"/>
  <c r="I390" i="1" s="1"/>
  <c r="H391" i="1" a="1"/>
  <c r="H391" i="1" s="1"/>
  <c r="I391" i="1" a="1"/>
  <c r="I391" i="1" s="1"/>
  <c r="I392" i="1" a="1"/>
  <c r="I392" i="1" s="1"/>
  <c r="I393" i="1" a="1"/>
  <c r="I393" i="1" s="1"/>
  <c r="H393" i="1" a="1"/>
  <c r="H393" i="1" s="1"/>
  <c r="I394" i="1" a="1"/>
  <c r="I394" i="1" s="1"/>
  <c r="H395" i="1" a="1"/>
  <c r="H395" i="1" s="1"/>
  <c r="I395" i="1" a="1"/>
  <c r="I395" i="1" s="1"/>
  <c r="H396" i="1" a="1"/>
  <c r="H396" i="1" s="1"/>
  <c r="I396" i="1" a="1"/>
  <c r="I396" i="1" s="1"/>
  <c r="H397" i="1" a="1"/>
  <c r="H397" i="1" s="1"/>
  <c r="I397" i="1" a="1"/>
  <c r="I397" i="1" s="1"/>
  <c r="H398" i="1" a="1"/>
  <c r="H398" i="1" s="1"/>
  <c r="I398" i="1" a="1"/>
  <c r="I398" i="1" s="1"/>
  <c r="H399" i="1" a="1"/>
  <c r="H399" i="1" s="1"/>
  <c r="I399" i="1" a="1"/>
  <c r="I399" i="1" s="1"/>
  <c r="H400" i="1" a="1"/>
  <c r="H400" i="1" s="1"/>
  <c r="I401" i="1" a="1"/>
  <c r="I401" i="1" s="1"/>
  <c r="H401" i="1" a="1"/>
  <c r="H401" i="1" s="1"/>
  <c r="H402" i="1" a="1"/>
  <c r="H402" i="1" s="1"/>
  <c r="H403" i="1" a="1"/>
  <c r="H403" i="1" s="1"/>
  <c r="I403" i="1" a="1"/>
  <c r="I403" i="1" s="1"/>
  <c r="H404" i="1" a="1"/>
  <c r="H404" i="1" s="1"/>
  <c r="I404" i="1" a="1"/>
  <c r="I404" i="1" s="1"/>
  <c r="H405" i="1" a="1"/>
  <c r="H405" i="1" s="1"/>
  <c r="I405" i="1" a="1"/>
  <c r="I405" i="1" s="1"/>
  <c r="H406" i="1" a="1"/>
  <c r="H406" i="1" s="1"/>
  <c r="I406" i="1" a="1"/>
  <c r="I406" i="1" s="1"/>
  <c r="H407" i="1" a="1"/>
  <c r="H407" i="1" s="1"/>
  <c r="I407" i="1" a="1"/>
  <c r="I407" i="1" s="1"/>
  <c r="H408" i="1" a="1"/>
  <c r="H408" i="1" s="1"/>
  <c r="I409" i="1" a="1"/>
  <c r="I409" i="1" s="1"/>
  <c r="H409" i="1" a="1"/>
  <c r="H409" i="1" s="1"/>
  <c r="H410" i="1" a="1"/>
  <c r="H410" i="1" s="1"/>
  <c r="H411" i="1" a="1"/>
  <c r="H411" i="1" s="1"/>
  <c r="I411" i="1" a="1"/>
  <c r="I411" i="1" s="1"/>
  <c r="H412" i="1" a="1"/>
  <c r="H412" i="1" s="1"/>
  <c r="I412" i="1" a="1"/>
  <c r="I412" i="1" s="1"/>
  <c r="H413" i="1" a="1"/>
  <c r="H413" i="1" s="1"/>
  <c r="I413" i="1" a="1"/>
  <c r="I413" i="1" s="1"/>
  <c r="H414" i="1" a="1"/>
  <c r="H414" i="1" s="1"/>
  <c r="I414" i="1" a="1"/>
  <c r="I414" i="1" s="1"/>
  <c r="H415" i="1" a="1"/>
  <c r="H415" i="1" s="1"/>
  <c r="I415" i="1" a="1"/>
  <c r="I415" i="1" s="1"/>
  <c r="H416" i="1" a="1"/>
  <c r="H416" i="1" s="1"/>
  <c r="I417" i="1" a="1"/>
  <c r="I417" i="1" s="1"/>
  <c r="H417" i="1" a="1"/>
  <c r="H417" i="1" s="1"/>
  <c r="H418" i="1" a="1"/>
  <c r="H418" i="1" s="1"/>
  <c r="H419" i="1" a="1"/>
  <c r="H419" i="1" s="1"/>
  <c r="I419" i="1" a="1"/>
  <c r="I419" i="1" s="1"/>
  <c r="H420" i="1" a="1"/>
  <c r="H420" i="1" s="1"/>
  <c r="I420" i="1" a="1"/>
  <c r="I420" i="1" s="1"/>
  <c r="H421" i="1" a="1"/>
  <c r="H421" i="1" s="1"/>
  <c r="I421" i="1" a="1"/>
  <c r="I421" i="1" s="1"/>
  <c r="H422" i="1" a="1"/>
  <c r="H422" i="1" s="1"/>
  <c r="I422" i="1" a="1"/>
  <c r="I422" i="1" s="1"/>
  <c r="H423" i="1" a="1"/>
  <c r="H423" i="1" s="1"/>
  <c r="I423" i="1" a="1"/>
  <c r="I423" i="1" s="1"/>
  <c r="H424" i="1" a="1"/>
  <c r="H424" i="1" s="1"/>
  <c r="I425" i="1" a="1"/>
  <c r="I425" i="1" s="1"/>
  <c r="H425" i="1" a="1"/>
  <c r="H425" i="1" s="1"/>
  <c r="I426" i="1" a="1"/>
  <c r="I426" i="1" s="1"/>
  <c r="H427" i="1" a="1"/>
  <c r="H427" i="1" s="1"/>
  <c r="I427" i="1" a="1"/>
  <c r="I427" i="1" s="1"/>
  <c r="H428" i="1" a="1"/>
  <c r="H428" i="1" s="1"/>
  <c r="I428" i="1" a="1"/>
  <c r="I428" i="1" s="1"/>
  <c r="H429" i="1" a="1"/>
  <c r="H429" i="1" s="1"/>
  <c r="I429" i="1" a="1"/>
  <c r="I429" i="1" s="1"/>
  <c r="H430" i="1" a="1"/>
  <c r="H430" i="1" s="1"/>
  <c r="I430" i="1" a="1"/>
  <c r="I430" i="1" s="1"/>
  <c r="H431" i="1" a="1"/>
  <c r="H431" i="1" s="1"/>
  <c r="I431" i="1" a="1"/>
  <c r="I431" i="1" s="1"/>
  <c r="I432" i="1" a="1"/>
  <c r="I432" i="1" s="1"/>
  <c r="I433" i="1" a="1"/>
  <c r="I433" i="1" s="1"/>
  <c r="H433" i="1" a="1"/>
  <c r="H433" i="1" s="1"/>
  <c r="H434" i="1" a="1"/>
  <c r="H434" i="1" s="1"/>
  <c r="I434" i="1" a="1"/>
  <c r="I434" i="1" s="1"/>
  <c r="H435" i="1" a="1"/>
  <c r="H435" i="1" s="1"/>
  <c r="I435" i="1" a="1"/>
  <c r="I435" i="1" s="1"/>
  <c r="H436" i="1" a="1"/>
  <c r="H436" i="1" s="1"/>
  <c r="I436" i="1" a="1"/>
  <c r="I436" i="1" s="1"/>
  <c r="H437" i="1" a="1"/>
  <c r="H437" i="1" s="1"/>
  <c r="I437" i="1" a="1"/>
  <c r="I437" i="1" s="1"/>
  <c r="H438" i="1" a="1"/>
  <c r="H438" i="1" s="1"/>
  <c r="I438" i="1" a="1"/>
  <c r="I438" i="1" s="1"/>
  <c r="H439" i="1" a="1"/>
  <c r="H439" i="1" s="1"/>
  <c r="I439" i="1" a="1"/>
  <c r="I439" i="1" s="1"/>
  <c r="H440" i="1" a="1"/>
  <c r="H440" i="1" s="1"/>
  <c r="I441" i="1" a="1"/>
  <c r="I441" i="1" s="1"/>
  <c r="H441" i="1" a="1"/>
  <c r="H441" i="1" s="1"/>
  <c r="H442" i="1" a="1"/>
  <c r="H442" i="1" s="1"/>
  <c r="I442" i="1" a="1"/>
  <c r="I442" i="1" s="1"/>
  <c r="H443" i="1" a="1"/>
  <c r="H443" i="1" s="1"/>
  <c r="I443" i="1" a="1"/>
  <c r="I443" i="1" s="1"/>
  <c r="H444" i="1" a="1"/>
  <c r="H444" i="1" s="1"/>
  <c r="I444" i="1" a="1"/>
  <c r="I444" i="1" s="1"/>
  <c r="H445" i="1" a="1"/>
  <c r="H445" i="1" s="1"/>
  <c r="I445" i="1" a="1"/>
  <c r="I445" i="1" s="1"/>
  <c r="H446" i="1" a="1"/>
  <c r="H446" i="1" s="1"/>
  <c r="I446" i="1" a="1"/>
  <c r="I446" i="1" s="1"/>
  <c r="H447" i="1" a="1"/>
  <c r="H447" i="1" s="1"/>
  <c r="I447" i="1" a="1"/>
  <c r="I447" i="1" s="1"/>
  <c r="H448" i="1" a="1"/>
  <c r="H448" i="1" s="1"/>
  <c r="I449" i="1" a="1"/>
  <c r="I449" i="1" s="1"/>
  <c r="H449" i="1" a="1"/>
  <c r="H449" i="1" s="1"/>
  <c r="H450" i="1" a="1"/>
  <c r="H450" i="1" s="1"/>
  <c r="I450" i="1" a="1"/>
  <c r="I450" i="1" s="1"/>
  <c r="H451" i="1" a="1"/>
  <c r="H451" i="1" s="1"/>
  <c r="I451" i="1" a="1"/>
  <c r="I451" i="1" s="1"/>
  <c r="H452" i="1" a="1"/>
  <c r="H452" i="1" s="1"/>
  <c r="I452" i="1" a="1"/>
  <c r="I452" i="1" s="1"/>
  <c r="H453" i="1" a="1"/>
  <c r="H453" i="1" s="1"/>
  <c r="I453" i="1" a="1"/>
  <c r="I453" i="1" s="1"/>
  <c r="H454" i="1" a="1"/>
  <c r="H454" i="1" s="1"/>
  <c r="I454" i="1" a="1"/>
  <c r="I454" i="1" s="1"/>
  <c r="H455" i="1" a="1"/>
  <c r="H455" i="1" s="1"/>
  <c r="I455" i="1" a="1"/>
  <c r="I455" i="1" s="1"/>
  <c r="H456" i="1" a="1"/>
  <c r="H456" i="1" s="1"/>
  <c r="I457" i="1" a="1"/>
  <c r="I457" i="1" s="1"/>
  <c r="H457" i="1" a="1"/>
  <c r="H457" i="1" s="1"/>
  <c r="H458" i="1" a="1"/>
  <c r="H458" i="1" s="1"/>
  <c r="I458" i="1" a="1"/>
  <c r="I458" i="1" s="1"/>
  <c r="H459" i="1" a="1"/>
  <c r="H459" i="1" s="1"/>
  <c r="I459" i="1" a="1"/>
  <c r="I459" i="1" s="1"/>
  <c r="H460" i="1" a="1"/>
  <c r="H460" i="1" s="1"/>
  <c r="I460" i="1" a="1"/>
  <c r="I460" i="1" s="1"/>
  <c r="H461" i="1" a="1"/>
  <c r="H461" i="1" s="1"/>
  <c r="I461" i="1" a="1"/>
  <c r="I461" i="1" s="1"/>
  <c r="H462" i="1" a="1"/>
  <c r="H462" i="1" s="1"/>
  <c r="I462" i="1" a="1"/>
  <c r="I462" i="1" s="1"/>
  <c r="H463" i="1" a="1"/>
  <c r="H463" i="1" s="1"/>
  <c r="I463" i="1" a="1"/>
  <c r="I463" i="1" s="1"/>
  <c r="I464" i="1" a="1"/>
  <c r="I464" i="1" s="1"/>
  <c r="I465" i="1" a="1"/>
  <c r="I465" i="1" s="1"/>
  <c r="H465" i="1" a="1"/>
  <c r="H465" i="1" s="1"/>
  <c r="H466" i="1" a="1"/>
  <c r="H466" i="1" s="1"/>
  <c r="I466" i="1" a="1"/>
  <c r="I466" i="1" s="1"/>
  <c r="H467" i="1" a="1"/>
  <c r="H467" i="1" s="1"/>
  <c r="I467" i="1" a="1"/>
  <c r="I467" i="1" s="1"/>
  <c r="H468" i="1" a="1"/>
  <c r="H468" i="1" s="1"/>
  <c r="I468" i="1" a="1"/>
  <c r="I468" i="1" s="1"/>
  <c r="H469" i="1" a="1"/>
  <c r="H469" i="1" s="1"/>
  <c r="I469" i="1" a="1"/>
  <c r="I469" i="1" s="1"/>
  <c r="H470" i="1" a="1"/>
  <c r="H470" i="1" s="1"/>
  <c r="I470" i="1" a="1"/>
  <c r="I470" i="1" s="1"/>
  <c r="H471" i="1" a="1"/>
  <c r="H471" i="1" s="1"/>
  <c r="I471" i="1" a="1"/>
  <c r="I471" i="1" s="1"/>
  <c r="I472" i="1" a="1"/>
  <c r="I472" i="1" s="1"/>
  <c r="I473" i="1" a="1"/>
  <c r="I473" i="1" s="1"/>
  <c r="H473" i="1" a="1"/>
  <c r="H473" i="1" s="1"/>
  <c r="H474" i="1" a="1"/>
  <c r="H474" i="1" s="1"/>
  <c r="I474" i="1" a="1"/>
  <c r="I474" i="1" s="1"/>
  <c r="H475" i="1" a="1"/>
  <c r="H475" i="1" s="1"/>
  <c r="I475" i="1" a="1"/>
  <c r="I475" i="1" s="1"/>
  <c r="H476" i="1" a="1"/>
  <c r="H476" i="1" s="1"/>
  <c r="I476" i="1" a="1"/>
  <c r="I476" i="1" s="1"/>
  <c r="H477" i="1" a="1"/>
  <c r="H477" i="1" s="1"/>
  <c r="I477" i="1" a="1"/>
  <c r="I477" i="1" s="1"/>
  <c r="H478" i="1" a="1"/>
  <c r="H478" i="1" s="1"/>
  <c r="I478" i="1" a="1"/>
  <c r="I478" i="1" s="1"/>
  <c r="H479" i="1" a="1"/>
  <c r="H479" i="1" s="1"/>
  <c r="I479" i="1" a="1"/>
  <c r="I479" i="1" s="1"/>
  <c r="H480" i="1" a="1"/>
  <c r="H480" i="1" s="1"/>
  <c r="AD540" i="1" l="1"/>
  <c r="AB543" i="1"/>
  <c r="AD537" i="1"/>
  <c r="AB513" i="1"/>
  <c r="J515" i="1"/>
  <c r="AB528" i="1"/>
  <c r="J514" i="1"/>
  <c r="AD524" i="1"/>
  <c r="AB521" i="1"/>
  <c r="J498" i="1"/>
  <c r="AD532" i="1"/>
  <c r="AB490" i="1"/>
  <c r="AD527" i="1"/>
  <c r="AD495" i="1"/>
  <c r="AD511" i="1"/>
  <c r="AD498" i="1"/>
  <c r="AD503" i="1"/>
  <c r="AB489" i="1"/>
  <c r="AD525" i="1"/>
  <c r="AB535" i="1"/>
  <c r="J533" i="1"/>
  <c r="AD546" i="1"/>
  <c r="AD494" i="1"/>
  <c r="J546" i="1"/>
  <c r="AB538" i="1"/>
  <c r="AD487" i="1"/>
  <c r="AB542" i="1"/>
  <c r="AD506" i="1"/>
  <c r="J482" i="1"/>
  <c r="J545" i="1"/>
  <c r="AD519" i="1"/>
  <c r="AD482" i="1"/>
  <c r="AB534" i="1"/>
  <c r="J505" i="1"/>
  <c r="AD497" i="1"/>
  <c r="AI495" i="1"/>
  <c r="AH495" i="1"/>
  <c r="AD496" i="1"/>
  <c r="AB509" i="1"/>
  <c r="AB512" i="1"/>
  <c r="AD518" i="1"/>
  <c r="AB505" i="1"/>
  <c r="AD510" i="1"/>
  <c r="J544" i="1"/>
  <c r="AB514" i="1"/>
  <c r="AB529" i="1"/>
  <c r="AD493" i="1"/>
  <c r="J487" i="1"/>
  <c r="J486" i="1"/>
  <c r="J536" i="1"/>
  <c r="AI528" i="1"/>
  <c r="AH528" i="1"/>
  <c r="AI512" i="1"/>
  <c r="AH512" i="1"/>
  <c r="AI496" i="1"/>
  <c r="AH496" i="1"/>
  <c r="AI527" i="1"/>
  <c r="AH527" i="1"/>
  <c r="AI511" i="1"/>
  <c r="AH511" i="1"/>
  <c r="J520" i="1"/>
  <c r="AD486" i="1"/>
  <c r="AB547" i="1"/>
  <c r="J528" i="1"/>
  <c r="J512" i="1"/>
  <c r="AB507" i="1"/>
  <c r="AB526" i="1"/>
  <c r="AD544" i="1"/>
  <c r="AD523" i="1"/>
  <c r="J499" i="1"/>
  <c r="J509" i="1"/>
  <c r="AB500" i="1"/>
  <c r="AD491" i="1"/>
  <c r="AB508" i="1"/>
  <c r="AB492" i="1"/>
  <c r="AH544" i="1"/>
  <c r="AH543" i="1"/>
  <c r="J525" i="1"/>
  <c r="J540" i="1"/>
  <c r="J496" i="1"/>
  <c r="J538" i="1"/>
  <c r="AD522" i="1"/>
  <c r="AD545" i="1"/>
  <c r="AB530" i="1"/>
  <c r="J537" i="1"/>
  <c r="AI523" i="1"/>
  <c r="AH523" i="1"/>
  <c r="AI506" i="1"/>
  <c r="AH506" i="1"/>
  <c r="AH536" i="1"/>
  <c r="AI536" i="1"/>
  <c r="AH503" i="1"/>
  <c r="AI503" i="1"/>
  <c r="AH517" i="1"/>
  <c r="AI517" i="1"/>
  <c r="AH532" i="1"/>
  <c r="AI532" i="1"/>
  <c r="AH516" i="1"/>
  <c r="AI516" i="1"/>
  <c r="AH500" i="1"/>
  <c r="AI500" i="1"/>
  <c r="AH484" i="1"/>
  <c r="AI484" i="1"/>
  <c r="AI507" i="1"/>
  <c r="AH507" i="1"/>
  <c r="AI490" i="1"/>
  <c r="AH490" i="1"/>
  <c r="AI489" i="1"/>
  <c r="AH489" i="1"/>
  <c r="AH520" i="1"/>
  <c r="AI520" i="1"/>
  <c r="AH535" i="1"/>
  <c r="AI535" i="1"/>
  <c r="AH487" i="1"/>
  <c r="AI487" i="1"/>
  <c r="AH518" i="1"/>
  <c r="AI518" i="1"/>
  <c r="AH501" i="1"/>
  <c r="AI501" i="1"/>
  <c r="AH547" i="1"/>
  <c r="AI547" i="1"/>
  <c r="AH531" i="1"/>
  <c r="AI531" i="1"/>
  <c r="AH515" i="1"/>
  <c r="AI515" i="1"/>
  <c r="AH499" i="1"/>
  <c r="AI499" i="1"/>
  <c r="AH483" i="1"/>
  <c r="AI483" i="1"/>
  <c r="AI498" i="1"/>
  <c r="AH498" i="1"/>
  <c r="AI491" i="1"/>
  <c r="AH491" i="1"/>
  <c r="AI522" i="1"/>
  <c r="AH522" i="1"/>
  <c r="AI537" i="1"/>
  <c r="AH537" i="1"/>
  <c r="AI505" i="1"/>
  <c r="AH505" i="1"/>
  <c r="AH504" i="1"/>
  <c r="AI504" i="1"/>
  <c r="AH488" i="1"/>
  <c r="AI488" i="1"/>
  <c r="AH519" i="1"/>
  <c r="AI519" i="1"/>
  <c r="AH534" i="1"/>
  <c r="AI534" i="1"/>
  <c r="AH502" i="1"/>
  <c r="AI502" i="1"/>
  <c r="AH486" i="1"/>
  <c r="AI486" i="1"/>
  <c r="AH533" i="1"/>
  <c r="AI533" i="1"/>
  <c r="AH485" i="1"/>
  <c r="AI485" i="1"/>
  <c r="AI546" i="1"/>
  <c r="AH546" i="1"/>
  <c r="AI530" i="1"/>
  <c r="AH530" i="1"/>
  <c r="AI514" i="1"/>
  <c r="AH514" i="1"/>
  <c r="AI482" i="1"/>
  <c r="AH482" i="1"/>
  <c r="AI539" i="1"/>
  <c r="AH539" i="1"/>
  <c r="AI538" i="1"/>
  <c r="AH538" i="1"/>
  <c r="AI521" i="1"/>
  <c r="AH521" i="1"/>
  <c r="AD499" i="1"/>
  <c r="AB499" i="1"/>
  <c r="AD531" i="1"/>
  <c r="AB531" i="1"/>
  <c r="AB484" i="1"/>
  <c r="AD484" i="1"/>
  <c r="J481" i="1"/>
  <c r="AD501" i="1"/>
  <c r="AB501" i="1"/>
  <c r="J539" i="1"/>
  <c r="J526" i="1"/>
  <c r="AD536" i="1"/>
  <c r="AB536" i="1"/>
  <c r="J535" i="1"/>
  <c r="AI545" i="1"/>
  <c r="AI529" i="1"/>
  <c r="AI513" i="1"/>
  <c r="AI497" i="1"/>
  <c r="AI481" i="1"/>
  <c r="AB541" i="1"/>
  <c r="AD541" i="1"/>
  <c r="J488" i="1"/>
  <c r="J504" i="1"/>
  <c r="J534" i="1"/>
  <c r="AB502" i="1"/>
  <c r="AD502" i="1"/>
  <c r="AD516" i="1"/>
  <c r="AB516" i="1"/>
  <c r="AD517" i="1"/>
  <c r="AB517" i="1"/>
  <c r="AI541" i="1"/>
  <c r="AI525" i="1"/>
  <c r="AI509" i="1"/>
  <c r="AI493" i="1"/>
  <c r="AB488" i="1"/>
  <c r="AD488" i="1"/>
  <c r="J522" i="1"/>
  <c r="J508" i="1"/>
  <c r="J531" i="1"/>
  <c r="AI540" i="1"/>
  <c r="AI524" i="1"/>
  <c r="AI508" i="1"/>
  <c r="AI492" i="1"/>
  <c r="AB483" i="1"/>
  <c r="AD483" i="1"/>
  <c r="AD504" i="1"/>
  <c r="AB504" i="1"/>
  <c r="J532" i="1"/>
  <c r="J521" i="1"/>
  <c r="J507" i="1"/>
  <c r="AH542" i="1"/>
  <c r="AH526" i="1"/>
  <c r="AH510" i="1"/>
  <c r="AH494" i="1"/>
  <c r="AD515" i="1"/>
  <c r="AB515" i="1"/>
  <c r="AB520" i="1"/>
  <c r="AD520" i="1"/>
  <c r="J523" i="1"/>
  <c r="J497" i="1"/>
  <c r="J495" i="1"/>
  <c r="J543" i="1"/>
  <c r="J529" i="1"/>
  <c r="AD485" i="1"/>
  <c r="AB485" i="1"/>
  <c r="J547" i="1"/>
  <c r="AB533" i="1"/>
  <c r="AD533" i="1"/>
  <c r="J542" i="1"/>
  <c r="AB539" i="1"/>
  <c r="AD539" i="1"/>
  <c r="J530" i="1"/>
  <c r="J541" i="1"/>
  <c r="J527" i="1"/>
  <c r="J517" i="1"/>
  <c r="J494" i="1"/>
  <c r="J493" i="1"/>
  <c r="J516" i="1"/>
  <c r="J503" i="1"/>
  <c r="J492" i="1"/>
  <c r="J513" i="1"/>
  <c r="J519" i="1"/>
  <c r="J483" i="1"/>
  <c r="J502" i="1"/>
  <c r="J518" i="1"/>
  <c r="J506" i="1"/>
  <c r="J501" i="1"/>
  <c r="J491" i="1"/>
  <c r="J500" i="1"/>
  <c r="J511" i="1"/>
  <c r="J489" i="1"/>
  <c r="J524" i="1"/>
  <c r="J490" i="1"/>
  <c r="J510" i="1"/>
  <c r="J485" i="1"/>
  <c r="J484" i="1"/>
  <c r="AH475" i="1"/>
  <c r="AH443" i="1"/>
  <c r="AH395" i="1"/>
  <c r="AA478" i="1"/>
  <c r="AB478" i="1" s="1"/>
  <c r="AC440" i="1"/>
  <c r="AE440" i="1" s="1"/>
  <c r="AI453" i="1"/>
  <c r="AH453" i="1"/>
  <c r="AH437" i="1"/>
  <c r="AI437" i="1"/>
  <c r="AI405" i="1"/>
  <c r="AH405" i="1"/>
  <c r="AH406" i="1"/>
  <c r="AI459" i="1"/>
  <c r="AI436" i="1"/>
  <c r="AA477" i="1"/>
  <c r="AD477" i="1" s="1"/>
  <c r="AC480" i="1"/>
  <c r="AE480" i="1" s="1"/>
  <c r="AC412" i="1"/>
  <c r="AE412" i="1" s="1"/>
  <c r="AA436" i="1"/>
  <c r="AB436" i="1" s="1"/>
  <c r="AC479" i="1"/>
  <c r="AE479" i="1" s="1"/>
  <c r="AA415" i="1"/>
  <c r="AB415" i="1" s="1"/>
  <c r="AI404" i="1"/>
  <c r="AH404" i="1"/>
  <c r="AH419" i="1"/>
  <c r="AI419" i="1"/>
  <c r="AI418" i="1"/>
  <c r="AH418" i="1"/>
  <c r="AI468" i="1"/>
  <c r="AH468" i="1"/>
  <c r="AI467" i="1"/>
  <c r="AH467" i="1"/>
  <c r="AH403" i="1"/>
  <c r="AI403" i="1"/>
  <c r="AH479" i="1"/>
  <c r="AI479" i="1"/>
  <c r="AI466" i="1"/>
  <c r="AH466" i="1"/>
  <c r="AI450" i="1"/>
  <c r="AH450" i="1"/>
  <c r="AI402" i="1"/>
  <c r="AH402" i="1"/>
  <c r="AI474" i="1"/>
  <c r="AH474" i="1"/>
  <c r="AH442" i="1"/>
  <c r="AI442" i="1"/>
  <c r="AI421" i="1"/>
  <c r="AH421" i="1"/>
  <c r="AI433" i="1"/>
  <c r="AA473" i="1"/>
  <c r="AA457" i="1"/>
  <c r="AD457" i="1" s="1"/>
  <c r="AC441" i="1"/>
  <c r="AE441" i="1" s="1"/>
  <c r="AA467" i="1"/>
  <c r="AB467" i="1" s="1"/>
  <c r="AA435" i="1"/>
  <c r="AB435" i="1" s="1"/>
  <c r="AC403" i="1"/>
  <c r="AE403" i="1" s="1"/>
  <c r="AA461" i="1"/>
  <c r="AD461" i="1" s="1"/>
  <c r="AA455" i="1"/>
  <c r="AB455" i="1" s="1"/>
  <c r="AA407" i="1"/>
  <c r="AB407" i="1" s="1"/>
  <c r="AC431" i="1"/>
  <c r="AE431" i="1" s="1"/>
  <c r="AH460" i="1"/>
  <c r="AI417" i="1"/>
  <c r="AA438" i="1"/>
  <c r="AB438" i="1" s="1"/>
  <c r="AC463" i="1"/>
  <c r="AE463" i="1" s="1"/>
  <c r="AC399" i="1"/>
  <c r="AE399" i="1" s="1"/>
  <c r="AC469" i="1"/>
  <c r="AE469" i="1" s="1"/>
  <c r="AA437" i="1"/>
  <c r="AD437" i="1" s="1"/>
  <c r="AA446" i="1"/>
  <c r="AD446" i="1" s="1"/>
  <c r="AA414" i="1"/>
  <c r="AD414" i="1" s="1"/>
  <c r="AA440" i="1"/>
  <c r="AD440" i="1" s="1"/>
  <c r="AC392" i="1"/>
  <c r="AE392" i="1" s="1"/>
  <c r="AC464" i="1"/>
  <c r="AE464" i="1" s="1"/>
  <c r="AA416" i="1"/>
  <c r="AB416" i="1" s="1"/>
  <c r="AI409" i="1"/>
  <c r="AC478" i="1"/>
  <c r="AE478" i="1" s="1"/>
  <c r="AI449" i="1"/>
  <c r="AC422" i="1"/>
  <c r="AE422" i="1" s="1"/>
  <c r="AA439" i="1"/>
  <c r="AB439" i="1" s="1"/>
  <c r="AA453" i="1"/>
  <c r="AB453" i="1" s="1"/>
  <c r="AC462" i="1"/>
  <c r="AE462" i="1" s="1"/>
  <c r="AC430" i="1"/>
  <c r="AE430" i="1" s="1"/>
  <c r="AA456" i="1"/>
  <c r="AB456" i="1" s="1"/>
  <c r="AC460" i="1"/>
  <c r="AE460" i="1" s="1"/>
  <c r="AC406" i="1"/>
  <c r="AE406" i="1" s="1"/>
  <c r="AH412" i="1"/>
  <c r="AA479" i="1"/>
  <c r="J396" i="1"/>
  <c r="AI401" i="1"/>
  <c r="AA452" i="1"/>
  <c r="AD452" i="1" s="1"/>
  <c r="AC446" i="1"/>
  <c r="AE446" i="1" s="1"/>
  <c r="AC414" i="1"/>
  <c r="AE414" i="1" s="1"/>
  <c r="AC435" i="1"/>
  <c r="AE435" i="1" s="1"/>
  <c r="J420" i="1"/>
  <c r="AI465" i="1"/>
  <c r="AI398" i="1"/>
  <c r="AA418" i="1"/>
  <c r="AD418" i="1" s="1"/>
  <c r="AH413" i="1"/>
  <c r="AC445" i="1"/>
  <c r="AE445" i="1" s="1"/>
  <c r="AA480" i="1"/>
  <c r="AD480" i="1" s="1"/>
  <c r="AC400" i="1"/>
  <c r="AE400" i="1" s="1"/>
  <c r="AA454" i="1"/>
  <c r="AB454" i="1" s="1"/>
  <c r="AA447" i="1"/>
  <c r="AD447" i="1" s="1"/>
  <c r="AA468" i="1"/>
  <c r="AD468" i="1" s="1"/>
  <c r="AA462" i="1"/>
  <c r="AD462" i="1" s="1"/>
  <c r="AA430" i="1"/>
  <c r="AD430" i="1" s="1"/>
  <c r="AC467" i="1"/>
  <c r="AE467" i="1" s="1"/>
  <c r="AA403" i="1"/>
  <c r="AD403" i="1" s="1"/>
  <c r="AH441" i="1"/>
  <c r="AI399" i="1"/>
  <c r="AH422" i="1"/>
  <c r="AI462" i="1"/>
  <c r="AH439" i="1"/>
  <c r="AI439" i="1"/>
  <c r="AI426" i="1"/>
  <c r="AH426" i="1"/>
  <c r="AI464" i="1"/>
  <c r="AH464" i="1"/>
  <c r="AI448" i="1"/>
  <c r="AH448" i="1"/>
  <c r="AH432" i="1"/>
  <c r="AI432" i="1"/>
  <c r="AH400" i="1"/>
  <c r="AI400" i="1"/>
  <c r="AI451" i="1"/>
  <c r="AH451" i="1"/>
  <c r="AH407" i="1"/>
  <c r="AI407" i="1"/>
  <c r="AI425" i="1"/>
  <c r="AH425" i="1"/>
  <c r="AH458" i="1"/>
  <c r="AI472" i="1"/>
  <c r="AH472" i="1"/>
  <c r="AH440" i="1"/>
  <c r="AI440" i="1"/>
  <c r="AA475" i="1"/>
  <c r="AC475" i="1"/>
  <c r="AE475" i="1" s="1"/>
  <c r="AA443" i="1"/>
  <c r="AC443" i="1"/>
  <c r="AE443" i="1" s="1"/>
  <c r="AA405" i="1"/>
  <c r="AC405" i="1"/>
  <c r="AE405" i="1" s="1"/>
  <c r="AC398" i="1"/>
  <c r="AE398" i="1" s="1"/>
  <c r="AA398" i="1"/>
  <c r="AA472" i="1"/>
  <c r="AC472" i="1"/>
  <c r="AE472" i="1" s="1"/>
  <c r="AA424" i="1"/>
  <c r="AC424" i="1"/>
  <c r="AE424" i="1" s="1"/>
  <c r="AC461" i="1"/>
  <c r="AE461" i="1" s="1"/>
  <c r="AI420" i="1"/>
  <c r="AH420" i="1"/>
  <c r="AI463" i="1"/>
  <c r="AH463" i="1"/>
  <c r="AH408" i="1"/>
  <c r="AI456" i="1"/>
  <c r="AH456" i="1"/>
  <c r="AI424" i="1"/>
  <c r="AH424" i="1"/>
  <c r="AH392" i="1"/>
  <c r="AI392" i="1"/>
  <c r="AH477" i="1"/>
  <c r="AI477" i="1"/>
  <c r="AH457" i="1"/>
  <c r="AA459" i="1"/>
  <c r="AC459" i="1"/>
  <c r="AE459" i="1" s="1"/>
  <c r="AA427" i="1"/>
  <c r="AC427" i="1"/>
  <c r="AE427" i="1" s="1"/>
  <c r="AA411" i="1"/>
  <c r="AC411" i="1"/>
  <c r="AE411" i="1" s="1"/>
  <c r="AA395" i="1"/>
  <c r="AC395" i="1"/>
  <c r="AE395" i="1" s="1"/>
  <c r="AC421" i="1"/>
  <c r="AE421" i="1" s="1"/>
  <c r="AA421" i="1"/>
  <c r="AH471" i="1"/>
  <c r="AI471" i="1"/>
  <c r="AH455" i="1"/>
  <c r="AI455" i="1"/>
  <c r="AH423" i="1"/>
  <c r="AI423" i="1"/>
  <c r="AH391" i="1"/>
  <c r="AI391" i="1"/>
  <c r="AC474" i="1"/>
  <c r="AE474" i="1" s="1"/>
  <c r="AA474" i="1"/>
  <c r="AC458" i="1"/>
  <c r="AE458" i="1" s="1"/>
  <c r="AA458" i="1"/>
  <c r="AA442" i="1"/>
  <c r="AC442" i="1"/>
  <c r="AE442" i="1" s="1"/>
  <c r="AC426" i="1"/>
  <c r="AE426" i="1" s="1"/>
  <c r="AA426" i="1"/>
  <c r="AC410" i="1"/>
  <c r="AE410" i="1" s="1"/>
  <c r="AA410" i="1"/>
  <c r="AC394" i="1"/>
  <c r="AE394" i="1" s="1"/>
  <c r="AA394" i="1"/>
  <c r="AC468" i="1"/>
  <c r="AE468" i="1" s="1"/>
  <c r="AC452" i="1"/>
  <c r="AE452" i="1" s="1"/>
  <c r="AC436" i="1"/>
  <c r="AE436" i="1" s="1"/>
  <c r="AA420" i="1"/>
  <c r="AA404" i="1"/>
  <c r="AC404" i="1"/>
  <c r="AE404" i="1" s="1"/>
  <c r="AA425" i="1"/>
  <c r="AC425" i="1"/>
  <c r="AE425" i="1" s="1"/>
  <c r="AA393" i="1"/>
  <c r="AC393" i="1"/>
  <c r="AE393" i="1" s="1"/>
  <c r="AC451" i="1"/>
  <c r="AE451" i="1" s="1"/>
  <c r="AA451" i="1"/>
  <c r="AC419" i="1"/>
  <c r="AE419" i="1" s="1"/>
  <c r="AA419" i="1"/>
  <c r="AH480" i="1"/>
  <c r="AI480" i="1"/>
  <c r="AH390" i="1"/>
  <c r="AI390" i="1"/>
  <c r="AH438" i="1"/>
  <c r="AI438" i="1"/>
  <c r="AI416" i="1"/>
  <c r="AI478" i="1"/>
  <c r="AC420" i="1"/>
  <c r="AE420" i="1" s="1"/>
  <c r="AH393" i="1"/>
  <c r="AI393" i="1"/>
  <c r="AA476" i="1"/>
  <c r="AC476" i="1"/>
  <c r="AE476" i="1" s="1"/>
  <c r="AA460" i="1"/>
  <c r="AA444" i="1"/>
  <c r="AA428" i="1"/>
  <c r="AC428" i="1"/>
  <c r="AE428" i="1" s="1"/>
  <c r="AA412" i="1"/>
  <c r="AA396" i="1"/>
  <c r="AC396" i="1"/>
  <c r="AE396" i="1" s="1"/>
  <c r="AC470" i="1"/>
  <c r="AE470" i="1" s="1"/>
  <c r="AA406" i="1"/>
  <c r="AI470" i="1"/>
  <c r="AH470" i="1"/>
  <c r="AI454" i="1"/>
  <c r="AH454" i="1"/>
  <c r="AI445" i="1"/>
  <c r="AH445" i="1"/>
  <c r="AI452" i="1"/>
  <c r="AH452" i="1"/>
  <c r="AI469" i="1"/>
  <c r="AH469" i="1"/>
  <c r="AH414" i="1"/>
  <c r="AI414" i="1"/>
  <c r="AC471" i="1"/>
  <c r="AE471" i="1" s="1"/>
  <c r="AA391" i="1"/>
  <c r="AI435" i="1"/>
  <c r="AH435" i="1"/>
  <c r="AH444" i="1"/>
  <c r="AI473" i="1"/>
  <c r="AA470" i="1"/>
  <c r="AC454" i="1"/>
  <c r="AE454" i="1" s="1"/>
  <c r="AC438" i="1"/>
  <c r="AE438" i="1" s="1"/>
  <c r="AA422" i="1"/>
  <c r="AI434" i="1"/>
  <c r="AH434" i="1"/>
  <c r="AH476" i="1"/>
  <c r="AA469" i="1"/>
  <c r="AC453" i="1"/>
  <c r="AE453" i="1" s="1"/>
  <c r="AC437" i="1"/>
  <c r="AE437" i="1" s="1"/>
  <c r="AI447" i="1"/>
  <c r="AH447" i="1"/>
  <c r="AC466" i="1"/>
  <c r="AE466" i="1" s="1"/>
  <c r="AA466" i="1"/>
  <c r="AC434" i="1"/>
  <c r="AE434" i="1" s="1"/>
  <c r="AA434" i="1"/>
  <c r="AC418" i="1"/>
  <c r="AE418" i="1" s="1"/>
  <c r="AC402" i="1"/>
  <c r="AE402" i="1" s="1"/>
  <c r="AI446" i="1"/>
  <c r="AH446" i="1"/>
  <c r="AI461" i="1"/>
  <c r="AI430" i="1"/>
  <c r="AC390" i="1"/>
  <c r="AE390" i="1" s="1"/>
  <c r="AA402" i="1"/>
  <c r="AI429" i="1"/>
  <c r="AH429" i="1"/>
  <c r="AI397" i="1"/>
  <c r="AH397" i="1"/>
  <c r="AA464" i="1"/>
  <c r="AC448" i="1"/>
  <c r="AE448" i="1" s="1"/>
  <c r="AC432" i="1"/>
  <c r="AE432" i="1" s="1"/>
  <c r="AC416" i="1"/>
  <c r="AE416" i="1" s="1"/>
  <c r="AA400" i="1"/>
  <c r="AC450" i="1"/>
  <c r="AE450" i="1" s="1"/>
  <c r="AA450" i="1"/>
  <c r="AI428" i="1"/>
  <c r="AH428" i="1"/>
  <c r="AH431" i="1"/>
  <c r="AA463" i="1"/>
  <c r="AC447" i="1"/>
  <c r="AE447" i="1" s="1"/>
  <c r="AA431" i="1"/>
  <c r="AC415" i="1"/>
  <c r="AE415" i="1" s="1"/>
  <c r="AC473" i="1"/>
  <c r="AE473" i="1" s="1"/>
  <c r="AC457" i="1"/>
  <c r="AE457" i="1" s="1"/>
  <c r="AA441" i="1"/>
  <c r="AC409" i="1"/>
  <c r="AE409" i="1" s="1"/>
  <c r="AC456" i="1"/>
  <c r="AE456" i="1" s="1"/>
  <c r="AC408" i="1"/>
  <c r="AE408" i="1" s="1"/>
  <c r="AA392" i="1"/>
  <c r="AA399" i="1"/>
  <c r="AC444" i="1"/>
  <c r="AE444" i="1" s="1"/>
  <c r="AI415" i="1"/>
  <c r="AH415" i="1"/>
  <c r="AH427" i="1"/>
  <c r="AI427" i="1"/>
  <c r="AH411" i="1"/>
  <c r="AI411" i="1"/>
  <c r="AH410" i="1"/>
  <c r="AI410" i="1"/>
  <c r="AH394" i="1"/>
  <c r="AI394" i="1"/>
  <c r="AI396" i="1"/>
  <c r="AH396" i="1"/>
  <c r="AC477" i="1"/>
  <c r="AE477" i="1" s="1"/>
  <c r="AA445" i="1"/>
  <c r="AC429" i="1"/>
  <c r="AE429" i="1" s="1"/>
  <c r="AA429" i="1"/>
  <c r="AC413" i="1"/>
  <c r="AE413" i="1" s="1"/>
  <c r="AA413" i="1"/>
  <c r="AC397" i="1"/>
  <c r="AE397" i="1" s="1"/>
  <c r="AA397" i="1"/>
  <c r="AA471" i="1"/>
  <c r="AA432" i="1"/>
  <c r="AC423" i="1"/>
  <c r="AE423" i="1" s="1"/>
  <c r="AA409" i="1"/>
  <c r="AA390" i="1"/>
  <c r="AC455" i="1"/>
  <c r="AE455" i="1" s="1"/>
  <c r="AC439" i="1"/>
  <c r="AE439" i="1" s="1"/>
  <c r="AC407" i="1"/>
  <c r="AE407" i="1" s="1"/>
  <c r="AC391" i="1"/>
  <c r="AE391" i="1" s="1"/>
  <c r="AA448" i="1"/>
  <c r="AA408" i="1"/>
  <c r="AC465" i="1"/>
  <c r="AE465" i="1" s="1"/>
  <c r="AA465" i="1"/>
  <c r="AC449" i="1"/>
  <c r="AE449" i="1" s="1"/>
  <c r="AA449" i="1"/>
  <c r="AC433" i="1"/>
  <c r="AE433" i="1" s="1"/>
  <c r="AA433" i="1"/>
  <c r="AC417" i="1"/>
  <c r="AE417" i="1" s="1"/>
  <c r="AA417" i="1"/>
  <c r="AC401" i="1"/>
  <c r="AE401" i="1" s="1"/>
  <c r="AA401" i="1"/>
  <c r="AA423" i="1"/>
  <c r="J435" i="1"/>
  <c r="J421" i="1"/>
  <c r="J419" i="1"/>
  <c r="J412" i="1"/>
  <c r="J466" i="1"/>
  <c r="J459" i="1"/>
  <c r="J445" i="1"/>
  <c r="J443" i="1"/>
  <c r="J436" i="1"/>
  <c r="J474" i="1"/>
  <c r="J438" i="1"/>
  <c r="J434" i="1"/>
  <c r="J403" i="1"/>
  <c r="J398" i="1"/>
  <c r="J428" i="1"/>
  <c r="J405" i="1"/>
  <c r="J429" i="1"/>
  <c r="J427" i="1"/>
  <c r="J467" i="1"/>
  <c r="J395" i="1"/>
  <c r="J442" i="1"/>
  <c r="J399" i="1"/>
  <c r="J390" i="1"/>
  <c r="J437" i="1"/>
  <c r="J430" i="1"/>
  <c r="J479" i="1"/>
  <c r="J469" i="1"/>
  <c r="J411" i="1"/>
  <c r="J451" i="1"/>
  <c r="J413" i="1"/>
  <c r="J406" i="1"/>
  <c r="J444" i="1"/>
  <c r="J415" i="1"/>
  <c r="J397" i="1"/>
  <c r="J422" i="1"/>
  <c r="J407" i="1"/>
  <c r="J431" i="1"/>
  <c r="J404" i="1"/>
  <c r="J401" i="1"/>
  <c r="J477" i="1"/>
  <c r="J468" i="1"/>
  <c r="J462" i="1"/>
  <c r="J423" i="1"/>
  <c r="J460" i="1"/>
  <c r="J454" i="1"/>
  <c r="J450" i="1"/>
  <c r="J414" i="1"/>
  <c r="J471" i="1"/>
  <c r="J417" i="1"/>
  <c r="J441" i="1"/>
  <c r="J463" i="1"/>
  <c r="J475" i="1"/>
  <c r="J457" i="1"/>
  <c r="J393" i="1"/>
  <c r="J458" i="1"/>
  <c r="J465" i="1"/>
  <c r="J453" i="1"/>
  <c r="J447" i="1"/>
  <c r="J425" i="1"/>
  <c r="J439" i="1"/>
  <c r="J470" i="1"/>
  <c r="J478" i="1"/>
  <c r="J473" i="1"/>
  <c r="J449" i="1"/>
  <c r="J476" i="1"/>
  <c r="J461" i="1"/>
  <c r="J455" i="1"/>
  <c r="J433" i="1"/>
  <c r="J452" i="1"/>
  <c r="J446" i="1"/>
  <c r="J409" i="1"/>
  <c r="J391" i="1"/>
  <c r="I418" i="1" a="1"/>
  <c r="I418" i="1" s="1"/>
  <c r="J418" i="1" s="1"/>
  <c r="I410" i="1" a="1"/>
  <c r="I410" i="1" s="1"/>
  <c r="J410" i="1" s="1"/>
  <c r="H426" i="1" a="1"/>
  <c r="H426" i="1" s="1"/>
  <c r="J426" i="1" s="1"/>
  <c r="H394" i="1" a="1"/>
  <c r="H394" i="1" s="1"/>
  <c r="J394" i="1" s="1"/>
  <c r="I402" i="1" a="1"/>
  <c r="I402" i="1" s="1"/>
  <c r="J402" i="1" s="1"/>
  <c r="I424" i="1" a="1"/>
  <c r="I424" i="1" s="1"/>
  <c r="J424" i="1" s="1"/>
  <c r="I480" i="1" a="1"/>
  <c r="I480" i="1" s="1"/>
  <c r="J480" i="1" s="1"/>
  <c r="I456" i="1" a="1"/>
  <c r="I456" i="1" s="1"/>
  <c r="J456" i="1" s="1"/>
  <c r="I440" i="1" a="1"/>
  <c r="I440" i="1" s="1"/>
  <c r="J440" i="1" s="1"/>
  <c r="I408" i="1" a="1"/>
  <c r="I408" i="1" s="1"/>
  <c r="J408" i="1" s="1"/>
  <c r="I400" i="1" a="1"/>
  <c r="I400" i="1" s="1"/>
  <c r="J400" i="1" s="1"/>
  <c r="I448" i="1" a="1"/>
  <c r="I448" i="1" s="1"/>
  <c r="J448" i="1" s="1"/>
  <c r="I416" i="1" a="1"/>
  <c r="I416" i="1" s="1"/>
  <c r="J416" i="1" s="1"/>
  <c r="H472" i="1" a="1"/>
  <c r="H472" i="1" s="1"/>
  <c r="J472" i="1" s="1"/>
  <c r="H464" i="1" a="1"/>
  <c r="H464" i="1" s="1"/>
  <c r="J464" i="1" s="1"/>
  <c r="H432" i="1" a="1"/>
  <c r="H432" i="1" s="1"/>
  <c r="J432" i="1" s="1"/>
  <c r="H392" i="1" a="1"/>
  <c r="H392" i="1" s="1"/>
  <c r="J39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2" i="1" a="1"/>
  <c r="I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2" i="1" a="1"/>
  <c r="H2" i="1" s="1"/>
  <c r="Z389" i="1"/>
  <c r="Y389" i="1"/>
  <c r="X389" i="1"/>
  <c r="W389" i="1"/>
  <c r="V389" i="1"/>
  <c r="U389" i="1"/>
  <c r="T389" i="1"/>
  <c r="S389" i="1"/>
  <c r="R389" i="1"/>
  <c r="Q389" i="1"/>
  <c r="P389" i="1"/>
  <c r="O389" i="1"/>
  <c r="Z388" i="1"/>
  <c r="Y388" i="1"/>
  <c r="X388" i="1"/>
  <c r="W388" i="1"/>
  <c r="V388" i="1"/>
  <c r="U388" i="1"/>
  <c r="T388" i="1"/>
  <c r="S388" i="1"/>
  <c r="R388" i="1"/>
  <c r="Q388" i="1"/>
  <c r="P388" i="1"/>
  <c r="O388" i="1"/>
  <c r="Z387" i="1"/>
  <c r="Y387" i="1"/>
  <c r="X387" i="1"/>
  <c r="W387" i="1"/>
  <c r="V387" i="1"/>
  <c r="U387" i="1"/>
  <c r="T387" i="1"/>
  <c r="S387" i="1"/>
  <c r="R387" i="1"/>
  <c r="Q387" i="1"/>
  <c r="P387" i="1"/>
  <c r="O387" i="1"/>
  <c r="Z386" i="1"/>
  <c r="Y386" i="1"/>
  <c r="X386" i="1"/>
  <c r="W386" i="1"/>
  <c r="V386" i="1"/>
  <c r="U386" i="1"/>
  <c r="T386" i="1"/>
  <c r="S386" i="1"/>
  <c r="R386" i="1"/>
  <c r="Q386" i="1"/>
  <c r="P386" i="1"/>
  <c r="O386" i="1"/>
  <c r="Z385" i="1"/>
  <c r="Y385" i="1"/>
  <c r="X385" i="1"/>
  <c r="W385" i="1"/>
  <c r="V385" i="1"/>
  <c r="U385" i="1"/>
  <c r="T385" i="1"/>
  <c r="S385" i="1"/>
  <c r="R385" i="1"/>
  <c r="Q385" i="1"/>
  <c r="P385" i="1"/>
  <c r="O385" i="1"/>
  <c r="Z384" i="1"/>
  <c r="Y384" i="1"/>
  <c r="X384" i="1"/>
  <c r="W384" i="1"/>
  <c r="V384" i="1"/>
  <c r="U384" i="1"/>
  <c r="T384" i="1"/>
  <c r="S384" i="1"/>
  <c r="R384" i="1"/>
  <c r="Q384" i="1"/>
  <c r="P384" i="1"/>
  <c r="O384" i="1"/>
  <c r="Z383" i="1"/>
  <c r="Y383" i="1"/>
  <c r="X383" i="1"/>
  <c r="W383" i="1"/>
  <c r="V383" i="1"/>
  <c r="U383" i="1"/>
  <c r="T383" i="1"/>
  <c r="S383" i="1"/>
  <c r="R383" i="1"/>
  <c r="Q383" i="1"/>
  <c r="P383" i="1"/>
  <c r="O383" i="1"/>
  <c r="Z382" i="1"/>
  <c r="Y382" i="1"/>
  <c r="X382" i="1"/>
  <c r="W382" i="1"/>
  <c r="V382" i="1"/>
  <c r="U382" i="1"/>
  <c r="T382" i="1"/>
  <c r="S382" i="1"/>
  <c r="R382" i="1"/>
  <c r="Q382" i="1"/>
  <c r="P382" i="1"/>
  <c r="O382" i="1"/>
  <c r="Z381" i="1"/>
  <c r="Y381" i="1"/>
  <c r="X381" i="1"/>
  <c r="W381" i="1"/>
  <c r="V381" i="1"/>
  <c r="U381" i="1"/>
  <c r="T381" i="1"/>
  <c r="S381" i="1"/>
  <c r="R381" i="1"/>
  <c r="Q381" i="1"/>
  <c r="P381" i="1"/>
  <c r="O381" i="1"/>
  <c r="Z380" i="1"/>
  <c r="Y380" i="1"/>
  <c r="X380" i="1"/>
  <c r="W380" i="1"/>
  <c r="V380" i="1"/>
  <c r="U380" i="1"/>
  <c r="T380" i="1"/>
  <c r="S380" i="1"/>
  <c r="R380" i="1"/>
  <c r="Q380" i="1"/>
  <c r="P380" i="1"/>
  <c r="O380" i="1"/>
  <c r="Z379" i="1"/>
  <c r="Y379" i="1"/>
  <c r="X379" i="1"/>
  <c r="W379" i="1"/>
  <c r="V379" i="1"/>
  <c r="U379" i="1"/>
  <c r="T379" i="1"/>
  <c r="S379" i="1"/>
  <c r="R379" i="1"/>
  <c r="Q379" i="1"/>
  <c r="P379" i="1"/>
  <c r="O379" i="1"/>
  <c r="Z378" i="1"/>
  <c r="Y378" i="1"/>
  <c r="X378" i="1"/>
  <c r="W378" i="1"/>
  <c r="V378" i="1"/>
  <c r="U378" i="1"/>
  <c r="T378" i="1"/>
  <c r="S378" i="1"/>
  <c r="R378" i="1"/>
  <c r="Q378" i="1"/>
  <c r="P378" i="1"/>
  <c r="O378" i="1"/>
  <c r="Z377" i="1"/>
  <c r="Y377" i="1"/>
  <c r="X377" i="1"/>
  <c r="W377" i="1"/>
  <c r="V377" i="1"/>
  <c r="U377" i="1"/>
  <c r="T377" i="1"/>
  <c r="S377" i="1"/>
  <c r="R377" i="1"/>
  <c r="Q377" i="1"/>
  <c r="P377" i="1"/>
  <c r="O377" i="1"/>
  <c r="Z376" i="1"/>
  <c r="Y376" i="1"/>
  <c r="X376" i="1"/>
  <c r="W376" i="1"/>
  <c r="V376" i="1"/>
  <c r="U376" i="1"/>
  <c r="T376" i="1"/>
  <c r="S376" i="1"/>
  <c r="R376" i="1"/>
  <c r="Q376" i="1"/>
  <c r="P376" i="1"/>
  <c r="O376" i="1"/>
  <c r="Z375" i="1"/>
  <c r="Y375" i="1"/>
  <c r="X375" i="1"/>
  <c r="W375" i="1"/>
  <c r="V375" i="1"/>
  <c r="U375" i="1"/>
  <c r="T375" i="1"/>
  <c r="S375" i="1"/>
  <c r="R375" i="1"/>
  <c r="Q375" i="1"/>
  <c r="P375" i="1"/>
  <c r="O375" i="1"/>
  <c r="Z374" i="1"/>
  <c r="Y374" i="1"/>
  <c r="X374" i="1"/>
  <c r="W374" i="1"/>
  <c r="V374" i="1"/>
  <c r="U374" i="1"/>
  <c r="T374" i="1"/>
  <c r="S374" i="1"/>
  <c r="R374" i="1"/>
  <c r="Q374" i="1"/>
  <c r="P374" i="1"/>
  <c r="O374" i="1"/>
  <c r="Z373" i="1"/>
  <c r="Y373" i="1"/>
  <c r="X373" i="1"/>
  <c r="W373" i="1"/>
  <c r="V373" i="1"/>
  <c r="U373" i="1"/>
  <c r="T373" i="1"/>
  <c r="S373" i="1"/>
  <c r="R373" i="1"/>
  <c r="Q373" i="1"/>
  <c r="P373" i="1"/>
  <c r="O373" i="1"/>
  <c r="Z372" i="1"/>
  <c r="Y372" i="1"/>
  <c r="X372" i="1"/>
  <c r="W372" i="1"/>
  <c r="V372" i="1"/>
  <c r="U372" i="1"/>
  <c r="T372" i="1"/>
  <c r="S372" i="1"/>
  <c r="R372" i="1"/>
  <c r="Q372" i="1"/>
  <c r="P372" i="1"/>
  <c r="O372" i="1"/>
  <c r="Z371" i="1"/>
  <c r="Y371" i="1"/>
  <c r="X371" i="1"/>
  <c r="W371" i="1"/>
  <c r="V371" i="1"/>
  <c r="U371" i="1"/>
  <c r="T371" i="1"/>
  <c r="S371" i="1"/>
  <c r="R371" i="1"/>
  <c r="Q371" i="1"/>
  <c r="P371" i="1"/>
  <c r="O371" i="1"/>
  <c r="Z370" i="1"/>
  <c r="Y370" i="1"/>
  <c r="X370" i="1"/>
  <c r="W370" i="1"/>
  <c r="V370" i="1"/>
  <c r="U370" i="1"/>
  <c r="T370" i="1"/>
  <c r="S370" i="1"/>
  <c r="R370" i="1"/>
  <c r="Q370" i="1"/>
  <c r="P370" i="1"/>
  <c r="O370" i="1"/>
  <c r="Z369" i="1"/>
  <c r="Y369" i="1"/>
  <c r="X369" i="1"/>
  <c r="W369" i="1"/>
  <c r="V369" i="1"/>
  <c r="U369" i="1"/>
  <c r="T369" i="1"/>
  <c r="S369" i="1"/>
  <c r="R369" i="1"/>
  <c r="Q369" i="1"/>
  <c r="P369" i="1"/>
  <c r="O369" i="1"/>
  <c r="Z368" i="1"/>
  <c r="Y368" i="1"/>
  <c r="X368" i="1"/>
  <c r="W368" i="1"/>
  <c r="V368" i="1"/>
  <c r="U368" i="1"/>
  <c r="T368" i="1"/>
  <c r="S368" i="1"/>
  <c r="R368" i="1"/>
  <c r="Q368" i="1"/>
  <c r="P368" i="1"/>
  <c r="O368" i="1"/>
  <c r="Z367" i="1"/>
  <c r="Y367" i="1"/>
  <c r="X367" i="1"/>
  <c r="W367" i="1"/>
  <c r="V367" i="1"/>
  <c r="U367" i="1"/>
  <c r="T367" i="1"/>
  <c r="S367" i="1"/>
  <c r="R367" i="1"/>
  <c r="Q367" i="1"/>
  <c r="P367" i="1"/>
  <c r="O367" i="1"/>
  <c r="Z366" i="1"/>
  <c r="Y366" i="1"/>
  <c r="X366" i="1"/>
  <c r="W366" i="1"/>
  <c r="V366" i="1"/>
  <c r="U366" i="1"/>
  <c r="T366" i="1"/>
  <c r="S366" i="1"/>
  <c r="R366" i="1"/>
  <c r="Q366" i="1"/>
  <c r="P366" i="1"/>
  <c r="O366" i="1"/>
  <c r="Z365" i="1"/>
  <c r="Y365" i="1"/>
  <c r="X365" i="1"/>
  <c r="W365" i="1"/>
  <c r="V365" i="1"/>
  <c r="U365" i="1"/>
  <c r="T365" i="1"/>
  <c r="S365" i="1"/>
  <c r="R365" i="1"/>
  <c r="Q365" i="1"/>
  <c r="P365" i="1"/>
  <c r="O365" i="1"/>
  <c r="Z364" i="1"/>
  <c r="Y364" i="1"/>
  <c r="X364" i="1"/>
  <c r="W364" i="1"/>
  <c r="V364" i="1"/>
  <c r="U364" i="1"/>
  <c r="T364" i="1"/>
  <c r="S364" i="1"/>
  <c r="R364" i="1"/>
  <c r="Q364" i="1"/>
  <c r="P364" i="1"/>
  <c r="O364" i="1"/>
  <c r="Z363" i="1"/>
  <c r="Y363" i="1"/>
  <c r="X363" i="1"/>
  <c r="W363" i="1"/>
  <c r="V363" i="1"/>
  <c r="U363" i="1"/>
  <c r="T363" i="1"/>
  <c r="S363" i="1"/>
  <c r="R363" i="1"/>
  <c r="Q363" i="1"/>
  <c r="P363" i="1"/>
  <c r="O363" i="1"/>
  <c r="Z362" i="1"/>
  <c r="Y362" i="1"/>
  <c r="X362" i="1"/>
  <c r="W362" i="1"/>
  <c r="V362" i="1"/>
  <c r="U362" i="1"/>
  <c r="T362" i="1"/>
  <c r="S362" i="1"/>
  <c r="R362" i="1"/>
  <c r="Q362" i="1"/>
  <c r="P362" i="1"/>
  <c r="O362" i="1"/>
  <c r="Z361" i="1"/>
  <c r="Y361" i="1"/>
  <c r="X361" i="1"/>
  <c r="W361" i="1"/>
  <c r="V361" i="1"/>
  <c r="U361" i="1"/>
  <c r="T361" i="1"/>
  <c r="S361" i="1"/>
  <c r="R361" i="1"/>
  <c r="Q361" i="1"/>
  <c r="P361" i="1"/>
  <c r="O361" i="1"/>
  <c r="Z360" i="1"/>
  <c r="Y360" i="1"/>
  <c r="X360" i="1"/>
  <c r="W360" i="1"/>
  <c r="V360" i="1"/>
  <c r="U360" i="1"/>
  <c r="T360" i="1"/>
  <c r="S360" i="1"/>
  <c r="R360" i="1"/>
  <c r="Q360" i="1"/>
  <c r="P360" i="1"/>
  <c r="O360" i="1"/>
  <c r="Z359" i="1"/>
  <c r="Y359" i="1"/>
  <c r="X359" i="1"/>
  <c r="W359" i="1"/>
  <c r="V359" i="1"/>
  <c r="U359" i="1"/>
  <c r="T359" i="1"/>
  <c r="S359" i="1"/>
  <c r="R359" i="1"/>
  <c r="Q359" i="1"/>
  <c r="P359" i="1"/>
  <c r="O359" i="1"/>
  <c r="Z358" i="1"/>
  <c r="Y358" i="1"/>
  <c r="X358" i="1"/>
  <c r="W358" i="1"/>
  <c r="V358" i="1"/>
  <c r="U358" i="1"/>
  <c r="T358" i="1"/>
  <c r="S358" i="1"/>
  <c r="R358" i="1"/>
  <c r="Q358" i="1"/>
  <c r="P358" i="1"/>
  <c r="O358" i="1"/>
  <c r="Z357" i="1"/>
  <c r="Y357" i="1"/>
  <c r="X357" i="1"/>
  <c r="W357" i="1"/>
  <c r="V357" i="1"/>
  <c r="U357" i="1"/>
  <c r="T357" i="1"/>
  <c r="S357" i="1"/>
  <c r="R357" i="1"/>
  <c r="Q357" i="1"/>
  <c r="P357" i="1"/>
  <c r="O357" i="1"/>
  <c r="Z356" i="1"/>
  <c r="Y356" i="1"/>
  <c r="X356" i="1"/>
  <c r="W356" i="1"/>
  <c r="V356" i="1"/>
  <c r="U356" i="1"/>
  <c r="T356" i="1"/>
  <c r="S356" i="1"/>
  <c r="R356" i="1"/>
  <c r="Q356" i="1"/>
  <c r="P356" i="1"/>
  <c r="O356" i="1"/>
  <c r="Z355" i="1"/>
  <c r="Y355" i="1"/>
  <c r="X355" i="1"/>
  <c r="W355" i="1"/>
  <c r="V355" i="1"/>
  <c r="U355" i="1"/>
  <c r="T355" i="1"/>
  <c r="S355" i="1"/>
  <c r="R355" i="1"/>
  <c r="Q355" i="1"/>
  <c r="P355" i="1"/>
  <c r="O355" i="1"/>
  <c r="Z354" i="1"/>
  <c r="Y354" i="1"/>
  <c r="X354" i="1"/>
  <c r="W354" i="1"/>
  <c r="V354" i="1"/>
  <c r="U354" i="1"/>
  <c r="T354" i="1"/>
  <c r="S354" i="1"/>
  <c r="R354" i="1"/>
  <c r="Q354" i="1"/>
  <c r="P354" i="1"/>
  <c r="O354" i="1"/>
  <c r="Z353" i="1"/>
  <c r="Y353" i="1"/>
  <c r="X353" i="1"/>
  <c r="W353" i="1"/>
  <c r="V353" i="1"/>
  <c r="U353" i="1"/>
  <c r="T353" i="1"/>
  <c r="S353" i="1"/>
  <c r="R353" i="1"/>
  <c r="Q353" i="1"/>
  <c r="P353" i="1"/>
  <c r="O353" i="1"/>
  <c r="Z352" i="1"/>
  <c r="Y352" i="1"/>
  <c r="X352" i="1"/>
  <c r="W352" i="1"/>
  <c r="V352" i="1"/>
  <c r="U352" i="1"/>
  <c r="T352" i="1"/>
  <c r="S352" i="1"/>
  <c r="R352" i="1"/>
  <c r="Q352" i="1"/>
  <c r="P352" i="1"/>
  <c r="O352" i="1"/>
  <c r="Z351" i="1"/>
  <c r="Y351" i="1"/>
  <c r="X351" i="1"/>
  <c r="W351" i="1"/>
  <c r="V351" i="1"/>
  <c r="U351" i="1"/>
  <c r="T351" i="1"/>
  <c r="S351" i="1"/>
  <c r="R351" i="1"/>
  <c r="Q351" i="1"/>
  <c r="P351" i="1"/>
  <c r="O351" i="1"/>
  <c r="AI350" i="1"/>
  <c r="Z350" i="1"/>
  <c r="Y350" i="1"/>
  <c r="X350" i="1"/>
  <c r="W350" i="1"/>
  <c r="V350" i="1"/>
  <c r="U350" i="1"/>
  <c r="T350" i="1"/>
  <c r="S350" i="1"/>
  <c r="R350" i="1"/>
  <c r="Q350" i="1"/>
  <c r="P350" i="1"/>
  <c r="O350" i="1"/>
  <c r="Z349" i="1"/>
  <c r="Y349" i="1"/>
  <c r="X349" i="1"/>
  <c r="W349" i="1"/>
  <c r="V349" i="1"/>
  <c r="U349" i="1"/>
  <c r="T349" i="1"/>
  <c r="S349" i="1"/>
  <c r="R349" i="1"/>
  <c r="Q349" i="1"/>
  <c r="P349" i="1"/>
  <c r="O349" i="1"/>
  <c r="Z348" i="1"/>
  <c r="Y348" i="1"/>
  <c r="X348" i="1"/>
  <c r="W348" i="1"/>
  <c r="V348" i="1"/>
  <c r="U348" i="1"/>
  <c r="T348" i="1"/>
  <c r="S348" i="1"/>
  <c r="R348" i="1"/>
  <c r="Q348" i="1"/>
  <c r="P348" i="1"/>
  <c r="O348" i="1"/>
  <c r="Z347" i="1"/>
  <c r="Y347" i="1"/>
  <c r="X347" i="1"/>
  <c r="W347" i="1"/>
  <c r="V347" i="1"/>
  <c r="U347" i="1"/>
  <c r="T347" i="1"/>
  <c r="S347" i="1"/>
  <c r="R347" i="1"/>
  <c r="Q347" i="1"/>
  <c r="P347" i="1"/>
  <c r="O347" i="1"/>
  <c r="Z346" i="1"/>
  <c r="Y346" i="1"/>
  <c r="X346" i="1"/>
  <c r="W346" i="1"/>
  <c r="V346" i="1"/>
  <c r="U346" i="1"/>
  <c r="T346" i="1"/>
  <c r="S346" i="1"/>
  <c r="R346" i="1"/>
  <c r="Q346" i="1"/>
  <c r="P346" i="1"/>
  <c r="O346" i="1"/>
  <c r="Z345" i="1"/>
  <c r="Y345" i="1"/>
  <c r="X345" i="1"/>
  <c r="W345" i="1"/>
  <c r="V345" i="1"/>
  <c r="U345" i="1"/>
  <c r="T345" i="1"/>
  <c r="S345" i="1"/>
  <c r="R345" i="1"/>
  <c r="Q345" i="1"/>
  <c r="P345" i="1"/>
  <c r="O345" i="1"/>
  <c r="Z344" i="1"/>
  <c r="Y344" i="1"/>
  <c r="X344" i="1"/>
  <c r="W344" i="1"/>
  <c r="V344" i="1"/>
  <c r="U344" i="1"/>
  <c r="T344" i="1"/>
  <c r="S344" i="1"/>
  <c r="R344" i="1"/>
  <c r="Q344" i="1"/>
  <c r="P344" i="1"/>
  <c r="O344" i="1"/>
  <c r="Z343" i="1"/>
  <c r="Y343" i="1"/>
  <c r="X343" i="1"/>
  <c r="W343" i="1"/>
  <c r="V343" i="1"/>
  <c r="U343" i="1"/>
  <c r="T343" i="1"/>
  <c r="S343" i="1"/>
  <c r="R343" i="1"/>
  <c r="Q343" i="1"/>
  <c r="P343" i="1"/>
  <c r="O343" i="1"/>
  <c r="Z342" i="1"/>
  <c r="Y342" i="1"/>
  <c r="X342" i="1"/>
  <c r="W342" i="1"/>
  <c r="V342" i="1"/>
  <c r="U342" i="1"/>
  <c r="T342" i="1"/>
  <c r="S342" i="1"/>
  <c r="R342" i="1"/>
  <c r="Q342" i="1"/>
  <c r="P342" i="1"/>
  <c r="O342" i="1"/>
  <c r="Z341" i="1"/>
  <c r="Y341" i="1"/>
  <c r="X341" i="1"/>
  <c r="W341" i="1"/>
  <c r="V341" i="1"/>
  <c r="U341" i="1"/>
  <c r="T341" i="1"/>
  <c r="S341" i="1"/>
  <c r="R341" i="1"/>
  <c r="Q341" i="1"/>
  <c r="P341" i="1"/>
  <c r="O341" i="1"/>
  <c r="Z340" i="1"/>
  <c r="Y340" i="1"/>
  <c r="X340" i="1"/>
  <c r="W340" i="1"/>
  <c r="V340" i="1"/>
  <c r="U340" i="1"/>
  <c r="T340" i="1"/>
  <c r="S340" i="1"/>
  <c r="R340" i="1"/>
  <c r="Q340" i="1"/>
  <c r="P340" i="1"/>
  <c r="O340" i="1"/>
  <c r="Z339" i="1"/>
  <c r="Y339" i="1"/>
  <c r="X339" i="1"/>
  <c r="W339" i="1"/>
  <c r="V339" i="1"/>
  <c r="U339" i="1"/>
  <c r="T339" i="1"/>
  <c r="S339" i="1"/>
  <c r="R339" i="1"/>
  <c r="Q339" i="1"/>
  <c r="P339" i="1"/>
  <c r="O339" i="1"/>
  <c r="AI338" i="1"/>
  <c r="Z338" i="1"/>
  <c r="Y338" i="1"/>
  <c r="X338" i="1"/>
  <c r="W338" i="1"/>
  <c r="V338" i="1"/>
  <c r="U338" i="1"/>
  <c r="T338" i="1"/>
  <c r="S338" i="1"/>
  <c r="R338" i="1"/>
  <c r="Q338" i="1"/>
  <c r="P338" i="1"/>
  <c r="O338" i="1"/>
  <c r="Z337" i="1"/>
  <c r="Y337" i="1"/>
  <c r="X337" i="1"/>
  <c r="W337" i="1"/>
  <c r="V337" i="1"/>
  <c r="U337" i="1"/>
  <c r="T337" i="1"/>
  <c r="S337" i="1"/>
  <c r="R337" i="1"/>
  <c r="Q337" i="1"/>
  <c r="P337" i="1"/>
  <c r="O337" i="1"/>
  <c r="Z336" i="1"/>
  <c r="Y336" i="1"/>
  <c r="X336" i="1"/>
  <c r="W336" i="1"/>
  <c r="V336" i="1"/>
  <c r="U336" i="1"/>
  <c r="T336" i="1"/>
  <c r="S336" i="1"/>
  <c r="R336" i="1"/>
  <c r="Q336" i="1"/>
  <c r="P336" i="1"/>
  <c r="O336" i="1"/>
  <c r="Z335" i="1"/>
  <c r="Y335" i="1"/>
  <c r="X335" i="1"/>
  <c r="W335" i="1"/>
  <c r="V335" i="1"/>
  <c r="U335" i="1"/>
  <c r="T335" i="1"/>
  <c r="S335" i="1"/>
  <c r="R335" i="1"/>
  <c r="Q335" i="1"/>
  <c r="P335" i="1"/>
  <c r="O335" i="1"/>
  <c r="AI334" i="1"/>
  <c r="Z334" i="1"/>
  <c r="Y334" i="1"/>
  <c r="X334" i="1"/>
  <c r="W334" i="1"/>
  <c r="V334" i="1"/>
  <c r="U334" i="1"/>
  <c r="T334" i="1"/>
  <c r="S334" i="1"/>
  <c r="R334" i="1"/>
  <c r="Q334" i="1"/>
  <c r="P334" i="1"/>
  <c r="O334" i="1"/>
  <c r="Z333" i="1"/>
  <c r="Y333" i="1"/>
  <c r="X333" i="1"/>
  <c r="W333" i="1"/>
  <c r="V333" i="1"/>
  <c r="U333" i="1"/>
  <c r="T333" i="1"/>
  <c r="S333" i="1"/>
  <c r="R333" i="1"/>
  <c r="Q333" i="1"/>
  <c r="P333" i="1"/>
  <c r="O333" i="1"/>
  <c r="Z332" i="1"/>
  <c r="Y332" i="1"/>
  <c r="X332" i="1"/>
  <c r="W332" i="1"/>
  <c r="V332" i="1"/>
  <c r="U332" i="1"/>
  <c r="T332" i="1"/>
  <c r="S332" i="1"/>
  <c r="R332" i="1"/>
  <c r="Q332" i="1"/>
  <c r="P332" i="1"/>
  <c r="O332" i="1"/>
  <c r="Z331" i="1"/>
  <c r="Y331" i="1"/>
  <c r="X331" i="1"/>
  <c r="W331" i="1"/>
  <c r="V331" i="1"/>
  <c r="U331" i="1"/>
  <c r="T331" i="1"/>
  <c r="S331" i="1"/>
  <c r="R331" i="1"/>
  <c r="Q331" i="1"/>
  <c r="P331" i="1"/>
  <c r="O331" i="1"/>
  <c r="Z330" i="1"/>
  <c r="Y330" i="1"/>
  <c r="X330" i="1"/>
  <c r="W330" i="1"/>
  <c r="V330" i="1"/>
  <c r="U330" i="1"/>
  <c r="T330" i="1"/>
  <c r="S330" i="1"/>
  <c r="R330" i="1"/>
  <c r="Q330" i="1"/>
  <c r="P330" i="1"/>
  <c r="O330" i="1"/>
  <c r="AI329" i="1"/>
  <c r="Z329" i="1"/>
  <c r="Y329" i="1"/>
  <c r="X329" i="1"/>
  <c r="W329" i="1"/>
  <c r="V329" i="1"/>
  <c r="U329" i="1"/>
  <c r="T329" i="1"/>
  <c r="S329" i="1"/>
  <c r="R329" i="1"/>
  <c r="Q329" i="1"/>
  <c r="P329" i="1"/>
  <c r="O329" i="1"/>
  <c r="Z328" i="1"/>
  <c r="Y328" i="1"/>
  <c r="X328" i="1"/>
  <c r="W328" i="1"/>
  <c r="V328" i="1"/>
  <c r="U328" i="1"/>
  <c r="T328" i="1"/>
  <c r="S328" i="1"/>
  <c r="R328" i="1"/>
  <c r="Q328" i="1"/>
  <c r="P328" i="1"/>
  <c r="O328" i="1"/>
  <c r="Z327" i="1"/>
  <c r="Y327" i="1"/>
  <c r="X327" i="1"/>
  <c r="W327" i="1"/>
  <c r="V327" i="1"/>
  <c r="U327" i="1"/>
  <c r="T327" i="1"/>
  <c r="S327" i="1"/>
  <c r="R327" i="1"/>
  <c r="Q327" i="1"/>
  <c r="P327" i="1"/>
  <c r="O327" i="1"/>
  <c r="Z326" i="1"/>
  <c r="Y326" i="1"/>
  <c r="X326" i="1"/>
  <c r="W326" i="1"/>
  <c r="V326" i="1"/>
  <c r="U326" i="1"/>
  <c r="T326" i="1"/>
  <c r="S326" i="1"/>
  <c r="R326" i="1"/>
  <c r="Q326" i="1"/>
  <c r="P326" i="1"/>
  <c r="O326" i="1"/>
  <c r="AI325" i="1"/>
  <c r="Z325" i="1"/>
  <c r="Y325" i="1"/>
  <c r="X325" i="1"/>
  <c r="W325" i="1"/>
  <c r="V325" i="1"/>
  <c r="U325" i="1"/>
  <c r="T325" i="1"/>
  <c r="S325" i="1"/>
  <c r="R325" i="1"/>
  <c r="Q325" i="1"/>
  <c r="P325" i="1"/>
  <c r="O325" i="1"/>
  <c r="Z324" i="1"/>
  <c r="Y324" i="1"/>
  <c r="X324" i="1"/>
  <c r="W324" i="1"/>
  <c r="V324" i="1"/>
  <c r="U324" i="1"/>
  <c r="T324" i="1"/>
  <c r="S324" i="1"/>
  <c r="R324" i="1"/>
  <c r="Q324" i="1"/>
  <c r="P324" i="1"/>
  <c r="O324" i="1"/>
  <c r="Z323" i="1"/>
  <c r="Y323" i="1"/>
  <c r="X323" i="1"/>
  <c r="W323" i="1"/>
  <c r="V323" i="1"/>
  <c r="U323" i="1"/>
  <c r="T323" i="1"/>
  <c r="S323" i="1"/>
  <c r="R323" i="1"/>
  <c r="Q323" i="1"/>
  <c r="P323" i="1"/>
  <c r="O323" i="1"/>
  <c r="Z322" i="1"/>
  <c r="Y322" i="1"/>
  <c r="X322" i="1"/>
  <c r="W322" i="1"/>
  <c r="V322" i="1"/>
  <c r="U322" i="1"/>
  <c r="T322" i="1"/>
  <c r="S322" i="1"/>
  <c r="R322" i="1"/>
  <c r="Q322" i="1"/>
  <c r="P322" i="1"/>
  <c r="O322" i="1"/>
  <c r="Z321" i="1"/>
  <c r="Y321" i="1"/>
  <c r="X321" i="1"/>
  <c r="W321" i="1"/>
  <c r="V321" i="1"/>
  <c r="U321" i="1"/>
  <c r="T321" i="1"/>
  <c r="S321" i="1"/>
  <c r="R321" i="1"/>
  <c r="Q321" i="1"/>
  <c r="P321" i="1"/>
  <c r="O321" i="1"/>
  <c r="Z320" i="1"/>
  <c r="Y320" i="1"/>
  <c r="X320" i="1"/>
  <c r="W320" i="1"/>
  <c r="V320" i="1"/>
  <c r="U320" i="1"/>
  <c r="T320" i="1"/>
  <c r="S320" i="1"/>
  <c r="R320" i="1"/>
  <c r="Q320" i="1"/>
  <c r="P320" i="1"/>
  <c r="O320" i="1"/>
  <c r="Z319" i="1"/>
  <c r="Y319" i="1"/>
  <c r="X319" i="1"/>
  <c r="W319" i="1"/>
  <c r="V319" i="1"/>
  <c r="U319" i="1"/>
  <c r="T319" i="1"/>
  <c r="S319" i="1"/>
  <c r="R319" i="1"/>
  <c r="Q319" i="1"/>
  <c r="P319" i="1"/>
  <c r="O319" i="1"/>
  <c r="AI318" i="1"/>
  <c r="Z318" i="1"/>
  <c r="Y318" i="1"/>
  <c r="X318" i="1"/>
  <c r="W318" i="1"/>
  <c r="V318" i="1"/>
  <c r="U318" i="1"/>
  <c r="T318" i="1"/>
  <c r="S318" i="1"/>
  <c r="R318" i="1"/>
  <c r="Q318" i="1"/>
  <c r="P318" i="1"/>
  <c r="O318" i="1"/>
  <c r="AI317" i="1"/>
  <c r="Z317" i="1"/>
  <c r="Y317" i="1"/>
  <c r="X317" i="1"/>
  <c r="W317" i="1"/>
  <c r="V317" i="1"/>
  <c r="U317" i="1"/>
  <c r="T317" i="1"/>
  <c r="S317" i="1"/>
  <c r="R317" i="1"/>
  <c r="Q317" i="1"/>
  <c r="P317" i="1"/>
  <c r="O317" i="1"/>
  <c r="Z316" i="1"/>
  <c r="Y316" i="1"/>
  <c r="X316" i="1"/>
  <c r="W316" i="1"/>
  <c r="V316" i="1"/>
  <c r="U316" i="1"/>
  <c r="T316" i="1"/>
  <c r="S316" i="1"/>
  <c r="R316" i="1"/>
  <c r="Q316" i="1"/>
  <c r="P316" i="1"/>
  <c r="O316" i="1"/>
  <c r="Z315" i="1"/>
  <c r="Y315" i="1"/>
  <c r="X315" i="1"/>
  <c r="W315" i="1"/>
  <c r="V315" i="1"/>
  <c r="U315" i="1"/>
  <c r="T315" i="1"/>
  <c r="S315" i="1"/>
  <c r="R315" i="1"/>
  <c r="Q315" i="1"/>
  <c r="P315" i="1"/>
  <c r="O315" i="1"/>
  <c r="Z314" i="1"/>
  <c r="Y314" i="1"/>
  <c r="X314" i="1"/>
  <c r="W314" i="1"/>
  <c r="V314" i="1"/>
  <c r="U314" i="1"/>
  <c r="T314" i="1"/>
  <c r="S314" i="1"/>
  <c r="R314" i="1"/>
  <c r="Q314" i="1"/>
  <c r="P314" i="1"/>
  <c r="O314" i="1"/>
  <c r="Z313" i="1"/>
  <c r="Y313" i="1"/>
  <c r="X313" i="1"/>
  <c r="W313" i="1"/>
  <c r="V313" i="1"/>
  <c r="U313" i="1"/>
  <c r="T313" i="1"/>
  <c r="S313" i="1"/>
  <c r="R313" i="1"/>
  <c r="Q313" i="1"/>
  <c r="P313" i="1"/>
  <c r="O313" i="1"/>
  <c r="Z312" i="1"/>
  <c r="Y312" i="1"/>
  <c r="X312" i="1"/>
  <c r="W312" i="1"/>
  <c r="V312" i="1"/>
  <c r="U312" i="1"/>
  <c r="T312" i="1"/>
  <c r="S312" i="1"/>
  <c r="R312" i="1"/>
  <c r="Q312" i="1"/>
  <c r="P312" i="1"/>
  <c r="O312" i="1"/>
  <c r="Z311" i="1"/>
  <c r="Y311" i="1"/>
  <c r="X311" i="1"/>
  <c r="W311" i="1"/>
  <c r="V311" i="1"/>
  <c r="U311" i="1"/>
  <c r="T311" i="1"/>
  <c r="S311" i="1"/>
  <c r="R311" i="1"/>
  <c r="Q311" i="1"/>
  <c r="P311" i="1"/>
  <c r="O311" i="1"/>
  <c r="AI310" i="1"/>
  <c r="Z310" i="1"/>
  <c r="Y310" i="1"/>
  <c r="X310" i="1"/>
  <c r="W310" i="1"/>
  <c r="V310" i="1"/>
  <c r="U310" i="1"/>
  <c r="T310" i="1"/>
  <c r="S310" i="1"/>
  <c r="R310" i="1"/>
  <c r="Q310" i="1"/>
  <c r="P310" i="1"/>
  <c r="O310" i="1"/>
  <c r="AI309" i="1"/>
  <c r="Z309" i="1"/>
  <c r="Y309" i="1"/>
  <c r="X309" i="1"/>
  <c r="W309" i="1"/>
  <c r="V309" i="1"/>
  <c r="U309" i="1"/>
  <c r="T309" i="1"/>
  <c r="S309" i="1"/>
  <c r="R309" i="1"/>
  <c r="Q309" i="1"/>
  <c r="P309" i="1"/>
  <c r="O309" i="1"/>
  <c r="Z308" i="1"/>
  <c r="Y308" i="1"/>
  <c r="X308" i="1"/>
  <c r="W308" i="1"/>
  <c r="V308" i="1"/>
  <c r="U308" i="1"/>
  <c r="T308" i="1"/>
  <c r="S308" i="1"/>
  <c r="R308" i="1"/>
  <c r="Q308" i="1"/>
  <c r="P308" i="1"/>
  <c r="O308" i="1"/>
  <c r="Z307" i="1"/>
  <c r="Y307" i="1"/>
  <c r="X307" i="1"/>
  <c r="W307" i="1"/>
  <c r="V307" i="1"/>
  <c r="U307" i="1"/>
  <c r="T307" i="1"/>
  <c r="S307" i="1"/>
  <c r="R307" i="1"/>
  <c r="Q307" i="1"/>
  <c r="P307" i="1"/>
  <c r="O307" i="1"/>
  <c r="AI306" i="1"/>
  <c r="Z306" i="1"/>
  <c r="Y306" i="1"/>
  <c r="X306" i="1"/>
  <c r="W306" i="1"/>
  <c r="V306" i="1"/>
  <c r="U306" i="1"/>
  <c r="T306" i="1"/>
  <c r="S306" i="1"/>
  <c r="R306" i="1"/>
  <c r="Q306" i="1"/>
  <c r="P306" i="1"/>
  <c r="O306" i="1"/>
  <c r="Z305" i="1"/>
  <c r="Y305" i="1"/>
  <c r="X305" i="1"/>
  <c r="W305" i="1"/>
  <c r="V305" i="1"/>
  <c r="U305" i="1"/>
  <c r="T305" i="1"/>
  <c r="S305" i="1"/>
  <c r="R305" i="1"/>
  <c r="Q305" i="1"/>
  <c r="P305" i="1"/>
  <c r="O305" i="1"/>
  <c r="Z304" i="1"/>
  <c r="Y304" i="1"/>
  <c r="X304" i="1"/>
  <c r="W304" i="1"/>
  <c r="V304" i="1"/>
  <c r="U304" i="1"/>
  <c r="T304" i="1"/>
  <c r="S304" i="1"/>
  <c r="R304" i="1"/>
  <c r="Q304" i="1"/>
  <c r="P304" i="1"/>
  <c r="O304" i="1"/>
  <c r="Z303" i="1"/>
  <c r="Y303" i="1"/>
  <c r="X303" i="1"/>
  <c r="W303" i="1"/>
  <c r="V303" i="1"/>
  <c r="U303" i="1"/>
  <c r="T303" i="1"/>
  <c r="S303" i="1"/>
  <c r="R303" i="1"/>
  <c r="Q303" i="1"/>
  <c r="P303" i="1"/>
  <c r="O303" i="1"/>
  <c r="Z302" i="1"/>
  <c r="Y302" i="1"/>
  <c r="X302" i="1"/>
  <c r="W302" i="1"/>
  <c r="V302" i="1"/>
  <c r="U302" i="1"/>
  <c r="T302" i="1"/>
  <c r="S302" i="1"/>
  <c r="R302" i="1"/>
  <c r="Q302" i="1"/>
  <c r="P302" i="1"/>
  <c r="O302" i="1"/>
  <c r="AI301" i="1"/>
  <c r="Z301" i="1"/>
  <c r="Y301" i="1"/>
  <c r="X301" i="1"/>
  <c r="W301" i="1"/>
  <c r="V301" i="1"/>
  <c r="U301" i="1"/>
  <c r="T301" i="1"/>
  <c r="S301" i="1"/>
  <c r="R301" i="1"/>
  <c r="Q301" i="1"/>
  <c r="P301" i="1"/>
  <c r="O301" i="1"/>
  <c r="Z300" i="1"/>
  <c r="Y300" i="1"/>
  <c r="X300" i="1"/>
  <c r="W300" i="1"/>
  <c r="V300" i="1"/>
  <c r="U300" i="1"/>
  <c r="T300" i="1"/>
  <c r="S300" i="1"/>
  <c r="R300" i="1"/>
  <c r="Q300" i="1"/>
  <c r="P300" i="1"/>
  <c r="O300" i="1"/>
  <c r="Z299" i="1"/>
  <c r="Y299" i="1"/>
  <c r="X299" i="1"/>
  <c r="W299" i="1"/>
  <c r="V299" i="1"/>
  <c r="U299" i="1"/>
  <c r="T299" i="1"/>
  <c r="S299" i="1"/>
  <c r="R299" i="1"/>
  <c r="Q299" i="1"/>
  <c r="P299" i="1"/>
  <c r="O299" i="1"/>
  <c r="Z298" i="1"/>
  <c r="Y298" i="1"/>
  <c r="X298" i="1"/>
  <c r="W298" i="1"/>
  <c r="V298" i="1"/>
  <c r="U298" i="1"/>
  <c r="T298" i="1"/>
  <c r="S298" i="1"/>
  <c r="R298" i="1"/>
  <c r="Q298" i="1"/>
  <c r="P298" i="1"/>
  <c r="O298" i="1"/>
  <c r="AI297" i="1"/>
  <c r="Z297" i="1"/>
  <c r="Y297" i="1"/>
  <c r="X297" i="1"/>
  <c r="W297" i="1"/>
  <c r="V297" i="1"/>
  <c r="U297" i="1"/>
  <c r="T297" i="1"/>
  <c r="S297" i="1"/>
  <c r="R297" i="1"/>
  <c r="Q297" i="1"/>
  <c r="P297" i="1"/>
  <c r="O297" i="1"/>
  <c r="Z296" i="1"/>
  <c r="Y296" i="1"/>
  <c r="X296" i="1"/>
  <c r="W296" i="1"/>
  <c r="V296" i="1"/>
  <c r="U296" i="1"/>
  <c r="T296" i="1"/>
  <c r="S296" i="1"/>
  <c r="R296" i="1"/>
  <c r="Q296" i="1"/>
  <c r="P296" i="1"/>
  <c r="O296" i="1"/>
  <c r="Z295" i="1"/>
  <c r="Y295" i="1"/>
  <c r="X295" i="1"/>
  <c r="W295" i="1"/>
  <c r="V295" i="1"/>
  <c r="U295" i="1"/>
  <c r="T295" i="1"/>
  <c r="S295" i="1"/>
  <c r="R295" i="1"/>
  <c r="Q295" i="1"/>
  <c r="P295" i="1"/>
  <c r="O295" i="1"/>
  <c r="AH294" i="1"/>
  <c r="Z294" i="1"/>
  <c r="Y294" i="1"/>
  <c r="X294" i="1"/>
  <c r="W294" i="1"/>
  <c r="V294" i="1"/>
  <c r="U294" i="1"/>
  <c r="T294" i="1"/>
  <c r="S294" i="1"/>
  <c r="R294" i="1"/>
  <c r="Q294" i="1"/>
  <c r="P294" i="1"/>
  <c r="O294" i="1"/>
  <c r="AI293" i="1"/>
  <c r="Z293" i="1"/>
  <c r="Y293" i="1"/>
  <c r="X293" i="1"/>
  <c r="W293" i="1"/>
  <c r="V293" i="1"/>
  <c r="U293" i="1"/>
  <c r="T293" i="1"/>
  <c r="S293" i="1"/>
  <c r="R293" i="1"/>
  <c r="Q293" i="1"/>
  <c r="P293" i="1"/>
  <c r="O293" i="1"/>
  <c r="Z292" i="1"/>
  <c r="Y292" i="1"/>
  <c r="X292" i="1"/>
  <c r="W292" i="1"/>
  <c r="V292" i="1"/>
  <c r="U292" i="1"/>
  <c r="T292" i="1"/>
  <c r="S292" i="1"/>
  <c r="R292" i="1"/>
  <c r="Q292" i="1"/>
  <c r="P292" i="1"/>
  <c r="O292" i="1"/>
  <c r="Z291" i="1"/>
  <c r="Y291" i="1"/>
  <c r="X291" i="1"/>
  <c r="W291" i="1"/>
  <c r="V291" i="1"/>
  <c r="U291" i="1"/>
  <c r="T291" i="1"/>
  <c r="S291" i="1"/>
  <c r="R291" i="1"/>
  <c r="Q291" i="1"/>
  <c r="P291" i="1"/>
  <c r="O291" i="1"/>
  <c r="Z290" i="1"/>
  <c r="Y290" i="1"/>
  <c r="X290" i="1"/>
  <c r="W290" i="1"/>
  <c r="V290" i="1"/>
  <c r="U290" i="1"/>
  <c r="T290" i="1"/>
  <c r="S290" i="1"/>
  <c r="R290" i="1"/>
  <c r="Q290" i="1"/>
  <c r="P290" i="1"/>
  <c r="O290" i="1"/>
  <c r="Z289" i="1"/>
  <c r="Y289" i="1"/>
  <c r="X289" i="1"/>
  <c r="W289" i="1"/>
  <c r="V289" i="1"/>
  <c r="U289" i="1"/>
  <c r="T289" i="1"/>
  <c r="S289" i="1"/>
  <c r="R289" i="1"/>
  <c r="Q289" i="1"/>
  <c r="P289" i="1"/>
  <c r="O289" i="1"/>
  <c r="Z288" i="1"/>
  <c r="Y288" i="1"/>
  <c r="X288" i="1"/>
  <c r="W288" i="1"/>
  <c r="V288" i="1"/>
  <c r="U288" i="1"/>
  <c r="T288" i="1"/>
  <c r="S288" i="1"/>
  <c r="R288" i="1"/>
  <c r="Q288" i="1"/>
  <c r="P288" i="1"/>
  <c r="O288" i="1"/>
  <c r="Z287" i="1"/>
  <c r="Y287" i="1"/>
  <c r="X287" i="1"/>
  <c r="W287" i="1"/>
  <c r="V287" i="1"/>
  <c r="U287" i="1"/>
  <c r="T287" i="1"/>
  <c r="S287" i="1"/>
  <c r="R287" i="1"/>
  <c r="Q287" i="1"/>
  <c r="P287" i="1"/>
  <c r="O287" i="1"/>
  <c r="Z286" i="1"/>
  <c r="Y286" i="1"/>
  <c r="X286" i="1"/>
  <c r="W286" i="1"/>
  <c r="V286" i="1"/>
  <c r="U286" i="1"/>
  <c r="T286" i="1"/>
  <c r="S286" i="1"/>
  <c r="R286" i="1"/>
  <c r="Q286" i="1"/>
  <c r="P286" i="1"/>
  <c r="O286" i="1"/>
  <c r="Z285" i="1"/>
  <c r="Y285" i="1"/>
  <c r="X285" i="1"/>
  <c r="W285" i="1"/>
  <c r="V285" i="1"/>
  <c r="U285" i="1"/>
  <c r="T285" i="1"/>
  <c r="S285" i="1"/>
  <c r="R285" i="1"/>
  <c r="Q285" i="1"/>
  <c r="P285" i="1"/>
  <c r="O285" i="1"/>
  <c r="Z284" i="1"/>
  <c r="Y284" i="1"/>
  <c r="X284" i="1"/>
  <c r="W284" i="1"/>
  <c r="V284" i="1"/>
  <c r="U284" i="1"/>
  <c r="T284" i="1"/>
  <c r="S284" i="1"/>
  <c r="R284" i="1"/>
  <c r="Q284" i="1"/>
  <c r="P284" i="1"/>
  <c r="O284" i="1"/>
  <c r="Z283" i="1"/>
  <c r="Y283" i="1"/>
  <c r="X283" i="1"/>
  <c r="W283" i="1"/>
  <c r="V283" i="1"/>
  <c r="U283" i="1"/>
  <c r="T283" i="1"/>
  <c r="S283" i="1"/>
  <c r="R283" i="1"/>
  <c r="Q283" i="1"/>
  <c r="P283" i="1"/>
  <c r="O283" i="1"/>
  <c r="Z282" i="1"/>
  <c r="Y282" i="1"/>
  <c r="X282" i="1"/>
  <c r="W282" i="1"/>
  <c r="V282" i="1"/>
  <c r="U282" i="1"/>
  <c r="T282" i="1"/>
  <c r="S282" i="1"/>
  <c r="R282" i="1"/>
  <c r="Q282" i="1"/>
  <c r="P282" i="1"/>
  <c r="O282" i="1"/>
  <c r="AI281" i="1"/>
  <c r="Z281" i="1"/>
  <c r="Y281" i="1"/>
  <c r="X281" i="1"/>
  <c r="W281" i="1"/>
  <c r="V281" i="1"/>
  <c r="U281" i="1"/>
  <c r="T281" i="1"/>
  <c r="S281" i="1"/>
  <c r="R281" i="1"/>
  <c r="Q281" i="1"/>
  <c r="P281" i="1"/>
  <c r="O281" i="1"/>
  <c r="AI280" i="1"/>
  <c r="Z280" i="1"/>
  <c r="Y280" i="1"/>
  <c r="X280" i="1"/>
  <c r="W280" i="1"/>
  <c r="V280" i="1"/>
  <c r="U280" i="1"/>
  <c r="T280" i="1"/>
  <c r="S280" i="1"/>
  <c r="R280" i="1"/>
  <c r="Q280" i="1"/>
  <c r="P280" i="1"/>
  <c r="O280" i="1"/>
  <c r="Z279" i="1"/>
  <c r="Y279" i="1"/>
  <c r="X279" i="1"/>
  <c r="W279" i="1"/>
  <c r="V279" i="1"/>
  <c r="U279" i="1"/>
  <c r="T279" i="1"/>
  <c r="S279" i="1"/>
  <c r="R279" i="1"/>
  <c r="Q279" i="1"/>
  <c r="P279" i="1"/>
  <c r="O279" i="1"/>
  <c r="AH278" i="1"/>
  <c r="Z278" i="1"/>
  <c r="Y278" i="1"/>
  <c r="X278" i="1"/>
  <c r="W278" i="1"/>
  <c r="V278" i="1"/>
  <c r="U278" i="1"/>
  <c r="T278" i="1"/>
  <c r="S278" i="1"/>
  <c r="R278" i="1"/>
  <c r="Q278" i="1"/>
  <c r="P278" i="1"/>
  <c r="O278" i="1"/>
  <c r="Z277" i="1"/>
  <c r="Y277" i="1"/>
  <c r="X277" i="1"/>
  <c r="W277" i="1"/>
  <c r="V277" i="1"/>
  <c r="U277" i="1"/>
  <c r="T277" i="1"/>
  <c r="S277" i="1"/>
  <c r="R277" i="1"/>
  <c r="Q277" i="1"/>
  <c r="P277" i="1"/>
  <c r="O277" i="1"/>
  <c r="Z276" i="1"/>
  <c r="Y276" i="1"/>
  <c r="X276" i="1"/>
  <c r="W276" i="1"/>
  <c r="V276" i="1"/>
  <c r="U276" i="1"/>
  <c r="T276" i="1"/>
  <c r="S276" i="1"/>
  <c r="R276" i="1"/>
  <c r="Q276" i="1"/>
  <c r="P276" i="1"/>
  <c r="O276" i="1"/>
  <c r="Z275" i="1"/>
  <c r="Y275" i="1"/>
  <c r="X275" i="1"/>
  <c r="W275" i="1"/>
  <c r="V275" i="1"/>
  <c r="U275" i="1"/>
  <c r="T275" i="1"/>
  <c r="S275" i="1"/>
  <c r="R275" i="1"/>
  <c r="Q275" i="1"/>
  <c r="P275" i="1"/>
  <c r="O275" i="1"/>
  <c r="Z274" i="1"/>
  <c r="Y274" i="1"/>
  <c r="X274" i="1"/>
  <c r="W274" i="1"/>
  <c r="V274" i="1"/>
  <c r="U274" i="1"/>
  <c r="T274" i="1"/>
  <c r="S274" i="1"/>
  <c r="R274" i="1"/>
  <c r="Q274" i="1"/>
  <c r="P274" i="1"/>
  <c r="O274" i="1"/>
  <c r="Z273" i="1"/>
  <c r="Y273" i="1"/>
  <c r="X273" i="1"/>
  <c r="W273" i="1"/>
  <c r="V273" i="1"/>
  <c r="U273" i="1"/>
  <c r="T273" i="1"/>
  <c r="S273" i="1"/>
  <c r="R273" i="1"/>
  <c r="Q273" i="1"/>
  <c r="P273" i="1"/>
  <c r="O273" i="1"/>
  <c r="AI272" i="1"/>
  <c r="Z272" i="1"/>
  <c r="Y272" i="1"/>
  <c r="X272" i="1"/>
  <c r="W272" i="1"/>
  <c r="V272" i="1"/>
  <c r="U272" i="1"/>
  <c r="T272" i="1"/>
  <c r="S272" i="1"/>
  <c r="R272" i="1"/>
  <c r="Q272" i="1"/>
  <c r="P272" i="1"/>
  <c r="O272" i="1"/>
  <c r="Z271" i="1"/>
  <c r="Y271" i="1"/>
  <c r="X271" i="1"/>
  <c r="W271" i="1"/>
  <c r="V271" i="1"/>
  <c r="U271" i="1"/>
  <c r="T271" i="1"/>
  <c r="S271" i="1"/>
  <c r="R271" i="1"/>
  <c r="Q271" i="1"/>
  <c r="P271" i="1"/>
  <c r="O271" i="1"/>
  <c r="Z270" i="1"/>
  <c r="Y270" i="1"/>
  <c r="X270" i="1"/>
  <c r="W270" i="1"/>
  <c r="V270" i="1"/>
  <c r="U270" i="1"/>
  <c r="T270" i="1"/>
  <c r="S270" i="1"/>
  <c r="R270" i="1"/>
  <c r="Q270" i="1"/>
  <c r="P270" i="1"/>
  <c r="O270" i="1"/>
  <c r="AH269" i="1"/>
  <c r="Z269" i="1"/>
  <c r="Y269" i="1"/>
  <c r="X269" i="1"/>
  <c r="W269" i="1"/>
  <c r="V269" i="1"/>
  <c r="U269" i="1"/>
  <c r="T269" i="1"/>
  <c r="S269" i="1"/>
  <c r="R269" i="1"/>
  <c r="Q269" i="1"/>
  <c r="P269" i="1"/>
  <c r="O269" i="1"/>
  <c r="Z268" i="1"/>
  <c r="Y268" i="1"/>
  <c r="X268" i="1"/>
  <c r="W268" i="1"/>
  <c r="V268" i="1"/>
  <c r="U268" i="1"/>
  <c r="T268" i="1"/>
  <c r="S268" i="1"/>
  <c r="R268" i="1"/>
  <c r="Q268" i="1"/>
  <c r="P268" i="1"/>
  <c r="O268" i="1"/>
  <c r="Z267" i="1"/>
  <c r="Y267" i="1"/>
  <c r="X267" i="1"/>
  <c r="W267" i="1"/>
  <c r="V267" i="1"/>
  <c r="U267" i="1"/>
  <c r="T267" i="1"/>
  <c r="S267" i="1"/>
  <c r="R267" i="1"/>
  <c r="Q267" i="1"/>
  <c r="P267" i="1"/>
  <c r="O267" i="1"/>
  <c r="Z266" i="1"/>
  <c r="Y266" i="1"/>
  <c r="X266" i="1"/>
  <c r="W266" i="1"/>
  <c r="V266" i="1"/>
  <c r="U266" i="1"/>
  <c r="T266" i="1"/>
  <c r="S266" i="1"/>
  <c r="R266" i="1"/>
  <c r="Q266" i="1"/>
  <c r="P266" i="1"/>
  <c r="O266" i="1"/>
  <c r="Z265" i="1"/>
  <c r="Y265" i="1"/>
  <c r="X265" i="1"/>
  <c r="W265" i="1"/>
  <c r="V265" i="1"/>
  <c r="U265" i="1"/>
  <c r="T265" i="1"/>
  <c r="S265" i="1"/>
  <c r="R265" i="1"/>
  <c r="Q265" i="1"/>
  <c r="P265" i="1"/>
  <c r="O265" i="1"/>
  <c r="Z264" i="1"/>
  <c r="Y264" i="1"/>
  <c r="X264" i="1"/>
  <c r="W264" i="1"/>
  <c r="V264" i="1"/>
  <c r="U264" i="1"/>
  <c r="T264" i="1"/>
  <c r="S264" i="1"/>
  <c r="R264" i="1"/>
  <c r="Q264" i="1"/>
  <c r="P264" i="1"/>
  <c r="O264" i="1"/>
  <c r="Z263" i="1"/>
  <c r="Y263" i="1"/>
  <c r="X263" i="1"/>
  <c r="W263" i="1"/>
  <c r="V263" i="1"/>
  <c r="U263" i="1"/>
  <c r="T263" i="1"/>
  <c r="S263" i="1"/>
  <c r="R263" i="1"/>
  <c r="Q263" i="1"/>
  <c r="P263" i="1"/>
  <c r="O263" i="1"/>
  <c r="AH262" i="1"/>
  <c r="Z262" i="1"/>
  <c r="Y262" i="1"/>
  <c r="X262" i="1"/>
  <c r="W262" i="1"/>
  <c r="V262" i="1"/>
  <c r="U262" i="1"/>
  <c r="T262" i="1"/>
  <c r="S262" i="1"/>
  <c r="R262" i="1"/>
  <c r="Q262" i="1"/>
  <c r="P262" i="1"/>
  <c r="O262" i="1"/>
  <c r="Z261" i="1"/>
  <c r="Y261" i="1"/>
  <c r="X261" i="1"/>
  <c r="W261" i="1"/>
  <c r="V261" i="1"/>
  <c r="U261" i="1"/>
  <c r="T261" i="1"/>
  <c r="S261" i="1"/>
  <c r="R261" i="1"/>
  <c r="Q261" i="1"/>
  <c r="P261" i="1"/>
  <c r="O261" i="1"/>
  <c r="Z260" i="1"/>
  <c r="Y260" i="1"/>
  <c r="X260" i="1"/>
  <c r="W260" i="1"/>
  <c r="V260" i="1"/>
  <c r="U260" i="1"/>
  <c r="T260" i="1"/>
  <c r="S260" i="1"/>
  <c r="R260" i="1"/>
  <c r="Q260" i="1"/>
  <c r="P260" i="1"/>
  <c r="O260" i="1"/>
  <c r="Z259" i="1"/>
  <c r="Y259" i="1"/>
  <c r="X259" i="1"/>
  <c r="W259" i="1"/>
  <c r="V259" i="1"/>
  <c r="U259" i="1"/>
  <c r="T259" i="1"/>
  <c r="S259" i="1"/>
  <c r="R259" i="1"/>
  <c r="Q259" i="1"/>
  <c r="P259" i="1"/>
  <c r="O259" i="1"/>
  <c r="Z258" i="1"/>
  <c r="Y258" i="1"/>
  <c r="X258" i="1"/>
  <c r="W258" i="1"/>
  <c r="V258" i="1"/>
  <c r="U258" i="1"/>
  <c r="T258" i="1"/>
  <c r="S258" i="1"/>
  <c r="R258" i="1"/>
  <c r="Q258" i="1"/>
  <c r="P258" i="1"/>
  <c r="O258" i="1"/>
  <c r="Z257" i="1"/>
  <c r="Y257" i="1"/>
  <c r="X257" i="1"/>
  <c r="W257" i="1"/>
  <c r="V257" i="1"/>
  <c r="U257" i="1"/>
  <c r="T257" i="1"/>
  <c r="S257" i="1"/>
  <c r="R257" i="1"/>
  <c r="Q257" i="1"/>
  <c r="P257" i="1"/>
  <c r="O257" i="1"/>
  <c r="Z256" i="1"/>
  <c r="Y256" i="1"/>
  <c r="X256" i="1"/>
  <c r="W256" i="1"/>
  <c r="V256" i="1"/>
  <c r="U256" i="1"/>
  <c r="T256" i="1"/>
  <c r="S256" i="1"/>
  <c r="R256" i="1"/>
  <c r="Q256" i="1"/>
  <c r="P256" i="1"/>
  <c r="O256" i="1"/>
  <c r="Z255" i="1"/>
  <c r="Y255" i="1"/>
  <c r="X255" i="1"/>
  <c r="W255" i="1"/>
  <c r="V255" i="1"/>
  <c r="U255" i="1"/>
  <c r="T255" i="1"/>
  <c r="S255" i="1"/>
  <c r="R255" i="1"/>
  <c r="Q255" i="1"/>
  <c r="P255" i="1"/>
  <c r="O255" i="1"/>
  <c r="Z254" i="1"/>
  <c r="Y254" i="1"/>
  <c r="X254" i="1"/>
  <c r="W254" i="1"/>
  <c r="V254" i="1"/>
  <c r="U254" i="1"/>
  <c r="T254" i="1"/>
  <c r="S254" i="1"/>
  <c r="R254" i="1"/>
  <c r="Q254" i="1"/>
  <c r="P254" i="1"/>
  <c r="O254" i="1"/>
  <c r="Z253" i="1"/>
  <c r="Y253" i="1"/>
  <c r="X253" i="1"/>
  <c r="W253" i="1"/>
  <c r="V253" i="1"/>
  <c r="U253" i="1"/>
  <c r="T253" i="1"/>
  <c r="S253" i="1"/>
  <c r="R253" i="1"/>
  <c r="Q253" i="1"/>
  <c r="P253" i="1"/>
  <c r="O253" i="1"/>
  <c r="AH252" i="1"/>
  <c r="Z252" i="1"/>
  <c r="Y252" i="1"/>
  <c r="X252" i="1"/>
  <c r="W252" i="1"/>
  <c r="V252" i="1"/>
  <c r="U252" i="1"/>
  <c r="T252" i="1"/>
  <c r="S252" i="1"/>
  <c r="R252" i="1"/>
  <c r="Q252" i="1"/>
  <c r="P252" i="1"/>
  <c r="O252" i="1"/>
  <c r="Z251" i="1"/>
  <c r="Y251" i="1"/>
  <c r="X251" i="1"/>
  <c r="W251" i="1"/>
  <c r="V251" i="1"/>
  <c r="U251" i="1"/>
  <c r="T251" i="1"/>
  <c r="S251" i="1"/>
  <c r="R251" i="1"/>
  <c r="Q251" i="1"/>
  <c r="P251" i="1"/>
  <c r="O251" i="1"/>
  <c r="Z250" i="1"/>
  <c r="Y250" i="1"/>
  <c r="X250" i="1"/>
  <c r="W250" i="1"/>
  <c r="V250" i="1"/>
  <c r="U250" i="1"/>
  <c r="T250" i="1"/>
  <c r="S250" i="1"/>
  <c r="R250" i="1"/>
  <c r="Q250" i="1"/>
  <c r="P250" i="1"/>
  <c r="O250" i="1"/>
  <c r="Z249" i="1"/>
  <c r="Y249" i="1"/>
  <c r="X249" i="1"/>
  <c r="W249" i="1"/>
  <c r="V249" i="1"/>
  <c r="U249" i="1"/>
  <c r="T249" i="1"/>
  <c r="S249" i="1"/>
  <c r="R249" i="1"/>
  <c r="Q249" i="1"/>
  <c r="P249" i="1"/>
  <c r="O249" i="1"/>
  <c r="Z248" i="1"/>
  <c r="Y248" i="1"/>
  <c r="X248" i="1"/>
  <c r="W248" i="1"/>
  <c r="V248" i="1"/>
  <c r="U248" i="1"/>
  <c r="T248" i="1"/>
  <c r="S248" i="1"/>
  <c r="R248" i="1"/>
  <c r="Q248" i="1"/>
  <c r="P248" i="1"/>
  <c r="O248" i="1"/>
  <c r="Z247" i="1"/>
  <c r="Y247" i="1"/>
  <c r="X247" i="1"/>
  <c r="W247" i="1"/>
  <c r="V247" i="1"/>
  <c r="U247" i="1"/>
  <c r="T247" i="1"/>
  <c r="S247" i="1"/>
  <c r="R247" i="1"/>
  <c r="Q247" i="1"/>
  <c r="P247" i="1"/>
  <c r="O247" i="1"/>
  <c r="Z246" i="1"/>
  <c r="Y246" i="1"/>
  <c r="X246" i="1"/>
  <c r="W246" i="1"/>
  <c r="V246" i="1"/>
  <c r="U246" i="1"/>
  <c r="T246" i="1"/>
  <c r="S246" i="1"/>
  <c r="R246" i="1"/>
  <c r="Q246" i="1"/>
  <c r="P246" i="1"/>
  <c r="O246" i="1"/>
  <c r="Z245" i="1"/>
  <c r="Y245" i="1"/>
  <c r="X245" i="1"/>
  <c r="W245" i="1"/>
  <c r="V245" i="1"/>
  <c r="U245" i="1"/>
  <c r="T245" i="1"/>
  <c r="S245" i="1"/>
  <c r="R245" i="1"/>
  <c r="Q245" i="1"/>
  <c r="P245" i="1"/>
  <c r="O245" i="1"/>
  <c r="Z244" i="1"/>
  <c r="Y244" i="1"/>
  <c r="X244" i="1"/>
  <c r="W244" i="1"/>
  <c r="V244" i="1"/>
  <c r="U244" i="1"/>
  <c r="T244" i="1"/>
  <c r="S244" i="1"/>
  <c r="R244" i="1"/>
  <c r="Q244" i="1"/>
  <c r="P244" i="1"/>
  <c r="O244" i="1"/>
  <c r="Z243" i="1"/>
  <c r="Y243" i="1"/>
  <c r="X243" i="1"/>
  <c r="W243" i="1"/>
  <c r="V243" i="1"/>
  <c r="U243" i="1"/>
  <c r="T243" i="1"/>
  <c r="S243" i="1"/>
  <c r="R243" i="1"/>
  <c r="Q243" i="1"/>
  <c r="P243" i="1"/>
  <c r="O243" i="1"/>
  <c r="AH242" i="1"/>
  <c r="Z242" i="1"/>
  <c r="Y242" i="1"/>
  <c r="X242" i="1"/>
  <c r="W242" i="1"/>
  <c r="V242" i="1"/>
  <c r="U242" i="1"/>
  <c r="T242" i="1"/>
  <c r="S242" i="1"/>
  <c r="R242" i="1"/>
  <c r="Q242" i="1"/>
  <c r="P242" i="1"/>
  <c r="O242" i="1"/>
  <c r="Z241" i="1"/>
  <c r="Y241" i="1"/>
  <c r="X241" i="1"/>
  <c r="W241" i="1"/>
  <c r="V241" i="1"/>
  <c r="U241" i="1"/>
  <c r="T241" i="1"/>
  <c r="S241" i="1"/>
  <c r="R241" i="1"/>
  <c r="Q241" i="1"/>
  <c r="P241" i="1"/>
  <c r="O241" i="1"/>
  <c r="Z240" i="1"/>
  <c r="Y240" i="1"/>
  <c r="X240" i="1"/>
  <c r="W240" i="1"/>
  <c r="V240" i="1"/>
  <c r="U240" i="1"/>
  <c r="T240" i="1"/>
  <c r="S240" i="1"/>
  <c r="R240" i="1"/>
  <c r="Q240" i="1"/>
  <c r="P240" i="1"/>
  <c r="O240" i="1"/>
  <c r="Z239" i="1"/>
  <c r="Y239" i="1"/>
  <c r="X239" i="1"/>
  <c r="W239" i="1"/>
  <c r="V239" i="1"/>
  <c r="U239" i="1"/>
  <c r="T239" i="1"/>
  <c r="S239" i="1"/>
  <c r="R239" i="1"/>
  <c r="Q239" i="1"/>
  <c r="P239" i="1"/>
  <c r="O239" i="1"/>
  <c r="Z238" i="1"/>
  <c r="Y238" i="1"/>
  <c r="X238" i="1"/>
  <c r="W238" i="1"/>
  <c r="V238" i="1"/>
  <c r="U238" i="1"/>
  <c r="T238" i="1"/>
  <c r="S238" i="1"/>
  <c r="R238" i="1"/>
  <c r="Q238" i="1"/>
  <c r="P238" i="1"/>
  <c r="O238" i="1"/>
  <c r="Z237" i="1"/>
  <c r="Y237" i="1"/>
  <c r="X237" i="1"/>
  <c r="W237" i="1"/>
  <c r="V237" i="1"/>
  <c r="U237" i="1"/>
  <c r="T237" i="1"/>
  <c r="S237" i="1"/>
  <c r="R237" i="1"/>
  <c r="Q237" i="1"/>
  <c r="P237" i="1"/>
  <c r="O237" i="1"/>
  <c r="Z236" i="1"/>
  <c r="Y236" i="1"/>
  <c r="X236" i="1"/>
  <c r="W236" i="1"/>
  <c r="V236" i="1"/>
  <c r="U236" i="1"/>
  <c r="T236" i="1"/>
  <c r="S236" i="1"/>
  <c r="R236" i="1"/>
  <c r="Q236" i="1"/>
  <c r="P236" i="1"/>
  <c r="O236" i="1"/>
  <c r="Z235" i="1"/>
  <c r="Y235" i="1"/>
  <c r="X235" i="1"/>
  <c r="W235" i="1"/>
  <c r="V235" i="1"/>
  <c r="U235" i="1"/>
  <c r="T235" i="1"/>
  <c r="S235" i="1"/>
  <c r="R235" i="1"/>
  <c r="Q235" i="1"/>
  <c r="P235" i="1"/>
  <c r="O235" i="1"/>
  <c r="Z234" i="1"/>
  <c r="Y234" i="1"/>
  <c r="X234" i="1"/>
  <c r="W234" i="1"/>
  <c r="V234" i="1"/>
  <c r="U234" i="1"/>
  <c r="T234" i="1"/>
  <c r="S234" i="1"/>
  <c r="R234" i="1"/>
  <c r="Q234" i="1"/>
  <c r="P234" i="1"/>
  <c r="O234" i="1"/>
  <c r="Z233" i="1"/>
  <c r="Y233" i="1"/>
  <c r="X233" i="1"/>
  <c r="W233" i="1"/>
  <c r="V233" i="1"/>
  <c r="U233" i="1"/>
  <c r="T233" i="1"/>
  <c r="S233" i="1"/>
  <c r="R233" i="1"/>
  <c r="Q233" i="1"/>
  <c r="P233" i="1"/>
  <c r="O233" i="1"/>
  <c r="Z232" i="1"/>
  <c r="Y232" i="1"/>
  <c r="X232" i="1"/>
  <c r="W232" i="1"/>
  <c r="V232" i="1"/>
  <c r="U232" i="1"/>
  <c r="T232" i="1"/>
  <c r="S232" i="1"/>
  <c r="R232" i="1"/>
  <c r="Q232" i="1"/>
  <c r="P232" i="1"/>
  <c r="O232" i="1"/>
  <c r="Z231" i="1"/>
  <c r="Y231" i="1"/>
  <c r="X231" i="1"/>
  <c r="W231" i="1"/>
  <c r="V231" i="1"/>
  <c r="U231" i="1"/>
  <c r="T231" i="1"/>
  <c r="S231" i="1"/>
  <c r="R231" i="1"/>
  <c r="Q231" i="1"/>
  <c r="P231" i="1"/>
  <c r="O231" i="1"/>
  <c r="Z230" i="1"/>
  <c r="Y230" i="1"/>
  <c r="X230" i="1"/>
  <c r="W230" i="1"/>
  <c r="V230" i="1"/>
  <c r="U230" i="1"/>
  <c r="T230" i="1"/>
  <c r="S230" i="1"/>
  <c r="R230" i="1"/>
  <c r="Q230" i="1"/>
  <c r="P230" i="1"/>
  <c r="O230" i="1"/>
  <c r="Z229" i="1"/>
  <c r="Y229" i="1"/>
  <c r="X229" i="1"/>
  <c r="W229" i="1"/>
  <c r="V229" i="1"/>
  <c r="U229" i="1"/>
  <c r="T229" i="1"/>
  <c r="S229" i="1"/>
  <c r="R229" i="1"/>
  <c r="Q229" i="1"/>
  <c r="P229" i="1"/>
  <c r="O229" i="1"/>
  <c r="Z228" i="1"/>
  <c r="Y228" i="1"/>
  <c r="X228" i="1"/>
  <c r="W228" i="1"/>
  <c r="V228" i="1"/>
  <c r="U228" i="1"/>
  <c r="T228" i="1"/>
  <c r="S228" i="1"/>
  <c r="R228" i="1"/>
  <c r="Q228" i="1"/>
  <c r="P228" i="1"/>
  <c r="O228" i="1"/>
  <c r="Z227" i="1"/>
  <c r="Y227" i="1"/>
  <c r="X227" i="1"/>
  <c r="W227" i="1"/>
  <c r="V227" i="1"/>
  <c r="U227" i="1"/>
  <c r="T227" i="1"/>
  <c r="S227" i="1"/>
  <c r="R227" i="1"/>
  <c r="Q227" i="1"/>
  <c r="P227" i="1"/>
  <c r="O227" i="1"/>
  <c r="Z226" i="1"/>
  <c r="Y226" i="1"/>
  <c r="X226" i="1"/>
  <c r="W226" i="1"/>
  <c r="V226" i="1"/>
  <c r="U226" i="1"/>
  <c r="T226" i="1"/>
  <c r="S226" i="1"/>
  <c r="R226" i="1"/>
  <c r="Q226" i="1"/>
  <c r="P226" i="1"/>
  <c r="O226" i="1"/>
  <c r="Z225" i="1"/>
  <c r="Y225" i="1"/>
  <c r="X225" i="1"/>
  <c r="W225" i="1"/>
  <c r="V225" i="1"/>
  <c r="U225" i="1"/>
  <c r="T225" i="1"/>
  <c r="S225" i="1"/>
  <c r="R225" i="1"/>
  <c r="Q225" i="1"/>
  <c r="P225" i="1"/>
  <c r="O225" i="1"/>
  <c r="Z224" i="1"/>
  <c r="Y224" i="1"/>
  <c r="X224" i="1"/>
  <c r="W224" i="1"/>
  <c r="V224" i="1"/>
  <c r="U224" i="1"/>
  <c r="T224" i="1"/>
  <c r="S224" i="1"/>
  <c r="R224" i="1"/>
  <c r="Q224" i="1"/>
  <c r="P224" i="1"/>
  <c r="O224" i="1"/>
  <c r="Z223" i="1"/>
  <c r="Y223" i="1"/>
  <c r="X223" i="1"/>
  <c r="W223" i="1"/>
  <c r="V223" i="1"/>
  <c r="U223" i="1"/>
  <c r="T223" i="1"/>
  <c r="S223" i="1"/>
  <c r="R223" i="1"/>
  <c r="Q223" i="1"/>
  <c r="P223" i="1"/>
  <c r="O223" i="1"/>
  <c r="Z222" i="1"/>
  <c r="Y222" i="1"/>
  <c r="X222" i="1"/>
  <c r="W222" i="1"/>
  <c r="V222" i="1"/>
  <c r="U222" i="1"/>
  <c r="T222" i="1"/>
  <c r="S222" i="1"/>
  <c r="R222" i="1"/>
  <c r="Q222" i="1"/>
  <c r="P222" i="1"/>
  <c r="O222" i="1"/>
  <c r="Z221" i="1"/>
  <c r="Y221" i="1"/>
  <c r="X221" i="1"/>
  <c r="W221" i="1"/>
  <c r="V221" i="1"/>
  <c r="U221" i="1"/>
  <c r="T221" i="1"/>
  <c r="S221" i="1"/>
  <c r="R221" i="1"/>
  <c r="Q221" i="1"/>
  <c r="P221" i="1"/>
  <c r="O221" i="1"/>
  <c r="Z220" i="1"/>
  <c r="Y220" i="1"/>
  <c r="X220" i="1"/>
  <c r="W220" i="1"/>
  <c r="V220" i="1"/>
  <c r="U220" i="1"/>
  <c r="T220" i="1"/>
  <c r="S220" i="1"/>
  <c r="R220" i="1"/>
  <c r="Q220" i="1"/>
  <c r="P220" i="1"/>
  <c r="O220" i="1"/>
  <c r="Z219" i="1"/>
  <c r="Y219" i="1"/>
  <c r="X219" i="1"/>
  <c r="W219" i="1"/>
  <c r="V219" i="1"/>
  <c r="U219" i="1"/>
  <c r="T219" i="1"/>
  <c r="S219" i="1"/>
  <c r="R219" i="1"/>
  <c r="Q219" i="1"/>
  <c r="P219" i="1"/>
  <c r="O219" i="1"/>
  <c r="Z218" i="1"/>
  <c r="Y218" i="1"/>
  <c r="X218" i="1"/>
  <c r="W218" i="1"/>
  <c r="V218" i="1"/>
  <c r="U218" i="1"/>
  <c r="T218" i="1"/>
  <c r="S218" i="1"/>
  <c r="R218" i="1"/>
  <c r="Q218" i="1"/>
  <c r="P218" i="1"/>
  <c r="O218" i="1"/>
  <c r="Z217" i="1"/>
  <c r="Y217" i="1"/>
  <c r="X217" i="1"/>
  <c r="W217" i="1"/>
  <c r="V217" i="1"/>
  <c r="U217" i="1"/>
  <c r="T217" i="1"/>
  <c r="S217" i="1"/>
  <c r="R217" i="1"/>
  <c r="Q217" i="1"/>
  <c r="P217" i="1"/>
  <c r="O217" i="1"/>
  <c r="Z216" i="1"/>
  <c r="Y216" i="1"/>
  <c r="X216" i="1"/>
  <c r="W216" i="1"/>
  <c r="V216" i="1"/>
  <c r="U216" i="1"/>
  <c r="T216" i="1"/>
  <c r="S216" i="1"/>
  <c r="R216" i="1"/>
  <c r="Q216" i="1"/>
  <c r="P216" i="1"/>
  <c r="O216" i="1"/>
  <c r="Z215" i="1"/>
  <c r="Y215" i="1"/>
  <c r="X215" i="1"/>
  <c r="W215" i="1"/>
  <c r="V215" i="1"/>
  <c r="U215" i="1"/>
  <c r="T215" i="1"/>
  <c r="S215" i="1"/>
  <c r="R215" i="1"/>
  <c r="Q215" i="1"/>
  <c r="P215" i="1"/>
  <c r="O215" i="1"/>
  <c r="Z214" i="1"/>
  <c r="Y214" i="1"/>
  <c r="X214" i="1"/>
  <c r="W214" i="1"/>
  <c r="V214" i="1"/>
  <c r="U214" i="1"/>
  <c r="T214" i="1"/>
  <c r="S214" i="1"/>
  <c r="R214" i="1"/>
  <c r="Q214" i="1"/>
  <c r="P214" i="1"/>
  <c r="O214" i="1"/>
  <c r="AI213" i="1"/>
  <c r="Z213" i="1"/>
  <c r="Y213" i="1"/>
  <c r="X213" i="1"/>
  <c r="W213" i="1"/>
  <c r="V213" i="1"/>
  <c r="U213" i="1"/>
  <c r="T213" i="1"/>
  <c r="S213" i="1"/>
  <c r="R213" i="1"/>
  <c r="Q213" i="1"/>
  <c r="P213" i="1"/>
  <c r="O213" i="1"/>
  <c r="Z212" i="1"/>
  <c r="Y212" i="1"/>
  <c r="X212" i="1"/>
  <c r="W212" i="1"/>
  <c r="V212" i="1"/>
  <c r="U212" i="1"/>
  <c r="T212" i="1"/>
  <c r="S212" i="1"/>
  <c r="R212" i="1"/>
  <c r="Q212" i="1"/>
  <c r="P212" i="1"/>
  <c r="O212" i="1"/>
  <c r="Z211" i="1"/>
  <c r="Y211" i="1"/>
  <c r="X211" i="1"/>
  <c r="W211" i="1"/>
  <c r="V211" i="1"/>
  <c r="U211" i="1"/>
  <c r="T211" i="1"/>
  <c r="S211" i="1"/>
  <c r="R211" i="1"/>
  <c r="Q211" i="1"/>
  <c r="P211" i="1"/>
  <c r="O211" i="1"/>
  <c r="Z210" i="1"/>
  <c r="Y210" i="1"/>
  <c r="X210" i="1"/>
  <c r="W210" i="1"/>
  <c r="V210" i="1"/>
  <c r="U210" i="1"/>
  <c r="T210" i="1"/>
  <c r="S210" i="1"/>
  <c r="R210" i="1"/>
  <c r="Q210" i="1"/>
  <c r="P210" i="1"/>
  <c r="O210" i="1"/>
  <c r="Z209" i="1"/>
  <c r="Y209" i="1"/>
  <c r="X209" i="1"/>
  <c r="W209" i="1"/>
  <c r="V209" i="1"/>
  <c r="U209" i="1"/>
  <c r="T209" i="1"/>
  <c r="S209" i="1"/>
  <c r="R209" i="1"/>
  <c r="Q209" i="1"/>
  <c r="P209" i="1"/>
  <c r="O209" i="1"/>
  <c r="Z208" i="1"/>
  <c r="Y208" i="1"/>
  <c r="X208" i="1"/>
  <c r="W208" i="1"/>
  <c r="V208" i="1"/>
  <c r="U208" i="1"/>
  <c r="T208" i="1"/>
  <c r="S208" i="1"/>
  <c r="R208" i="1"/>
  <c r="Q208" i="1"/>
  <c r="P208" i="1"/>
  <c r="O208" i="1"/>
  <c r="Z207" i="1"/>
  <c r="Y207" i="1"/>
  <c r="X207" i="1"/>
  <c r="W207" i="1"/>
  <c r="V207" i="1"/>
  <c r="U207" i="1"/>
  <c r="T207" i="1"/>
  <c r="S207" i="1"/>
  <c r="R207" i="1"/>
  <c r="Q207" i="1"/>
  <c r="P207" i="1"/>
  <c r="O207" i="1"/>
  <c r="Z206" i="1"/>
  <c r="Y206" i="1"/>
  <c r="X206" i="1"/>
  <c r="W206" i="1"/>
  <c r="V206" i="1"/>
  <c r="U206" i="1"/>
  <c r="T206" i="1"/>
  <c r="S206" i="1"/>
  <c r="R206" i="1"/>
  <c r="Q206" i="1"/>
  <c r="P206" i="1"/>
  <c r="O206" i="1"/>
  <c r="AI205" i="1"/>
  <c r="Z205" i="1"/>
  <c r="Y205" i="1"/>
  <c r="X205" i="1"/>
  <c r="W205" i="1"/>
  <c r="V205" i="1"/>
  <c r="U205" i="1"/>
  <c r="T205" i="1"/>
  <c r="S205" i="1"/>
  <c r="R205" i="1"/>
  <c r="Q205" i="1"/>
  <c r="P205" i="1"/>
  <c r="O205" i="1"/>
  <c r="Z204" i="1"/>
  <c r="Y204" i="1"/>
  <c r="X204" i="1"/>
  <c r="W204" i="1"/>
  <c r="V204" i="1"/>
  <c r="U204" i="1"/>
  <c r="T204" i="1"/>
  <c r="S204" i="1"/>
  <c r="R204" i="1"/>
  <c r="Q204" i="1"/>
  <c r="P204" i="1"/>
  <c r="O204" i="1"/>
  <c r="Z203" i="1"/>
  <c r="Y203" i="1"/>
  <c r="X203" i="1"/>
  <c r="W203" i="1"/>
  <c r="V203" i="1"/>
  <c r="U203" i="1"/>
  <c r="T203" i="1"/>
  <c r="S203" i="1"/>
  <c r="R203" i="1"/>
  <c r="Q203" i="1"/>
  <c r="P203" i="1"/>
  <c r="O203" i="1"/>
  <c r="Z202" i="1"/>
  <c r="Y202" i="1"/>
  <c r="X202" i="1"/>
  <c r="W202" i="1"/>
  <c r="V202" i="1"/>
  <c r="U202" i="1"/>
  <c r="T202" i="1"/>
  <c r="S202" i="1"/>
  <c r="R202" i="1"/>
  <c r="Q202" i="1"/>
  <c r="P202" i="1"/>
  <c r="O202" i="1"/>
  <c r="Z201" i="1"/>
  <c r="Y201" i="1"/>
  <c r="X201" i="1"/>
  <c r="W201" i="1"/>
  <c r="V201" i="1"/>
  <c r="U201" i="1"/>
  <c r="T201" i="1"/>
  <c r="S201" i="1"/>
  <c r="R201" i="1"/>
  <c r="Q201" i="1"/>
  <c r="P201" i="1"/>
  <c r="O201" i="1"/>
  <c r="Z200" i="1"/>
  <c r="Y200" i="1"/>
  <c r="X200" i="1"/>
  <c r="W200" i="1"/>
  <c r="V200" i="1"/>
  <c r="U200" i="1"/>
  <c r="T200" i="1"/>
  <c r="S200" i="1"/>
  <c r="R200" i="1"/>
  <c r="Q200" i="1"/>
  <c r="P200" i="1"/>
  <c r="O200" i="1"/>
  <c r="Z199" i="1"/>
  <c r="Y199" i="1"/>
  <c r="X199" i="1"/>
  <c r="W199" i="1"/>
  <c r="V199" i="1"/>
  <c r="U199" i="1"/>
  <c r="T199" i="1"/>
  <c r="S199" i="1"/>
  <c r="R199" i="1"/>
  <c r="Q199" i="1"/>
  <c r="P199" i="1"/>
  <c r="O199" i="1"/>
  <c r="AI198" i="1"/>
  <c r="Z198" i="1"/>
  <c r="Y198" i="1"/>
  <c r="X198" i="1"/>
  <c r="W198" i="1"/>
  <c r="V198" i="1"/>
  <c r="U198" i="1"/>
  <c r="T198" i="1"/>
  <c r="S198" i="1"/>
  <c r="R198" i="1"/>
  <c r="Q198" i="1"/>
  <c r="P198" i="1"/>
  <c r="O198" i="1"/>
  <c r="Z197" i="1"/>
  <c r="Y197" i="1"/>
  <c r="X197" i="1"/>
  <c r="W197" i="1"/>
  <c r="V197" i="1"/>
  <c r="U197" i="1"/>
  <c r="T197" i="1"/>
  <c r="S197" i="1"/>
  <c r="R197" i="1"/>
  <c r="Q197" i="1"/>
  <c r="P197" i="1"/>
  <c r="O197" i="1"/>
  <c r="Z196" i="1"/>
  <c r="Y196" i="1"/>
  <c r="X196" i="1"/>
  <c r="W196" i="1"/>
  <c r="V196" i="1"/>
  <c r="U196" i="1"/>
  <c r="T196" i="1"/>
  <c r="S196" i="1"/>
  <c r="R196" i="1"/>
  <c r="Q196" i="1"/>
  <c r="P196" i="1"/>
  <c r="O196" i="1"/>
  <c r="Z195" i="1"/>
  <c r="Y195" i="1"/>
  <c r="X195" i="1"/>
  <c r="W195" i="1"/>
  <c r="V195" i="1"/>
  <c r="U195" i="1"/>
  <c r="T195" i="1"/>
  <c r="S195" i="1"/>
  <c r="R195" i="1"/>
  <c r="Q195" i="1"/>
  <c r="P195" i="1"/>
  <c r="O195" i="1"/>
  <c r="Z194" i="1"/>
  <c r="Y194" i="1"/>
  <c r="X194" i="1"/>
  <c r="W194" i="1"/>
  <c r="V194" i="1"/>
  <c r="U194" i="1"/>
  <c r="T194" i="1"/>
  <c r="S194" i="1"/>
  <c r="R194" i="1"/>
  <c r="Q194" i="1"/>
  <c r="P194" i="1"/>
  <c r="O194" i="1"/>
  <c r="Z193" i="1"/>
  <c r="Y193" i="1"/>
  <c r="X193" i="1"/>
  <c r="W193" i="1"/>
  <c r="V193" i="1"/>
  <c r="U193" i="1"/>
  <c r="T193" i="1"/>
  <c r="S193" i="1"/>
  <c r="R193" i="1"/>
  <c r="Q193" i="1"/>
  <c r="P193" i="1"/>
  <c r="O193" i="1"/>
  <c r="Z192" i="1"/>
  <c r="Y192" i="1"/>
  <c r="X192" i="1"/>
  <c r="W192" i="1"/>
  <c r="V192" i="1"/>
  <c r="U192" i="1"/>
  <c r="T192" i="1"/>
  <c r="S192" i="1"/>
  <c r="R192" i="1"/>
  <c r="Q192" i="1"/>
  <c r="P192" i="1"/>
  <c r="O192" i="1"/>
  <c r="Z191" i="1"/>
  <c r="Y191" i="1"/>
  <c r="X191" i="1"/>
  <c r="W191" i="1"/>
  <c r="V191" i="1"/>
  <c r="U191" i="1"/>
  <c r="T191" i="1"/>
  <c r="S191" i="1"/>
  <c r="R191" i="1"/>
  <c r="Q191" i="1"/>
  <c r="P191" i="1"/>
  <c r="O191" i="1"/>
  <c r="Z190" i="1"/>
  <c r="Y190" i="1"/>
  <c r="X190" i="1"/>
  <c r="W190" i="1"/>
  <c r="V190" i="1"/>
  <c r="U190" i="1"/>
  <c r="T190" i="1"/>
  <c r="S190" i="1"/>
  <c r="R190" i="1"/>
  <c r="Q190" i="1"/>
  <c r="P190" i="1"/>
  <c r="O190" i="1"/>
  <c r="AH189" i="1"/>
  <c r="Z189" i="1"/>
  <c r="Y189" i="1"/>
  <c r="X189" i="1"/>
  <c r="W189" i="1"/>
  <c r="V189" i="1"/>
  <c r="U189" i="1"/>
  <c r="T189" i="1"/>
  <c r="S189" i="1"/>
  <c r="R189" i="1"/>
  <c r="Q189" i="1"/>
  <c r="P189" i="1"/>
  <c r="O189" i="1"/>
  <c r="Z188" i="1"/>
  <c r="Y188" i="1"/>
  <c r="X188" i="1"/>
  <c r="W188" i="1"/>
  <c r="V188" i="1"/>
  <c r="U188" i="1"/>
  <c r="T188" i="1"/>
  <c r="S188" i="1"/>
  <c r="R188" i="1"/>
  <c r="Q188" i="1"/>
  <c r="P188" i="1"/>
  <c r="O188" i="1"/>
  <c r="AH187" i="1"/>
  <c r="Z187" i="1"/>
  <c r="Y187" i="1"/>
  <c r="X187" i="1"/>
  <c r="W187" i="1"/>
  <c r="V187" i="1"/>
  <c r="U187" i="1"/>
  <c r="T187" i="1"/>
  <c r="S187" i="1"/>
  <c r="R187" i="1"/>
  <c r="Q187" i="1"/>
  <c r="P187" i="1"/>
  <c r="O187" i="1"/>
  <c r="Z186" i="1"/>
  <c r="Y186" i="1"/>
  <c r="X186" i="1"/>
  <c r="W186" i="1"/>
  <c r="V186" i="1"/>
  <c r="U186" i="1"/>
  <c r="T186" i="1"/>
  <c r="S186" i="1"/>
  <c r="R186" i="1"/>
  <c r="Q186" i="1"/>
  <c r="P186" i="1"/>
  <c r="O186" i="1"/>
  <c r="Z185" i="1"/>
  <c r="Y185" i="1"/>
  <c r="X185" i="1"/>
  <c r="W185" i="1"/>
  <c r="V185" i="1"/>
  <c r="U185" i="1"/>
  <c r="T185" i="1"/>
  <c r="S185" i="1"/>
  <c r="R185" i="1"/>
  <c r="Q185" i="1"/>
  <c r="P185" i="1"/>
  <c r="O185" i="1"/>
  <c r="Z184" i="1"/>
  <c r="Y184" i="1"/>
  <c r="X184" i="1"/>
  <c r="W184" i="1"/>
  <c r="V184" i="1"/>
  <c r="U184" i="1"/>
  <c r="T184" i="1"/>
  <c r="S184" i="1"/>
  <c r="R184" i="1"/>
  <c r="Q184" i="1"/>
  <c r="P184" i="1"/>
  <c r="O184" i="1"/>
  <c r="Z183" i="1"/>
  <c r="Y183" i="1"/>
  <c r="X183" i="1"/>
  <c r="W183" i="1"/>
  <c r="V183" i="1"/>
  <c r="U183" i="1"/>
  <c r="T183" i="1"/>
  <c r="S183" i="1"/>
  <c r="R183" i="1"/>
  <c r="Q183" i="1"/>
  <c r="P183" i="1"/>
  <c r="O183" i="1"/>
  <c r="Z182" i="1"/>
  <c r="Y182" i="1"/>
  <c r="X182" i="1"/>
  <c r="W182" i="1"/>
  <c r="V182" i="1"/>
  <c r="U182" i="1"/>
  <c r="T182" i="1"/>
  <c r="S182" i="1"/>
  <c r="R182" i="1"/>
  <c r="Q182" i="1"/>
  <c r="P182" i="1"/>
  <c r="O182" i="1"/>
  <c r="Z181" i="1"/>
  <c r="Y181" i="1"/>
  <c r="X181" i="1"/>
  <c r="W181" i="1"/>
  <c r="V181" i="1"/>
  <c r="U181" i="1"/>
  <c r="T181" i="1"/>
  <c r="S181" i="1"/>
  <c r="R181" i="1"/>
  <c r="Q181" i="1"/>
  <c r="P181" i="1"/>
  <c r="O181" i="1"/>
  <c r="Z180" i="1"/>
  <c r="Y180" i="1"/>
  <c r="X180" i="1"/>
  <c r="W180" i="1"/>
  <c r="V180" i="1"/>
  <c r="U180" i="1"/>
  <c r="T180" i="1"/>
  <c r="S180" i="1"/>
  <c r="R180" i="1"/>
  <c r="Q180" i="1"/>
  <c r="P180" i="1"/>
  <c r="O180" i="1"/>
  <c r="Z179" i="1"/>
  <c r="Y179" i="1"/>
  <c r="X179" i="1"/>
  <c r="W179" i="1"/>
  <c r="V179" i="1"/>
  <c r="U179" i="1"/>
  <c r="T179" i="1"/>
  <c r="S179" i="1"/>
  <c r="R179" i="1"/>
  <c r="Q179" i="1"/>
  <c r="P179" i="1"/>
  <c r="O179" i="1"/>
  <c r="Z178" i="1"/>
  <c r="Y178" i="1"/>
  <c r="X178" i="1"/>
  <c r="W178" i="1"/>
  <c r="V178" i="1"/>
  <c r="U178" i="1"/>
  <c r="T178" i="1"/>
  <c r="S178" i="1"/>
  <c r="R178" i="1"/>
  <c r="Q178" i="1"/>
  <c r="P178" i="1"/>
  <c r="O178" i="1"/>
  <c r="Z177" i="1"/>
  <c r="Y177" i="1"/>
  <c r="X177" i="1"/>
  <c r="W177" i="1"/>
  <c r="V177" i="1"/>
  <c r="U177" i="1"/>
  <c r="T177" i="1"/>
  <c r="S177" i="1"/>
  <c r="R177" i="1"/>
  <c r="Q177" i="1"/>
  <c r="P177" i="1"/>
  <c r="O177" i="1"/>
  <c r="Z176" i="1"/>
  <c r="Y176" i="1"/>
  <c r="X176" i="1"/>
  <c r="W176" i="1"/>
  <c r="V176" i="1"/>
  <c r="U176" i="1"/>
  <c r="T176" i="1"/>
  <c r="S176" i="1"/>
  <c r="R176" i="1"/>
  <c r="Q176" i="1"/>
  <c r="P176" i="1"/>
  <c r="O176" i="1"/>
  <c r="Z175" i="1"/>
  <c r="Y175" i="1"/>
  <c r="X175" i="1"/>
  <c r="W175" i="1"/>
  <c r="V175" i="1"/>
  <c r="U175" i="1"/>
  <c r="T175" i="1"/>
  <c r="S175" i="1"/>
  <c r="R175" i="1"/>
  <c r="Q175" i="1"/>
  <c r="P175" i="1"/>
  <c r="O175" i="1"/>
  <c r="Z174" i="1"/>
  <c r="Y174" i="1"/>
  <c r="X174" i="1"/>
  <c r="W174" i="1"/>
  <c r="V174" i="1"/>
  <c r="U174" i="1"/>
  <c r="T174" i="1"/>
  <c r="S174" i="1"/>
  <c r="R174" i="1"/>
  <c r="Q174" i="1"/>
  <c r="P174" i="1"/>
  <c r="O174" i="1"/>
  <c r="Z173" i="1"/>
  <c r="Y173" i="1"/>
  <c r="X173" i="1"/>
  <c r="W173" i="1"/>
  <c r="V173" i="1"/>
  <c r="U173" i="1"/>
  <c r="T173" i="1"/>
  <c r="S173" i="1"/>
  <c r="R173" i="1"/>
  <c r="Q173" i="1"/>
  <c r="P173" i="1"/>
  <c r="O173" i="1"/>
  <c r="Z172" i="1"/>
  <c r="Y172" i="1"/>
  <c r="X172" i="1"/>
  <c r="W172" i="1"/>
  <c r="V172" i="1"/>
  <c r="U172" i="1"/>
  <c r="T172" i="1"/>
  <c r="S172" i="1"/>
  <c r="R172" i="1"/>
  <c r="Q172" i="1"/>
  <c r="P172" i="1"/>
  <c r="O172" i="1"/>
  <c r="Z171" i="1"/>
  <c r="Y171" i="1"/>
  <c r="X171" i="1"/>
  <c r="W171" i="1"/>
  <c r="V171" i="1"/>
  <c r="U171" i="1"/>
  <c r="T171" i="1"/>
  <c r="S171" i="1"/>
  <c r="R171" i="1"/>
  <c r="Q171" i="1"/>
  <c r="P171" i="1"/>
  <c r="O171" i="1"/>
  <c r="Z170" i="1"/>
  <c r="Y170" i="1"/>
  <c r="X170" i="1"/>
  <c r="W170" i="1"/>
  <c r="V170" i="1"/>
  <c r="U170" i="1"/>
  <c r="T170" i="1"/>
  <c r="S170" i="1"/>
  <c r="R170" i="1"/>
  <c r="Q170" i="1"/>
  <c r="P170" i="1"/>
  <c r="O170" i="1"/>
  <c r="Z169" i="1"/>
  <c r="Y169" i="1"/>
  <c r="X169" i="1"/>
  <c r="W169" i="1"/>
  <c r="V169" i="1"/>
  <c r="U169" i="1"/>
  <c r="T169" i="1"/>
  <c r="S169" i="1"/>
  <c r="R169" i="1"/>
  <c r="Q169" i="1"/>
  <c r="P169" i="1"/>
  <c r="O169" i="1"/>
  <c r="Z168" i="1"/>
  <c r="Y168" i="1"/>
  <c r="X168" i="1"/>
  <c r="W168" i="1"/>
  <c r="V168" i="1"/>
  <c r="U168" i="1"/>
  <c r="T168" i="1"/>
  <c r="S168" i="1"/>
  <c r="R168" i="1"/>
  <c r="Q168" i="1"/>
  <c r="P168" i="1"/>
  <c r="O168" i="1"/>
  <c r="Z167" i="1"/>
  <c r="Y167" i="1"/>
  <c r="X167" i="1"/>
  <c r="W167" i="1"/>
  <c r="V167" i="1"/>
  <c r="U167" i="1"/>
  <c r="T167" i="1"/>
  <c r="S167" i="1"/>
  <c r="R167" i="1"/>
  <c r="Q167" i="1"/>
  <c r="P167" i="1"/>
  <c r="O167" i="1"/>
  <c r="AH166" i="1"/>
  <c r="Z166" i="1"/>
  <c r="Y166" i="1"/>
  <c r="X166" i="1"/>
  <c r="W166" i="1"/>
  <c r="V166" i="1"/>
  <c r="U166" i="1"/>
  <c r="T166" i="1"/>
  <c r="S166" i="1"/>
  <c r="R166" i="1"/>
  <c r="Q166" i="1"/>
  <c r="P166" i="1"/>
  <c r="O166" i="1"/>
  <c r="Z165" i="1"/>
  <c r="Y165" i="1"/>
  <c r="X165" i="1"/>
  <c r="W165" i="1"/>
  <c r="V165" i="1"/>
  <c r="U165" i="1"/>
  <c r="T165" i="1"/>
  <c r="S165" i="1"/>
  <c r="R165" i="1"/>
  <c r="Q165" i="1"/>
  <c r="P165" i="1"/>
  <c r="O165" i="1"/>
  <c r="Z164" i="1"/>
  <c r="Y164" i="1"/>
  <c r="X164" i="1"/>
  <c r="W164" i="1"/>
  <c r="V164" i="1"/>
  <c r="U164" i="1"/>
  <c r="T164" i="1"/>
  <c r="S164" i="1"/>
  <c r="R164" i="1"/>
  <c r="Q164" i="1"/>
  <c r="P164" i="1"/>
  <c r="O164" i="1"/>
  <c r="Z163" i="1"/>
  <c r="Y163" i="1"/>
  <c r="X163" i="1"/>
  <c r="W163" i="1"/>
  <c r="V163" i="1"/>
  <c r="U163" i="1"/>
  <c r="T163" i="1"/>
  <c r="S163" i="1"/>
  <c r="R163" i="1"/>
  <c r="Q163" i="1"/>
  <c r="P163" i="1"/>
  <c r="O163" i="1"/>
  <c r="Z162" i="1"/>
  <c r="Y162" i="1"/>
  <c r="X162" i="1"/>
  <c r="W162" i="1"/>
  <c r="V162" i="1"/>
  <c r="U162" i="1"/>
  <c r="T162" i="1"/>
  <c r="S162" i="1"/>
  <c r="R162" i="1"/>
  <c r="Q162" i="1"/>
  <c r="P162" i="1"/>
  <c r="O162" i="1"/>
  <c r="Z161" i="1"/>
  <c r="Y161" i="1"/>
  <c r="X161" i="1"/>
  <c r="W161" i="1"/>
  <c r="V161" i="1"/>
  <c r="U161" i="1"/>
  <c r="T161" i="1"/>
  <c r="S161" i="1"/>
  <c r="R161" i="1"/>
  <c r="Q161" i="1"/>
  <c r="P161" i="1"/>
  <c r="O161" i="1"/>
  <c r="Z160" i="1"/>
  <c r="Y160" i="1"/>
  <c r="X160" i="1"/>
  <c r="W160" i="1"/>
  <c r="V160" i="1"/>
  <c r="U160" i="1"/>
  <c r="T160" i="1"/>
  <c r="S160" i="1"/>
  <c r="R160" i="1"/>
  <c r="Q160" i="1"/>
  <c r="P160" i="1"/>
  <c r="O160" i="1"/>
  <c r="Z159" i="1"/>
  <c r="Y159" i="1"/>
  <c r="X159" i="1"/>
  <c r="W159" i="1"/>
  <c r="V159" i="1"/>
  <c r="U159" i="1"/>
  <c r="T159" i="1"/>
  <c r="S159" i="1"/>
  <c r="R159" i="1"/>
  <c r="Q159" i="1"/>
  <c r="P159" i="1"/>
  <c r="O159" i="1"/>
  <c r="Z158" i="1"/>
  <c r="Y158" i="1"/>
  <c r="X158" i="1"/>
  <c r="W158" i="1"/>
  <c r="V158" i="1"/>
  <c r="U158" i="1"/>
  <c r="T158" i="1"/>
  <c r="S158" i="1"/>
  <c r="R158" i="1"/>
  <c r="Q158" i="1"/>
  <c r="P158" i="1"/>
  <c r="O158" i="1"/>
  <c r="Z157" i="1"/>
  <c r="Y157" i="1"/>
  <c r="X157" i="1"/>
  <c r="W157" i="1"/>
  <c r="V157" i="1"/>
  <c r="U157" i="1"/>
  <c r="T157" i="1"/>
  <c r="S157" i="1"/>
  <c r="R157" i="1"/>
  <c r="Q157" i="1"/>
  <c r="P157" i="1"/>
  <c r="O157" i="1"/>
  <c r="Z156" i="1"/>
  <c r="Y156" i="1"/>
  <c r="X156" i="1"/>
  <c r="W156" i="1"/>
  <c r="V156" i="1"/>
  <c r="U156" i="1"/>
  <c r="T156" i="1"/>
  <c r="S156" i="1"/>
  <c r="R156" i="1"/>
  <c r="Q156" i="1"/>
  <c r="P156" i="1"/>
  <c r="O156" i="1"/>
  <c r="AI155" i="1"/>
  <c r="Z155" i="1"/>
  <c r="Y155" i="1"/>
  <c r="X155" i="1"/>
  <c r="W155" i="1"/>
  <c r="V155" i="1"/>
  <c r="U155" i="1"/>
  <c r="T155" i="1"/>
  <c r="S155" i="1"/>
  <c r="R155" i="1"/>
  <c r="Q155" i="1"/>
  <c r="P155" i="1"/>
  <c r="O155" i="1"/>
  <c r="Z154" i="1"/>
  <c r="Y154" i="1"/>
  <c r="X154" i="1"/>
  <c r="W154" i="1"/>
  <c r="V154" i="1"/>
  <c r="U154" i="1"/>
  <c r="T154" i="1"/>
  <c r="S154" i="1"/>
  <c r="R154" i="1"/>
  <c r="Q154" i="1"/>
  <c r="P154" i="1"/>
  <c r="O154" i="1"/>
  <c r="Z153" i="1"/>
  <c r="Y153" i="1"/>
  <c r="X153" i="1"/>
  <c r="W153" i="1"/>
  <c r="V153" i="1"/>
  <c r="U153" i="1"/>
  <c r="T153" i="1"/>
  <c r="S153" i="1"/>
  <c r="R153" i="1"/>
  <c r="Q153" i="1"/>
  <c r="P153" i="1"/>
  <c r="O153" i="1"/>
  <c r="Z152" i="1"/>
  <c r="Y152" i="1"/>
  <c r="X152" i="1"/>
  <c r="W152" i="1"/>
  <c r="V152" i="1"/>
  <c r="U152" i="1"/>
  <c r="T152" i="1"/>
  <c r="S152" i="1"/>
  <c r="R152" i="1"/>
  <c r="Q152" i="1"/>
  <c r="P152" i="1"/>
  <c r="O152" i="1"/>
  <c r="Z151" i="1"/>
  <c r="Y151" i="1"/>
  <c r="X151" i="1"/>
  <c r="W151" i="1"/>
  <c r="V151" i="1"/>
  <c r="U151" i="1"/>
  <c r="T151" i="1"/>
  <c r="S151" i="1"/>
  <c r="R151" i="1"/>
  <c r="Q151" i="1"/>
  <c r="P151" i="1"/>
  <c r="O151" i="1"/>
  <c r="AI150" i="1"/>
  <c r="Z150" i="1"/>
  <c r="Y150" i="1"/>
  <c r="X150" i="1"/>
  <c r="W150" i="1"/>
  <c r="V150" i="1"/>
  <c r="U150" i="1"/>
  <c r="T150" i="1"/>
  <c r="S150" i="1"/>
  <c r="R150" i="1"/>
  <c r="Q150" i="1"/>
  <c r="P150" i="1"/>
  <c r="O150" i="1"/>
  <c r="Z149" i="1"/>
  <c r="Y149" i="1"/>
  <c r="X149" i="1"/>
  <c r="W149" i="1"/>
  <c r="V149" i="1"/>
  <c r="U149" i="1"/>
  <c r="T149" i="1"/>
  <c r="S149" i="1"/>
  <c r="R149" i="1"/>
  <c r="Q149" i="1"/>
  <c r="P149" i="1"/>
  <c r="O149" i="1"/>
  <c r="AI148" i="1"/>
  <c r="Z148" i="1"/>
  <c r="Y148" i="1"/>
  <c r="X148" i="1"/>
  <c r="W148" i="1"/>
  <c r="V148" i="1"/>
  <c r="U148" i="1"/>
  <c r="T148" i="1"/>
  <c r="S148" i="1"/>
  <c r="R148" i="1"/>
  <c r="Q148" i="1"/>
  <c r="P148" i="1"/>
  <c r="O148" i="1"/>
  <c r="Z147" i="1"/>
  <c r="Y147" i="1"/>
  <c r="X147" i="1"/>
  <c r="W147" i="1"/>
  <c r="V147" i="1"/>
  <c r="U147" i="1"/>
  <c r="T147" i="1"/>
  <c r="S147" i="1"/>
  <c r="R147" i="1"/>
  <c r="Q147" i="1"/>
  <c r="P147" i="1"/>
  <c r="O147" i="1"/>
  <c r="Z146" i="1"/>
  <c r="Y146" i="1"/>
  <c r="X146" i="1"/>
  <c r="W146" i="1"/>
  <c r="V146" i="1"/>
  <c r="U146" i="1"/>
  <c r="T146" i="1"/>
  <c r="S146" i="1"/>
  <c r="R146" i="1"/>
  <c r="Q146" i="1"/>
  <c r="P146" i="1"/>
  <c r="O146" i="1"/>
  <c r="Z145" i="1"/>
  <c r="Y145" i="1"/>
  <c r="X145" i="1"/>
  <c r="W145" i="1"/>
  <c r="V145" i="1"/>
  <c r="U145" i="1"/>
  <c r="T145" i="1"/>
  <c r="S145" i="1"/>
  <c r="R145" i="1"/>
  <c r="Q145" i="1"/>
  <c r="P145" i="1"/>
  <c r="O145" i="1"/>
  <c r="Z144" i="1"/>
  <c r="Y144" i="1"/>
  <c r="X144" i="1"/>
  <c r="W144" i="1"/>
  <c r="V144" i="1"/>
  <c r="U144" i="1"/>
  <c r="T144" i="1"/>
  <c r="S144" i="1"/>
  <c r="R144" i="1"/>
  <c r="Q144" i="1"/>
  <c r="P144" i="1"/>
  <c r="O144" i="1"/>
  <c r="Z143" i="1"/>
  <c r="Y143" i="1"/>
  <c r="X143" i="1"/>
  <c r="W143" i="1"/>
  <c r="V143" i="1"/>
  <c r="U143" i="1"/>
  <c r="T143" i="1"/>
  <c r="S143" i="1"/>
  <c r="R143" i="1"/>
  <c r="Q143" i="1"/>
  <c r="P143" i="1"/>
  <c r="O143" i="1"/>
  <c r="Z142" i="1"/>
  <c r="Y142" i="1"/>
  <c r="X142" i="1"/>
  <c r="W142" i="1"/>
  <c r="V142" i="1"/>
  <c r="U142" i="1"/>
  <c r="T142" i="1"/>
  <c r="S142" i="1"/>
  <c r="R142" i="1"/>
  <c r="Q142" i="1"/>
  <c r="P142" i="1"/>
  <c r="O142" i="1"/>
  <c r="Z141" i="1"/>
  <c r="Y141" i="1"/>
  <c r="X141" i="1"/>
  <c r="W141" i="1"/>
  <c r="V141" i="1"/>
  <c r="U141" i="1"/>
  <c r="T141" i="1"/>
  <c r="S141" i="1"/>
  <c r="R141" i="1"/>
  <c r="Q141" i="1"/>
  <c r="P141" i="1"/>
  <c r="O141" i="1"/>
  <c r="Z140" i="1"/>
  <c r="Y140" i="1"/>
  <c r="X140" i="1"/>
  <c r="W140" i="1"/>
  <c r="V140" i="1"/>
  <c r="U140" i="1"/>
  <c r="T140" i="1"/>
  <c r="S140" i="1"/>
  <c r="R140" i="1"/>
  <c r="Q140" i="1"/>
  <c r="P140" i="1"/>
  <c r="O140" i="1"/>
  <c r="Z139" i="1"/>
  <c r="Y139" i="1"/>
  <c r="X139" i="1"/>
  <c r="W139" i="1"/>
  <c r="V139" i="1"/>
  <c r="U139" i="1"/>
  <c r="T139" i="1"/>
  <c r="S139" i="1"/>
  <c r="R139" i="1"/>
  <c r="Q139" i="1"/>
  <c r="P139" i="1"/>
  <c r="O139" i="1"/>
  <c r="Z138" i="1"/>
  <c r="Y138" i="1"/>
  <c r="X138" i="1"/>
  <c r="W138" i="1"/>
  <c r="V138" i="1"/>
  <c r="U138" i="1"/>
  <c r="T138" i="1"/>
  <c r="S138" i="1"/>
  <c r="R138" i="1"/>
  <c r="Q138" i="1"/>
  <c r="P138" i="1"/>
  <c r="O138" i="1"/>
  <c r="Z137" i="1"/>
  <c r="Y137" i="1"/>
  <c r="X137" i="1"/>
  <c r="W137" i="1"/>
  <c r="V137" i="1"/>
  <c r="U137" i="1"/>
  <c r="T137" i="1"/>
  <c r="S137" i="1"/>
  <c r="R137" i="1"/>
  <c r="Q137" i="1"/>
  <c r="P137" i="1"/>
  <c r="O137" i="1"/>
  <c r="Z136" i="1"/>
  <c r="Y136" i="1"/>
  <c r="X136" i="1"/>
  <c r="W136" i="1"/>
  <c r="V136" i="1"/>
  <c r="U136" i="1"/>
  <c r="T136" i="1"/>
  <c r="S136" i="1"/>
  <c r="R136" i="1"/>
  <c r="Q136" i="1"/>
  <c r="P136" i="1"/>
  <c r="O136" i="1"/>
  <c r="AI135" i="1"/>
  <c r="Z135" i="1"/>
  <c r="Y135" i="1"/>
  <c r="X135" i="1"/>
  <c r="W135" i="1"/>
  <c r="V135" i="1"/>
  <c r="U135" i="1"/>
  <c r="T135" i="1"/>
  <c r="S135" i="1"/>
  <c r="R135" i="1"/>
  <c r="Q135" i="1"/>
  <c r="P135" i="1"/>
  <c r="O135" i="1"/>
  <c r="AI134" i="1"/>
  <c r="Z134" i="1"/>
  <c r="Y134" i="1"/>
  <c r="X134" i="1"/>
  <c r="W134" i="1"/>
  <c r="V134" i="1"/>
  <c r="U134" i="1"/>
  <c r="T134" i="1"/>
  <c r="S134" i="1"/>
  <c r="R134" i="1"/>
  <c r="Q134" i="1"/>
  <c r="P134" i="1"/>
  <c r="O134" i="1"/>
  <c r="Z133" i="1"/>
  <c r="Y133" i="1"/>
  <c r="X133" i="1"/>
  <c r="W133" i="1"/>
  <c r="V133" i="1"/>
  <c r="U133" i="1"/>
  <c r="T133" i="1"/>
  <c r="S133" i="1"/>
  <c r="R133" i="1"/>
  <c r="Q133" i="1"/>
  <c r="P133" i="1"/>
  <c r="O133" i="1"/>
  <c r="Z132" i="1"/>
  <c r="Y132" i="1"/>
  <c r="X132" i="1"/>
  <c r="W132" i="1"/>
  <c r="V132" i="1"/>
  <c r="U132" i="1"/>
  <c r="T132" i="1"/>
  <c r="S132" i="1"/>
  <c r="R132" i="1"/>
  <c r="Q132" i="1"/>
  <c r="P132" i="1"/>
  <c r="O132" i="1"/>
  <c r="Z131" i="1"/>
  <c r="Y131" i="1"/>
  <c r="X131" i="1"/>
  <c r="W131" i="1"/>
  <c r="V131" i="1"/>
  <c r="U131" i="1"/>
  <c r="T131" i="1"/>
  <c r="S131" i="1"/>
  <c r="R131" i="1"/>
  <c r="Q131" i="1"/>
  <c r="P131" i="1"/>
  <c r="O131" i="1"/>
  <c r="Z130" i="1"/>
  <c r="Y130" i="1"/>
  <c r="X130" i="1"/>
  <c r="W130" i="1"/>
  <c r="V130" i="1"/>
  <c r="U130" i="1"/>
  <c r="T130" i="1"/>
  <c r="S130" i="1"/>
  <c r="R130" i="1"/>
  <c r="Q130" i="1"/>
  <c r="P130" i="1"/>
  <c r="O130" i="1"/>
  <c r="Z129" i="1"/>
  <c r="Y129" i="1"/>
  <c r="X129" i="1"/>
  <c r="W129" i="1"/>
  <c r="V129" i="1"/>
  <c r="U129" i="1"/>
  <c r="T129" i="1"/>
  <c r="S129" i="1"/>
  <c r="R129" i="1"/>
  <c r="Q129" i="1"/>
  <c r="P129" i="1"/>
  <c r="O129" i="1"/>
  <c r="Z128" i="1"/>
  <c r="Y128" i="1"/>
  <c r="X128" i="1"/>
  <c r="W128" i="1"/>
  <c r="V128" i="1"/>
  <c r="U128" i="1"/>
  <c r="T128" i="1"/>
  <c r="S128" i="1"/>
  <c r="R128" i="1"/>
  <c r="Q128" i="1"/>
  <c r="P128" i="1"/>
  <c r="O128" i="1"/>
  <c r="Z127" i="1"/>
  <c r="Y127" i="1"/>
  <c r="X127" i="1"/>
  <c r="W127" i="1"/>
  <c r="V127" i="1"/>
  <c r="U127" i="1"/>
  <c r="T127" i="1"/>
  <c r="S127" i="1"/>
  <c r="R127" i="1"/>
  <c r="Q127" i="1"/>
  <c r="P127" i="1"/>
  <c r="O127" i="1"/>
  <c r="Z126" i="1"/>
  <c r="Y126" i="1"/>
  <c r="X126" i="1"/>
  <c r="W126" i="1"/>
  <c r="V126" i="1"/>
  <c r="U126" i="1"/>
  <c r="T126" i="1"/>
  <c r="S126" i="1"/>
  <c r="R126" i="1"/>
  <c r="Q126" i="1"/>
  <c r="P126" i="1"/>
  <c r="O126" i="1"/>
  <c r="Z125" i="1"/>
  <c r="Y125" i="1"/>
  <c r="X125" i="1"/>
  <c r="W125" i="1"/>
  <c r="V125" i="1"/>
  <c r="U125" i="1"/>
  <c r="T125" i="1"/>
  <c r="S125" i="1"/>
  <c r="R125" i="1"/>
  <c r="Q125" i="1"/>
  <c r="P125" i="1"/>
  <c r="O125" i="1"/>
  <c r="AI124" i="1"/>
  <c r="Z124" i="1"/>
  <c r="Y124" i="1"/>
  <c r="X124" i="1"/>
  <c r="W124" i="1"/>
  <c r="V124" i="1"/>
  <c r="U124" i="1"/>
  <c r="T124" i="1"/>
  <c r="S124" i="1"/>
  <c r="R124" i="1"/>
  <c r="Q124" i="1"/>
  <c r="P124" i="1"/>
  <c r="O124" i="1"/>
  <c r="AI123" i="1"/>
  <c r="Z123" i="1"/>
  <c r="Y123" i="1"/>
  <c r="X123" i="1"/>
  <c r="W123" i="1"/>
  <c r="V123" i="1"/>
  <c r="U123" i="1"/>
  <c r="T123" i="1"/>
  <c r="S123" i="1"/>
  <c r="R123" i="1"/>
  <c r="Q123" i="1"/>
  <c r="P123" i="1"/>
  <c r="O123" i="1"/>
  <c r="Z122" i="1"/>
  <c r="Y122" i="1"/>
  <c r="X122" i="1"/>
  <c r="W122" i="1"/>
  <c r="V122" i="1"/>
  <c r="U122" i="1"/>
  <c r="T122" i="1"/>
  <c r="S122" i="1"/>
  <c r="R122" i="1"/>
  <c r="Q122" i="1"/>
  <c r="P122" i="1"/>
  <c r="O122" i="1"/>
  <c r="Z121" i="1"/>
  <c r="Y121" i="1"/>
  <c r="X121" i="1"/>
  <c r="W121" i="1"/>
  <c r="V121" i="1"/>
  <c r="U121" i="1"/>
  <c r="T121" i="1"/>
  <c r="S121" i="1"/>
  <c r="R121" i="1"/>
  <c r="Q121" i="1"/>
  <c r="P121" i="1"/>
  <c r="O121" i="1"/>
  <c r="Z120" i="1"/>
  <c r="Y120" i="1"/>
  <c r="X120" i="1"/>
  <c r="W120" i="1"/>
  <c r="V120" i="1"/>
  <c r="U120" i="1"/>
  <c r="T120" i="1"/>
  <c r="S120" i="1"/>
  <c r="R120" i="1"/>
  <c r="Q120" i="1"/>
  <c r="P120" i="1"/>
  <c r="O120" i="1"/>
  <c r="AI119" i="1"/>
  <c r="Z119" i="1"/>
  <c r="Y119" i="1"/>
  <c r="X119" i="1"/>
  <c r="W119" i="1"/>
  <c r="V119" i="1"/>
  <c r="U119" i="1"/>
  <c r="T119" i="1"/>
  <c r="S119" i="1"/>
  <c r="R119" i="1"/>
  <c r="Q119" i="1"/>
  <c r="P119" i="1"/>
  <c r="O119" i="1"/>
  <c r="AI118" i="1"/>
  <c r="Z118" i="1"/>
  <c r="Y118" i="1"/>
  <c r="X118" i="1"/>
  <c r="W118" i="1"/>
  <c r="V118" i="1"/>
  <c r="U118" i="1"/>
  <c r="T118" i="1"/>
  <c r="S118" i="1"/>
  <c r="R118" i="1"/>
  <c r="Q118" i="1"/>
  <c r="P118" i="1"/>
  <c r="O118" i="1"/>
  <c r="Z117" i="1"/>
  <c r="Y117" i="1"/>
  <c r="X117" i="1"/>
  <c r="W117" i="1"/>
  <c r="V117" i="1"/>
  <c r="U117" i="1"/>
  <c r="T117" i="1"/>
  <c r="S117" i="1"/>
  <c r="R117" i="1"/>
  <c r="Q117" i="1"/>
  <c r="P117" i="1"/>
  <c r="O117" i="1"/>
  <c r="AI116" i="1"/>
  <c r="Z116" i="1"/>
  <c r="Y116" i="1"/>
  <c r="X116" i="1"/>
  <c r="W116" i="1"/>
  <c r="V116" i="1"/>
  <c r="U116" i="1"/>
  <c r="T116" i="1"/>
  <c r="S116" i="1"/>
  <c r="R116" i="1"/>
  <c r="Q116" i="1"/>
  <c r="P116" i="1"/>
  <c r="O116" i="1"/>
  <c r="Z115" i="1"/>
  <c r="Y115" i="1"/>
  <c r="X115" i="1"/>
  <c r="W115" i="1"/>
  <c r="V115" i="1"/>
  <c r="U115" i="1"/>
  <c r="T115" i="1"/>
  <c r="S115" i="1"/>
  <c r="R115" i="1"/>
  <c r="Q115" i="1"/>
  <c r="P115" i="1"/>
  <c r="O115" i="1"/>
  <c r="Z114" i="1"/>
  <c r="Y114" i="1"/>
  <c r="X114" i="1"/>
  <c r="W114" i="1"/>
  <c r="V114" i="1"/>
  <c r="U114" i="1"/>
  <c r="T114" i="1"/>
  <c r="S114" i="1"/>
  <c r="R114" i="1"/>
  <c r="Q114" i="1"/>
  <c r="P114" i="1"/>
  <c r="O114" i="1"/>
  <c r="Z113" i="1"/>
  <c r="Y113" i="1"/>
  <c r="X113" i="1"/>
  <c r="W113" i="1"/>
  <c r="V113" i="1"/>
  <c r="U113" i="1"/>
  <c r="T113" i="1"/>
  <c r="S113" i="1"/>
  <c r="R113" i="1"/>
  <c r="Q113" i="1"/>
  <c r="P113" i="1"/>
  <c r="O113" i="1"/>
  <c r="Z112" i="1"/>
  <c r="Y112" i="1"/>
  <c r="X112" i="1"/>
  <c r="W112" i="1"/>
  <c r="V112" i="1"/>
  <c r="U112" i="1"/>
  <c r="T112" i="1"/>
  <c r="S112" i="1"/>
  <c r="R112" i="1"/>
  <c r="Q112" i="1"/>
  <c r="P112" i="1"/>
  <c r="O112" i="1"/>
  <c r="Z111" i="1"/>
  <c r="Y111" i="1"/>
  <c r="X111" i="1"/>
  <c r="W111" i="1"/>
  <c r="V111" i="1"/>
  <c r="U111" i="1"/>
  <c r="T111" i="1"/>
  <c r="S111" i="1"/>
  <c r="R111" i="1"/>
  <c r="Q111" i="1"/>
  <c r="P111" i="1"/>
  <c r="O111" i="1"/>
  <c r="AI110" i="1"/>
  <c r="Z110" i="1"/>
  <c r="Y110" i="1"/>
  <c r="X110" i="1"/>
  <c r="W110" i="1"/>
  <c r="V110" i="1"/>
  <c r="U110" i="1"/>
  <c r="T110" i="1"/>
  <c r="S110" i="1"/>
  <c r="R110" i="1"/>
  <c r="Q110" i="1"/>
  <c r="P110" i="1"/>
  <c r="O110" i="1"/>
  <c r="Z109" i="1"/>
  <c r="Y109" i="1"/>
  <c r="X109" i="1"/>
  <c r="W109" i="1"/>
  <c r="V109" i="1"/>
  <c r="U109" i="1"/>
  <c r="T109" i="1"/>
  <c r="S109" i="1"/>
  <c r="R109" i="1"/>
  <c r="Q109" i="1"/>
  <c r="P109" i="1"/>
  <c r="O109" i="1"/>
  <c r="AI108" i="1"/>
  <c r="Z108" i="1"/>
  <c r="Y108" i="1"/>
  <c r="X108" i="1"/>
  <c r="W108" i="1"/>
  <c r="V108" i="1"/>
  <c r="U108" i="1"/>
  <c r="T108" i="1"/>
  <c r="S108" i="1"/>
  <c r="R108" i="1"/>
  <c r="Q108" i="1"/>
  <c r="P108" i="1"/>
  <c r="O108" i="1"/>
  <c r="AI107" i="1"/>
  <c r="Z107" i="1"/>
  <c r="Y107" i="1"/>
  <c r="X107" i="1"/>
  <c r="W107" i="1"/>
  <c r="V107" i="1"/>
  <c r="U107" i="1"/>
  <c r="T107" i="1"/>
  <c r="S107" i="1"/>
  <c r="R107" i="1"/>
  <c r="Q107" i="1"/>
  <c r="P107" i="1"/>
  <c r="O107" i="1"/>
  <c r="Z106" i="1"/>
  <c r="Y106" i="1"/>
  <c r="X106" i="1"/>
  <c r="W106" i="1"/>
  <c r="V106" i="1"/>
  <c r="U106" i="1"/>
  <c r="T106" i="1"/>
  <c r="S106" i="1"/>
  <c r="R106" i="1"/>
  <c r="Q106" i="1"/>
  <c r="P106" i="1"/>
  <c r="O106" i="1"/>
  <c r="Z105" i="1"/>
  <c r="Y105" i="1"/>
  <c r="X105" i="1"/>
  <c r="W105" i="1"/>
  <c r="V105" i="1"/>
  <c r="U105" i="1"/>
  <c r="T105" i="1"/>
  <c r="S105" i="1"/>
  <c r="R105" i="1"/>
  <c r="Q105" i="1"/>
  <c r="P105" i="1"/>
  <c r="O105" i="1"/>
  <c r="Z104" i="1"/>
  <c r="Y104" i="1"/>
  <c r="X104" i="1"/>
  <c r="W104" i="1"/>
  <c r="V104" i="1"/>
  <c r="U104" i="1"/>
  <c r="T104" i="1"/>
  <c r="S104" i="1"/>
  <c r="R104" i="1"/>
  <c r="Q104" i="1"/>
  <c r="P104" i="1"/>
  <c r="O104" i="1"/>
  <c r="Z103" i="1"/>
  <c r="Y103" i="1"/>
  <c r="X103" i="1"/>
  <c r="W103" i="1"/>
  <c r="V103" i="1"/>
  <c r="U103" i="1"/>
  <c r="T103" i="1"/>
  <c r="S103" i="1"/>
  <c r="R103" i="1"/>
  <c r="Q103" i="1"/>
  <c r="P103" i="1"/>
  <c r="O103" i="1"/>
  <c r="Z102" i="1"/>
  <c r="Y102" i="1"/>
  <c r="X102" i="1"/>
  <c r="W102" i="1"/>
  <c r="V102" i="1"/>
  <c r="U102" i="1"/>
  <c r="T102" i="1"/>
  <c r="S102" i="1"/>
  <c r="R102" i="1"/>
  <c r="Q102" i="1"/>
  <c r="P102" i="1"/>
  <c r="O102" i="1"/>
  <c r="Z101" i="1"/>
  <c r="Y101" i="1"/>
  <c r="X101" i="1"/>
  <c r="W101" i="1"/>
  <c r="V101" i="1"/>
  <c r="U101" i="1"/>
  <c r="T101" i="1"/>
  <c r="S101" i="1"/>
  <c r="R101" i="1"/>
  <c r="Q101" i="1"/>
  <c r="P101" i="1"/>
  <c r="O101" i="1"/>
  <c r="AI100" i="1"/>
  <c r="Z100" i="1"/>
  <c r="Y100" i="1"/>
  <c r="X100" i="1"/>
  <c r="W100" i="1"/>
  <c r="V100" i="1"/>
  <c r="U100" i="1"/>
  <c r="T100" i="1"/>
  <c r="S100" i="1"/>
  <c r="R100" i="1"/>
  <c r="Q100" i="1"/>
  <c r="P100" i="1"/>
  <c r="O100" i="1"/>
  <c r="Z99" i="1"/>
  <c r="Y99" i="1"/>
  <c r="X99" i="1"/>
  <c r="W99" i="1"/>
  <c r="V99" i="1"/>
  <c r="U99" i="1"/>
  <c r="T99" i="1"/>
  <c r="S99" i="1"/>
  <c r="R99" i="1"/>
  <c r="Q99" i="1"/>
  <c r="P99" i="1"/>
  <c r="O99" i="1"/>
  <c r="Z98" i="1"/>
  <c r="Y98" i="1"/>
  <c r="X98" i="1"/>
  <c r="W98" i="1"/>
  <c r="V98" i="1"/>
  <c r="U98" i="1"/>
  <c r="T98" i="1"/>
  <c r="S98" i="1"/>
  <c r="R98" i="1"/>
  <c r="Q98" i="1"/>
  <c r="P98" i="1"/>
  <c r="O98" i="1"/>
  <c r="Z97" i="1"/>
  <c r="Y97" i="1"/>
  <c r="X97" i="1"/>
  <c r="W97" i="1"/>
  <c r="V97" i="1"/>
  <c r="U97" i="1"/>
  <c r="T97" i="1"/>
  <c r="S97" i="1"/>
  <c r="R97" i="1"/>
  <c r="Q97" i="1"/>
  <c r="P97" i="1"/>
  <c r="O97" i="1"/>
  <c r="Z96" i="1"/>
  <c r="Y96" i="1"/>
  <c r="X96" i="1"/>
  <c r="W96" i="1"/>
  <c r="V96" i="1"/>
  <c r="U96" i="1"/>
  <c r="T96" i="1"/>
  <c r="S96" i="1"/>
  <c r="R96" i="1"/>
  <c r="Q96" i="1"/>
  <c r="P96" i="1"/>
  <c r="O96" i="1"/>
  <c r="Z95" i="1"/>
  <c r="Y95" i="1"/>
  <c r="X95" i="1"/>
  <c r="W95" i="1"/>
  <c r="V95" i="1"/>
  <c r="U95" i="1"/>
  <c r="T95" i="1"/>
  <c r="S95" i="1"/>
  <c r="R95" i="1"/>
  <c r="Q95" i="1"/>
  <c r="P95" i="1"/>
  <c r="O95" i="1"/>
  <c r="Z94" i="1"/>
  <c r="Y94" i="1"/>
  <c r="X94" i="1"/>
  <c r="W94" i="1"/>
  <c r="V94" i="1"/>
  <c r="U94" i="1"/>
  <c r="T94" i="1"/>
  <c r="S94" i="1"/>
  <c r="R94" i="1"/>
  <c r="Q94" i="1"/>
  <c r="P94" i="1"/>
  <c r="O94" i="1"/>
  <c r="Z93" i="1"/>
  <c r="Y93" i="1"/>
  <c r="X93" i="1"/>
  <c r="W93" i="1"/>
  <c r="V93" i="1"/>
  <c r="U93" i="1"/>
  <c r="T93" i="1"/>
  <c r="S93" i="1"/>
  <c r="R93" i="1"/>
  <c r="Q93" i="1"/>
  <c r="P93" i="1"/>
  <c r="O93" i="1"/>
  <c r="Z92" i="1"/>
  <c r="Y92" i="1"/>
  <c r="X92" i="1"/>
  <c r="W92" i="1"/>
  <c r="V92" i="1"/>
  <c r="U92" i="1"/>
  <c r="T92" i="1"/>
  <c r="S92" i="1"/>
  <c r="R92" i="1"/>
  <c r="Q92" i="1"/>
  <c r="P92" i="1"/>
  <c r="O92" i="1"/>
  <c r="AI91" i="1"/>
  <c r="Z91" i="1"/>
  <c r="Y91" i="1"/>
  <c r="X91" i="1"/>
  <c r="W91" i="1"/>
  <c r="V91" i="1"/>
  <c r="U91" i="1"/>
  <c r="T91" i="1"/>
  <c r="S91" i="1"/>
  <c r="R91" i="1"/>
  <c r="Q91" i="1"/>
  <c r="P91" i="1"/>
  <c r="O91" i="1"/>
  <c r="Z90" i="1"/>
  <c r="Y90" i="1"/>
  <c r="X90" i="1"/>
  <c r="W90" i="1"/>
  <c r="V90" i="1"/>
  <c r="U90" i="1"/>
  <c r="T90" i="1"/>
  <c r="S90" i="1"/>
  <c r="R90" i="1"/>
  <c r="Q90" i="1"/>
  <c r="P90" i="1"/>
  <c r="O90" i="1"/>
  <c r="Z89" i="1"/>
  <c r="Y89" i="1"/>
  <c r="X89" i="1"/>
  <c r="W89" i="1"/>
  <c r="V89" i="1"/>
  <c r="U89" i="1"/>
  <c r="T89" i="1"/>
  <c r="S89" i="1"/>
  <c r="R89" i="1"/>
  <c r="Q89" i="1"/>
  <c r="P89" i="1"/>
  <c r="O89" i="1"/>
  <c r="Z88" i="1"/>
  <c r="Y88" i="1"/>
  <c r="X88" i="1"/>
  <c r="W88" i="1"/>
  <c r="V88" i="1"/>
  <c r="U88" i="1"/>
  <c r="T88" i="1"/>
  <c r="S88" i="1"/>
  <c r="R88" i="1"/>
  <c r="Q88" i="1"/>
  <c r="P88" i="1"/>
  <c r="O88" i="1"/>
  <c r="Z87" i="1"/>
  <c r="Y87" i="1"/>
  <c r="X87" i="1"/>
  <c r="W87" i="1"/>
  <c r="V87" i="1"/>
  <c r="U87" i="1"/>
  <c r="T87" i="1"/>
  <c r="S87" i="1"/>
  <c r="R87" i="1"/>
  <c r="Q87" i="1"/>
  <c r="P87" i="1"/>
  <c r="O87" i="1"/>
  <c r="Z86" i="1"/>
  <c r="Y86" i="1"/>
  <c r="X86" i="1"/>
  <c r="W86" i="1"/>
  <c r="V86" i="1"/>
  <c r="U86" i="1"/>
  <c r="T86" i="1"/>
  <c r="S86" i="1"/>
  <c r="R86" i="1"/>
  <c r="Q86" i="1"/>
  <c r="P86" i="1"/>
  <c r="O86" i="1"/>
  <c r="Z85" i="1"/>
  <c r="Y85" i="1"/>
  <c r="X85" i="1"/>
  <c r="W85" i="1"/>
  <c r="V85" i="1"/>
  <c r="U85" i="1"/>
  <c r="T85" i="1"/>
  <c r="S85" i="1"/>
  <c r="R85" i="1"/>
  <c r="Q85" i="1"/>
  <c r="P85" i="1"/>
  <c r="O85" i="1"/>
  <c r="Z84" i="1"/>
  <c r="Y84" i="1"/>
  <c r="X84" i="1"/>
  <c r="W84" i="1"/>
  <c r="V84" i="1"/>
  <c r="U84" i="1"/>
  <c r="T84" i="1"/>
  <c r="S84" i="1"/>
  <c r="R84" i="1"/>
  <c r="Q84" i="1"/>
  <c r="P84" i="1"/>
  <c r="O84" i="1"/>
  <c r="Z83" i="1"/>
  <c r="Y83" i="1"/>
  <c r="X83" i="1"/>
  <c r="W83" i="1"/>
  <c r="V83" i="1"/>
  <c r="U83" i="1"/>
  <c r="T83" i="1"/>
  <c r="S83" i="1"/>
  <c r="R83" i="1"/>
  <c r="Q83" i="1"/>
  <c r="P83" i="1"/>
  <c r="O83" i="1"/>
  <c r="Z82" i="1"/>
  <c r="Y82" i="1"/>
  <c r="X82" i="1"/>
  <c r="W82" i="1"/>
  <c r="V82" i="1"/>
  <c r="U82" i="1"/>
  <c r="T82" i="1"/>
  <c r="S82" i="1"/>
  <c r="R82" i="1"/>
  <c r="Q82" i="1"/>
  <c r="P82" i="1"/>
  <c r="O82" i="1"/>
  <c r="Z81" i="1"/>
  <c r="Y81" i="1"/>
  <c r="X81" i="1"/>
  <c r="W81" i="1"/>
  <c r="V81" i="1"/>
  <c r="U81" i="1"/>
  <c r="T81" i="1"/>
  <c r="S81" i="1"/>
  <c r="R81" i="1"/>
  <c r="Q81" i="1"/>
  <c r="P81" i="1"/>
  <c r="O81" i="1"/>
  <c r="Z80" i="1"/>
  <c r="Y80" i="1"/>
  <c r="X80" i="1"/>
  <c r="W80" i="1"/>
  <c r="V80" i="1"/>
  <c r="U80" i="1"/>
  <c r="T80" i="1"/>
  <c r="S80" i="1"/>
  <c r="R80" i="1"/>
  <c r="Q80" i="1"/>
  <c r="P80" i="1"/>
  <c r="O80" i="1"/>
  <c r="AH79" i="1"/>
  <c r="Z79" i="1"/>
  <c r="Y79" i="1"/>
  <c r="X79" i="1"/>
  <c r="W79" i="1"/>
  <c r="V79" i="1"/>
  <c r="U79" i="1"/>
  <c r="T79" i="1"/>
  <c r="S79" i="1"/>
  <c r="R79" i="1"/>
  <c r="Q79" i="1"/>
  <c r="P79" i="1"/>
  <c r="O79" i="1"/>
  <c r="Z78" i="1"/>
  <c r="Y78" i="1"/>
  <c r="X78" i="1"/>
  <c r="W78" i="1"/>
  <c r="V78" i="1"/>
  <c r="U78" i="1"/>
  <c r="T78" i="1"/>
  <c r="S78" i="1"/>
  <c r="R78" i="1"/>
  <c r="Q78" i="1"/>
  <c r="P78" i="1"/>
  <c r="O78" i="1"/>
  <c r="Z77" i="1"/>
  <c r="Y77" i="1"/>
  <c r="X77" i="1"/>
  <c r="W77" i="1"/>
  <c r="V77" i="1"/>
  <c r="U77" i="1"/>
  <c r="T77" i="1"/>
  <c r="S77" i="1"/>
  <c r="R77" i="1"/>
  <c r="Q77" i="1"/>
  <c r="P77" i="1"/>
  <c r="O77" i="1"/>
  <c r="Z76" i="1"/>
  <c r="Y76" i="1"/>
  <c r="X76" i="1"/>
  <c r="W76" i="1"/>
  <c r="V76" i="1"/>
  <c r="U76" i="1"/>
  <c r="T76" i="1"/>
  <c r="S76" i="1"/>
  <c r="R76" i="1"/>
  <c r="Q76" i="1"/>
  <c r="P76" i="1"/>
  <c r="O76" i="1"/>
  <c r="Z75" i="1"/>
  <c r="Y75" i="1"/>
  <c r="X75" i="1"/>
  <c r="W75" i="1"/>
  <c r="V75" i="1"/>
  <c r="U75" i="1"/>
  <c r="T75" i="1"/>
  <c r="S75" i="1"/>
  <c r="R75" i="1"/>
  <c r="Q75" i="1"/>
  <c r="P75" i="1"/>
  <c r="O75" i="1"/>
  <c r="Z74" i="1"/>
  <c r="Y74" i="1"/>
  <c r="X74" i="1"/>
  <c r="W74" i="1"/>
  <c r="V74" i="1"/>
  <c r="U74" i="1"/>
  <c r="T74" i="1"/>
  <c r="S74" i="1"/>
  <c r="R74" i="1"/>
  <c r="Q74" i="1"/>
  <c r="P74" i="1"/>
  <c r="O74" i="1"/>
  <c r="Z73" i="1"/>
  <c r="Y73" i="1"/>
  <c r="X73" i="1"/>
  <c r="W73" i="1"/>
  <c r="V73" i="1"/>
  <c r="U73" i="1"/>
  <c r="T73" i="1"/>
  <c r="S73" i="1"/>
  <c r="R73" i="1"/>
  <c r="Q73" i="1"/>
  <c r="P73" i="1"/>
  <c r="O73" i="1"/>
  <c r="Z72" i="1"/>
  <c r="Y72" i="1"/>
  <c r="X72" i="1"/>
  <c r="W72" i="1"/>
  <c r="V72" i="1"/>
  <c r="U72" i="1"/>
  <c r="T72" i="1"/>
  <c r="S72" i="1"/>
  <c r="R72" i="1"/>
  <c r="Q72" i="1"/>
  <c r="P72" i="1"/>
  <c r="O72" i="1"/>
  <c r="AH71" i="1"/>
  <c r="Z71" i="1"/>
  <c r="Y71" i="1"/>
  <c r="X71" i="1"/>
  <c r="W71" i="1"/>
  <c r="V71" i="1"/>
  <c r="U71" i="1"/>
  <c r="T71" i="1"/>
  <c r="S71" i="1"/>
  <c r="R71" i="1"/>
  <c r="Q71" i="1"/>
  <c r="P71" i="1"/>
  <c r="O71" i="1"/>
  <c r="Z70" i="1"/>
  <c r="Y70" i="1"/>
  <c r="X70" i="1"/>
  <c r="W70" i="1"/>
  <c r="V70" i="1"/>
  <c r="U70" i="1"/>
  <c r="T70" i="1"/>
  <c r="S70" i="1"/>
  <c r="R70" i="1"/>
  <c r="Q70" i="1"/>
  <c r="P70" i="1"/>
  <c r="O70" i="1"/>
  <c r="Z69" i="1"/>
  <c r="Y69" i="1"/>
  <c r="X69" i="1"/>
  <c r="W69" i="1"/>
  <c r="V69" i="1"/>
  <c r="U69" i="1"/>
  <c r="T69" i="1"/>
  <c r="S69" i="1"/>
  <c r="R69" i="1"/>
  <c r="Q69" i="1"/>
  <c r="P69" i="1"/>
  <c r="O69" i="1"/>
  <c r="AI68" i="1"/>
  <c r="Z68" i="1"/>
  <c r="Y68" i="1"/>
  <c r="X68" i="1"/>
  <c r="W68" i="1"/>
  <c r="V68" i="1"/>
  <c r="U68" i="1"/>
  <c r="T68" i="1"/>
  <c r="S68" i="1"/>
  <c r="R68" i="1"/>
  <c r="Q68" i="1"/>
  <c r="P68" i="1"/>
  <c r="O68" i="1"/>
  <c r="Z67" i="1"/>
  <c r="Y67" i="1"/>
  <c r="X67" i="1"/>
  <c r="W67" i="1"/>
  <c r="V67" i="1"/>
  <c r="U67" i="1"/>
  <c r="T67" i="1"/>
  <c r="S67" i="1"/>
  <c r="R67" i="1"/>
  <c r="Q67" i="1"/>
  <c r="P67" i="1"/>
  <c r="O67" i="1"/>
  <c r="Z66" i="1"/>
  <c r="Y66" i="1"/>
  <c r="X66" i="1"/>
  <c r="W66" i="1"/>
  <c r="V66" i="1"/>
  <c r="U66" i="1"/>
  <c r="T66" i="1"/>
  <c r="S66" i="1"/>
  <c r="R66" i="1"/>
  <c r="Q66" i="1"/>
  <c r="P66" i="1"/>
  <c r="O66" i="1"/>
  <c r="Z65" i="1"/>
  <c r="Y65" i="1"/>
  <c r="X65" i="1"/>
  <c r="W65" i="1"/>
  <c r="V65" i="1"/>
  <c r="U65" i="1"/>
  <c r="T65" i="1"/>
  <c r="S65" i="1"/>
  <c r="R65" i="1"/>
  <c r="Q65" i="1"/>
  <c r="P65" i="1"/>
  <c r="O65" i="1"/>
  <c r="Z64" i="1"/>
  <c r="Y64" i="1"/>
  <c r="X64" i="1"/>
  <c r="W64" i="1"/>
  <c r="V64" i="1"/>
  <c r="U64" i="1"/>
  <c r="T64" i="1"/>
  <c r="S64" i="1"/>
  <c r="R64" i="1"/>
  <c r="Q64" i="1"/>
  <c r="P64" i="1"/>
  <c r="O64" i="1"/>
  <c r="Z63" i="1"/>
  <c r="Y63" i="1"/>
  <c r="X63" i="1"/>
  <c r="W63" i="1"/>
  <c r="V63" i="1"/>
  <c r="U63" i="1"/>
  <c r="T63" i="1"/>
  <c r="S63" i="1"/>
  <c r="R63" i="1"/>
  <c r="Q63" i="1"/>
  <c r="P63" i="1"/>
  <c r="O63" i="1"/>
  <c r="Z62" i="1"/>
  <c r="Y62" i="1"/>
  <c r="X62" i="1"/>
  <c r="W62" i="1"/>
  <c r="V62" i="1"/>
  <c r="U62" i="1"/>
  <c r="T62" i="1"/>
  <c r="S62" i="1"/>
  <c r="R62" i="1"/>
  <c r="Q62" i="1"/>
  <c r="P62" i="1"/>
  <c r="O62" i="1"/>
  <c r="Z61" i="1"/>
  <c r="Y61" i="1"/>
  <c r="X61" i="1"/>
  <c r="W61" i="1"/>
  <c r="V61" i="1"/>
  <c r="U61" i="1"/>
  <c r="T61" i="1"/>
  <c r="S61" i="1"/>
  <c r="R61" i="1"/>
  <c r="Q61" i="1"/>
  <c r="P61" i="1"/>
  <c r="O61" i="1"/>
  <c r="Z60" i="1"/>
  <c r="Y60" i="1"/>
  <c r="X60" i="1"/>
  <c r="W60" i="1"/>
  <c r="V60" i="1"/>
  <c r="U60" i="1"/>
  <c r="T60" i="1"/>
  <c r="S60" i="1"/>
  <c r="R60" i="1"/>
  <c r="Q60" i="1"/>
  <c r="P60" i="1"/>
  <c r="O60" i="1"/>
  <c r="AI59" i="1"/>
  <c r="Z59" i="1"/>
  <c r="Y59" i="1"/>
  <c r="X59" i="1"/>
  <c r="W59" i="1"/>
  <c r="V59" i="1"/>
  <c r="U59" i="1"/>
  <c r="T59" i="1"/>
  <c r="S59" i="1"/>
  <c r="R59" i="1"/>
  <c r="Q59" i="1"/>
  <c r="P59" i="1"/>
  <c r="O59" i="1"/>
  <c r="Z58" i="1"/>
  <c r="Y58" i="1"/>
  <c r="X58" i="1"/>
  <c r="W58" i="1"/>
  <c r="V58" i="1"/>
  <c r="U58" i="1"/>
  <c r="T58" i="1"/>
  <c r="S58" i="1"/>
  <c r="R58" i="1"/>
  <c r="Q58" i="1"/>
  <c r="P58" i="1"/>
  <c r="O58" i="1"/>
  <c r="Z57" i="1"/>
  <c r="Y57" i="1"/>
  <c r="X57" i="1"/>
  <c r="W57" i="1"/>
  <c r="V57" i="1"/>
  <c r="U57" i="1"/>
  <c r="T57" i="1"/>
  <c r="S57" i="1"/>
  <c r="R57" i="1"/>
  <c r="Q57" i="1"/>
  <c r="P57" i="1"/>
  <c r="O57" i="1"/>
  <c r="Z56" i="1"/>
  <c r="Y56" i="1"/>
  <c r="X56" i="1"/>
  <c r="W56" i="1"/>
  <c r="V56" i="1"/>
  <c r="U56" i="1"/>
  <c r="T56" i="1"/>
  <c r="S56" i="1"/>
  <c r="R56" i="1"/>
  <c r="Q56" i="1"/>
  <c r="P56" i="1"/>
  <c r="O56" i="1"/>
  <c r="AH55" i="1"/>
  <c r="Z55" i="1"/>
  <c r="Y55" i="1"/>
  <c r="X55" i="1"/>
  <c r="W55" i="1"/>
  <c r="V55" i="1"/>
  <c r="U55" i="1"/>
  <c r="T55" i="1"/>
  <c r="S55" i="1"/>
  <c r="R55" i="1"/>
  <c r="Q55" i="1"/>
  <c r="P55" i="1"/>
  <c r="O55" i="1"/>
  <c r="Z54" i="1"/>
  <c r="Y54" i="1"/>
  <c r="X54" i="1"/>
  <c r="W54" i="1"/>
  <c r="V54" i="1"/>
  <c r="U54" i="1"/>
  <c r="T54" i="1"/>
  <c r="S54" i="1"/>
  <c r="R54" i="1"/>
  <c r="Q54" i="1"/>
  <c r="P54" i="1"/>
  <c r="O54" i="1"/>
  <c r="Z53" i="1"/>
  <c r="Y53" i="1"/>
  <c r="X53" i="1"/>
  <c r="W53" i="1"/>
  <c r="V53" i="1"/>
  <c r="U53" i="1"/>
  <c r="T53" i="1"/>
  <c r="S53" i="1"/>
  <c r="R53" i="1"/>
  <c r="Q53" i="1"/>
  <c r="P53" i="1"/>
  <c r="O53" i="1"/>
  <c r="AI52" i="1"/>
  <c r="Z52" i="1"/>
  <c r="Y52" i="1"/>
  <c r="X52" i="1"/>
  <c r="W52" i="1"/>
  <c r="V52" i="1"/>
  <c r="U52" i="1"/>
  <c r="T52" i="1"/>
  <c r="S52" i="1"/>
  <c r="R52" i="1"/>
  <c r="Q52" i="1"/>
  <c r="P52" i="1"/>
  <c r="O52" i="1"/>
  <c r="Z51" i="1"/>
  <c r="Y51" i="1"/>
  <c r="X51" i="1"/>
  <c r="W51" i="1"/>
  <c r="V51" i="1"/>
  <c r="U51" i="1"/>
  <c r="T51" i="1"/>
  <c r="S51" i="1"/>
  <c r="R51" i="1"/>
  <c r="Q51" i="1"/>
  <c r="P51" i="1"/>
  <c r="O51" i="1"/>
  <c r="Z50" i="1"/>
  <c r="Y50" i="1"/>
  <c r="X50" i="1"/>
  <c r="W50" i="1"/>
  <c r="V50" i="1"/>
  <c r="U50" i="1"/>
  <c r="T50" i="1"/>
  <c r="S50" i="1"/>
  <c r="R50" i="1"/>
  <c r="Q50" i="1"/>
  <c r="P50" i="1"/>
  <c r="O50" i="1"/>
  <c r="Z49" i="1"/>
  <c r="Y49" i="1"/>
  <c r="X49" i="1"/>
  <c r="W49" i="1"/>
  <c r="V49" i="1"/>
  <c r="U49" i="1"/>
  <c r="T49" i="1"/>
  <c r="S49" i="1"/>
  <c r="R49" i="1"/>
  <c r="Q49" i="1"/>
  <c r="P49" i="1"/>
  <c r="O49" i="1"/>
  <c r="Z48" i="1"/>
  <c r="Y48" i="1"/>
  <c r="X48" i="1"/>
  <c r="W48" i="1"/>
  <c r="V48" i="1"/>
  <c r="U48" i="1"/>
  <c r="T48" i="1"/>
  <c r="S48" i="1"/>
  <c r="R48" i="1"/>
  <c r="Q48" i="1"/>
  <c r="P48" i="1"/>
  <c r="O48" i="1"/>
  <c r="Z47" i="1"/>
  <c r="Y47" i="1"/>
  <c r="X47" i="1"/>
  <c r="W47" i="1"/>
  <c r="V47" i="1"/>
  <c r="U47" i="1"/>
  <c r="T47" i="1"/>
  <c r="S47" i="1"/>
  <c r="R47" i="1"/>
  <c r="Q47" i="1"/>
  <c r="P47" i="1"/>
  <c r="O47" i="1"/>
  <c r="Z46" i="1"/>
  <c r="Y46" i="1"/>
  <c r="X46" i="1"/>
  <c r="W46" i="1"/>
  <c r="V46" i="1"/>
  <c r="U46" i="1"/>
  <c r="T46" i="1"/>
  <c r="S46" i="1"/>
  <c r="R46" i="1"/>
  <c r="Q46" i="1"/>
  <c r="P46" i="1"/>
  <c r="O46" i="1"/>
  <c r="Z45" i="1"/>
  <c r="Y45" i="1"/>
  <c r="X45" i="1"/>
  <c r="W45" i="1"/>
  <c r="V45" i="1"/>
  <c r="U45" i="1"/>
  <c r="T45" i="1"/>
  <c r="S45" i="1"/>
  <c r="R45" i="1"/>
  <c r="Q45" i="1"/>
  <c r="P45" i="1"/>
  <c r="O45" i="1"/>
  <c r="Z44" i="1"/>
  <c r="Y44" i="1"/>
  <c r="X44" i="1"/>
  <c r="W44" i="1"/>
  <c r="V44" i="1"/>
  <c r="U44" i="1"/>
  <c r="T44" i="1"/>
  <c r="S44" i="1"/>
  <c r="R44" i="1"/>
  <c r="Q44" i="1"/>
  <c r="P44" i="1"/>
  <c r="O44" i="1"/>
  <c r="AH43" i="1"/>
  <c r="Z43" i="1"/>
  <c r="Y43" i="1"/>
  <c r="X43" i="1"/>
  <c r="W43" i="1"/>
  <c r="V43" i="1"/>
  <c r="U43" i="1"/>
  <c r="T43" i="1"/>
  <c r="S43" i="1"/>
  <c r="R43" i="1"/>
  <c r="Q43" i="1"/>
  <c r="P43" i="1"/>
  <c r="O43" i="1"/>
  <c r="Z42" i="1"/>
  <c r="Y42" i="1"/>
  <c r="X42" i="1"/>
  <c r="W42" i="1"/>
  <c r="V42" i="1"/>
  <c r="U42" i="1"/>
  <c r="T42" i="1"/>
  <c r="S42" i="1"/>
  <c r="R42" i="1"/>
  <c r="Q42" i="1"/>
  <c r="P42" i="1"/>
  <c r="O42" i="1"/>
  <c r="Z41" i="1"/>
  <c r="Y41" i="1"/>
  <c r="X41" i="1"/>
  <c r="W41" i="1"/>
  <c r="V41" i="1"/>
  <c r="U41" i="1"/>
  <c r="T41" i="1"/>
  <c r="S41" i="1"/>
  <c r="R41" i="1"/>
  <c r="Q41" i="1"/>
  <c r="P41" i="1"/>
  <c r="O41" i="1"/>
  <c r="Z40" i="1"/>
  <c r="Y40" i="1"/>
  <c r="X40" i="1"/>
  <c r="W40" i="1"/>
  <c r="V40" i="1"/>
  <c r="U40" i="1"/>
  <c r="T40" i="1"/>
  <c r="S40" i="1"/>
  <c r="R40" i="1"/>
  <c r="Q40" i="1"/>
  <c r="P40" i="1"/>
  <c r="O40" i="1"/>
  <c r="Z39" i="1"/>
  <c r="Y39" i="1"/>
  <c r="X39" i="1"/>
  <c r="W39" i="1"/>
  <c r="V39" i="1"/>
  <c r="U39" i="1"/>
  <c r="T39" i="1"/>
  <c r="S39" i="1"/>
  <c r="R39" i="1"/>
  <c r="Q39" i="1"/>
  <c r="P39" i="1"/>
  <c r="O39" i="1"/>
  <c r="Z38" i="1"/>
  <c r="Y38" i="1"/>
  <c r="X38" i="1"/>
  <c r="W38" i="1"/>
  <c r="V38" i="1"/>
  <c r="U38" i="1"/>
  <c r="T38" i="1"/>
  <c r="S38" i="1"/>
  <c r="R38" i="1"/>
  <c r="Q38" i="1"/>
  <c r="P38" i="1"/>
  <c r="O38" i="1"/>
  <c r="Z37" i="1"/>
  <c r="Y37" i="1"/>
  <c r="X37" i="1"/>
  <c r="W37" i="1"/>
  <c r="V37" i="1"/>
  <c r="U37" i="1"/>
  <c r="T37" i="1"/>
  <c r="S37" i="1"/>
  <c r="R37" i="1"/>
  <c r="Q37" i="1"/>
  <c r="P37" i="1"/>
  <c r="O37" i="1"/>
  <c r="AH36" i="1"/>
  <c r="Z36" i="1"/>
  <c r="Y36" i="1"/>
  <c r="X36" i="1"/>
  <c r="W36" i="1"/>
  <c r="V36" i="1"/>
  <c r="U36" i="1"/>
  <c r="T36" i="1"/>
  <c r="S36" i="1"/>
  <c r="R36" i="1"/>
  <c r="Q36" i="1"/>
  <c r="P36" i="1"/>
  <c r="O36" i="1"/>
  <c r="AI35" i="1"/>
  <c r="Z35" i="1"/>
  <c r="Y35" i="1"/>
  <c r="X35" i="1"/>
  <c r="W35" i="1"/>
  <c r="V35" i="1"/>
  <c r="U35" i="1"/>
  <c r="T35" i="1"/>
  <c r="S35" i="1"/>
  <c r="R35" i="1"/>
  <c r="Q35" i="1"/>
  <c r="P35" i="1"/>
  <c r="O35" i="1"/>
  <c r="Z34" i="1"/>
  <c r="Y34" i="1"/>
  <c r="X34" i="1"/>
  <c r="W34" i="1"/>
  <c r="V34" i="1"/>
  <c r="U34" i="1"/>
  <c r="T34" i="1"/>
  <c r="S34" i="1"/>
  <c r="R34" i="1"/>
  <c r="Q34" i="1"/>
  <c r="P34" i="1"/>
  <c r="O34" i="1"/>
  <c r="Z33" i="1"/>
  <c r="Y33" i="1"/>
  <c r="X33" i="1"/>
  <c r="W33" i="1"/>
  <c r="V33" i="1"/>
  <c r="U33" i="1"/>
  <c r="T33" i="1"/>
  <c r="S33" i="1"/>
  <c r="R33" i="1"/>
  <c r="Q33" i="1"/>
  <c r="P33" i="1"/>
  <c r="O33" i="1"/>
  <c r="Z32" i="1"/>
  <c r="Y32" i="1"/>
  <c r="X32" i="1"/>
  <c r="W32" i="1"/>
  <c r="V32" i="1"/>
  <c r="U32" i="1"/>
  <c r="T32" i="1"/>
  <c r="S32" i="1"/>
  <c r="R32" i="1"/>
  <c r="Q32" i="1"/>
  <c r="P32" i="1"/>
  <c r="O32" i="1"/>
  <c r="Z31" i="1"/>
  <c r="Y31" i="1"/>
  <c r="X31" i="1"/>
  <c r="W31" i="1"/>
  <c r="V31" i="1"/>
  <c r="U31" i="1"/>
  <c r="T31" i="1"/>
  <c r="S31" i="1"/>
  <c r="R31" i="1"/>
  <c r="Q31" i="1"/>
  <c r="P31" i="1"/>
  <c r="O31" i="1"/>
  <c r="Z30" i="1"/>
  <c r="Y30" i="1"/>
  <c r="X30" i="1"/>
  <c r="W30" i="1"/>
  <c r="V30" i="1"/>
  <c r="U30" i="1"/>
  <c r="T30" i="1"/>
  <c r="S30" i="1"/>
  <c r="R30" i="1"/>
  <c r="Q30" i="1"/>
  <c r="P30" i="1"/>
  <c r="O30" i="1"/>
  <c r="Z29" i="1"/>
  <c r="Y29" i="1"/>
  <c r="X29" i="1"/>
  <c r="W29" i="1"/>
  <c r="V29" i="1"/>
  <c r="U29" i="1"/>
  <c r="T29" i="1"/>
  <c r="S29" i="1"/>
  <c r="R29" i="1"/>
  <c r="Q29" i="1"/>
  <c r="P29" i="1"/>
  <c r="O29" i="1"/>
  <c r="AI28" i="1"/>
  <c r="Z28" i="1"/>
  <c r="Y28" i="1"/>
  <c r="X28" i="1"/>
  <c r="W28" i="1"/>
  <c r="V28" i="1"/>
  <c r="U28" i="1"/>
  <c r="T28" i="1"/>
  <c r="S28" i="1"/>
  <c r="R28" i="1"/>
  <c r="Q28" i="1"/>
  <c r="P28" i="1"/>
  <c r="O28" i="1"/>
  <c r="AI27" i="1"/>
  <c r="Z27" i="1"/>
  <c r="Y27" i="1"/>
  <c r="X27" i="1"/>
  <c r="W27" i="1"/>
  <c r="V27" i="1"/>
  <c r="U27" i="1"/>
  <c r="T27" i="1"/>
  <c r="S27" i="1"/>
  <c r="R27" i="1"/>
  <c r="Q27" i="1"/>
  <c r="P27" i="1"/>
  <c r="O27" i="1"/>
  <c r="Z26" i="1"/>
  <c r="Y26" i="1"/>
  <c r="X26" i="1"/>
  <c r="W26" i="1"/>
  <c r="V26" i="1"/>
  <c r="U26" i="1"/>
  <c r="T26" i="1"/>
  <c r="S26" i="1"/>
  <c r="R26" i="1"/>
  <c r="Q26" i="1"/>
  <c r="P26" i="1"/>
  <c r="O26" i="1"/>
  <c r="Z25" i="1"/>
  <c r="Y25" i="1"/>
  <c r="X25" i="1"/>
  <c r="W25" i="1"/>
  <c r="V25" i="1"/>
  <c r="U25" i="1"/>
  <c r="T25" i="1"/>
  <c r="S25" i="1"/>
  <c r="R25" i="1"/>
  <c r="Q25" i="1"/>
  <c r="P25" i="1"/>
  <c r="O25" i="1"/>
  <c r="Z24" i="1"/>
  <c r="Y24" i="1"/>
  <c r="X24" i="1"/>
  <c r="W24" i="1"/>
  <c r="V24" i="1"/>
  <c r="U24" i="1"/>
  <c r="T24" i="1"/>
  <c r="S24" i="1"/>
  <c r="R24" i="1"/>
  <c r="Q24" i="1"/>
  <c r="P24" i="1"/>
  <c r="O24" i="1"/>
  <c r="AI23" i="1"/>
  <c r="Z23" i="1"/>
  <c r="Y23" i="1"/>
  <c r="X23" i="1"/>
  <c r="W23" i="1"/>
  <c r="V23" i="1"/>
  <c r="U23" i="1"/>
  <c r="T23" i="1"/>
  <c r="S23" i="1"/>
  <c r="R23" i="1"/>
  <c r="Q23" i="1"/>
  <c r="P23" i="1"/>
  <c r="O23" i="1"/>
  <c r="Z22" i="1"/>
  <c r="Y22" i="1"/>
  <c r="X22" i="1"/>
  <c r="W22" i="1"/>
  <c r="V22" i="1"/>
  <c r="U22" i="1"/>
  <c r="T22" i="1"/>
  <c r="S22" i="1"/>
  <c r="R22" i="1"/>
  <c r="Q22" i="1"/>
  <c r="P22" i="1"/>
  <c r="O22" i="1"/>
  <c r="Z21" i="1"/>
  <c r="Y21" i="1"/>
  <c r="X21" i="1"/>
  <c r="W21" i="1"/>
  <c r="V21" i="1"/>
  <c r="U21" i="1"/>
  <c r="T21" i="1"/>
  <c r="S21" i="1"/>
  <c r="R21" i="1"/>
  <c r="Q21" i="1"/>
  <c r="P21" i="1"/>
  <c r="O21" i="1"/>
  <c r="AI20" i="1"/>
  <c r="Z20" i="1"/>
  <c r="Y20" i="1"/>
  <c r="X20" i="1"/>
  <c r="W20" i="1"/>
  <c r="V20" i="1"/>
  <c r="U20" i="1"/>
  <c r="T20" i="1"/>
  <c r="S20" i="1"/>
  <c r="R20" i="1"/>
  <c r="Q20" i="1"/>
  <c r="P20" i="1"/>
  <c r="O20" i="1"/>
  <c r="Z19" i="1"/>
  <c r="Y19" i="1"/>
  <c r="X19" i="1"/>
  <c r="W19" i="1"/>
  <c r="V19" i="1"/>
  <c r="U19" i="1"/>
  <c r="T19" i="1"/>
  <c r="S19" i="1"/>
  <c r="R19" i="1"/>
  <c r="Q19" i="1"/>
  <c r="P19" i="1"/>
  <c r="O19" i="1"/>
  <c r="Z18" i="1"/>
  <c r="Y18" i="1"/>
  <c r="X18" i="1"/>
  <c r="W18" i="1"/>
  <c r="V18" i="1"/>
  <c r="U18" i="1"/>
  <c r="T18" i="1"/>
  <c r="S18" i="1"/>
  <c r="R18" i="1"/>
  <c r="Q18" i="1"/>
  <c r="P18" i="1"/>
  <c r="O18" i="1"/>
  <c r="Z17" i="1"/>
  <c r="Y17" i="1"/>
  <c r="X17" i="1"/>
  <c r="W17" i="1"/>
  <c r="V17" i="1"/>
  <c r="U17" i="1"/>
  <c r="T17" i="1"/>
  <c r="S17" i="1"/>
  <c r="R17" i="1"/>
  <c r="Q17" i="1"/>
  <c r="P17" i="1"/>
  <c r="O17" i="1"/>
  <c r="Z16" i="1"/>
  <c r="Y16" i="1"/>
  <c r="X16" i="1"/>
  <c r="W16" i="1"/>
  <c r="V16" i="1"/>
  <c r="U16" i="1"/>
  <c r="T16" i="1"/>
  <c r="S16" i="1"/>
  <c r="R16" i="1"/>
  <c r="Q16" i="1"/>
  <c r="P16" i="1"/>
  <c r="O16" i="1"/>
  <c r="AI15" i="1"/>
  <c r="Z15" i="1"/>
  <c r="Y15" i="1"/>
  <c r="X15" i="1"/>
  <c r="W15" i="1"/>
  <c r="V15" i="1"/>
  <c r="U15" i="1"/>
  <c r="T15" i="1"/>
  <c r="S15" i="1"/>
  <c r="R15" i="1"/>
  <c r="Q15" i="1"/>
  <c r="P15" i="1"/>
  <c r="O15" i="1"/>
  <c r="Z14" i="1"/>
  <c r="Y14" i="1"/>
  <c r="X14" i="1"/>
  <c r="W14" i="1"/>
  <c r="V14" i="1"/>
  <c r="U14" i="1"/>
  <c r="T14" i="1"/>
  <c r="S14" i="1"/>
  <c r="R14" i="1"/>
  <c r="Q14" i="1"/>
  <c r="P14" i="1"/>
  <c r="O14" i="1"/>
  <c r="Z13" i="1"/>
  <c r="Y13" i="1"/>
  <c r="X13" i="1"/>
  <c r="W13" i="1"/>
  <c r="V13" i="1"/>
  <c r="U13" i="1"/>
  <c r="T13" i="1"/>
  <c r="S13" i="1"/>
  <c r="R13" i="1"/>
  <c r="Q13" i="1"/>
  <c r="P13" i="1"/>
  <c r="O13" i="1"/>
  <c r="AH12" i="1"/>
  <c r="Z12" i="1"/>
  <c r="Y12" i="1"/>
  <c r="X12" i="1"/>
  <c r="W12" i="1"/>
  <c r="V12" i="1"/>
  <c r="U12" i="1"/>
  <c r="T12" i="1"/>
  <c r="S12" i="1"/>
  <c r="R12" i="1"/>
  <c r="Q12" i="1"/>
  <c r="P12" i="1"/>
  <c r="O12" i="1"/>
  <c r="AI11" i="1"/>
  <c r="Z11" i="1"/>
  <c r="Y11" i="1"/>
  <c r="X11" i="1"/>
  <c r="W11" i="1"/>
  <c r="V11" i="1"/>
  <c r="U11" i="1"/>
  <c r="T11" i="1"/>
  <c r="S11" i="1"/>
  <c r="R11" i="1"/>
  <c r="Q11" i="1"/>
  <c r="P11" i="1"/>
  <c r="O11" i="1"/>
  <c r="Z10" i="1"/>
  <c r="Y10" i="1"/>
  <c r="X10" i="1"/>
  <c r="W10" i="1"/>
  <c r="V10" i="1"/>
  <c r="U10" i="1"/>
  <c r="T10" i="1"/>
  <c r="S10" i="1"/>
  <c r="R10" i="1"/>
  <c r="Q10" i="1"/>
  <c r="P10" i="1"/>
  <c r="O10" i="1"/>
  <c r="Z9" i="1"/>
  <c r="Y9" i="1"/>
  <c r="X9" i="1"/>
  <c r="W9" i="1"/>
  <c r="V9" i="1"/>
  <c r="U9" i="1"/>
  <c r="T9" i="1"/>
  <c r="S9" i="1"/>
  <c r="R9" i="1"/>
  <c r="Q9" i="1"/>
  <c r="P9" i="1"/>
  <c r="O9" i="1"/>
  <c r="Z8" i="1"/>
  <c r="Y8" i="1"/>
  <c r="X8" i="1"/>
  <c r="W8" i="1"/>
  <c r="V8" i="1"/>
  <c r="U8" i="1"/>
  <c r="T8" i="1"/>
  <c r="S8" i="1"/>
  <c r="R8" i="1"/>
  <c r="Q8" i="1"/>
  <c r="P8" i="1"/>
  <c r="O8" i="1"/>
  <c r="Z7" i="1"/>
  <c r="Y7" i="1"/>
  <c r="X7" i="1"/>
  <c r="W7" i="1"/>
  <c r="V7" i="1"/>
  <c r="U7" i="1"/>
  <c r="T7" i="1"/>
  <c r="S7" i="1"/>
  <c r="R7" i="1"/>
  <c r="Q7" i="1"/>
  <c r="P7" i="1"/>
  <c r="O7" i="1"/>
  <c r="Z6" i="1"/>
  <c r="Y6" i="1"/>
  <c r="X6" i="1"/>
  <c r="W6" i="1"/>
  <c r="V6" i="1"/>
  <c r="U6" i="1"/>
  <c r="T6" i="1"/>
  <c r="S6" i="1"/>
  <c r="R6" i="1"/>
  <c r="Q6" i="1"/>
  <c r="P6" i="1"/>
  <c r="O6" i="1"/>
  <c r="Z5" i="1"/>
  <c r="Y5" i="1"/>
  <c r="X5" i="1"/>
  <c r="W5" i="1"/>
  <c r="V5" i="1"/>
  <c r="U5" i="1"/>
  <c r="T5" i="1"/>
  <c r="S5" i="1"/>
  <c r="R5" i="1"/>
  <c r="Q5" i="1"/>
  <c r="P5" i="1"/>
  <c r="O5" i="1"/>
  <c r="Z4" i="1"/>
  <c r="Y4" i="1"/>
  <c r="X4" i="1"/>
  <c r="W4" i="1"/>
  <c r="V4" i="1"/>
  <c r="U4" i="1"/>
  <c r="T4" i="1"/>
  <c r="S4" i="1"/>
  <c r="R4" i="1"/>
  <c r="Q4" i="1"/>
  <c r="P4" i="1"/>
  <c r="O4" i="1"/>
  <c r="Z3" i="1"/>
  <c r="Y3" i="1"/>
  <c r="X3" i="1"/>
  <c r="W3" i="1"/>
  <c r="V3" i="1"/>
  <c r="U3" i="1"/>
  <c r="T3" i="1"/>
  <c r="S3" i="1"/>
  <c r="R3" i="1"/>
  <c r="Q3" i="1"/>
  <c r="P3" i="1"/>
  <c r="O3" i="1"/>
  <c r="AR2" i="1"/>
  <c r="AT2" i="1" s="1"/>
  <c r="AQ2" i="1"/>
  <c r="AS2" i="1" s="1"/>
  <c r="AP2" i="1"/>
  <c r="AO2" i="1"/>
  <c r="AN2" i="1"/>
  <c r="AM2" i="1"/>
  <c r="Z2" i="1"/>
  <c r="Y2" i="1"/>
  <c r="X2" i="1"/>
  <c r="W2" i="1"/>
  <c r="V2" i="1"/>
  <c r="U2" i="1"/>
  <c r="T2" i="1"/>
  <c r="S2" i="1"/>
  <c r="R2" i="1"/>
  <c r="Q2" i="1"/>
  <c r="P2" i="1"/>
  <c r="O2" i="1"/>
  <c r="J362" i="1" l="1"/>
  <c r="J346" i="1"/>
  <c r="J330" i="1"/>
  <c r="J314" i="1"/>
  <c r="J298" i="1"/>
  <c r="J282" i="1"/>
  <c r="J266" i="1"/>
  <c r="J250" i="1"/>
  <c r="J234" i="1"/>
  <c r="J218" i="1"/>
  <c r="J122" i="1"/>
  <c r="J211" i="1"/>
  <c r="AD478" i="1"/>
  <c r="AD439" i="1"/>
  <c r="AB477" i="1"/>
  <c r="AB461" i="1"/>
  <c r="AD453" i="1"/>
  <c r="AB440" i="1"/>
  <c r="AD467" i="1"/>
  <c r="J132" i="1"/>
  <c r="J84" i="1"/>
  <c r="AD436" i="1"/>
  <c r="AD415" i="1"/>
  <c r="AB437" i="1"/>
  <c r="AB414" i="1"/>
  <c r="AB457" i="1"/>
  <c r="AB403" i="1"/>
  <c r="AB430" i="1"/>
  <c r="AB452" i="1"/>
  <c r="AB468" i="1"/>
  <c r="AB447" i="1"/>
  <c r="AD416" i="1"/>
  <c r="AD407" i="1"/>
  <c r="AB446" i="1"/>
  <c r="AD454" i="1"/>
  <c r="AB480" i="1"/>
  <c r="AD455" i="1"/>
  <c r="AD473" i="1"/>
  <c r="AB473" i="1"/>
  <c r="AB462" i="1"/>
  <c r="AB418" i="1"/>
  <c r="AD456" i="1"/>
  <c r="J263" i="1"/>
  <c r="J247" i="1"/>
  <c r="J231" i="1"/>
  <c r="J215" i="1"/>
  <c r="J199" i="1"/>
  <c r="J183" i="1"/>
  <c r="J167" i="1"/>
  <c r="J151" i="1"/>
  <c r="J135" i="1"/>
  <c r="J119" i="1"/>
  <c r="J103" i="1"/>
  <c r="J87" i="1"/>
  <c r="J71" i="1"/>
  <c r="J55" i="1"/>
  <c r="J23" i="1"/>
  <c r="J7" i="1"/>
  <c r="AD438" i="1"/>
  <c r="AD479" i="1"/>
  <c r="AB479" i="1"/>
  <c r="AD435" i="1"/>
  <c r="J325" i="1"/>
  <c r="J309" i="1"/>
  <c r="J293" i="1"/>
  <c r="J277" i="1"/>
  <c r="J53" i="1"/>
  <c r="J21" i="1"/>
  <c r="AD433" i="1"/>
  <c r="AB433" i="1"/>
  <c r="AB471" i="1"/>
  <c r="AD471" i="1"/>
  <c r="AD402" i="1"/>
  <c r="AB402" i="1"/>
  <c r="AD469" i="1"/>
  <c r="AB469" i="1"/>
  <c r="AD428" i="1"/>
  <c r="AB428" i="1"/>
  <c r="AB393" i="1"/>
  <c r="AD393" i="1"/>
  <c r="AD442" i="1"/>
  <c r="AB442" i="1"/>
  <c r="AB475" i="1"/>
  <c r="AD475" i="1"/>
  <c r="AD472" i="1"/>
  <c r="AB472" i="1"/>
  <c r="AD413" i="1"/>
  <c r="AB413" i="1"/>
  <c r="AB474" i="1"/>
  <c r="AD474" i="1"/>
  <c r="AB398" i="1"/>
  <c r="AD398" i="1"/>
  <c r="AD465" i="1"/>
  <c r="AB465" i="1"/>
  <c r="AB422" i="1"/>
  <c r="AD422" i="1"/>
  <c r="AD476" i="1"/>
  <c r="AB476" i="1"/>
  <c r="AD404" i="1"/>
  <c r="AB404" i="1"/>
  <c r="AD411" i="1"/>
  <c r="AB411" i="1"/>
  <c r="AD449" i="1"/>
  <c r="AB449" i="1"/>
  <c r="AD429" i="1"/>
  <c r="AB429" i="1"/>
  <c r="AD450" i="1"/>
  <c r="AB450" i="1"/>
  <c r="AD420" i="1"/>
  <c r="AB420" i="1"/>
  <c r="AD397" i="1"/>
  <c r="AB397" i="1"/>
  <c r="AD408" i="1"/>
  <c r="AB408" i="1"/>
  <c r="AB399" i="1"/>
  <c r="AD399" i="1"/>
  <c r="AD427" i="1"/>
  <c r="AB427" i="1"/>
  <c r="AD448" i="1"/>
  <c r="AB448" i="1"/>
  <c r="AD445" i="1"/>
  <c r="AB445" i="1"/>
  <c r="AB392" i="1"/>
  <c r="AD392" i="1"/>
  <c r="AD400" i="1"/>
  <c r="AB400" i="1"/>
  <c r="AB470" i="1"/>
  <c r="AD470" i="1"/>
  <c r="AD458" i="1"/>
  <c r="AB458" i="1"/>
  <c r="AD434" i="1"/>
  <c r="AB434" i="1"/>
  <c r="AD459" i="1"/>
  <c r="AB459" i="1"/>
  <c r="AD463" i="1"/>
  <c r="AB463" i="1"/>
  <c r="AD419" i="1"/>
  <c r="AB419" i="1"/>
  <c r="AB394" i="1"/>
  <c r="AD394" i="1"/>
  <c r="AD466" i="1"/>
  <c r="AB466" i="1"/>
  <c r="AB406" i="1"/>
  <c r="AD406" i="1"/>
  <c r="AB405" i="1"/>
  <c r="AD405" i="1"/>
  <c r="AD425" i="1"/>
  <c r="AB425" i="1"/>
  <c r="AB423" i="1"/>
  <c r="AD423" i="1"/>
  <c r="AD441" i="1"/>
  <c r="AB441" i="1"/>
  <c r="AB464" i="1"/>
  <c r="AD464" i="1"/>
  <c r="AD451" i="1"/>
  <c r="AB451" i="1"/>
  <c r="AD410" i="1"/>
  <c r="AB410" i="1"/>
  <c r="AD460" i="1"/>
  <c r="AB460" i="1"/>
  <c r="AD401" i="1"/>
  <c r="AB401" i="1"/>
  <c r="AB390" i="1"/>
  <c r="AD390" i="1"/>
  <c r="AB391" i="1"/>
  <c r="AD391" i="1"/>
  <c r="AB395" i="1"/>
  <c r="AD395" i="1"/>
  <c r="AD409" i="1"/>
  <c r="AB409" i="1"/>
  <c r="AD396" i="1"/>
  <c r="AB396" i="1"/>
  <c r="AB426" i="1"/>
  <c r="AD426" i="1"/>
  <c r="AD421" i="1"/>
  <c r="AB421" i="1"/>
  <c r="AD444" i="1"/>
  <c r="AB444" i="1"/>
  <c r="AB417" i="1"/>
  <c r="AD417" i="1"/>
  <c r="AD412" i="1"/>
  <c r="AB412" i="1"/>
  <c r="AB424" i="1"/>
  <c r="AD424" i="1"/>
  <c r="AB443" i="1"/>
  <c r="AD443" i="1"/>
  <c r="AD432" i="1"/>
  <c r="AB432" i="1"/>
  <c r="AD431" i="1"/>
  <c r="AB431" i="1"/>
  <c r="J74" i="1"/>
  <c r="J58" i="1"/>
  <c r="J356" i="1"/>
  <c r="J340" i="1"/>
  <c r="J292" i="1"/>
  <c r="J276" i="1"/>
  <c r="J306" i="1"/>
  <c r="J290" i="1"/>
  <c r="J274" i="1"/>
  <c r="J258" i="1"/>
  <c r="J242" i="1"/>
  <c r="J226" i="1"/>
  <c r="J210" i="1"/>
  <c r="J194" i="1"/>
  <c r="J178" i="1"/>
  <c r="J50" i="1"/>
  <c r="J34" i="1"/>
  <c r="J18" i="1"/>
  <c r="J369" i="1"/>
  <c r="J305" i="1"/>
  <c r="J257" i="1"/>
  <c r="J193" i="1"/>
  <c r="J97" i="1"/>
  <c r="J81" i="1"/>
  <c r="J65" i="1"/>
  <c r="J49" i="1"/>
  <c r="J33" i="1"/>
  <c r="J17" i="1"/>
  <c r="J385" i="1"/>
  <c r="J353" i="1"/>
  <c r="J321" i="1"/>
  <c r="J289" i="1"/>
  <c r="J273" i="1"/>
  <c r="J241" i="1"/>
  <c r="J225" i="1"/>
  <c r="J320" i="1"/>
  <c r="J304" i="1"/>
  <c r="J288" i="1"/>
  <c r="J272" i="1"/>
  <c r="J160" i="1"/>
  <c r="J144" i="1"/>
  <c r="J128" i="1"/>
  <c r="J112" i="1"/>
  <c r="J96" i="1"/>
  <c r="J80" i="1"/>
  <c r="J48" i="1"/>
  <c r="J32" i="1"/>
  <c r="J16" i="1"/>
  <c r="J335" i="1"/>
  <c r="J319" i="1"/>
  <c r="J207" i="1"/>
  <c r="J191" i="1"/>
  <c r="J175" i="1"/>
  <c r="J159" i="1"/>
  <c r="J143" i="1"/>
  <c r="J127" i="1"/>
  <c r="J95" i="1"/>
  <c r="J79" i="1"/>
  <c r="J339" i="1"/>
  <c r="J243" i="1"/>
  <c r="J83" i="1"/>
  <c r="J323" i="1"/>
  <c r="J259" i="1"/>
  <c r="J195" i="1"/>
  <c r="J190" i="1"/>
  <c r="J126" i="1"/>
  <c r="J14" i="1"/>
  <c r="J291" i="1"/>
  <c r="J350" i="1"/>
  <c r="J142" i="1"/>
  <c r="J381" i="1"/>
  <c r="J285" i="1"/>
  <c r="J253" i="1"/>
  <c r="J205" i="1"/>
  <c r="J189" i="1"/>
  <c r="J173" i="1"/>
  <c r="J45" i="1"/>
  <c r="J29" i="1"/>
  <c r="J13" i="1"/>
  <c r="J275" i="1"/>
  <c r="J206" i="1"/>
  <c r="J158" i="1"/>
  <c r="J365" i="1"/>
  <c r="J237" i="1"/>
  <c r="J380" i="1"/>
  <c r="J316" i="1"/>
  <c r="J300" i="1"/>
  <c r="J284" i="1"/>
  <c r="J268" i="1"/>
  <c r="J252" i="1"/>
  <c r="J236" i="1"/>
  <c r="J220" i="1"/>
  <c r="J204" i="1"/>
  <c r="J188" i="1"/>
  <c r="J172" i="1"/>
  <c r="J156" i="1"/>
  <c r="J140" i="1"/>
  <c r="J124" i="1"/>
  <c r="J108" i="1"/>
  <c r="J92" i="1"/>
  <c r="J76" i="1"/>
  <c r="J60" i="1"/>
  <c r="J44" i="1"/>
  <c r="J28" i="1"/>
  <c r="J12" i="1"/>
  <c r="J227" i="1"/>
  <c r="J366" i="1"/>
  <c r="J174" i="1"/>
  <c r="J349" i="1"/>
  <c r="J301" i="1"/>
  <c r="J269" i="1"/>
  <c r="J221" i="1"/>
  <c r="J364" i="1"/>
  <c r="J348" i="1"/>
  <c r="J332" i="1"/>
  <c r="J379" i="1"/>
  <c r="J363" i="1"/>
  <c r="J347" i="1"/>
  <c r="J331" i="1"/>
  <c r="J315" i="1"/>
  <c r="J299" i="1"/>
  <c r="J283" i="1"/>
  <c r="J267" i="1"/>
  <c r="J251" i="1"/>
  <c r="J235" i="1"/>
  <c r="J219" i="1"/>
  <c r="J203" i="1"/>
  <c r="J187" i="1"/>
  <c r="J171" i="1"/>
  <c r="J155" i="1"/>
  <c r="J139" i="1"/>
  <c r="J123" i="1"/>
  <c r="J107" i="1"/>
  <c r="J91" i="1"/>
  <c r="J75" i="1"/>
  <c r="J59" i="1"/>
  <c r="J43" i="1"/>
  <c r="J27" i="1"/>
  <c r="J11" i="1"/>
  <c r="J68" i="1"/>
  <c r="J262" i="1"/>
  <c r="J246" i="1"/>
  <c r="J230" i="1"/>
  <c r="J387" i="1"/>
  <c r="J371" i="1"/>
  <c r="J355" i="1"/>
  <c r="J3" i="1"/>
  <c r="J375" i="1"/>
  <c r="J359" i="1"/>
  <c r="J343" i="1"/>
  <c r="J69" i="1"/>
  <c r="J52" i="1"/>
  <c r="J5" i="1"/>
  <c r="J20" i="1"/>
  <c r="J361" i="1"/>
  <c r="J329" i="1"/>
  <c r="J57" i="1"/>
  <c r="J377" i="1"/>
  <c r="J345" i="1"/>
  <c r="J376" i="1"/>
  <c r="J360" i="1"/>
  <c r="J344" i="1"/>
  <c r="J8" i="1"/>
  <c r="J338" i="1"/>
  <c r="J202" i="1"/>
  <c r="J186" i="1"/>
  <c r="J170" i="1"/>
  <c r="J154" i="1"/>
  <c r="J138" i="1"/>
  <c r="J313" i="1"/>
  <c r="J297" i="1"/>
  <c r="J281" i="1"/>
  <c r="J265" i="1"/>
  <c r="J249" i="1"/>
  <c r="J233" i="1"/>
  <c r="J217" i="1"/>
  <c r="J201" i="1"/>
  <c r="J185" i="1"/>
  <c r="J169" i="1"/>
  <c r="J153" i="1"/>
  <c r="J137" i="1"/>
  <c r="J121" i="1"/>
  <c r="J105" i="1"/>
  <c r="J89" i="1"/>
  <c r="J73" i="1"/>
  <c r="J42" i="1"/>
  <c r="J26" i="1"/>
  <c r="J106" i="1"/>
  <c r="J90" i="1"/>
  <c r="J248" i="1"/>
  <c r="J232" i="1"/>
  <c r="J216" i="1"/>
  <c r="J200" i="1"/>
  <c r="J184" i="1"/>
  <c r="J168" i="1"/>
  <c r="J2" i="1"/>
  <c r="J294" i="1"/>
  <c r="J198" i="1"/>
  <c r="J150" i="1"/>
  <c r="J102" i="1"/>
  <c r="J374" i="1"/>
  <c r="J358" i="1"/>
  <c r="J326" i="1"/>
  <c r="J278" i="1"/>
  <c r="J182" i="1"/>
  <c r="J134" i="1"/>
  <c r="J86" i="1"/>
  <c r="J389" i="1"/>
  <c r="J261" i="1"/>
  <c r="J245" i="1"/>
  <c r="J229" i="1"/>
  <c r="J213" i="1"/>
  <c r="J197" i="1"/>
  <c r="J181" i="1"/>
  <c r="J165" i="1"/>
  <c r="J149" i="1"/>
  <c r="J133" i="1"/>
  <c r="J117" i="1"/>
  <c r="J101" i="1"/>
  <c r="J85" i="1"/>
  <c r="J54" i="1"/>
  <c r="J38" i="1"/>
  <c r="J22" i="1"/>
  <c r="J6" i="1"/>
  <c r="J373" i="1"/>
  <c r="J341" i="1"/>
  <c r="J388" i="1"/>
  <c r="J372" i="1"/>
  <c r="J324" i="1"/>
  <c r="J308" i="1"/>
  <c r="J260" i="1"/>
  <c r="J244" i="1"/>
  <c r="J228" i="1"/>
  <c r="J212" i="1"/>
  <c r="J196" i="1"/>
  <c r="J180" i="1"/>
  <c r="J164" i="1"/>
  <c r="J148" i="1"/>
  <c r="J116" i="1"/>
  <c r="J100" i="1"/>
  <c r="J37" i="1"/>
  <c r="J342" i="1"/>
  <c r="J214" i="1"/>
  <c r="J118" i="1"/>
  <c r="J70" i="1"/>
  <c r="J357" i="1"/>
  <c r="J307" i="1"/>
  <c r="J179" i="1"/>
  <c r="J163" i="1"/>
  <c r="J147" i="1"/>
  <c r="J131" i="1"/>
  <c r="J115" i="1"/>
  <c r="J99" i="1"/>
  <c r="J67" i="1"/>
  <c r="J36" i="1"/>
  <c r="J310" i="1"/>
  <c r="J166" i="1"/>
  <c r="J370" i="1"/>
  <c r="J337" i="1"/>
  <c r="J209" i="1"/>
  <c r="J352" i="1"/>
  <c r="J224" i="1"/>
  <c r="J64" i="1"/>
  <c r="J145" i="1"/>
  <c r="J113" i="1"/>
  <c r="J384" i="1"/>
  <c r="J240" i="1"/>
  <c r="J176" i="1"/>
  <c r="J383" i="1"/>
  <c r="J303" i="1"/>
  <c r="J271" i="1"/>
  <c r="J255" i="1"/>
  <c r="J223" i="1"/>
  <c r="J63" i="1"/>
  <c r="J327" i="1"/>
  <c r="J386" i="1"/>
  <c r="J322" i="1"/>
  <c r="J177" i="1"/>
  <c r="J368" i="1"/>
  <c r="J256" i="1"/>
  <c r="J208" i="1"/>
  <c r="J367" i="1"/>
  <c r="J287" i="1"/>
  <c r="J239" i="1"/>
  <c r="J111" i="1"/>
  <c r="J311" i="1"/>
  <c r="J382" i="1"/>
  <c r="J334" i="1"/>
  <c r="J318" i="1"/>
  <c r="J302" i="1"/>
  <c r="J286" i="1"/>
  <c r="J270" i="1"/>
  <c r="J254" i="1"/>
  <c r="J238" i="1"/>
  <c r="J222" i="1"/>
  <c r="J110" i="1"/>
  <c r="J94" i="1"/>
  <c r="J78" i="1"/>
  <c r="J62" i="1"/>
  <c r="J47" i="1"/>
  <c r="J31" i="1"/>
  <c r="J15" i="1"/>
  <c r="J295" i="1"/>
  <c r="J279" i="1"/>
  <c r="J354" i="1"/>
  <c r="J161" i="1"/>
  <c r="J129" i="1"/>
  <c r="J336" i="1"/>
  <c r="J192" i="1"/>
  <c r="J351" i="1"/>
  <c r="J333" i="1"/>
  <c r="J317" i="1"/>
  <c r="J157" i="1"/>
  <c r="J141" i="1"/>
  <c r="J125" i="1"/>
  <c r="J109" i="1"/>
  <c r="J93" i="1"/>
  <c r="J77" i="1"/>
  <c r="J61" i="1"/>
  <c r="J46" i="1"/>
  <c r="J30" i="1"/>
  <c r="J378" i="1"/>
  <c r="J39" i="1"/>
  <c r="J328" i="1"/>
  <c r="J312" i="1"/>
  <c r="J296" i="1"/>
  <c r="J280" i="1"/>
  <c r="J264" i="1"/>
  <c r="J152" i="1"/>
  <c r="J136" i="1"/>
  <c r="J120" i="1"/>
  <c r="J104" i="1"/>
  <c r="J88" i="1"/>
  <c r="J72" i="1"/>
  <c r="J41" i="1"/>
  <c r="J25" i="1"/>
  <c r="J10" i="1"/>
  <c r="J56" i="1"/>
  <c r="J40" i="1"/>
  <c r="J24" i="1"/>
  <c r="J9" i="1"/>
  <c r="J162" i="1"/>
  <c r="J146" i="1"/>
  <c r="J130" i="1"/>
  <c r="J114" i="1"/>
  <c r="J98" i="1"/>
  <c r="J82" i="1"/>
  <c r="J66" i="1"/>
  <c r="J51" i="1"/>
  <c r="J35" i="1"/>
  <c r="J19" i="1"/>
  <c r="J4" i="1"/>
  <c r="AH325" i="1"/>
  <c r="AH310" i="1"/>
  <c r="AI87" i="1"/>
  <c r="AI189" i="1"/>
  <c r="AI262" i="1"/>
  <c r="AI314" i="1"/>
  <c r="AH314" i="1"/>
  <c r="AH205" i="1"/>
  <c r="AI242" i="1"/>
  <c r="AH181" i="1"/>
  <c r="AH107" i="1"/>
  <c r="AH87" i="1"/>
  <c r="AI181" i="1"/>
  <c r="AI158" i="1"/>
  <c r="AH132" i="1"/>
  <c r="AI132" i="1"/>
  <c r="AI341" i="1"/>
  <c r="AI357" i="1"/>
  <c r="AH75" i="1"/>
  <c r="AI75" i="1"/>
  <c r="AH7" i="1"/>
  <c r="AI7" i="1"/>
  <c r="AI321" i="1"/>
  <c r="AH321" i="1"/>
  <c r="AI286" i="1"/>
  <c r="AH302" i="1"/>
  <c r="AI302" i="1"/>
  <c r="AI326" i="1"/>
  <c r="AI39" i="1"/>
  <c r="AH199" i="1"/>
  <c r="AI44" i="1"/>
  <c r="AH3" i="1"/>
  <c r="AI3" i="1"/>
  <c r="AI182" i="1"/>
  <c r="AH182" i="1"/>
  <c r="AI245" i="1"/>
  <c r="AH245" i="1"/>
  <c r="AC386" i="1"/>
  <c r="AE386" i="1" s="1"/>
  <c r="AA142" i="1"/>
  <c r="AH175" i="1"/>
  <c r="AI156" i="1"/>
  <c r="AH156" i="1"/>
  <c r="AI84" i="1"/>
  <c r="AC366" i="1"/>
  <c r="AE366" i="1" s="1"/>
  <c r="AI115" i="1"/>
  <c r="AI298" i="1"/>
  <c r="AI32" i="1"/>
  <c r="AI48" i="1"/>
  <c r="AI127" i="1"/>
  <c r="AH265" i="1"/>
  <c r="AH280" i="1"/>
  <c r="AH329" i="1"/>
  <c r="AI31" i="1"/>
  <c r="AH56" i="1"/>
  <c r="AH248" i="1"/>
  <c r="AH354" i="1"/>
  <c r="AI289" i="1"/>
  <c r="AI142" i="1"/>
  <c r="AH142" i="1"/>
  <c r="AI345" i="1"/>
  <c r="AI8" i="1"/>
  <c r="AI290" i="1"/>
  <c r="AI79" i="1"/>
  <c r="AI24" i="1"/>
  <c r="AI71" i="1"/>
  <c r="AH115" i="1"/>
  <c r="AI202" i="1"/>
  <c r="AI56" i="1"/>
  <c r="AI178" i="1"/>
  <c r="AH15" i="1"/>
  <c r="AI258" i="1"/>
  <c r="AI131" i="1"/>
  <c r="AI16" i="1"/>
  <c r="AI67" i="1"/>
  <c r="AC30" i="1"/>
  <c r="AE30" i="1" s="1"/>
  <c r="AI63" i="1"/>
  <c r="AC142" i="1"/>
  <c r="AE142" i="1" s="1"/>
  <c r="AC204" i="1"/>
  <c r="AE204" i="1" s="1"/>
  <c r="AI305" i="1"/>
  <c r="AI225" i="1"/>
  <c r="AI103" i="1"/>
  <c r="AH103" i="1"/>
  <c r="AI256" i="1"/>
  <c r="AH135" i="1"/>
  <c r="AI143" i="1"/>
  <c r="AC153" i="1"/>
  <c r="AE153" i="1" s="1"/>
  <c r="AH306" i="1"/>
  <c r="AH272" i="1"/>
  <c r="AH11" i="1"/>
  <c r="AH35" i="1"/>
  <c r="AI40" i="1"/>
  <c r="AH52" i="1"/>
  <c r="AH91" i="1"/>
  <c r="AI159" i="1"/>
  <c r="AI354" i="1"/>
  <c r="AI233" i="1"/>
  <c r="AI313" i="1"/>
  <c r="AI47" i="1"/>
  <c r="AH72" i="1"/>
  <c r="AI96" i="1"/>
  <c r="AH88" i="1"/>
  <c r="AH202" i="1"/>
  <c r="AH281" i="1"/>
  <c r="AI19" i="1"/>
  <c r="AI99" i="1"/>
  <c r="AI51" i="1"/>
  <c r="AH179" i="1"/>
  <c r="AI217" i="1"/>
  <c r="AI322" i="1"/>
  <c r="AH338" i="1"/>
  <c r="AI164" i="1"/>
  <c r="AH164" i="1"/>
  <c r="AI174" i="1"/>
  <c r="AH174" i="1"/>
  <c r="AH168" i="1"/>
  <c r="AI168" i="1"/>
  <c r="AI170" i="1"/>
  <c r="AH170" i="1"/>
  <c r="AI204" i="1"/>
  <c r="AH204" i="1"/>
  <c r="AH184" i="1"/>
  <c r="AI184" i="1"/>
  <c r="AC107" i="1"/>
  <c r="AE107" i="1" s="1"/>
  <c r="AC113" i="1"/>
  <c r="AE113" i="1" s="1"/>
  <c r="AC139" i="1"/>
  <c r="AE139" i="1" s="1"/>
  <c r="AC216" i="1"/>
  <c r="AE216" i="1" s="1"/>
  <c r="AC360" i="1"/>
  <c r="AE360" i="1" s="1"/>
  <c r="AC382" i="1"/>
  <c r="AE382" i="1" s="1"/>
  <c r="AA91" i="1"/>
  <c r="AH96" i="1"/>
  <c r="AH100" i="1"/>
  <c r="AA130" i="1"/>
  <c r="AI179" i="1"/>
  <c r="AC283" i="1"/>
  <c r="AE283" i="1" s="1"/>
  <c r="AA225" i="1"/>
  <c r="AA296" i="1"/>
  <c r="AH326" i="1"/>
  <c r="AH256" i="1"/>
  <c r="AI269" i="1"/>
  <c r="AH309" i="1"/>
  <c r="AH313" i="1"/>
  <c r="AH317" i="1"/>
  <c r="AA332" i="1"/>
  <c r="AC352" i="1"/>
  <c r="AE352" i="1" s="1"/>
  <c r="AA184" i="1"/>
  <c r="AA319" i="1"/>
  <c r="AC43" i="1"/>
  <c r="AE43" i="1" s="1"/>
  <c r="AC134" i="1"/>
  <c r="AE134" i="1" s="1"/>
  <c r="AC186" i="1"/>
  <c r="AE186" i="1" s="1"/>
  <c r="AC66" i="1"/>
  <c r="AE66" i="1" s="1"/>
  <c r="AH322" i="1"/>
  <c r="AA107" i="1"/>
  <c r="AC11" i="1"/>
  <c r="AE11" i="1" s="1"/>
  <c r="AC208" i="1"/>
  <c r="AE208" i="1" s="1"/>
  <c r="AH59" i="1"/>
  <c r="AH233" i="1"/>
  <c r="AC239" i="1"/>
  <c r="AE239" i="1" s="1"/>
  <c r="AH68" i="1"/>
  <c r="AC217" i="1"/>
  <c r="AE217" i="1" s="1"/>
  <c r="AH23" i="1"/>
  <c r="AI72" i="1"/>
  <c r="AI265" i="1"/>
  <c r="AA62" i="1"/>
  <c r="AA195" i="1"/>
  <c r="AC304" i="1"/>
  <c r="AE304" i="1" s="1"/>
  <c r="AC91" i="1"/>
  <c r="AE91" i="1" s="1"/>
  <c r="AC308" i="1"/>
  <c r="AE308" i="1" s="1"/>
  <c r="AC312" i="1"/>
  <c r="AE312" i="1" s="1"/>
  <c r="AC348" i="1"/>
  <c r="AE348" i="1" s="1"/>
  <c r="AH19" i="1"/>
  <c r="AA109" i="1"/>
  <c r="AC184" i="1"/>
  <c r="AE184" i="1" s="1"/>
  <c r="AC195" i="1"/>
  <c r="AE195" i="1" s="1"/>
  <c r="AI374" i="1"/>
  <c r="AH374" i="1"/>
  <c r="AI76" i="1"/>
  <c r="AH76" i="1"/>
  <c r="AI64" i="1"/>
  <c r="AH64" i="1"/>
  <c r="AI386" i="1"/>
  <c r="AH386" i="1"/>
  <c r="AI92" i="1"/>
  <c r="AH92" i="1"/>
  <c r="AI246" i="1"/>
  <c r="AH246" i="1"/>
  <c r="AH337" i="1"/>
  <c r="AI337" i="1"/>
  <c r="AH60" i="1"/>
  <c r="AI60" i="1"/>
  <c r="AI244" i="1"/>
  <c r="AH244" i="1"/>
  <c r="AI333" i="1"/>
  <c r="AH333" i="1"/>
  <c r="AI353" i="1"/>
  <c r="AH353" i="1"/>
  <c r="AI349" i="1"/>
  <c r="AH349" i="1"/>
  <c r="AI358" i="1"/>
  <c r="AH358" i="1"/>
  <c r="AI378" i="1"/>
  <c r="AH378" i="1"/>
  <c r="AI382" i="1"/>
  <c r="AH382" i="1"/>
  <c r="AC137" i="1"/>
  <c r="AE137" i="1" s="1"/>
  <c r="AA137" i="1"/>
  <c r="AA166" i="1"/>
  <c r="AC166" i="1"/>
  <c r="AE166" i="1" s="1"/>
  <c r="AC213" i="1"/>
  <c r="AE213" i="1" s="1"/>
  <c r="AI237" i="1"/>
  <c r="AH237" i="1"/>
  <c r="AA23" i="1"/>
  <c r="AA288" i="1"/>
  <c r="AA328" i="1"/>
  <c r="AI342" i="1"/>
  <c r="AH342" i="1"/>
  <c r="AC373" i="1"/>
  <c r="AE373" i="1" s="1"/>
  <c r="AA67" i="1"/>
  <c r="AC75" i="1"/>
  <c r="AE75" i="1" s="1"/>
  <c r="AA204" i="1"/>
  <c r="AC292" i="1"/>
  <c r="AE292" i="1" s="1"/>
  <c r="AA323" i="1"/>
  <c r="AA325" i="1"/>
  <c r="AA327" i="1"/>
  <c r="AC362" i="1"/>
  <c r="AE362" i="1" s="1"/>
  <c r="AA369" i="1"/>
  <c r="AA371" i="1"/>
  <c r="AC38" i="1"/>
  <c r="AE38" i="1" s="1"/>
  <c r="AI346" i="1"/>
  <c r="AH346" i="1"/>
  <c r="AC15" i="1"/>
  <c r="AE15" i="1" s="1"/>
  <c r="AC71" i="1"/>
  <c r="AE71" i="1" s="1"/>
  <c r="AC263" i="1"/>
  <c r="AE263" i="1" s="1"/>
  <c r="AH84" i="1"/>
  <c r="AI197" i="1"/>
  <c r="AH197" i="1"/>
  <c r="AC165" i="1"/>
  <c r="AE165" i="1" s="1"/>
  <c r="AC188" i="1"/>
  <c r="AE188" i="1" s="1"/>
  <c r="AC19" i="1"/>
  <c r="AE19" i="1" s="1"/>
  <c r="AC98" i="1"/>
  <c r="AE98" i="1" s="1"/>
  <c r="AA126" i="1"/>
  <c r="AC126" i="1"/>
  <c r="AE126" i="1" s="1"/>
  <c r="AI126" i="1"/>
  <c r="AH126" i="1"/>
  <c r="AC163" i="1"/>
  <c r="AE163" i="1" s="1"/>
  <c r="AI185" i="1"/>
  <c r="AH185" i="1"/>
  <c r="AI261" i="1"/>
  <c r="AH261" i="1"/>
  <c r="AI83" i="1"/>
  <c r="AH83" i="1"/>
  <c r="AC367" i="1"/>
  <c r="AE367" i="1" s="1"/>
  <c r="AC200" i="1"/>
  <c r="AE200" i="1" s="1"/>
  <c r="AC285" i="1"/>
  <c r="AE285" i="1" s="1"/>
  <c r="AC323" i="1"/>
  <c r="AE323" i="1" s="1"/>
  <c r="AC327" i="1"/>
  <c r="AE327" i="1" s="1"/>
  <c r="AA349" i="1"/>
  <c r="AH4" i="1"/>
  <c r="AI4" i="1"/>
  <c r="AI95" i="1"/>
  <c r="AH95" i="1"/>
  <c r="AA50" i="1"/>
  <c r="AC356" i="1"/>
  <c r="AE356" i="1" s="1"/>
  <c r="AI370" i="1"/>
  <c r="AH370" i="1"/>
  <c r="AC34" i="1"/>
  <c r="AE34" i="1" s="1"/>
  <c r="AC94" i="1"/>
  <c r="AE94" i="1" s="1"/>
  <c r="AC375" i="1"/>
  <c r="AE375" i="1" s="1"/>
  <c r="AI201" i="1"/>
  <c r="AH201" i="1"/>
  <c r="AA239" i="1"/>
  <c r="AC279" i="1"/>
  <c r="AE279" i="1" s="1"/>
  <c r="AC329" i="1"/>
  <c r="AE329" i="1" s="1"/>
  <c r="AC331" i="1"/>
  <c r="AE331" i="1" s="1"/>
  <c r="AA66" i="1"/>
  <c r="AA87" i="1"/>
  <c r="AC87" i="1"/>
  <c r="AE87" i="1" s="1"/>
  <c r="AH111" i="1"/>
  <c r="AI111" i="1"/>
  <c r="AC123" i="1"/>
  <c r="AE123" i="1" s="1"/>
  <c r="AH124" i="1"/>
  <c r="AH39" i="1"/>
  <c r="AC47" i="1"/>
  <c r="AE47" i="1" s="1"/>
  <c r="AC51" i="1"/>
  <c r="AE51" i="1" s="1"/>
  <c r="AI187" i="1"/>
  <c r="AC194" i="1"/>
  <c r="AE194" i="1" s="1"/>
  <c r="AI277" i="1"/>
  <c r="AH277" i="1"/>
  <c r="AI278" i="1"/>
  <c r="AC319" i="1"/>
  <c r="AE319" i="1" s="1"/>
  <c r="AA345" i="1"/>
  <c r="AC365" i="1"/>
  <c r="AE365" i="1" s="1"/>
  <c r="AC368" i="1"/>
  <c r="AE368" i="1" s="1"/>
  <c r="AA389" i="1"/>
  <c r="AI361" i="1"/>
  <c r="AH361" i="1"/>
  <c r="AH47" i="1"/>
  <c r="AH155" i="1"/>
  <c r="AC158" i="1"/>
  <c r="AE158" i="1" s="1"/>
  <c r="AC177" i="1"/>
  <c r="AE177" i="1" s="1"/>
  <c r="AA177" i="1"/>
  <c r="AI177" i="1"/>
  <c r="AH177" i="1"/>
  <c r="AI273" i="1"/>
  <c r="AH273" i="1"/>
  <c r="AC300" i="1"/>
  <c r="AE300" i="1" s="1"/>
  <c r="AC341" i="1"/>
  <c r="AE341" i="1" s="1"/>
  <c r="AC27" i="1"/>
  <c r="AE27" i="1" s="1"/>
  <c r="AH28" i="1"/>
  <c r="AI43" i="1"/>
  <c r="AH51" i="1"/>
  <c r="AI88" i="1"/>
  <c r="AI151" i="1"/>
  <c r="AH151" i="1"/>
  <c r="AH158" i="1"/>
  <c r="AI160" i="1"/>
  <c r="AH160" i="1"/>
  <c r="AI175" i="1"/>
  <c r="AI199" i="1"/>
  <c r="AA317" i="1"/>
  <c r="AH345" i="1"/>
  <c r="AC357" i="1"/>
  <c r="AE357" i="1" s="1"/>
  <c r="AC361" i="1"/>
  <c r="AE361" i="1" s="1"/>
  <c r="AC378" i="1"/>
  <c r="AE378" i="1" s="1"/>
  <c r="AC129" i="1"/>
  <c r="AE129" i="1" s="1"/>
  <c r="AA139" i="1"/>
  <c r="AI330" i="1"/>
  <c r="AH330" i="1"/>
  <c r="AC377" i="1"/>
  <c r="AE377" i="1" s="1"/>
  <c r="AC2" i="1"/>
  <c r="AE2" i="1" s="1"/>
  <c r="AA188" i="1"/>
  <c r="AH264" i="1"/>
  <c r="AI264" i="1"/>
  <c r="AI163" i="1"/>
  <c r="AH163" i="1"/>
  <c r="AH24" i="1"/>
  <c r="AI55" i="1"/>
  <c r="AA99" i="1"/>
  <c r="AA162" i="1"/>
  <c r="AI250" i="1"/>
  <c r="AH250" i="1"/>
  <c r="AC325" i="1"/>
  <c r="AE325" i="1" s="1"/>
  <c r="AH341" i="1"/>
  <c r="AH357" i="1"/>
  <c r="AA385" i="1"/>
  <c r="AA59" i="1"/>
  <c r="AH20" i="1"/>
  <c r="AH171" i="1"/>
  <c r="AI171" i="1"/>
  <c r="AA10" i="1"/>
  <c r="AC14" i="1"/>
  <c r="AE14" i="1" s="1"/>
  <c r="AA30" i="1"/>
  <c r="AH32" i="1"/>
  <c r="AC35" i="1"/>
  <c r="AE35" i="1" s="1"/>
  <c r="AC39" i="1"/>
  <c r="AE39" i="1" s="1"/>
  <c r="AA43" i="1"/>
  <c r="AI140" i="1"/>
  <c r="AH140" i="1"/>
  <c r="AC157" i="1"/>
  <c r="AE157" i="1" s="1"/>
  <c r="AC221" i="1"/>
  <c r="AE221" i="1" s="1"/>
  <c r="AA233" i="1"/>
  <c r="AC275" i="1"/>
  <c r="AE275" i="1" s="1"/>
  <c r="AC296" i="1"/>
  <c r="AE296" i="1" s="1"/>
  <c r="AI241" i="1"/>
  <c r="AH241" i="1"/>
  <c r="AA248" i="1"/>
  <c r="AA55" i="1"/>
  <c r="AC82" i="1"/>
  <c r="AE82" i="1" s="1"/>
  <c r="AC86" i="1"/>
  <c r="AE86" i="1" s="1"/>
  <c r="AC115" i="1"/>
  <c r="AE115" i="1" s="1"/>
  <c r="AA114" i="1"/>
  <c r="AC18" i="1"/>
  <c r="AE18" i="1" s="1"/>
  <c r="AC22" i="1"/>
  <c r="AE22" i="1" s="1"/>
  <c r="AC26" i="1"/>
  <c r="AE26" i="1" s="1"/>
  <c r="AI36" i="1"/>
  <c r="AH99" i="1"/>
  <c r="AC103" i="1"/>
  <c r="AE103" i="1" s="1"/>
  <c r="AC155" i="1"/>
  <c r="AE155" i="1" s="1"/>
  <c r="AI166" i="1"/>
  <c r="AC181" i="1"/>
  <c r="AE181" i="1" s="1"/>
  <c r="AC191" i="1"/>
  <c r="AE191" i="1" s="1"/>
  <c r="AA191" i="1"/>
  <c r="AH191" i="1"/>
  <c r="AI191" i="1"/>
  <c r="AC193" i="1"/>
  <c r="AE193" i="1" s="1"/>
  <c r="AH213" i="1"/>
  <c r="AC225" i="1"/>
  <c r="AE225" i="1" s="1"/>
  <c r="AC267" i="1"/>
  <c r="AE267" i="1" s="1"/>
  <c r="AI294" i="1"/>
  <c r="AH298" i="1"/>
  <c r="AC321" i="1"/>
  <c r="AE321" i="1" s="1"/>
  <c r="AH334" i="1"/>
  <c r="AC374" i="1"/>
  <c r="AE374" i="1" s="1"/>
  <c r="AA118" i="1"/>
  <c r="AC161" i="1"/>
  <c r="AE161" i="1" s="1"/>
  <c r="AA173" i="1"/>
  <c r="AC175" i="1"/>
  <c r="AE175" i="1" s="1"/>
  <c r="AC178" i="1"/>
  <c r="AE178" i="1" s="1"/>
  <c r="AI209" i="1"/>
  <c r="AH209" i="1"/>
  <c r="AA229" i="1"/>
  <c r="AI248" i="1"/>
  <c r="AI252" i="1"/>
  <c r="AH286" i="1"/>
  <c r="AH290" i="1"/>
  <c r="AH350" i="1"/>
  <c r="AA381" i="1"/>
  <c r="AI80" i="1"/>
  <c r="AH80" i="1"/>
  <c r="AC6" i="1"/>
  <c r="AE6" i="1" s="1"/>
  <c r="AC31" i="1"/>
  <c r="AE31" i="1" s="1"/>
  <c r="AC42" i="1"/>
  <c r="AE42" i="1" s="1"/>
  <c r="AC46" i="1"/>
  <c r="AE46" i="1" s="1"/>
  <c r="AC59" i="1"/>
  <c r="AE59" i="1" s="1"/>
  <c r="AC131" i="1"/>
  <c r="AE131" i="1" s="1"/>
  <c r="AI285" i="1"/>
  <c r="AH285" i="1"/>
  <c r="AA289" i="1"/>
  <c r="AA300" i="1"/>
  <c r="AC336" i="1"/>
  <c r="AE336" i="1" s="1"/>
  <c r="AC215" i="1"/>
  <c r="AE215" i="1" s="1"/>
  <c r="AC255" i="1"/>
  <c r="AE255" i="1" s="1"/>
  <c r="AC272" i="1"/>
  <c r="AE272" i="1" s="1"/>
  <c r="AA287" i="1"/>
  <c r="AA291" i="1"/>
  <c r="AA293" i="1"/>
  <c r="AC320" i="1"/>
  <c r="AE320" i="1" s="1"/>
  <c r="AA333" i="1"/>
  <c r="AC363" i="1"/>
  <c r="AE363" i="1" s="1"/>
  <c r="AC372" i="1"/>
  <c r="AE372" i="1" s="1"/>
  <c r="AC379" i="1"/>
  <c r="AE379" i="1" s="1"/>
  <c r="AC383" i="1"/>
  <c r="AE383" i="1" s="1"/>
  <c r="AC387" i="1"/>
  <c r="AE387" i="1" s="1"/>
  <c r="AA70" i="1"/>
  <c r="AA122" i="1"/>
  <c r="AA147" i="1"/>
  <c r="AC171" i="1"/>
  <c r="AE171" i="1" s="1"/>
  <c r="AA197" i="1"/>
  <c r="AC201" i="1"/>
  <c r="AE201" i="1" s="1"/>
  <c r="AC289" i="1"/>
  <c r="AE289" i="1" s="1"/>
  <c r="AC295" i="1"/>
  <c r="AE295" i="1" s="1"/>
  <c r="AC316" i="1"/>
  <c r="AE316" i="1" s="1"/>
  <c r="AC340" i="1"/>
  <c r="AE340" i="1" s="1"/>
  <c r="AC364" i="1"/>
  <c r="AE364" i="1" s="1"/>
  <c r="AC376" i="1"/>
  <c r="AE376" i="1" s="1"/>
  <c r="AA58" i="1"/>
  <c r="AC63" i="1"/>
  <c r="AE63" i="1" s="1"/>
  <c r="AC241" i="1"/>
  <c r="AE241" i="1" s="1"/>
  <c r="AA261" i="1"/>
  <c r="AC269" i="1"/>
  <c r="AE269" i="1" s="1"/>
  <c r="AC277" i="1"/>
  <c r="AE277" i="1" s="1"/>
  <c r="AC287" i="1"/>
  <c r="AE287" i="1" s="1"/>
  <c r="AC291" i="1"/>
  <c r="AE291" i="1" s="1"/>
  <c r="AC380" i="1"/>
  <c r="AE380" i="1" s="1"/>
  <c r="AC384" i="1"/>
  <c r="AE384" i="1" s="1"/>
  <c r="AC388" i="1"/>
  <c r="AE388" i="1" s="1"/>
  <c r="AA7" i="1"/>
  <c r="AA11" i="1"/>
  <c r="AA105" i="1"/>
  <c r="AA113" i="1"/>
  <c r="AC145" i="1"/>
  <c r="AE145" i="1" s="1"/>
  <c r="AC211" i="1"/>
  <c r="AE211" i="1" s="1"/>
  <c r="AC233" i="1"/>
  <c r="AE233" i="1" s="1"/>
  <c r="AC261" i="1"/>
  <c r="AE261" i="1" s="1"/>
  <c r="AA297" i="1"/>
  <c r="AA353" i="1"/>
  <c r="AC54" i="1"/>
  <c r="AE54" i="1" s="1"/>
  <c r="AC90" i="1"/>
  <c r="AE90" i="1" s="1"/>
  <c r="AC79" i="1"/>
  <c r="AE79" i="1" s="1"/>
  <c r="AA102" i="1"/>
  <c r="AC110" i="1"/>
  <c r="AE110" i="1" s="1"/>
  <c r="AC3" i="1"/>
  <c r="AE3" i="1" s="1"/>
  <c r="AA74" i="1"/>
  <c r="AC95" i="1"/>
  <c r="AE95" i="1" s="1"/>
  <c r="AC106" i="1"/>
  <c r="AE106" i="1" s="1"/>
  <c r="AC117" i="1"/>
  <c r="AE117" i="1" s="1"/>
  <c r="AC150" i="1"/>
  <c r="AE150" i="1" s="1"/>
  <c r="AA153" i="1"/>
  <c r="AC227" i="1"/>
  <c r="AE227" i="1" s="1"/>
  <c r="AC299" i="1"/>
  <c r="AE299" i="1" s="1"/>
  <c r="AA324" i="1"/>
  <c r="AC335" i="1"/>
  <c r="AE335" i="1" s="1"/>
  <c r="AC337" i="1"/>
  <c r="AE337" i="1" s="1"/>
  <c r="AC344" i="1"/>
  <c r="AE344" i="1" s="1"/>
  <c r="AC23" i="1"/>
  <c r="AE23" i="1" s="1"/>
  <c r="AC62" i="1"/>
  <c r="AE62" i="1" s="1"/>
  <c r="AC78" i="1"/>
  <c r="AE78" i="1" s="1"/>
  <c r="AC83" i="1"/>
  <c r="AE83" i="1" s="1"/>
  <c r="AC121" i="1"/>
  <c r="AE121" i="1" s="1"/>
  <c r="AA125" i="1"/>
  <c r="AC170" i="1"/>
  <c r="AE170" i="1" s="1"/>
  <c r="AA235" i="1"/>
  <c r="AC271" i="1"/>
  <c r="AE271" i="1" s="1"/>
  <c r="AC301" i="1"/>
  <c r="AE301" i="1" s="1"/>
  <c r="AA284" i="1"/>
  <c r="AC293" i="1"/>
  <c r="AE293" i="1" s="1"/>
  <c r="AA305" i="1"/>
  <c r="AC309" i="1"/>
  <c r="AE309" i="1" s="1"/>
  <c r="AC313" i="1"/>
  <c r="AE313" i="1" s="1"/>
  <c r="AC370" i="1"/>
  <c r="AE370" i="1" s="1"/>
  <c r="AI366" i="1"/>
  <c r="AH366" i="1"/>
  <c r="AI375" i="1"/>
  <c r="AH375" i="1"/>
  <c r="AI363" i="1"/>
  <c r="AH363" i="1"/>
  <c r="AI379" i="1"/>
  <c r="AH379" i="1"/>
  <c r="AI383" i="1"/>
  <c r="AH383" i="1"/>
  <c r="AI387" i="1"/>
  <c r="AH387" i="1"/>
  <c r="AI368" i="1"/>
  <c r="AH368" i="1"/>
  <c r="AH362" i="1"/>
  <c r="AI362" i="1"/>
  <c r="AI371" i="1"/>
  <c r="AH371" i="1"/>
  <c r="AI372" i="1"/>
  <c r="AH372" i="1"/>
  <c r="AI364" i="1"/>
  <c r="AH364" i="1"/>
  <c r="AH376" i="1"/>
  <c r="AI376" i="1"/>
  <c r="AI369" i="1"/>
  <c r="AH369" i="1"/>
  <c r="AI380" i="1"/>
  <c r="AH380" i="1"/>
  <c r="AI384" i="1"/>
  <c r="AH384" i="1"/>
  <c r="AI388" i="1"/>
  <c r="AH388" i="1"/>
  <c r="AI367" i="1"/>
  <c r="AH367" i="1"/>
  <c r="AI373" i="1"/>
  <c r="AH373" i="1"/>
  <c r="AI365" i="1"/>
  <c r="AH365" i="1"/>
  <c r="AI377" i="1"/>
  <c r="AH377" i="1"/>
  <c r="AI381" i="1"/>
  <c r="AH381" i="1"/>
  <c r="AI385" i="1"/>
  <c r="AH385" i="1"/>
  <c r="AI389" i="1"/>
  <c r="AH389" i="1"/>
  <c r="AC369" i="1"/>
  <c r="AE369" i="1" s="1"/>
  <c r="AC381" i="1"/>
  <c r="AE381" i="1" s="1"/>
  <c r="AC385" i="1"/>
  <c r="AE385" i="1" s="1"/>
  <c r="AC389" i="1"/>
  <c r="AE389" i="1" s="1"/>
  <c r="AA364" i="1"/>
  <c r="AA368" i="1"/>
  <c r="AA372" i="1"/>
  <c r="AA376" i="1"/>
  <c r="AA380" i="1"/>
  <c r="AA384" i="1"/>
  <c r="AA388" i="1"/>
  <c r="AA365" i="1"/>
  <c r="AA377" i="1"/>
  <c r="AA363" i="1"/>
  <c r="AA379" i="1"/>
  <c r="AA383" i="1"/>
  <c r="AA387" i="1"/>
  <c r="AA373" i="1"/>
  <c r="AA375" i="1"/>
  <c r="AC371" i="1"/>
  <c r="AE371" i="1" s="1"/>
  <c r="AA362" i="1"/>
  <c r="AA366" i="1"/>
  <c r="AA370" i="1"/>
  <c r="AA374" i="1"/>
  <c r="AA378" i="1"/>
  <c r="AA382" i="1"/>
  <c r="AA386" i="1"/>
  <c r="AA367" i="1"/>
  <c r="AI344" i="1"/>
  <c r="AH344" i="1"/>
  <c r="AI287" i="1"/>
  <c r="AH287" i="1"/>
  <c r="AI291" i="1"/>
  <c r="AH291" i="1"/>
  <c r="AI360" i="1"/>
  <c r="AH360" i="1"/>
  <c r="AI348" i="1"/>
  <c r="AH348" i="1"/>
  <c r="AI340" i="1"/>
  <c r="AH340" i="1"/>
  <c r="AI328" i="1"/>
  <c r="AH328" i="1"/>
  <c r="AI332" i="1"/>
  <c r="AH332" i="1"/>
  <c r="AI320" i="1"/>
  <c r="AH320" i="1"/>
  <c r="AI343" i="1"/>
  <c r="AH343" i="1"/>
  <c r="AI288" i="1"/>
  <c r="AH288" i="1"/>
  <c r="AI292" i="1"/>
  <c r="AH292" i="1"/>
  <c r="AI296" i="1"/>
  <c r="AH296" i="1"/>
  <c r="AI307" i="1"/>
  <c r="AH307" i="1"/>
  <c r="AI355" i="1"/>
  <c r="AH355" i="1"/>
  <c r="AI324" i="1"/>
  <c r="AH324" i="1"/>
  <c r="AI311" i="1"/>
  <c r="AH311" i="1"/>
  <c r="AI352" i="1"/>
  <c r="AH352" i="1"/>
  <c r="AI319" i="1"/>
  <c r="AH319" i="1"/>
  <c r="AI323" i="1"/>
  <c r="AH323" i="1"/>
  <c r="AI336" i="1"/>
  <c r="AH336" i="1"/>
  <c r="AI300" i="1"/>
  <c r="AH300" i="1"/>
  <c r="AI304" i="1"/>
  <c r="AH304" i="1"/>
  <c r="AI308" i="1"/>
  <c r="AH308" i="1"/>
  <c r="AI312" i="1"/>
  <c r="AH312" i="1"/>
  <c r="AI327" i="1"/>
  <c r="AH327" i="1"/>
  <c r="AI356" i="1"/>
  <c r="AH356" i="1"/>
  <c r="AC317" i="1"/>
  <c r="AE317" i="1" s="1"/>
  <c r="AC346" i="1"/>
  <c r="AE346" i="1" s="1"/>
  <c r="AA346" i="1"/>
  <c r="AC349" i="1"/>
  <c r="AE349" i="1" s="1"/>
  <c r="AA329" i="1"/>
  <c r="AC290" i="1"/>
  <c r="AE290" i="1" s="1"/>
  <c r="AA290" i="1"/>
  <c r="AC297" i="1"/>
  <c r="AE297" i="1" s="1"/>
  <c r="AC326" i="1"/>
  <c r="AE326" i="1" s="1"/>
  <c r="AA326" i="1"/>
  <c r="AC355" i="1"/>
  <c r="AE355" i="1" s="1"/>
  <c r="AA292" i="1"/>
  <c r="AA361" i="1"/>
  <c r="AC288" i="1"/>
  <c r="AE288" i="1" s="1"/>
  <c r="AC306" i="1"/>
  <c r="AE306" i="1" s="1"/>
  <c r="AA306" i="1"/>
  <c r="AC342" i="1"/>
  <c r="AE342" i="1" s="1"/>
  <c r="AA342" i="1"/>
  <c r="AC345" i="1"/>
  <c r="AE345" i="1" s="1"/>
  <c r="AA301" i="1"/>
  <c r="AC305" i="1"/>
  <c r="AE305" i="1" s="1"/>
  <c r="AC330" i="1"/>
  <c r="AE330" i="1" s="1"/>
  <c r="AA330" i="1"/>
  <c r="AC333" i="1"/>
  <c r="AE333" i="1" s="1"/>
  <c r="AC286" i="1"/>
  <c r="AE286" i="1" s="1"/>
  <c r="AA286" i="1"/>
  <c r="AH305" i="1"/>
  <c r="AA315" i="1"/>
  <c r="AA316" i="1"/>
  <c r="AC332" i="1"/>
  <c r="AE332" i="1" s="1"/>
  <c r="AC351" i="1"/>
  <c r="AE351" i="1" s="1"/>
  <c r="AA356" i="1"/>
  <c r="AC359" i="1"/>
  <c r="AE359" i="1" s="1"/>
  <c r="AI299" i="1"/>
  <c r="AH299" i="1"/>
  <c r="AI335" i="1"/>
  <c r="AH335" i="1"/>
  <c r="AI295" i="1"/>
  <c r="AH295" i="1"/>
  <c r="AA357" i="1"/>
  <c r="AC310" i="1"/>
  <c r="AE310" i="1" s="1"/>
  <c r="AA310" i="1"/>
  <c r="AC294" i="1"/>
  <c r="AE294" i="1" s="1"/>
  <c r="AA294" i="1"/>
  <c r="AH301" i="1"/>
  <c r="AA311" i="1"/>
  <c r="AC322" i="1"/>
  <c r="AE322" i="1" s="1"/>
  <c r="AA322" i="1"/>
  <c r="AC328" i="1"/>
  <c r="AE328" i="1" s="1"/>
  <c r="AC347" i="1"/>
  <c r="AE347" i="1" s="1"/>
  <c r="AA352" i="1"/>
  <c r="AA360" i="1"/>
  <c r="AC314" i="1"/>
  <c r="AE314" i="1" s="1"/>
  <c r="AA314" i="1"/>
  <c r="AA320" i="1"/>
  <c r="AH297" i="1"/>
  <c r="AA307" i="1"/>
  <c r="AA312" i="1"/>
  <c r="AC315" i="1"/>
  <c r="AE315" i="1" s="1"/>
  <c r="AI315" i="1"/>
  <c r="AH315" i="1"/>
  <c r="AC324" i="1"/>
  <c r="AE324" i="1" s="1"/>
  <c r="AC343" i="1"/>
  <c r="AE343" i="1" s="1"/>
  <c r="AA348" i="1"/>
  <c r="AI351" i="1"/>
  <c r="AH351" i="1"/>
  <c r="AI359" i="1"/>
  <c r="AH359" i="1"/>
  <c r="AI316" i="1"/>
  <c r="AH316" i="1"/>
  <c r="AI331" i="1"/>
  <c r="AH331" i="1"/>
  <c r="AC350" i="1"/>
  <c r="AE350" i="1" s="1"/>
  <c r="AA350" i="1"/>
  <c r="AC353" i="1"/>
  <c r="AE353" i="1" s="1"/>
  <c r="AA313" i="1"/>
  <c r="AA309" i="1"/>
  <c r="AA341" i="1"/>
  <c r="AA337" i="1"/>
  <c r="AC298" i="1"/>
  <c r="AE298" i="1" s="1"/>
  <c r="AA298" i="1"/>
  <c r="AH293" i="1"/>
  <c r="AA303" i="1"/>
  <c r="AC311" i="1"/>
  <c r="AE311" i="1" s="1"/>
  <c r="AH318" i="1"/>
  <c r="AA321" i="1"/>
  <c r="AC339" i="1"/>
  <c r="AE339" i="1" s="1"/>
  <c r="AA344" i="1"/>
  <c r="AI347" i="1"/>
  <c r="AH347" i="1"/>
  <c r="AC358" i="1"/>
  <c r="AE358" i="1" s="1"/>
  <c r="AA358" i="1"/>
  <c r="AC354" i="1"/>
  <c r="AE354" i="1" s="1"/>
  <c r="AA354" i="1"/>
  <c r="AC338" i="1"/>
  <c r="AE338" i="1" s="1"/>
  <c r="AA338" i="1"/>
  <c r="AA308" i="1"/>
  <c r="AH289" i="1"/>
  <c r="AA299" i="1"/>
  <c r="AA304" i="1"/>
  <c r="AC307" i="1"/>
  <c r="AE307" i="1" s="1"/>
  <c r="AA335" i="1"/>
  <c r="AA340" i="1"/>
  <c r="AC302" i="1"/>
  <c r="AE302" i="1" s="1"/>
  <c r="AA302" i="1"/>
  <c r="AC334" i="1"/>
  <c r="AE334" i="1" s="1"/>
  <c r="AA334" i="1"/>
  <c r="AA295" i="1"/>
  <c r="AC303" i="1"/>
  <c r="AE303" i="1" s="1"/>
  <c r="AI303" i="1"/>
  <c r="AH303" i="1"/>
  <c r="AC318" i="1"/>
  <c r="AE318" i="1" s="1"/>
  <c r="AA318" i="1"/>
  <c r="AA331" i="1"/>
  <c r="AA336" i="1"/>
  <c r="AI339" i="1"/>
  <c r="AH339" i="1"/>
  <c r="AA339" i="1"/>
  <c r="AA343" i="1"/>
  <c r="AA347" i="1"/>
  <c r="AA351" i="1"/>
  <c r="AA355" i="1"/>
  <c r="AA359" i="1"/>
  <c r="AI130" i="1"/>
  <c r="AH130" i="1"/>
  <c r="AI247" i="1"/>
  <c r="AH247" i="1"/>
  <c r="AI274" i="1"/>
  <c r="AH274" i="1"/>
  <c r="AI149" i="1"/>
  <c r="AH149" i="1"/>
  <c r="AI232" i="1"/>
  <c r="AH232" i="1"/>
  <c r="AI113" i="1"/>
  <c r="AH113" i="1"/>
  <c r="AI117" i="1"/>
  <c r="AH117" i="1"/>
  <c r="AI121" i="1"/>
  <c r="AH121" i="1"/>
  <c r="AI125" i="1"/>
  <c r="AH125" i="1"/>
  <c r="AI276" i="1"/>
  <c r="AH276" i="1"/>
  <c r="AI240" i="1"/>
  <c r="AH240" i="1"/>
  <c r="AI260" i="1"/>
  <c r="AH260" i="1"/>
  <c r="AI122" i="1"/>
  <c r="AH122" i="1"/>
  <c r="AI129" i="1"/>
  <c r="AH129" i="1"/>
  <c r="AI146" i="1"/>
  <c r="AH146" i="1"/>
  <c r="AI109" i="1"/>
  <c r="AH109" i="1"/>
  <c r="AI284" i="1"/>
  <c r="AH284" i="1"/>
  <c r="AI226" i="1"/>
  <c r="AH226" i="1"/>
  <c r="AI138" i="1"/>
  <c r="AH138" i="1"/>
  <c r="AI180" i="1"/>
  <c r="AH180" i="1"/>
  <c r="AI208" i="1"/>
  <c r="AH208" i="1"/>
  <c r="AH266" i="1"/>
  <c r="AI266" i="1"/>
  <c r="AC196" i="1"/>
  <c r="AE196" i="1" s="1"/>
  <c r="AC203" i="1"/>
  <c r="AE203" i="1" s="1"/>
  <c r="AA203" i="1"/>
  <c r="AH203" i="1"/>
  <c r="AI203" i="1"/>
  <c r="AC222" i="1"/>
  <c r="AE222" i="1" s="1"/>
  <c r="AA222" i="1"/>
  <c r="AI222" i="1"/>
  <c r="AH222" i="1"/>
  <c r="AC236" i="1"/>
  <c r="AE236" i="1" s="1"/>
  <c r="AI236" i="1"/>
  <c r="AH236" i="1"/>
  <c r="AC243" i="1"/>
  <c r="AE243" i="1" s="1"/>
  <c r="AA244" i="1"/>
  <c r="AA257" i="1"/>
  <c r="AC257" i="1"/>
  <c r="AE257" i="1" s="1"/>
  <c r="AA275" i="1"/>
  <c r="AC132" i="1"/>
  <c r="AE132" i="1" s="1"/>
  <c r="AA132" i="1"/>
  <c r="AI136" i="1"/>
  <c r="AH136" i="1"/>
  <c r="AC162" i="1"/>
  <c r="AE162" i="1" s="1"/>
  <c r="AA196" i="1"/>
  <c r="AA216" i="1"/>
  <c r="AI216" i="1"/>
  <c r="AH216" i="1"/>
  <c r="AI249" i="1"/>
  <c r="AH249" i="1"/>
  <c r="AC276" i="1"/>
  <c r="AE276" i="1" s="1"/>
  <c r="AA276" i="1"/>
  <c r="AA285" i="1"/>
  <c r="AA138" i="1"/>
  <c r="AC138" i="1"/>
  <c r="AE138" i="1" s="1"/>
  <c r="AC159" i="1"/>
  <c r="AE159" i="1" s="1"/>
  <c r="AA159" i="1"/>
  <c r="AI139" i="1"/>
  <c r="AH139" i="1"/>
  <c r="AC147" i="1"/>
  <c r="AE147" i="1" s="1"/>
  <c r="AI172" i="1"/>
  <c r="AH172" i="1"/>
  <c r="AC209" i="1"/>
  <c r="AE209" i="1" s="1"/>
  <c r="AA209" i="1"/>
  <c r="AC252" i="1"/>
  <c r="AE252" i="1" s="1"/>
  <c r="AA252" i="1"/>
  <c r="AA264" i="1"/>
  <c r="AC264" i="1"/>
  <c r="AE264" i="1" s="1"/>
  <c r="AC111" i="1"/>
  <c r="AE111" i="1" s="1"/>
  <c r="AA111" i="1"/>
  <c r="AC220" i="1"/>
  <c r="AE220" i="1" s="1"/>
  <c r="AA220" i="1"/>
  <c r="AA232" i="1"/>
  <c r="AC242" i="1"/>
  <c r="AE242" i="1" s="1"/>
  <c r="AA242" i="1"/>
  <c r="AC256" i="1"/>
  <c r="AE256" i="1" s="1"/>
  <c r="AA256" i="1"/>
  <c r="AH183" i="1"/>
  <c r="AI183" i="1"/>
  <c r="AI231" i="1"/>
  <c r="AH231" i="1"/>
  <c r="AC109" i="1"/>
  <c r="AE109" i="1" s="1"/>
  <c r="AC124" i="1"/>
  <c r="AE124" i="1" s="1"/>
  <c r="AA124" i="1"/>
  <c r="AC151" i="1"/>
  <c r="AE151" i="1" s="1"/>
  <c r="AA151" i="1"/>
  <c r="AI220" i="1"/>
  <c r="AH220" i="1"/>
  <c r="AA110" i="1"/>
  <c r="AH116" i="1"/>
  <c r="AH118" i="1"/>
  <c r="AA129" i="1"/>
  <c r="AC130" i="1"/>
  <c r="AE130" i="1" s="1"/>
  <c r="AI137" i="1"/>
  <c r="AH137" i="1"/>
  <c r="AA146" i="1"/>
  <c r="AC146" i="1"/>
  <c r="AE146" i="1" s="1"/>
  <c r="AC164" i="1"/>
  <c r="AE164" i="1" s="1"/>
  <c r="AA164" i="1"/>
  <c r="AA182" i="1"/>
  <c r="AC182" i="1"/>
  <c r="AE182" i="1" s="1"/>
  <c r="AH206" i="1"/>
  <c r="AI206" i="1"/>
  <c r="AA215" i="1"/>
  <c r="AC226" i="1"/>
  <c r="AE226" i="1" s="1"/>
  <c r="AA226" i="1"/>
  <c r="AA243" i="1"/>
  <c r="AA249" i="1"/>
  <c r="AC250" i="1"/>
  <c r="AE250" i="1" s="1"/>
  <c r="AA250" i="1"/>
  <c r="AI275" i="1"/>
  <c r="AH275" i="1"/>
  <c r="AH282" i="1"/>
  <c r="AI282" i="1"/>
  <c r="AH104" i="1"/>
  <c r="AI104" i="1"/>
  <c r="AC105" i="1"/>
  <c r="AE105" i="1" s="1"/>
  <c r="AA123" i="1"/>
  <c r="AH128" i="1"/>
  <c r="AI128" i="1"/>
  <c r="AH131" i="1"/>
  <c r="AC135" i="1"/>
  <c r="AE135" i="1" s="1"/>
  <c r="AA135" i="1"/>
  <c r="AA145" i="1"/>
  <c r="AC149" i="1"/>
  <c r="AE149" i="1" s="1"/>
  <c r="AA149" i="1"/>
  <c r="AA150" i="1"/>
  <c r="AA158" i="1"/>
  <c r="AH194" i="1"/>
  <c r="AI194" i="1"/>
  <c r="AA227" i="1"/>
  <c r="AA241" i="1"/>
  <c r="AI188" i="1"/>
  <c r="AH188" i="1"/>
  <c r="AI153" i="1"/>
  <c r="AH153" i="1"/>
  <c r="AC229" i="1"/>
  <c r="AE229" i="1" s="1"/>
  <c r="AC234" i="1"/>
  <c r="AE234" i="1" s="1"/>
  <c r="AA234" i="1"/>
  <c r="AI234" i="1"/>
  <c r="AH234" i="1"/>
  <c r="AA106" i="1"/>
  <c r="AC140" i="1"/>
  <c r="AE140" i="1" s="1"/>
  <c r="AA140" i="1"/>
  <c r="AI144" i="1"/>
  <c r="AH144" i="1"/>
  <c r="AI162" i="1"/>
  <c r="AH162" i="1"/>
  <c r="AA163" i="1"/>
  <c r="AA165" i="1"/>
  <c r="AH198" i="1"/>
  <c r="AA201" i="1"/>
  <c r="AI214" i="1"/>
  <c r="AH214" i="1"/>
  <c r="AC262" i="1"/>
  <c r="AE262" i="1" s="1"/>
  <c r="AA262" i="1"/>
  <c r="AA263" i="1"/>
  <c r="AI106" i="1"/>
  <c r="AH106" i="1"/>
  <c r="AH112" i="1"/>
  <c r="AI112" i="1"/>
  <c r="AC148" i="1"/>
  <c r="AE148" i="1" s="1"/>
  <c r="AA148" i="1"/>
  <c r="AI152" i="1"/>
  <c r="AH152" i="1"/>
  <c r="AC176" i="1"/>
  <c r="AE176" i="1" s="1"/>
  <c r="AA176" i="1"/>
  <c r="AC119" i="1"/>
  <c r="AE119" i="1" s="1"/>
  <c r="AA119" i="1"/>
  <c r="AC141" i="1"/>
  <c r="AE141" i="1" s="1"/>
  <c r="AA141" i="1"/>
  <c r="AC189" i="1"/>
  <c r="AE189" i="1" s="1"/>
  <c r="AA189" i="1"/>
  <c r="AC116" i="1"/>
  <c r="AE116" i="1" s="1"/>
  <c r="AA116" i="1"/>
  <c r="AH127" i="1"/>
  <c r="AA133" i="1"/>
  <c r="AC133" i="1"/>
  <c r="AE133" i="1" s="1"/>
  <c r="AI133" i="1"/>
  <c r="AH133" i="1"/>
  <c r="AA134" i="1"/>
  <c r="AC154" i="1"/>
  <c r="AE154" i="1" s="1"/>
  <c r="AC156" i="1"/>
  <c r="AE156" i="1" s="1"/>
  <c r="AA156" i="1"/>
  <c r="AA161" i="1"/>
  <c r="AA171" i="1"/>
  <c r="AI173" i="1"/>
  <c r="AH173" i="1"/>
  <c r="AH178" i="1"/>
  <c r="AC180" i="1"/>
  <c r="AE180" i="1" s="1"/>
  <c r="AA180" i="1"/>
  <c r="AA200" i="1"/>
  <c r="AC212" i="1"/>
  <c r="AE212" i="1" s="1"/>
  <c r="AI212" i="1"/>
  <c r="AH212" i="1"/>
  <c r="AA213" i="1"/>
  <c r="AC219" i="1"/>
  <c r="AE219" i="1" s="1"/>
  <c r="AC224" i="1"/>
  <c r="AE224" i="1" s="1"/>
  <c r="AA255" i="1"/>
  <c r="AC280" i="1"/>
  <c r="AE280" i="1" s="1"/>
  <c r="AA280" i="1"/>
  <c r="AC168" i="1"/>
  <c r="AE168" i="1" s="1"/>
  <c r="AA168" i="1"/>
  <c r="AI141" i="1"/>
  <c r="AH141" i="1"/>
  <c r="AI228" i="1"/>
  <c r="AH228" i="1"/>
  <c r="AA202" i="1"/>
  <c r="AC202" i="1"/>
  <c r="AE202" i="1" s="1"/>
  <c r="AI105" i="1"/>
  <c r="AH105" i="1"/>
  <c r="AH108" i="1"/>
  <c r="AH110" i="1"/>
  <c r="AA121" i="1"/>
  <c r="AC122" i="1"/>
  <c r="AE122" i="1" s="1"/>
  <c r="AI147" i="1"/>
  <c r="AH147" i="1"/>
  <c r="AI154" i="1"/>
  <c r="AH154" i="1"/>
  <c r="AA155" i="1"/>
  <c r="AI167" i="1"/>
  <c r="AH167" i="1"/>
  <c r="AC169" i="1"/>
  <c r="AE169" i="1" s="1"/>
  <c r="AA169" i="1"/>
  <c r="AI169" i="1"/>
  <c r="AH169" i="1"/>
  <c r="AA170" i="1"/>
  <c r="AA181" i="1"/>
  <c r="AI200" i="1"/>
  <c r="AH200" i="1"/>
  <c r="AC207" i="1"/>
  <c r="AE207" i="1" s="1"/>
  <c r="AA207" i="1"/>
  <c r="AA208" i="1"/>
  <c r="AA211" i="1"/>
  <c r="AC247" i="1"/>
  <c r="AE247" i="1" s="1"/>
  <c r="AA247" i="1"/>
  <c r="AC253" i="1"/>
  <c r="AE253" i="1" s="1"/>
  <c r="AI253" i="1"/>
  <c r="AH253" i="1"/>
  <c r="AC260" i="1"/>
  <c r="AE260" i="1" s="1"/>
  <c r="AI268" i="1"/>
  <c r="AH268" i="1"/>
  <c r="AA269" i="1"/>
  <c r="AI270" i="1"/>
  <c r="AH270" i="1"/>
  <c r="AI114" i="1"/>
  <c r="AH114" i="1"/>
  <c r="AA115" i="1"/>
  <c r="AA117" i="1"/>
  <c r="AI120" i="1"/>
  <c r="AH120" i="1"/>
  <c r="AH123" i="1"/>
  <c r="AH143" i="1"/>
  <c r="AH150" i="1"/>
  <c r="AH159" i="1"/>
  <c r="AC167" i="1"/>
  <c r="AE167" i="1" s="1"/>
  <c r="AA193" i="1"/>
  <c r="AH207" i="1"/>
  <c r="AI207" i="1"/>
  <c r="AI210" i="1"/>
  <c r="AH210" i="1"/>
  <c r="AI224" i="1"/>
  <c r="AH224" i="1"/>
  <c r="AI243" i="1"/>
  <c r="AH243" i="1"/>
  <c r="AC248" i="1"/>
  <c r="AE248" i="1" s="1"/>
  <c r="AC118" i="1"/>
  <c r="AE118" i="1" s="1"/>
  <c r="AA131" i="1"/>
  <c r="AC173" i="1"/>
  <c r="AE173" i="1" s="1"/>
  <c r="AC127" i="1"/>
  <c r="AE127" i="1" s="1"/>
  <c r="AA127" i="1"/>
  <c r="AH148" i="1"/>
  <c r="AA157" i="1"/>
  <c r="AA178" i="1"/>
  <c r="AC187" i="1"/>
  <c r="AE187" i="1" s="1"/>
  <c r="AA187" i="1"/>
  <c r="AI192" i="1"/>
  <c r="AH192" i="1"/>
  <c r="AA198" i="1"/>
  <c r="AC198" i="1"/>
  <c r="AE198" i="1" s="1"/>
  <c r="AA219" i="1"/>
  <c r="AI238" i="1"/>
  <c r="AH238" i="1"/>
  <c r="AC240" i="1"/>
  <c r="AE240" i="1" s="1"/>
  <c r="AA240" i="1"/>
  <c r="AC244" i="1"/>
  <c r="AE244" i="1" s="1"/>
  <c r="AH258" i="1"/>
  <c r="AC278" i="1"/>
  <c r="AE278" i="1" s="1"/>
  <c r="AA278" i="1"/>
  <c r="AI176" i="1"/>
  <c r="AH176" i="1"/>
  <c r="AH196" i="1"/>
  <c r="AI196" i="1"/>
  <c r="AI239" i="1"/>
  <c r="AH239" i="1"/>
  <c r="AC108" i="1"/>
  <c r="AE108" i="1" s="1"/>
  <c r="AA108" i="1"/>
  <c r="AH195" i="1"/>
  <c r="AI195" i="1"/>
  <c r="AI218" i="1"/>
  <c r="AH218" i="1"/>
  <c r="AI230" i="1"/>
  <c r="AH230" i="1"/>
  <c r="AA277" i="1"/>
  <c r="AI161" i="1"/>
  <c r="AH161" i="1"/>
  <c r="AC183" i="1"/>
  <c r="AE183" i="1" s="1"/>
  <c r="AA183" i="1"/>
  <c r="AH119" i="1"/>
  <c r="AC125" i="1"/>
  <c r="AE125" i="1" s="1"/>
  <c r="AH134" i="1"/>
  <c r="AI145" i="1"/>
  <c r="AH145" i="1"/>
  <c r="AC114" i="1"/>
  <c r="AE114" i="1" s="1"/>
  <c r="AC143" i="1"/>
  <c r="AE143" i="1" s="1"/>
  <c r="AA143" i="1"/>
  <c r="AA154" i="1"/>
  <c r="AA167" i="1"/>
  <c r="AC174" i="1"/>
  <c r="AE174" i="1" s="1"/>
  <c r="AC185" i="1"/>
  <c r="AE185" i="1" s="1"/>
  <c r="AA185" i="1"/>
  <c r="AI190" i="1"/>
  <c r="AH190" i="1"/>
  <c r="AC205" i="1"/>
  <c r="AE205" i="1" s="1"/>
  <c r="AA205" i="1"/>
  <c r="AC210" i="1"/>
  <c r="AE210" i="1" s="1"/>
  <c r="AI254" i="1"/>
  <c r="AH254" i="1"/>
  <c r="AC268" i="1"/>
  <c r="AE268" i="1" s="1"/>
  <c r="AA175" i="1"/>
  <c r="AC160" i="1"/>
  <c r="AE160" i="1" s="1"/>
  <c r="AA160" i="1"/>
  <c r="AC197" i="1"/>
  <c r="AE197" i="1" s="1"/>
  <c r="AH217" i="1"/>
  <c r="AH225" i="1"/>
  <c r="AC231" i="1"/>
  <c r="AE231" i="1" s="1"/>
  <c r="AA231" i="1"/>
  <c r="AC235" i="1"/>
  <c r="AE235" i="1" s="1"/>
  <c r="AC237" i="1"/>
  <c r="AE237" i="1" s="1"/>
  <c r="AA237" i="1"/>
  <c r="AC265" i="1"/>
  <c r="AE265" i="1" s="1"/>
  <c r="AA267" i="1"/>
  <c r="AI267" i="1"/>
  <c r="AH267" i="1"/>
  <c r="AI211" i="1"/>
  <c r="AH211" i="1"/>
  <c r="AA212" i="1"/>
  <c r="AA217" i="1"/>
  <c r="AA221" i="1"/>
  <c r="AA224" i="1"/>
  <c r="AA253" i="1"/>
  <c r="AA265" i="1"/>
  <c r="AC273" i="1"/>
  <c r="AE273" i="1" s="1"/>
  <c r="AA273" i="1"/>
  <c r="AA283" i="1"/>
  <c r="AC104" i="1"/>
  <c r="AE104" i="1" s="1"/>
  <c r="AA104" i="1"/>
  <c r="AC112" i="1"/>
  <c r="AE112" i="1" s="1"/>
  <c r="AA112" i="1"/>
  <c r="AC120" i="1"/>
  <c r="AE120" i="1" s="1"/>
  <c r="AA120" i="1"/>
  <c r="AC128" i="1"/>
  <c r="AE128" i="1" s="1"/>
  <c r="AA128" i="1"/>
  <c r="AC136" i="1"/>
  <c r="AE136" i="1" s="1"/>
  <c r="AA136" i="1"/>
  <c r="AC144" i="1"/>
  <c r="AE144" i="1" s="1"/>
  <c r="AA144" i="1"/>
  <c r="AC152" i="1"/>
  <c r="AE152" i="1" s="1"/>
  <c r="AA152" i="1"/>
  <c r="AI193" i="1"/>
  <c r="AH193" i="1"/>
  <c r="AC223" i="1"/>
  <c r="AE223" i="1" s="1"/>
  <c r="AA223" i="1"/>
  <c r="AI223" i="1"/>
  <c r="AH223" i="1"/>
  <c r="AI235" i="1"/>
  <c r="AH235" i="1"/>
  <c r="AA236" i="1"/>
  <c r="AA281" i="1"/>
  <c r="AC281" i="1"/>
  <c r="AE281" i="1" s="1"/>
  <c r="AI283" i="1"/>
  <c r="AH283" i="1"/>
  <c r="AC172" i="1"/>
  <c r="AE172" i="1" s="1"/>
  <c r="AA172" i="1"/>
  <c r="AA179" i="1"/>
  <c r="AC179" i="1"/>
  <c r="AE179" i="1" s="1"/>
  <c r="AC199" i="1"/>
  <c r="AE199" i="1" s="1"/>
  <c r="AA199" i="1"/>
  <c r="AA210" i="1"/>
  <c r="AI215" i="1"/>
  <c r="AH215" i="1"/>
  <c r="AI221" i="1"/>
  <c r="AH221" i="1"/>
  <c r="AI227" i="1"/>
  <c r="AH227" i="1"/>
  <c r="AI229" i="1"/>
  <c r="AH229" i="1"/>
  <c r="AC259" i="1"/>
  <c r="AE259" i="1" s="1"/>
  <c r="AA259" i="1"/>
  <c r="AI259" i="1"/>
  <c r="AH259" i="1"/>
  <c r="AA260" i="1"/>
  <c r="AI263" i="1"/>
  <c r="AH263" i="1"/>
  <c r="AA271" i="1"/>
  <c r="AI271" i="1"/>
  <c r="AH271" i="1"/>
  <c r="AA272" i="1"/>
  <c r="AI165" i="1"/>
  <c r="AH165" i="1"/>
  <c r="AA206" i="1"/>
  <c r="AC206" i="1"/>
  <c r="AE206" i="1" s="1"/>
  <c r="AC232" i="1"/>
  <c r="AE232" i="1" s="1"/>
  <c r="AC249" i="1"/>
  <c r="AE249" i="1" s="1"/>
  <c r="AI219" i="1"/>
  <c r="AH219" i="1"/>
  <c r="AI257" i="1"/>
  <c r="AH257" i="1"/>
  <c r="AA268" i="1"/>
  <c r="AI279" i="1"/>
  <c r="AH279" i="1"/>
  <c r="AC284" i="1"/>
  <c r="AE284" i="1" s="1"/>
  <c r="AI186" i="1"/>
  <c r="AH186" i="1"/>
  <c r="AC190" i="1"/>
  <c r="AE190" i="1" s="1"/>
  <c r="AI157" i="1"/>
  <c r="AH157" i="1"/>
  <c r="AA194" i="1"/>
  <c r="AC245" i="1"/>
  <c r="AE245" i="1" s="1"/>
  <c r="AA245" i="1"/>
  <c r="AA251" i="1"/>
  <c r="AC251" i="1"/>
  <c r="AE251" i="1" s="1"/>
  <c r="AI251" i="1"/>
  <c r="AH251" i="1"/>
  <c r="AC266" i="1"/>
  <c r="AE266" i="1" s="1"/>
  <c r="AA266" i="1"/>
  <c r="AA279" i="1"/>
  <c r="AC192" i="1"/>
  <c r="AE192" i="1" s="1"/>
  <c r="AA192" i="1"/>
  <c r="AC214" i="1"/>
  <c r="AE214" i="1" s="1"/>
  <c r="AA214" i="1"/>
  <c r="AC228" i="1"/>
  <c r="AE228" i="1" s="1"/>
  <c r="AA228" i="1"/>
  <c r="AC230" i="1"/>
  <c r="AE230" i="1" s="1"/>
  <c r="AA230" i="1"/>
  <c r="AC238" i="1"/>
  <c r="AE238" i="1" s="1"/>
  <c r="AA238" i="1"/>
  <c r="AI255" i="1"/>
  <c r="AH255" i="1"/>
  <c r="AC270" i="1"/>
  <c r="AE270" i="1" s="1"/>
  <c r="AA270" i="1"/>
  <c r="AC282" i="1"/>
  <c r="AE282" i="1" s="1"/>
  <c r="AA282" i="1"/>
  <c r="AA174" i="1"/>
  <c r="AC258" i="1"/>
  <c r="AE258" i="1" s="1"/>
  <c r="AA258" i="1"/>
  <c r="AA190" i="1"/>
  <c r="AC274" i="1"/>
  <c r="AE274" i="1" s="1"/>
  <c r="AA274" i="1"/>
  <c r="AC246" i="1"/>
  <c r="AE246" i="1" s="1"/>
  <c r="AA246" i="1"/>
  <c r="AC218" i="1"/>
  <c r="AE218" i="1" s="1"/>
  <c r="AA218" i="1"/>
  <c r="AA186" i="1"/>
  <c r="AC254" i="1"/>
  <c r="AE254" i="1" s="1"/>
  <c r="AA254" i="1"/>
  <c r="AI37" i="1"/>
  <c r="AH37" i="1"/>
  <c r="AI89" i="1"/>
  <c r="AH89" i="1"/>
  <c r="AH38" i="1"/>
  <c r="AI38" i="1"/>
  <c r="AI53" i="1"/>
  <c r="AH53" i="1"/>
  <c r="AH70" i="1"/>
  <c r="AI70" i="1"/>
  <c r="AI73" i="1"/>
  <c r="AH73" i="1"/>
  <c r="AI57" i="1"/>
  <c r="AH57" i="1"/>
  <c r="AI101" i="1"/>
  <c r="AH101" i="1"/>
  <c r="AH98" i="1"/>
  <c r="AI98" i="1"/>
  <c r="AH50" i="1"/>
  <c r="AI50" i="1"/>
  <c r="AI77" i="1"/>
  <c r="AH77" i="1"/>
  <c r="AH54" i="1"/>
  <c r="AI54" i="1"/>
  <c r="AI61" i="1"/>
  <c r="AH61" i="1"/>
  <c r="AI74" i="1"/>
  <c r="AH74" i="1"/>
  <c r="AI45" i="1"/>
  <c r="AH45" i="1"/>
  <c r="AH42" i="1"/>
  <c r="AI42" i="1"/>
  <c r="AH26" i="1"/>
  <c r="AI26" i="1"/>
  <c r="AH34" i="1"/>
  <c r="AI34" i="1"/>
  <c r="AI9" i="1"/>
  <c r="AH9" i="1"/>
  <c r="AI81" i="1"/>
  <c r="AH81" i="1"/>
  <c r="AI2" i="1"/>
  <c r="AH2" i="1"/>
  <c r="AH10" i="1"/>
  <c r="AI10" i="1"/>
  <c r="AI25" i="1"/>
  <c r="AH25" i="1"/>
  <c r="AI85" i="1"/>
  <c r="AH85" i="1"/>
  <c r="AI41" i="1"/>
  <c r="AH41" i="1"/>
  <c r="AI102" i="1"/>
  <c r="AH102" i="1"/>
  <c r="AH78" i="1"/>
  <c r="AI78" i="1"/>
  <c r="AI6" i="1"/>
  <c r="AH6" i="1"/>
  <c r="AI21" i="1"/>
  <c r="AH21" i="1"/>
  <c r="AI62" i="1"/>
  <c r="AH62" i="1"/>
  <c r="AI29" i="1"/>
  <c r="AH29" i="1"/>
  <c r="AI18" i="1"/>
  <c r="AH18" i="1"/>
  <c r="AH22" i="1"/>
  <c r="AI22" i="1"/>
  <c r="AH82" i="1"/>
  <c r="AI82" i="1"/>
  <c r="AH86" i="1"/>
  <c r="AI86" i="1"/>
  <c r="AI5" i="1"/>
  <c r="AH5" i="1"/>
  <c r="AI58" i="1"/>
  <c r="AH58" i="1"/>
  <c r="AI13" i="1"/>
  <c r="AH13" i="1"/>
  <c r="AI69" i="1"/>
  <c r="AH69" i="1"/>
  <c r="AA6" i="1"/>
  <c r="AA19" i="1"/>
  <c r="AA51" i="1"/>
  <c r="AC56" i="1"/>
  <c r="AE56" i="1" s="1"/>
  <c r="AA56" i="1"/>
  <c r="AC70" i="1"/>
  <c r="AE70" i="1" s="1"/>
  <c r="AC41" i="1"/>
  <c r="AE41" i="1" s="1"/>
  <c r="AA41" i="1"/>
  <c r="AA42" i="1"/>
  <c r="AC74" i="1"/>
  <c r="AE74" i="1" s="1"/>
  <c r="AC77" i="1"/>
  <c r="AE77" i="1" s="1"/>
  <c r="AA77" i="1"/>
  <c r="AA78" i="1"/>
  <c r="AC10" i="1"/>
  <c r="AE10" i="1" s="1"/>
  <c r="AC28" i="1"/>
  <c r="AE28" i="1" s="1"/>
  <c r="AA28" i="1"/>
  <c r="AA81" i="1"/>
  <c r="AC81" i="1"/>
  <c r="AE81" i="1" s="1"/>
  <c r="AA82" i="1"/>
  <c r="AA13" i="1"/>
  <c r="AC13" i="1"/>
  <c r="AE13" i="1" s="1"/>
  <c r="AA14" i="1"/>
  <c r="AA45" i="1"/>
  <c r="AC45" i="1"/>
  <c r="AE45" i="1" s="1"/>
  <c r="AA46" i="1"/>
  <c r="AA63" i="1"/>
  <c r="AC85" i="1"/>
  <c r="AE85" i="1" s="1"/>
  <c r="AA85" i="1"/>
  <c r="AA86" i="1"/>
  <c r="AI65" i="1"/>
  <c r="AH65" i="1"/>
  <c r="AA2" i="1"/>
  <c r="AH14" i="1"/>
  <c r="AI14" i="1"/>
  <c r="AA15" i="1"/>
  <c r="AC33" i="1"/>
  <c r="AE33" i="1" s="1"/>
  <c r="AA33" i="1"/>
  <c r="AA34" i="1"/>
  <c r="AA47" i="1"/>
  <c r="AA5" i="1"/>
  <c r="AC5" i="1"/>
  <c r="AE5" i="1" s="1"/>
  <c r="AC99" i="1"/>
  <c r="AE99" i="1" s="1"/>
  <c r="AC55" i="1"/>
  <c r="AE55" i="1" s="1"/>
  <c r="AC64" i="1"/>
  <c r="AE64" i="1" s="1"/>
  <c r="AA64" i="1"/>
  <c r="AA27" i="1"/>
  <c r="AC32" i="1"/>
  <c r="AE32" i="1" s="1"/>
  <c r="AA32" i="1"/>
  <c r="AC68" i="1"/>
  <c r="AE68" i="1" s="1"/>
  <c r="AA68" i="1"/>
  <c r="AA89" i="1"/>
  <c r="AC89" i="1"/>
  <c r="AE89" i="1" s="1"/>
  <c r="AA90" i="1"/>
  <c r="AC100" i="1"/>
  <c r="AE100" i="1" s="1"/>
  <c r="AA100" i="1"/>
  <c r="AC20" i="1"/>
  <c r="AE20" i="1" s="1"/>
  <c r="AA20" i="1"/>
  <c r="AA69" i="1"/>
  <c r="AC69" i="1"/>
  <c r="AE69" i="1" s="1"/>
  <c r="AA103" i="1"/>
  <c r="AC60" i="1"/>
  <c r="AE60" i="1" s="1"/>
  <c r="AA60" i="1"/>
  <c r="AI30" i="1"/>
  <c r="AH30" i="1"/>
  <c r="AA31" i="1"/>
  <c r="AA93" i="1"/>
  <c r="AC93" i="1"/>
  <c r="AE93" i="1" s="1"/>
  <c r="AI93" i="1"/>
  <c r="AH93" i="1"/>
  <c r="AA94" i="1"/>
  <c r="AC4" i="1"/>
  <c r="AE4" i="1" s="1"/>
  <c r="AA4" i="1"/>
  <c r="AC36" i="1"/>
  <c r="AE36" i="1" s="1"/>
  <c r="AA36" i="1"/>
  <c r="AC50" i="1"/>
  <c r="AE50" i="1" s="1"/>
  <c r="AC67" i="1"/>
  <c r="AE67" i="1" s="1"/>
  <c r="AC72" i="1"/>
  <c r="AE72" i="1" s="1"/>
  <c r="AA72" i="1"/>
  <c r="AI97" i="1"/>
  <c r="AH97" i="1"/>
  <c r="AA53" i="1"/>
  <c r="AC53" i="1"/>
  <c r="AE53" i="1" s="1"/>
  <c r="AA54" i="1"/>
  <c r="AH44" i="1"/>
  <c r="AA75" i="1"/>
  <c r="AI12" i="1"/>
  <c r="AC25" i="1"/>
  <c r="AE25" i="1" s="1"/>
  <c r="AA25" i="1"/>
  <c r="AA26" i="1"/>
  <c r="AH31" i="1"/>
  <c r="AA39" i="1"/>
  <c r="AC58" i="1"/>
  <c r="AE58" i="1" s="1"/>
  <c r="AH67" i="1"/>
  <c r="AA79" i="1"/>
  <c r="AC84" i="1"/>
  <c r="AE84" i="1" s="1"/>
  <c r="AA84" i="1"/>
  <c r="AC16" i="1"/>
  <c r="AE16" i="1" s="1"/>
  <c r="AA16" i="1"/>
  <c r="AH46" i="1"/>
  <c r="AI46" i="1"/>
  <c r="AC52" i="1"/>
  <c r="AE52" i="1" s="1"/>
  <c r="AA52" i="1"/>
  <c r="AA73" i="1"/>
  <c r="AC73" i="1"/>
  <c r="AE73" i="1" s="1"/>
  <c r="AC9" i="1"/>
  <c r="AE9" i="1" s="1"/>
  <c r="AA9" i="1"/>
  <c r="AA49" i="1"/>
  <c r="AC49" i="1"/>
  <c r="AE49" i="1" s="1"/>
  <c r="AH8" i="1"/>
  <c r="AH40" i="1"/>
  <c r="AA97" i="1"/>
  <c r="AC97" i="1"/>
  <c r="AE97" i="1" s="1"/>
  <c r="AA98" i="1"/>
  <c r="AA3" i="1"/>
  <c r="AC21" i="1"/>
  <c r="AE21" i="1" s="1"/>
  <c r="AA21" i="1"/>
  <c r="AA22" i="1"/>
  <c r="AH27" i="1"/>
  <c r="AA35" i="1"/>
  <c r="AH63" i="1"/>
  <c r="AA71" i="1"/>
  <c r="AC76" i="1"/>
  <c r="AE76" i="1" s="1"/>
  <c r="AA76" i="1"/>
  <c r="AC57" i="1"/>
  <c r="AE57" i="1" s="1"/>
  <c r="AA57" i="1"/>
  <c r="AC102" i="1"/>
  <c r="AE102" i="1" s="1"/>
  <c r="AC7" i="1"/>
  <c r="AE7" i="1" s="1"/>
  <c r="AC12" i="1"/>
  <c r="AE12" i="1" s="1"/>
  <c r="AA12" i="1"/>
  <c r="AC44" i="1"/>
  <c r="AE44" i="1" s="1"/>
  <c r="AA44" i="1"/>
  <c r="AH48" i="1"/>
  <c r="AA61" i="1"/>
  <c r="AC61" i="1"/>
  <c r="AE61" i="1" s="1"/>
  <c r="AA83" i="1"/>
  <c r="AC88" i="1"/>
  <c r="AE88" i="1" s="1"/>
  <c r="AA88" i="1"/>
  <c r="AC48" i="1"/>
  <c r="AE48" i="1" s="1"/>
  <c r="AA48" i="1"/>
  <c r="AC65" i="1"/>
  <c r="AE65" i="1" s="1"/>
  <c r="AA65" i="1"/>
  <c r="AH90" i="1"/>
  <c r="AI90" i="1"/>
  <c r="AC96" i="1"/>
  <c r="AE96" i="1" s="1"/>
  <c r="AA96" i="1"/>
  <c r="AI33" i="1"/>
  <c r="AH33" i="1"/>
  <c r="AH94" i="1"/>
  <c r="AI94" i="1"/>
  <c r="AA95" i="1"/>
  <c r="AC37" i="1"/>
  <c r="AE37" i="1" s="1"/>
  <c r="AA37" i="1"/>
  <c r="AA38" i="1"/>
  <c r="AC24" i="1"/>
  <c r="AE24" i="1" s="1"/>
  <c r="AA24" i="1"/>
  <c r="AC17" i="1"/>
  <c r="AE17" i="1" s="1"/>
  <c r="AA17" i="1"/>
  <c r="AI17" i="1"/>
  <c r="AH17" i="1"/>
  <c r="AA18" i="1"/>
  <c r="AI49" i="1"/>
  <c r="AH49" i="1"/>
  <c r="AH66" i="1"/>
  <c r="AI66" i="1"/>
  <c r="AA101" i="1"/>
  <c r="AC101" i="1"/>
  <c r="AE101" i="1" s="1"/>
  <c r="AC8" i="1"/>
  <c r="AE8" i="1" s="1"/>
  <c r="AA8" i="1"/>
  <c r="AC40" i="1"/>
  <c r="AE40" i="1" s="1"/>
  <c r="AA40" i="1"/>
  <c r="AC80" i="1"/>
  <c r="AE80" i="1" s="1"/>
  <c r="AA80" i="1"/>
  <c r="AH16" i="1"/>
  <c r="AC29" i="1"/>
  <c r="AE29" i="1" s="1"/>
  <c r="AA29" i="1"/>
  <c r="AC92" i="1"/>
  <c r="AE92" i="1" s="1"/>
  <c r="AA92" i="1"/>
  <c r="AD346" i="1" l="1"/>
  <c r="AB346" i="1"/>
  <c r="AD126" i="1"/>
  <c r="AB126" i="1"/>
  <c r="AD73" i="1"/>
  <c r="AB73" i="1"/>
  <c r="AD100" i="1"/>
  <c r="AB100" i="1"/>
  <c r="AD19" i="1"/>
  <c r="AB19" i="1"/>
  <c r="AD336" i="1"/>
  <c r="AB336" i="1"/>
  <c r="AD81" i="1"/>
  <c r="AB81" i="1"/>
  <c r="AD179" i="1"/>
  <c r="AB179" i="1"/>
  <c r="AD157" i="1"/>
  <c r="AB157" i="1"/>
  <c r="AD197" i="1"/>
  <c r="AB197" i="1"/>
  <c r="AD265" i="1"/>
  <c r="AB265" i="1"/>
  <c r="AD146" i="1"/>
  <c r="AB146" i="1"/>
  <c r="AD318" i="1"/>
  <c r="AB318" i="1"/>
  <c r="AD375" i="1"/>
  <c r="AB375" i="1"/>
  <c r="AD97" i="1"/>
  <c r="AB97" i="1"/>
  <c r="AD238" i="1"/>
  <c r="AB238" i="1"/>
  <c r="AD144" i="1"/>
  <c r="AB144" i="1"/>
  <c r="AD127" i="1"/>
  <c r="AB127" i="1"/>
  <c r="AD356" i="1"/>
  <c r="AB356" i="1"/>
  <c r="AD147" i="1"/>
  <c r="AB147" i="1"/>
  <c r="AD87" i="1"/>
  <c r="AB87" i="1"/>
  <c r="AD27" i="1"/>
  <c r="AB27" i="1"/>
  <c r="AD80" i="1"/>
  <c r="AB80" i="1"/>
  <c r="AD85" i="1"/>
  <c r="AB85" i="1"/>
  <c r="AD194" i="1"/>
  <c r="AB194" i="1"/>
  <c r="AD217" i="1"/>
  <c r="AB217" i="1"/>
  <c r="AD160" i="1"/>
  <c r="AB160" i="1"/>
  <c r="AD143" i="1"/>
  <c r="AB143" i="1"/>
  <c r="AD131" i="1"/>
  <c r="AB131" i="1"/>
  <c r="AD247" i="1"/>
  <c r="AB247" i="1"/>
  <c r="AD155" i="1"/>
  <c r="AB155" i="1"/>
  <c r="AD145" i="1"/>
  <c r="AB145" i="1"/>
  <c r="AD249" i="1"/>
  <c r="AB249" i="1"/>
  <c r="AD129" i="1"/>
  <c r="AB129" i="1"/>
  <c r="AD309" i="1"/>
  <c r="AB309" i="1"/>
  <c r="AD316" i="1"/>
  <c r="AB316" i="1"/>
  <c r="AD361" i="1"/>
  <c r="AB361" i="1"/>
  <c r="AD379" i="1"/>
  <c r="AB379" i="1"/>
  <c r="AD305" i="1"/>
  <c r="AB305" i="1"/>
  <c r="AD324" i="1"/>
  <c r="AB324" i="1"/>
  <c r="AD297" i="1"/>
  <c r="AB297" i="1"/>
  <c r="AD261" i="1"/>
  <c r="AB261" i="1"/>
  <c r="AD229" i="1"/>
  <c r="AB229" i="1"/>
  <c r="AD349" i="1"/>
  <c r="AB349" i="1"/>
  <c r="AD24" i="1"/>
  <c r="AB24" i="1"/>
  <c r="AD48" i="1"/>
  <c r="AB48" i="1"/>
  <c r="AD76" i="1"/>
  <c r="AB76" i="1"/>
  <c r="AD49" i="1"/>
  <c r="AB49" i="1"/>
  <c r="AD39" i="1"/>
  <c r="AB39" i="1"/>
  <c r="AD274" i="1"/>
  <c r="AB274" i="1"/>
  <c r="AD228" i="1"/>
  <c r="AB228" i="1"/>
  <c r="AD206" i="1"/>
  <c r="AB206" i="1"/>
  <c r="AD281" i="1"/>
  <c r="AB281" i="1"/>
  <c r="AD128" i="1"/>
  <c r="AB128" i="1"/>
  <c r="AD212" i="1"/>
  <c r="AB212" i="1"/>
  <c r="AD168" i="1"/>
  <c r="AB168" i="1"/>
  <c r="AD141" i="1"/>
  <c r="AB141" i="1"/>
  <c r="AD234" i="1"/>
  <c r="AB234" i="1"/>
  <c r="AD135" i="1"/>
  <c r="AB135" i="1"/>
  <c r="AD243" i="1"/>
  <c r="AB243" i="1"/>
  <c r="AD242" i="1"/>
  <c r="AB242" i="1"/>
  <c r="AD295" i="1"/>
  <c r="AB295" i="1"/>
  <c r="AD358" i="1"/>
  <c r="AB358" i="1"/>
  <c r="AD313" i="1"/>
  <c r="AB313" i="1"/>
  <c r="AD294" i="1"/>
  <c r="AB294" i="1"/>
  <c r="AD315" i="1"/>
  <c r="AB315" i="1"/>
  <c r="AD292" i="1"/>
  <c r="AB292" i="1"/>
  <c r="AD363" i="1"/>
  <c r="AB363" i="1"/>
  <c r="AD30" i="1"/>
  <c r="AB30" i="1"/>
  <c r="AD317" i="1"/>
  <c r="AB317" i="1"/>
  <c r="AD327" i="1"/>
  <c r="AB327" i="1"/>
  <c r="AD332" i="1"/>
  <c r="AB332" i="1"/>
  <c r="AD16" i="1"/>
  <c r="AB16" i="1"/>
  <c r="AD68" i="1"/>
  <c r="AB68" i="1"/>
  <c r="AD254" i="1"/>
  <c r="AB254" i="1"/>
  <c r="AD273" i="1"/>
  <c r="AB273" i="1"/>
  <c r="AD252" i="1"/>
  <c r="AB252" i="1"/>
  <c r="AD303" i="1"/>
  <c r="AB303" i="1"/>
  <c r="AD96" i="1"/>
  <c r="AB96" i="1"/>
  <c r="AD53" i="1"/>
  <c r="AB53" i="1"/>
  <c r="AD6" i="1"/>
  <c r="AB6" i="1"/>
  <c r="AD185" i="1"/>
  <c r="AB185" i="1"/>
  <c r="AD389" i="1"/>
  <c r="AB389" i="1"/>
  <c r="AD84" i="1"/>
  <c r="AB84" i="1"/>
  <c r="AD28" i="1"/>
  <c r="AB28" i="1"/>
  <c r="AD186" i="1"/>
  <c r="AB186" i="1"/>
  <c r="AD277" i="1"/>
  <c r="AB277" i="1"/>
  <c r="AD169" i="1"/>
  <c r="AB169" i="1"/>
  <c r="AD140" i="1"/>
  <c r="AB140" i="1"/>
  <c r="AD209" i="1"/>
  <c r="AB209" i="1"/>
  <c r="AD251" i="1"/>
  <c r="AB251" i="1"/>
  <c r="AD150" i="1"/>
  <c r="AB150" i="1"/>
  <c r="AD348" i="1"/>
  <c r="AB348" i="1"/>
  <c r="AD23" i="1"/>
  <c r="AB23" i="1"/>
  <c r="AD60" i="1"/>
  <c r="AB60" i="1"/>
  <c r="AD103" i="1"/>
  <c r="AB103" i="1"/>
  <c r="AD77" i="1"/>
  <c r="AB77" i="1"/>
  <c r="AD262" i="1"/>
  <c r="AB262" i="1"/>
  <c r="AD40" i="1"/>
  <c r="AB40" i="1"/>
  <c r="AD9" i="1"/>
  <c r="AB9" i="1"/>
  <c r="AD36" i="1"/>
  <c r="AB36" i="1"/>
  <c r="AD69" i="1"/>
  <c r="AB69" i="1"/>
  <c r="AD63" i="1"/>
  <c r="AB63" i="1"/>
  <c r="AD236" i="1"/>
  <c r="AB236" i="1"/>
  <c r="AD175" i="1"/>
  <c r="AB175" i="1"/>
  <c r="AD211" i="1"/>
  <c r="AB211" i="1"/>
  <c r="AD171" i="1"/>
  <c r="AB171" i="1"/>
  <c r="AD226" i="1"/>
  <c r="AB226" i="1"/>
  <c r="AD359" i="1"/>
  <c r="AB359" i="1"/>
  <c r="AD334" i="1"/>
  <c r="AB334" i="1"/>
  <c r="AD377" i="1"/>
  <c r="AB377" i="1"/>
  <c r="AD284" i="1"/>
  <c r="AB284" i="1"/>
  <c r="AD55" i="1"/>
  <c r="AB55" i="1"/>
  <c r="AD239" i="1"/>
  <c r="AB239" i="1"/>
  <c r="AD325" i="1"/>
  <c r="AB325" i="1"/>
  <c r="AD166" i="1"/>
  <c r="AB166" i="1"/>
  <c r="AD137" i="1"/>
  <c r="AB137" i="1"/>
  <c r="AD83" i="1"/>
  <c r="AB83" i="1"/>
  <c r="AD45" i="1"/>
  <c r="AB45" i="1"/>
  <c r="AD3" i="1"/>
  <c r="AB3" i="1"/>
  <c r="AD352" i="1"/>
  <c r="AB352" i="1"/>
  <c r="AD362" i="1"/>
  <c r="AB362" i="1"/>
  <c r="AD12" i="1"/>
  <c r="AB12" i="1"/>
  <c r="AD31" i="1"/>
  <c r="AB31" i="1"/>
  <c r="AD152" i="1"/>
  <c r="AB152" i="1"/>
  <c r="AD278" i="1"/>
  <c r="AB278" i="1"/>
  <c r="AD331" i="1"/>
  <c r="AB331" i="1"/>
  <c r="AD102" i="1"/>
  <c r="AB102" i="1"/>
  <c r="AD18" i="1"/>
  <c r="AB18" i="1"/>
  <c r="AD2" i="1"/>
  <c r="AB2" i="1"/>
  <c r="AD202" i="1"/>
  <c r="AB202" i="1"/>
  <c r="AD298" i="1"/>
  <c r="AB298" i="1"/>
  <c r="AD195" i="1"/>
  <c r="AB195" i="1"/>
  <c r="AD29" i="1"/>
  <c r="AB29" i="1"/>
  <c r="AD259" i="1"/>
  <c r="AB259" i="1"/>
  <c r="AD116" i="1"/>
  <c r="AB116" i="1"/>
  <c r="AD322" i="1"/>
  <c r="AB322" i="1"/>
  <c r="AD43" i="1"/>
  <c r="AB43" i="1"/>
  <c r="AD79" i="1"/>
  <c r="AB79" i="1"/>
  <c r="AD38" i="1"/>
  <c r="AB38" i="1"/>
  <c r="AD88" i="1"/>
  <c r="AB88" i="1"/>
  <c r="AD71" i="1"/>
  <c r="AB71" i="1"/>
  <c r="AD26" i="1"/>
  <c r="AB26" i="1"/>
  <c r="AD20" i="1"/>
  <c r="AB20" i="1"/>
  <c r="AD46" i="1"/>
  <c r="AB46" i="1"/>
  <c r="AD42" i="1"/>
  <c r="AB42" i="1"/>
  <c r="AD190" i="1"/>
  <c r="AB190" i="1"/>
  <c r="AD214" i="1"/>
  <c r="AB214" i="1"/>
  <c r="AD120" i="1"/>
  <c r="AB120" i="1"/>
  <c r="AD108" i="1"/>
  <c r="AB108" i="1"/>
  <c r="AD219" i="1"/>
  <c r="AB219" i="1"/>
  <c r="AD117" i="1"/>
  <c r="AB117" i="1"/>
  <c r="AD208" i="1"/>
  <c r="AB208" i="1"/>
  <c r="AD280" i="1"/>
  <c r="AB280" i="1"/>
  <c r="AD161" i="1"/>
  <c r="AB161" i="1"/>
  <c r="AD119" i="1"/>
  <c r="AB119" i="1"/>
  <c r="AD110" i="1"/>
  <c r="AB110" i="1"/>
  <c r="AD232" i="1"/>
  <c r="AB232" i="1"/>
  <c r="AD159" i="1"/>
  <c r="AB159" i="1"/>
  <c r="AD132" i="1"/>
  <c r="AB132" i="1"/>
  <c r="AD203" i="1"/>
  <c r="AB203" i="1"/>
  <c r="AD355" i="1"/>
  <c r="AB355" i="1"/>
  <c r="AD350" i="1"/>
  <c r="AB350" i="1"/>
  <c r="AD312" i="1"/>
  <c r="AB312" i="1"/>
  <c r="AD310" i="1"/>
  <c r="AB310" i="1"/>
  <c r="AD286" i="1"/>
  <c r="AB286" i="1"/>
  <c r="AD326" i="1"/>
  <c r="AB326" i="1"/>
  <c r="AD367" i="1"/>
  <c r="AB367" i="1"/>
  <c r="AD365" i="1"/>
  <c r="AB365" i="1"/>
  <c r="AD153" i="1"/>
  <c r="AB153" i="1"/>
  <c r="AD58" i="1"/>
  <c r="AB58" i="1"/>
  <c r="AD191" i="1"/>
  <c r="AB191" i="1"/>
  <c r="AD248" i="1"/>
  <c r="AB248" i="1"/>
  <c r="AD10" i="1"/>
  <c r="AB10" i="1"/>
  <c r="AD323" i="1"/>
  <c r="AB323" i="1"/>
  <c r="AD8" i="1"/>
  <c r="AB8" i="1"/>
  <c r="AD37" i="1"/>
  <c r="AB37" i="1"/>
  <c r="AD25" i="1"/>
  <c r="AB25" i="1"/>
  <c r="AD4" i="1"/>
  <c r="AB4" i="1"/>
  <c r="AD5" i="1"/>
  <c r="AB5" i="1"/>
  <c r="AD41" i="1"/>
  <c r="AB41" i="1"/>
  <c r="AD258" i="1"/>
  <c r="AB258" i="1"/>
  <c r="AD272" i="1"/>
  <c r="AB272" i="1"/>
  <c r="AD115" i="1"/>
  <c r="AB115" i="1"/>
  <c r="AD207" i="1"/>
  <c r="AB207" i="1"/>
  <c r="AD156" i="1"/>
  <c r="AB156" i="1"/>
  <c r="AD201" i="1"/>
  <c r="AB201" i="1"/>
  <c r="AD215" i="1"/>
  <c r="AB215" i="1"/>
  <c r="AD220" i="1"/>
  <c r="AB220" i="1"/>
  <c r="AD351" i="1"/>
  <c r="AB351" i="1"/>
  <c r="AD302" i="1"/>
  <c r="AB302" i="1"/>
  <c r="AD307" i="1"/>
  <c r="AB307" i="1"/>
  <c r="AD386" i="1"/>
  <c r="AB386" i="1"/>
  <c r="AD388" i="1"/>
  <c r="AB388" i="1"/>
  <c r="AD177" i="1"/>
  <c r="AB177" i="1"/>
  <c r="AD109" i="1"/>
  <c r="AB109" i="1"/>
  <c r="AD188" i="1"/>
  <c r="AB188" i="1"/>
  <c r="AD67" i="1"/>
  <c r="AB67" i="1"/>
  <c r="AD296" i="1"/>
  <c r="AB296" i="1"/>
  <c r="AD47" i="1"/>
  <c r="AB47" i="1"/>
  <c r="AD112" i="1"/>
  <c r="AB112" i="1"/>
  <c r="AD198" i="1"/>
  <c r="AB198" i="1"/>
  <c r="AD255" i="1"/>
  <c r="AB255" i="1"/>
  <c r="AD176" i="1"/>
  <c r="AB176" i="1"/>
  <c r="AD275" i="1"/>
  <c r="AB275" i="1"/>
  <c r="AD347" i="1"/>
  <c r="AB347" i="1"/>
  <c r="AD344" i="1"/>
  <c r="AB344" i="1"/>
  <c r="AD357" i="1"/>
  <c r="AB357" i="1"/>
  <c r="AD382" i="1"/>
  <c r="AB382" i="1"/>
  <c r="AD384" i="1"/>
  <c r="AB384" i="1"/>
  <c r="AD235" i="1"/>
  <c r="AB235" i="1"/>
  <c r="AD113" i="1"/>
  <c r="AB113" i="1"/>
  <c r="AD333" i="1"/>
  <c r="AB333" i="1"/>
  <c r="AD173" i="1"/>
  <c r="AB173" i="1"/>
  <c r="AD204" i="1"/>
  <c r="AB204" i="1"/>
  <c r="AD95" i="1"/>
  <c r="AB95" i="1"/>
  <c r="AD52" i="1"/>
  <c r="AB52" i="1"/>
  <c r="AD94" i="1"/>
  <c r="AB94" i="1"/>
  <c r="AD34" i="1"/>
  <c r="AB34" i="1"/>
  <c r="AD14" i="1"/>
  <c r="AB14" i="1"/>
  <c r="AD174" i="1"/>
  <c r="AB174" i="1"/>
  <c r="AD267" i="1"/>
  <c r="AB267" i="1"/>
  <c r="AD121" i="1"/>
  <c r="AB121" i="1"/>
  <c r="AD165" i="1"/>
  <c r="AB165" i="1"/>
  <c r="AD123" i="1"/>
  <c r="AB123" i="1"/>
  <c r="AD151" i="1"/>
  <c r="AB151" i="1"/>
  <c r="AD111" i="1"/>
  <c r="AB111" i="1"/>
  <c r="AD138" i="1"/>
  <c r="AB138" i="1"/>
  <c r="AD343" i="1"/>
  <c r="AB343" i="1"/>
  <c r="AD340" i="1"/>
  <c r="AB340" i="1"/>
  <c r="AD320" i="1"/>
  <c r="AB320" i="1"/>
  <c r="AD330" i="1"/>
  <c r="AB330" i="1"/>
  <c r="AD290" i="1"/>
  <c r="AB290" i="1"/>
  <c r="AD378" i="1"/>
  <c r="AB378" i="1"/>
  <c r="AD380" i="1"/>
  <c r="AB380" i="1"/>
  <c r="AD105" i="1"/>
  <c r="AB105" i="1"/>
  <c r="AD101" i="1"/>
  <c r="AB101" i="1"/>
  <c r="AD61" i="1"/>
  <c r="AB61" i="1"/>
  <c r="AD22" i="1"/>
  <c r="AB22" i="1"/>
  <c r="AD75" i="1"/>
  <c r="AB75" i="1"/>
  <c r="AD90" i="1"/>
  <c r="AB90" i="1"/>
  <c r="AD33" i="1"/>
  <c r="AB33" i="1"/>
  <c r="AD56" i="1"/>
  <c r="AB56" i="1"/>
  <c r="AD282" i="1"/>
  <c r="AB282" i="1"/>
  <c r="AD279" i="1"/>
  <c r="AB279" i="1"/>
  <c r="AD271" i="1"/>
  <c r="AB271" i="1"/>
  <c r="AD210" i="1"/>
  <c r="AB210" i="1"/>
  <c r="AD223" i="1"/>
  <c r="AB223" i="1"/>
  <c r="AD104" i="1"/>
  <c r="AB104" i="1"/>
  <c r="AD205" i="1"/>
  <c r="AB205" i="1"/>
  <c r="AD134" i="1"/>
  <c r="AB134" i="1"/>
  <c r="AD163" i="1"/>
  <c r="AB163" i="1"/>
  <c r="AD285" i="1"/>
  <c r="AB285" i="1"/>
  <c r="AD257" i="1"/>
  <c r="AB257" i="1"/>
  <c r="AD339" i="1"/>
  <c r="AB339" i="1"/>
  <c r="AD335" i="1"/>
  <c r="AB335" i="1"/>
  <c r="AD321" i="1"/>
  <c r="AB321" i="1"/>
  <c r="AD314" i="1"/>
  <c r="AB314" i="1"/>
  <c r="AD374" i="1"/>
  <c r="AB374" i="1"/>
  <c r="AD376" i="1"/>
  <c r="AB376" i="1"/>
  <c r="AD125" i="1"/>
  <c r="AB125" i="1"/>
  <c r="AD11" i="1"/>
  <c r="AB11" i="1"/>
  <c r="AD293" i="1"/>
  <c r="AB293" i="1"/>
  <c r="AD118" i="1"/>
  <c r="AB118" i="1"/>
  <c r="AD59" i="1"/>
  <c r="AB59" i="1"/>
  <c r="AD21" i="1"/>
  <c r="AB21" i="1"/>
  <c r="AD13" i="1"/>
  <c r="AB13" i="1"/>
  <c r="AD266" i="1"/>
  <c r="AB266" i="1"/>
  <c r="AD199" i="1"/>
  <c r="AB199" i="1"/>
  <c r="AD237" i="1"/>
  <c r="AB237" i="1"/>
  <c r="AD183" i="1"/>
  <c r="AB183" i="1"/>
  <c r="AD187" i="1"/>
  <c r="AB187" i="1"/>
  <c r="AD181" i="1"/>
  <c r="AB181" i="1"/>
  <c r="AD213" i="1"/>
  <c r="AB213" i="1"/>
  <c r="AD241" i="1"/>
  <c r="AB241" i="1"/>
  <c r="AD182" i="1"/>
  <c r="AB182" i="1"/>
  <c r="AD124" i="1"/>
  <c r="AB124" i="1"/>
  <c r="AD276" i="1"/>
  <c r="AB276" i="1"/>
  <c r="AD244" i="1"/>
  <c r="AB244" i="1"/>
  <c r="AD329" i="1"/>
  <c r="AB329" i="1"/>
  <c r="AD370" i="1"/>
  <c r="AB370" i="1"/>
  <c r="AD372" i="1"/>
  <c r="AB372" i="1"/>
  <c r="AD74" i="1"/>
  <c r="AB74" i="1"/>
  <c r="AD7" i="1"/>
  <c r="AB7" i="1"/>
  <c r="AD291" i="1"/>
  <c r="AB291" i="1"/>
  <c r="AD233" i="1"/>
  <c r="AB233" i="1"/>
  <c r="AD385" i="1"/>
  <c r="AB385" i="1"/>
  <c r="AD107" i="1"/>
  <c r="AB107" i="1"/>
  <c r="AD44" i="1"/>
  <c r="AB44" i="1"/>
  <c r="AD54" i="1"/>
  <c r="AB54" i="1"/>
  <c r="AD89" i="1"/>
  <c r="AB89" i="1"/>
  <c r="AD15" i="1"/>
  <c r="AB15" i="1"/>
  <c r="AD82" i="1"/>
  <c r="AB82" i="1"/>
  <c r="AD51" i="1"/>
  <c r="AB51" i="1"/>
  <c r="AD270" i="1"/>
  <c r="AB270" i="1"/>
  <c r="AD268" i="1"/>
  <c r="AB268" i="1"/>
  <c r="AD283" i="1"/>
  <c r="AB283" i="1"/>
  <c r="AD269" i="1"/>
  <c r="AB269" i="1"/>
  <c r="AD170" i="1"/>
  <c r="AB170" i="1"/>
  <c r="AD148" i="1"/>
  <c r="AB148" i="1"/>
  <c r="AD227" i="1"/>
  <c r="AB227" i="1"/>
  <c r="AD164" i="1"/>
  <c r="AB164" i="1"/>
  <c r="AD264" i="1"/>
  <c r="AB264" i="1"/>
  <c r="AD304" i="1"/>
  <c r="AB304" i="1"/>
  <c r="AD360" i="1"/>
  <c r="AB360" i="1"/>
  <c r="AD301" i="1"/>
  <c r="AB301" i="1"/>
  <c r="AD366" i="1"/>
  <c r="AB366" i="1"/>
  <c r="AD368" i="1"/>
  <c r="AB368" i="1"/>
  <c r="AD287" i="1"/>
  <c r="AB287" i="1"/>
  <c r="AD225" i="1"/>
  <c r="AB225" i="1"/>
  <c r="AD142" i="1"/>
  <c r="AB142" i="1"/>
  <c r="AD381" i="1"/>
  <c r="AB381" i="1"/>
  <c r="AD328" i="1"/>
  <c r="AB328" i="1"/>
  <c r="AD130" i="1"/>
  <c r="AB130" i="1"/>
  <c r="AD62" i="1"/>
  <c r="AB62" i="1"/>
  <c r="AD319" i="1"/>
  <c r="AB319" i="1"/>
  <c r="AD35" i="1"/>
  <c r="AB35" i="1"/>
  <c r="AD192" i="1"/>
  <c r="AB192" i="1"/>
  <c r="AD93" i="1"/>
  <c r="AB93" i="1"/>
  <c r="AD260" i="1"/>
  <c r="AB260" i="1"/>
  <c r="AD178" i="1"/>
  <c r="AB178" i="1"/>
  <c r="AD299" i="1"/>
  <c r="AB299" i="1"/>
  <c r="AD364" i="1"/>
  <c r="AB364" i="1"/>
  <c r="AD92" i="1"/>
  <c r="AB92" i="1"/>
  <c r="AD98" i="1"/>
  <c r="AB98" i="1"/>
  <c r="AD231" i="1"/>
  <c r="AB231" i="1"/>
  <c r="AD193" i="1"/>
  <c r="AB193" i="1"/>
  <c r="AD133" i="1"/>
  <c r="AB133" i="1"/>
  <c r="AD342" i="1"/>
  <c r="AB342" i="1"/>
  <c r="AD139" i="1"/>
  <c r="AB139" i="1"/>
  <c r="AD50" i="1"/>
  <c r="AB50" i="1"/>
  <c r="AD32" i="1"/>
  <c r="AB32" i="1"/>
  <c r="AD172" i="1"/>
  <c r="AB172" i="1"/>
  <c r="AD200" i="1"/>
  <c r="AB200" i="1"/>
  <c r="AD158" i="1"/>
  <c r="AB158" i="1"/>
  <c r="AD308" i="1"/>
  <c r="AB308" i="1"/>
  <c r="AD288" i="1"/>
  <c r="AB288" i="1"/>
  <c r="AD218" i="1"/>
  <c r="AB218" i="1"/>
  <c r="AD253" i="1"/>
  <c r="AB253" i="1"/>
  <c r="AD180" i="1"/>
  <c r="AB180" i="1"/>
  <c r="AD338" i="1"/>
  <c r="AB338" i="1"/>
  <c r="AD306" i="1"/>
  <c r="AB306" i="1"/>
  <c r="AD373" i="1"/>
  <c r="AB373" i="1"/>
  <c r="AD72" i="1"/>
  <c r="AB72" i="1"/>
  <c r="AD245" i="1"/>
  <c r="AB245" i="1"/>
  <c r="AD224" i="1"/>
  <c r="AB224" i="1"/>
  <c r="AD167" i="1"/>
  <c r="AB167" i="1"/>
  <c r="AD106" i="1"/>
  <c r="AB106" i="1"/>
  <c r="AD149" i="1"/>
  <c r="AB149" i="1"/>
  <c r="AD250" i="1"/>
  <c r="AB250" i="1"/>
  <c r="AD216" i="1"/>
  <c r="AB216" i="1"/>
  <c r="AD337" i="1"/>
  <c r="AB337" i="1"/>
  <c r="AD387" i="1"/>
  <c r="AB387" i="1"/>
  <c r="AD122" i="1"/>
  <c r="AB122" i="1"/>
  <c r="AD300" i="1"/>
  <c r="AB300" i="1"/>
  <c r="AD114" i="1"/>
  <c r="AB114" i="1"/>
  <c r="AD162" i="1"/>
  <c r="AB162" i="1"/>
  <c r="AD345" i="1"/>
  <c r="AB345" i="1"/>
  <c r="AD66" i="1"/>
  <c r="AB66" i="1"/>
  <c r="AD371" i="1"/>
  <c r="AB371" i="1"/>
  <c r="AD17" i="1"/>
  <c r="AB17" i="1"/>
  <c r="AD65" i="1"/>
  <c r="AB65" i="1"/>
  <c r="AD57" i="1"/>
  <c r="AB57" i="1"/>
  <c r="AD64" i="1"/>
  <c r="AB64" i="1"/>
  <c r="AD86" i="1"/>
  <c r="AB86" i="1"/>
  <c r="AD78" i="1"/>
  <c r="AB78" i="1"/>
  <c r="AD246" i="1"/>
  <c r="AB246" i="1"/>
  <c r="AD230" i="1"/>
  <c r="AB230" i="1"/>
  <c r="AD136" i="1"/>
  <c r="AB136" i="1"/>
  <c r="AD221" i="1"/>
  <c r="AB221" i="1"/>
  <c r="AD154" i="1"/>
  <c r="AB154" i="1"/>
  <c r="AD240" i="1"/>
  <c r="AB240" i="1"/>
  <c r="AD189" i="1"/>
  <c r="AB189" i="1"/>
  <c r="AD263" i="1"/>
  <c r="AB263" i="1"/>
  <c r="AD256" i="1"/>
  <c r="AB256" i="1"/>
  <c r="AD196" i="1"/>
  <c r="AB196" i="1"/>
  <c r="AD222" i="1"/>
  <c r="AB222" i="1"/>
  <c r="AD354" i="1"/>
  <c r="AB354" i="1"/>
  <c r="AD341" i="1"/>
  <c r="AB341" i="1"/>
  <c r="AD311" i="1"/>
  <c r="AB311" i="1"/>
  <c r="AD383" i="1"/>
  <c r="AB383" i="1"/>
  <c r="AD353" i="1"/>
  <c r="AB353" i="1"/>
  <c r="AD70" i="1"/>
  <c r="AB70" i="1"/>
  <c r="AD289" i="1"/>
  <c r="AB289" i="1"/>
  <c r="AD99" i="1"/>
  <c r="AB99" i="1"/>
  <c r="AD369" i="1"/>
  <c r="AB369" i="1"/>
  <c r="AD184" i="1"/>
  <c r="AB184" i="1"/>
  <c r="AD91" i="1"/>
  <c r="AB9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<sst xmlns="http://schemas.openxmlformats.org/spreadsheetml/2006/main" count="6580" uniqueCount="4385">
  <si>
    <t>ASIN</t>
  </si>
  <si>
    <t>Brand</t>
  </si>
  <si>
    <t>Image</t>
  </si>
  <si>
    <t>Title</t>
  </si>
  <si>
    <t>URL</t>
  </si>
  <si>
    <t>Main Category</t>
  </si>
  <si>
    <t>Sub Category</t>
  </si>
  <si>
    <t>Monthly Sales Trends: Bought in past month</t>
  </si>
  <si>
    <t>Reviews: Rating</t>
  </si>
  <si>
    <t>Reviews: Rating Count</t>
  </si>
  <si>
    <t>Size</t>
  </si>
  <si>
    <t>Jan</t>
  </si>
  <si>
    <t>Feb</t>
  </si>
  <si>
    <t>Mar</t>
  </si>
  <si>
    <t>Apr</t>
  </si>
  <si>
    <t>May</t>
  </si>
  <si>
    <t>Jul</t>
  </si>
  <si>
    <t>Aug</t>
  </si>
  <si>
    <t>Sep</t>
  </si>
  <si>
    <t>Oct</t>
  </si>
  <si>
    <t>Nov</t>
  </si>
  <si>
    <t>Dec</t>
  </si>
  <si>
    <t>Sold in last 365 days</t>
  </si>
  <si>
    <t>Average monthly sales</t>
  </si>
  <si>
    <t>Annual Revenue</t>
  </si>
  <si>
    <t>Average Monthly Revenue</t>
  </si>
  <si>
    <t>FBA Pick&amp;Pack Fee</t>
  </si>
  <si>
    <t>Buy Box: Current</t>
  </si>
  <si>
    <t>AGL (Ship-in-freight) (10% of product cost)</t>
  </si>
  <si>
    <t>Duty / Tariff % (of product cost) (35% FLAT)</t>
  </si>
  <si>
    <t>Amazon AWD cost ($0.50/unit)</t>
  </si>
  <si>
    <t>AWD to FBA Cost ($ per unit) ($0.50/unit)</t>
  </si>
  <si>
    <t>FBA Fulfillment Cost - From Keepa - for the inspirartyion ASIN</t>
  </si>
  <si>
    <t>Referral Fee % (of selling price) (15%)</t>
  </si>
  <si>
    <t>Return &amp; Damage % (of selling price) (3%)</t>
  </si>
  <si>
    <t>Promotion / Marketing % (of selling price) (20%)</t>
  </si>
  <si>
    <t>Misc / Extra % (of selling price) (2%)</t>
  </si>
  <si>
    <t>Target Profit % (of selling price) (20%)</t>
  </si>
  <si>
    <t>Target Profit % (of selling price) (25%)</t>
  </si>
  <si>
    <t>Target Product COST with 20% SP</t>
  </si>
  <si>
    <t>Target Product COST with 25% SP</t>
  </si>
  <si>
    <t>B002Y6GAN4</t>
  </si>
  <si>
    <t>Catchmaster</t>
  </si>
  <si>
    <t>https://m.media-amazon.com/images/I/61lC-Y2Et9L.jpg</t>
  </si>
  <si>
    <t>Catchmaster Super Glue Traps 30pk, Extra Strength Sticky Mouse &amp; Rat Traps</t>
  </si>
  <si>
    <t>https://www.amazon.com/dp/B002Y6GAN4?psc=1</t>
  </si>
  <si>
    <t>30 Glue Boards</t>
  </si>
  <si>
    <t>B01KXKL2BW</t>
  </si>
  <si>
    <t>https://m.media-amazon.com/images/I/713cPn3nAjL.jpg</t>
  </si>
  <si>
    <t>Insect Trap &amp; Monitors 288i - No Chemicals !!!- Non-Toxic Glue Traps!! 5 Glue Boards / 15 Monitors</t>
  </si>
  <si>
    <t>https://www.amazon.com/dp/B01KXKL2BW</t>
  </si>
  <si>
    <t>B0CCGY2RWP</t>
  </si>
  <si>
    <t>https://m.media-amazon.com/images/I/81U7ZQdwwXL.jpg</t>
  </si>
  <si>
    <t>Catchmaster GRO Blue Regular Double Sided Sticky Traps 72PK, Adhesive Bug &amp; Fruit Fly Trap, Pest Control for Home, Farm, Garden, Hydroponics &amp; Greenhouse, Protect Live Plants Indoor &amp; Outdoor</t>
  </si>
  <si>
    <t>https://www.amazon.com/dp/B0CCGY2RWP?psc=1</t>
  </si>
  <si>
    <t>72 Pack - Blue</t>
  </si>
  <si>
    <t>B08M1WCMF8</t>
  </si>
  <si>
    <t>https://m.media-amazon.com/images/I/711ISHKbhjL.jpg</t>
  </si>
  <si>
    <t>Catchmaster Tree Shield Lantern Fly &amp; Ant Traps Insect Barrier, 12 Rolls 30ft Each, Outdoor Adhesive Crawling Insect Trap to Protect Trees, Fruit &amp; Plants, Pest Control Lawn &amp; Garden</t>
  </si>
  <si>
    <t>https://www.amazon.com/dp/B08M1WCMF8?psc=1</t>
  </si>
  <si>
    <t>12 Rolls</t>
  </si>
  <si>
    <t>B08YJ222S2</t>
  </si>
  <si>
    <t>https://m.media-amazon.com/images/I/81UvTunlihL.jpg</t>
  </si>
  <si>
    <t>Catchmaster Oasis Ovi-Mini Mosquito Trap 4Pk, Home Outdoor Mosquito Control, Backyard Flying Insect Killer, Glue Board Bug Catcher, Pool, Patio, Shed &amp; Garden Pest Control</t>
  </si>
  <si>
    <t>https://www.amazon.com/dp/B08YJ222S2?psc=1</t>
  </si>
  <si>
    <t>Traps (4-Pack)</t>
  </si>
  <si>
    <t>B007E83LUM</t>
  </si>
  <si>
    <t>https://m.media-amazon.com/images/I/712MnR7K8JL.jpg</t>
  </si>
  <si>
    <t>Catchmaster Max-Catch Glue Traps 36pk, Sticky Mouse Traps Indoor for Home</t>
  </si>
  <si>
    <t>https://www.amazon.com/dp/B007E83LUM?psc=1</t>
  </si>
  <si>
    <t>36 Pack</t>
  </si>
  <si>
    <t>B00CEFPWV6</t>
  </si>
  <si>
    <t>https://m.media-amazon.com/images/I/61HLx4V8dUL.jpg</t>
  </si>
  <si>
    <t>Catchmaster Rat &amp; Mouse Glue Traps 10 Pack, Large Heavy Duty Sticky Traps</t>
  </si>
  <si>
    <t>https://www.amazon.com/dp/B00CEFPWV6?psc=1</t>
  </si>
  <si>
    <t>10 Pack</t>
  </si>
  <si>
    <t>B003ORTFH0</t>
  </si>
  <si>
    <t>https://m.media-amazon.com/images/I/71IjFxTwA2L.jpg</t>
  </si>
  <si>
    <t>Catchmaster Max-Catch Glue Traps 72pk, Sticky Mouse Traps Indoor for Home</t>
  </si>
  <si>
    <t>https://www.amazon.com/dp/B003ORTFH0?psc=1</t>
  </si>
  <si>
    <t>72 Pack</t>
  </si>
  <si>
    <t>B005IMZ9K6</t>
  </si>
  <si>
    <t>https://m.media-amazon.com/images/I/81A-hQktfAL.jpg</t>
  </si>
  <si>
    <t>Catchmaster Extra Sticky Glue Traps 60pk, XL Glue Boards for Mice &amp; Insects</t>
  </si>
  <si>
    <t>https://www.amazon.com/dp/B005IMZ9K6?psc=1</t>
  </si>
  <si>
    <t>8" x 5" (60 Pack)</t>
  </si>
  <si>
    <t>B07VQNWMN2</t>
  </si>
  <si>
    <t>https://m.media-amazon.com/images/I/81-6rFcLMsL.jpg</t>
  </si>
  <si>
    <t>Catchmaster 16pk Mouse Glue Traps Indoor for Home, Sticky Mouse &amp; Bug Traps</t>
  </si>
  <si>
    <t>https://www.amazon.com/dp/B07VQNWMN2?psc=1</t>
  </si>
  <si>
    <t>16-Pack Regular</t>
  </si>
  <si>
    <t>B078YD8YRD</t>
  </si>
  <si>
    <t>https://m.media-amazon.com/images/I/71R9GBzawmL.jpg</t>
  </si>
  <si>
    <t>Catchmaster Rat &amp; Mouse Glue Traps 12 Pack, Large Heavy Duty Sticky Traps</t>
  </si>
  <si>
    <t>https://www.amazon.com/dp/B078YD8YRD?psc=1</t>
  </si>
  <si>
    <t>12 Pack</t>
  </si>
  <si>
    <t>B00LW21RNY</t>
  </si>
  <si>
    <t>https://m.media-amazon.com/images/I/81Tx5Xum9cL.jpg</t>
  </si>
  <si>
    <t>Catchmaster Spider &amp; Insect Glue Traps, 30 Sticky Traps Indoor for Home</t>
  </si>
  <si>
    <t>https://www.amazon.com/dp/B00LW21RNY?psc=1</t>
  </si>
  <si>
    <t>30 Traps</t>
  </si>
  <si>
    <t>B08PC92KXJ</t>
  </si>
  <si>
    <t>https://m.media-amazon.com/images/I/81C+aD3Bb-L.jpg</t>
  </si>
  <si>
    <t>Catchmaster Roach Traps Indoor 6 Pack, Sticky Glue Board Cockroach Traps</t>
  </si>
  <si>
    <t>https://www.amazon.com/dp/B08PC92KXJ?psc=1</t>
  </si>
  <si>
    <t>6-Pack Printed</t>
  </si>
  <si>
    <t>B07V6HBYHK</t>
  </si>
  <si>
    <t>https://m.media-amazon.com/images/I/81XFkFm0tyL.jpg</t>
  </si>
  <si>
    <t>Catchmaster Fly Ribbon 20 Pack, Fly Strips Indoor Sticky Hanging Fly Tape</t>
  </si>
  <si>
    <t>https://www.amazon.com/dp/B07V6HBYHK?psc=1</t>
  </si>
  <si>
    <t>B00CEEDFS4</t>
  </si>
  <si>
    <t>https://m.media-amazon.com/images/I/71lYhsmT1nL.jpg</t>
  </si>
  <si>
    <t>Catchmaster Rat &amp; Mouse Glue Traps 6 Pack, Large Heavy Duty Sticky Traps</t>
  </si>
  <si>
    <t>https://www.amazon.com/dp/B00CEEDFS4?psc=1</t>
  </si>
  <si>
    <t>6 Pack</t>
  </si>
  <si>
    <t>B005IMZ9TC</t>
  </si>
  <si>
    <t>https://m.media-amazon.com/images/I/71k6jxr78zL.jpg</t>
  </si>
  <si>
    <t>Catchmaster Compact Sticky Mouse &amp; Insect Traps 75pk, Bulk Glue Boards</t>
  </si>
  <si>
    <t>https://www.amazon.com/dp/B005IMZ9TC?psc=1</t>
  </si>
  <si>
    <t>7" x 3.5" (75 Pack)</t>
  </si>
  <si>
    <t>B0CFRVPBD4</t>
  </si>
  <si>
    <t>https://m.media-amazon.com/images/I/81LYbgJ7NxL.jpg</t>
  </si>
  <si>
    <t>Catchmaster Spider, Roach &amp; Insect Glue Traps, 45 Sticky Traps Indoor</t>
  </si>
  <si>
    <t>https://www.amazon.com/dp/B0CFRVPBD4?psc=1</t>
  </si>
  <si>
    <t>45 Traps</t>
  </si>
  <si>
    <t>B07SHHS33Z</t>
  </si>
  <si>
    <t>https://m.media-amazon.com/images/I/81XQ8nZD59L.jpg</t>
  </si>
  <si>
    <t>Catchmaster Cricket XL Giant Glue Boards 6-Pk, Adhesive Bug Catcher Cricket Traps Indoor, Sticky Trap for Inside Your Home, Bulk Insect Killer, Insect Traps for House &amp; Garage, Pest Control for Home</t>
  </si>
  <si>
    <t>https://www.amazon.com/dp/B07SHHS33Z?psc=1</t>
  </si>
  <si>
    <t>6-Traps</t>
  </si>
  <si>
    <t>B001QBPP66</t>
  </si>
  <si>
    <t>https://m.media-amazon.com/images/I/81Tyx9GraaL.jpg</t>
  </si>
  <si>
    <t>Catchmaster Window Fly Traps 12 Pack, Clear Sticky Indoor Fly Trap Strips</t>
  </si>
  <si>
    <t>https://www.amazon.com/dp/B001QBPP66?psc=1</t>
  </si>
  <si>
    <t>12 Standard Traps</t>
  </si>
  <si>
    <t>B00CQ561GY</t>
  </si>
  <si>
    <t>https://m.media-amazon.com/images/I/81qf+utEV+L.jpg</t>
  </si>
  <si>
    <t>Catchmaster Spider &amp; Insect Traps Indoor, Sticky Glue Boards 12 Pack</t>
  </si>
  <si>
    <t>https://www.amazon.com/dp/B00CQ561GY</t>
  </si>
  <si>
    <t>B0BVD846CJ</t>
  </si>
  <si>
    <t>https://m.media-amazon.com/images/I/71jsMJxCGRL.jpg</t>
  </si>
  <si>
    <t>Catchmaster Max-Catch Unscented Glue Traps 72pk, Sticky Mouse Traps Indoor</t>
  </si>
  <si>
    <t>https://www.amazon.com/dp/B0BVD846CJ?psc=1</t>
  </si>
  <si>
    <t>B0CFRN4CF3</t>
  </si>
  <si>
    <t>https://m.media-amazon.com/images/I/819brCmtwDL.jpg</t>
  </si>
  <si>
    <t>Catchmaster Roach Trap Glue Boards 10-Pk, Adhesive Bug Catcher, Scorpion, Spider, Cricket, &amp; Cockroach Traps for Home, Bulk Glue Traps for House &amp; Garage, Pest Control for Home</t>
  </si>
  <si>
    <t>https://www.amazon.com/dp/B0CFRN4CF3?psc=1</t>
  </si>
  <si>
    <t>10-Pack Printed</t>
  </si>
  <si>
    <t>B0BVDKTZNY</t>
  </si>
  <si>
    <t>https://m.media-amazon.com/images/I/71IRjxls0xL.jpg</t>
  </si>
  <si>
    <t>Catchmaster Max-Catch Unscented Glue Traps 36pk, Sticky Mouse Traps Indoor</t>
  </si>
  <si>
    <t>https://www.amazon.com/dp/B0BVDKTZNY?psc=1</t>
  </si>
  <si>
    <t>B07YYN3RBG</t>
  </si>
  <si>
    <t>https://m.media-amazon.com/images/I/81JliuH+-eL.jpg</t>
  </si>
  <si>
    <t>Catchmaster Rat &amp; Mouse Glue Traps with Sticky Putty 6 Pack, Large Trays</t>
  </si>
  <si>
    <t>https://www.amazon.com/dp/B07YYN3RBG?psc=1</t>
  </si>
  <si>
    <t>B0D9MTJK6W</t>
  </si>
  <si>
    <t>https://m.media-amazon.com/images/I/71zb7l0OpVL.jpg</t>
  </si>
  <si>
    <t>Catchmaster Defiant Liquid Ant Baits &amp; Killer, Sugar Ant Traps Indoor</t>
  </si>
  <si>
    <t>https://www.amazon.com/dp/B0D9MTJK6W?psc=1</t>
  </si>
  <si>
    <t>B07YQ8RGYL</t>
  </si>
  <si>
    <t>https://m.media-amazon.com/images/I/91TnVwnJd4L.jpg</t>
  </si>
  <si>
    <t>Catchmaster Jumbo Rat &amp; Mouse Glue Traps 6 Pack, XL Heavy Duty Sticky Traps</t>
  </si>
  <si>
    <t>https://www.amazon.com/dp/B07YQ8RGYL?psc=1</t>
  </si>
  <si>
    <t>B0BF8QWN3Q</t>
  </si>
  <si>
    <t>https://m.media-amazon.com/images/I/81sg9yDf0uL.jpg</t>
  </si>
  <si>
    <t>Catchmaster 40pk Bulk Mouse Glue Traps Indoor for Home, Sticky Bug Traps</t>
  </si>
  <si>
    <t>https://www.amazon.com/dp/B0BF8QWN3Q?psc=1</t>
  </si>
  <si>
    <t>40-Pack Regular</t>
  </si>
  <si>
    <t>B07VNH8RFP</t>
  </si>
  <si>
    <t>https://m.media-amazon.com/images/I/71nZs+ANALL.jpg</t>
  </si>
  <si>
    <t>Catchmaster-8 Mouse &amp; Insect Glue Traps, Heavy-Duty Pesticide-Free Sticky Mouse Traps Indoor for Home, Used by the PROs, Adhesive Rodent &amp; Bug Catcher, Pest Control for House &amp; Garage</t>
  </si>
  <si>
    <t>https://www.amazon.com/dp/B07VNH8RFP?psc=1</t>
  </si>
  <si>
    <t>8-Pack Regular</t>
  </si>
  <si>
    <t>B0FJJF6TSY</t>
  </si>
  <si>
    <t>https://m.media-amazon.com/images/I/71PVgEdoQjL.jpg</t>
  </si>
  <si>
    <t>Catchmaster Cockroach Traps with Food-Based Bait, Roach Traps Indoor 10pk</t>
  </si>
  <si>
    <t>https://www.amazon.com/dp/B0FJJF6TSY?psc=1</t>
  </si>
  <si>
    <t>10-Pack Premium + Lures</t>
  </si>
  <si>
    <t>B07VFKPK3T</t>
  </si>
  <si>
    <t>https://m.media-amazon.com/images/I/91-aNLcwUdL.jpg</t>
  </si>
  <si>
    <t>Catchmaster Multi-Catch Mouse Trap 3pk, Live Catch Metal Mouse Trap Box</t>
  </si>
  <si>
    <t>https://www.amazon.com/dp/B07VFKPK3T?psc=1</t>
  </si>
  <si>
    <t>3-Traps Metallic</t>
  </si>
  <si>
    <t>B08HPFR3FN</t>
  </si>
  <si>
    <t>https://m.media-amazon.com/images/I/81lVEnubJAL.jpg</t>
  </si>
  <si>
    <t>Catchmaster Extra Sticky Insect &amp; Mouse Traps 12-Count, 5.3"x8" Glue Boards for Mice &amp; Insects, Ultra Sticky Rat &amp; MouseTraps Indoor for Home Use in Garages, Basements &amp; Attics, Pest Control for Home</t>
  </si>
  <si>
    <t>https://www.amazon.com/dp/B08HPFR3FN</t>
  </si>
  <si>
    <t>8" x 5" (12 Pack)</t>
  </si>
  <si>
    <t>B001QFDESS</t>
  </si>
  <si>
    <t>https://m.media-amazon.com/images/I/81TsbBhRhAL.jpg</t>
  </si>
  <si>
    <t>Catchmaster Giant Fly Glue Trap 1pk, 30ft Sticky Fly Paper Roll Outdoor</t>
  </si>
  <si>
    <t>https://www.amazon.com/dp/B001QFDESS?psc=1</t>
  </si>
  <si>
    <t>1 Pack</t>
  </si>
  <si>
    <t>B07XKDM8LG</t>
  </si>
  <si>
    <t>Catchmaster Giant Fly Glue Trap 3pk, 30ft Sticky Fly Paper Roll Outdoor</t>
  </si>
  <si>
    <t>https://www.amazon.com/dp/B07XKDM8LG?psc=1</t>
  </si>
  <si>
    <t>3 Pack</t>
  </si>
  <si>
    <t>B083ZGVJ28</t>
  </si>
  <si>
    <t>https://m.media-amazon.com/images/I/811qnkA6+fL.jpg</t>
  </si>
  <si>
    <t>Catchmaster Gold Stick 4-Pack, Sticky Hanging Fly Traps Indoor &amp; Outdoor</t>
  </si>
  <si>
    <t>https://www.amazon.com/dp/B083ZGVJ28</t>
  </si>
  <si>
    <t>B00CEEF7PI</t>
  </si>
  <si>
    <t>https://m.media-amazon.com/images/I/718y+nUw4aL.jpg</t>
  </si>
  <si>
    <t>Catchmaster Rat &amp; Mouse Glue Traps 8 Pack, Large Heavy Duty Sticky Traps</t>
  </si>
  <si>
    <t>https://www.amazon.com/dp/B00CEEF7PI?psc=1</t>
  </si>
  <si>
    <t>8 Pack</t>
  </si>
  <si>
    <t>B0G7P1FNX4</t>
  </si>
  <si>
    <t>https://m.media-amazon.com/images/I/81G4FgAGhEL.jpg</t>
  </si>
  <si>
    <t>Catchmaster Catch &amp; Toss No Touch Mouse &amp; Insect Glue Traps Indoor, 2 Pack</t>
  </si>
  <si>
    <t>https://www.amazon.com/dp/B0G7P1FNX4</t>
  </si>
  <si>
    <t>B0CFS1KTQ7</t>
  </si>
  <si>
    <t>https://m.media-amazon.com/images/I/81YX9ph0q2L.jpg</t>
  </si>
  <si>
    <t>Catchmaster 20pk Mouse Glue Traps Indoor for Home, Sticky Mouse &amp; Bug Traps</t>
  </si>
  <si>
    <t>https://www.amazon.com/dp/B0CFS1KTQ7?psc=1</t>
  </si>
  <si>
    <t>20-Pack Regular</t>
  </si>
  <si>
    <t>B008JVIHDO</t>
  </si>
  <si>
    <t>https://m.media-amazon.com/images/I/71LD2I3vtTL.jpg</t>
  </si>
  <si>
    <t>Catchmaster Window Fly Traps 48 Pack Bulk, Clear Sticky Indoor Fly Strips</t>
  </si>
  <si>
    <t>https://www.amazon.com/dp/B008JVIHDO?psc=1</t>
  </si>
  <si>
    <t>48 Standard Traps</t>
  </si>
  <si>
    <t>B0GFGNMJN4</t>
  </si>
  <si>
    <t>https://m.media-amazon.com/images/I/61eUt0Kr25L.jpg</t>
  </si>
  <si>
    <t>Catchmaster Vector 9 Plug in Fly Trap for House &amp; Fruit Flies, Gnats, White</t>
  </si>
  <si>
    <t>https://www.amazon.com/dp/B0GFGNMJN4?psc=1</t>
  </si>
  <si>
    <t>B005IMZ9SI</t>
  </si>
  <si>
    <t>https://m.media-amazon.com/images/I/81HK9AA8XeL.jpg</t>
  </si>
  <si>
    <t>Catchmaster Gluee Louee XL Rat &amp; Mouse Glue Traps 30 Pack, Bulk Heavy Duty</t>
  </si>
  <si>
    <t>https://www.amazon.com/dp/B005IMZ9SI</t>
  </si>
  <si>
    <t>B08PCBLFNZ</t>
  </si>
  <si>
    <t>https://m.media-amazon.com/images/I/71JROu7H0oL.jpg</t>
  </si>
  <si>
    <t>Catchmaster Scorpion Glue Tray Traps 6-Pack, Adhesive Scorpion Killer for Home, Simple Insect Traps Indoor, Sticky Bug Catcher for Kitchen, Garage, &amp; Basement, Pest Control Glue Trap</t>
  </si>
  <si>
    <t>https://www.amazon.com/dp/B08PCBLFNZ</t>
  </si>
  <si>
    <t>B08LZXPDSH</t>
  </si>
  <si>
    <t>https://m.media-amazon.com/images/I/71OSDeeo-+L.jpg</t>
  </si>
  <si>
    <t>Catchmaster Tree Shield Lantern Fly &amp; Ant Traps Insect Barrier, 4 Rolls 30ft Each, Outdoor Adhesive Crawling Insect Trap to Protect Trees, Fruit &amp; Plants, Pest Control Lawn &amp; Garden</t>
  </si>
  <si>
    <t>https://www.amazon.com/dp/B08LZXPDSH?psc=1</t>
  </si>
  <si>
    <t>4 Rolls</t>
  </si>
  <si>
    <t>B0757F2D74</t>
  </si>
  <si>
    <t>https://m.media-amazon.com/images/I/81yRJTmTrjL.jpg</t>
  </si>
  <si>
    <t>Catchmaster Rat &amp; Mouse Glue Traps with Sticky Putty 2Pk, Large Bulk Glue Board, Rat &amp; Mouse Traps Indoor for Home, Adhesive Plastic Tray for Snakes, Mice &amp; Spiders, Pest Control for House &amp; Garage</t>
  </si>
  <si>
    <t>https://www.amazon.com/dp/B0757F2D74?psc=1</t>
  </si>
  <si>
    <t>2 Pack</t>
  </si>
  <si>
    <t>B0CR5QRJWV</t>
  </si>
  <si>
    <t>https://m.media-amazon.com/images/I/71jvNkGU3dL.jpg</t>
  </si>
  <si>
    <t>Catchmaster Defiant Reusable Ant Traps Indoor Refill (16 Pack), Bait NOT Included – Bait Stations that Hold Liquid Ant Killer – Stackable, No Mess, Discreet Bait Stations for Pest Control</t>
  </si>
  <si>
    <t>https://www.amazon.com/dp/B0CR5QRJWV?psc=1</t>
  </si>
  <si>
    <t>B0DJ1MCHDP</t>
  </si>
  <si>
    <t>https://m.media-amazon.com/images/I/81VyKxEVVBL.jpg</t>
  </si>
  <si>
    <t>Catchmaster XL Extra-Strength Centipede &amp; Spider Glue Traps 20-PK, Adhesive Bug Catcher, Spider, Cricket, Ant &amp; Roach Traps for Home, Bulk Insect Glue Boards for House &amp; Garage, Pest Control for Home</t>
  </si>
  <si>
    <t>https://www.amazon.com/dp/B0DJ1MCHDP?psc=1</t>
  </si>
  <si>
    <t>20-Traps</t>
  </si>
  <si>
    <t>B01N02XQ2U</t>
  </si>
  <si>
    <t>https://m.media-amazon.com/images/I/8155feSaOaL.jpg</t>
  </si>
  <si>
    <t>Catchmaster Window Fly Traps 96-Pack, Fruit Fly Traps for Indoors, Disposable Bulk Bug Catcher, Waterproof Insect Glue Trap, Adhesive Strips, Pest Control for Home, Kitchen, &amp; Garage</t>
  </si>
  <si>
    <t>https://www.amazon.com/dp/B01N02XQ2U?psc=1</t>
  </si>
  <si>
    <t>96 Standard Traps</t>
  </si>
  <si>
    <t>B07RCVJXCV</t>
  </si>
  <si>
    <t>https://m.media-amazon.com/images/I/81a7Tu8-WJL.jpg</t>
  </si>
  <si>
    <t>Catchmaster Disposable Outdoor Fly Trap, 2 Hanging Bags with Lure</t>
  </si>
  <si>
    <t>https://www.amazon.com/dp/B07RCVJXCV?psc=1</t>
  </si>
  <si>
    <t>2x Fly Bag, Disposable</t>
  </si>
  <si>
    <t>B0FN5G476R</t>
  </si>
  <si>
    <t>https://m.media-amazon.com/images/I/81yoSB1eXyL.jpg</t>
  </si>
  <si>
    <t>Catchmaster Defiant Heavy Duty Indoor &amp; Outdoor Ant Traps (8 Pack), Bait NOT Included – Reusable Bait Stations that Hold Liquid Ant Killer – No Mess, Discreet Bait Stations for Pest Control</t>
  </si>
  <si>
    <t>https://www.amazon.com/dp/B0FN5G476R?psc=1</t>
  </si>
  <si>
    <t>B07VBB7LHD</t>
  </si>
  <si>
    <t>https://m.media-amazon.com/images/I/91GAtv+wUIL.jpg</t>
  </si>
  <si>
    <t>Catchmaster Multi-Catch Mouse Trap 6pk, Live Catch Metal Mouse Trap Box</t>
  </si>
  <si>
    <t>https://www.amazon.com/dp/B07VBB7LHD?psc=1</t>
  </si>
  <si>
    <t>6-Traps Metallic</t>
  </si>
  <si>
    <t>B08PC92Y69</t>
  </si>
  <si>
    <t>https://m.media-amazon.com/images/I/81SSRPl0mSL.jpg</t>
  </si>
  <si>
    <t>Catchmaster Centipede XL Giant Glue Boards 6-PK, Adhesive Bug Catcher, Cricket, Roach, Scorpion &amp; Spider Traps for Home, Centipede Killer, Insect Glue Traps for House &amp; Garage, Pest Control for Home</t>
  </si>
  <si>
    <t>https://www.amazon.com/dp/B08PC92Y69?psc=1</t>
  </si>
  <si>
    <t>B0B2C4DXW2</t>
  </si>
  <si>
    <t>https://m.media-amazon.com/images/I/810ezRIcJRL.jpg</t>
  </si>
  <si>
    <t>Catchmaster Brown Recluse Spider Giant Glue Boards 6Pk, Adhesive Bug Catcher, Insect, Scorpion, Cricket, Cockroach &amp; Spider Killer for Home, Bulk Glue Boards for House &amp; Garage, Pest Control for Home</t>
  </si>
  <si>
    <t>https://www.amazon.com/dp/B0B2C4DXW2?psc=1</t>
  </si>
  <si>
    <t>B0987ZW7SV</t>
  </si>
  <si>
    <t>Catchmaster Disposable Outdoor Fly Trap, 8 Hanging Bags with Bait</t>
  </si>
  <si>
    <t>https://www.amazon.com/dp/B0987ZW7SV?psc=1</t>
  </si>
  <si>
    <t>8x Fly Bag, Disposable</t>
  </si>
  <si>
    <t>B0839P1DQ8</t>
  </si>
  <si>
    <t>https://m.media-amazon.com/images/I/81zg+n9Z7pL.jpg</t>
  </si>
  <si>
    <t>Catchmaster GRO Yellow Regular Double Sided Sticky Traps 72PK, Adhesive Bug &amp; Fruit Fly Trap, Pest Control for Home, Farm, Garden, Hydroponics &amp; Greenhouse, Protect Live Plants Indoor &amp; Outdoor</t>
  </si>
  <si>
    <t>https://www.amazon.com/dp/B0839P1DQ8?psc=1</t>
  </si>
  <si>
    <t>72 Pack - Yellow</t>
  </si>
  <si>
    <t>B0H2C3H4NX</t>
  </si>
  <si>
    <t>https://m.media-amazon.com/images/I/81rnCa8F62L.jpg</t>
  </si>
  <si>
    <t>Catchmaster Fly Stick 4-Pack, Sticky Hanging Fly Traps Indoor &amp; Outdoor</t>
  </si>
  <si>
    <t>https://www.amazon.com/dp/B0H2C3H4NX</t>
  </si>
  <si>
    <t>B0CHLKG3PM</t>
  </si>
  <si>
    <t>https://m.media-amazon.com/images/I/81rKbhBKlTL.jpg</t>
  </si>
  <si>
    <t>Catchmaster Vector Discreet Black Glue Trap Refills, 12-Pk, UV Light Fly Traps for Home, Unscented Sticky Gnat Glue Boards for House, UV Lamp Insect &amp; Mosquito Killer, Adhesive Bug Light Boards</t>
  </si>
  <si>
    <t>https://www.amazon.com/dp/B0CHLKG3PM?psc=1</t>
  </si>
  <si>
    <t>Coverage: N/A | 12-Pack</t>
  </si>
  <si>
    <t>B0CFRN76MY</t>
  </si>
  <si>
    <t>https://m.media-amazon.com/images/I/918HfX4eRjL.jpg</t>
  </si>
  <si>
    <t>Catchmaster Fly Ribbon 96-Pack, Bug &amp; Fly Traps Outdoor and Indoor, Premium Adhesive Sticky Fly Strips &amp; Gnat Hanging Strips, Bulk Flying Insect Paper Rolls, Pesticide-Free Home Pest Control</t>
  </si>
  <si>
    <t>https://www.amazon.com/dp/B0CFRN76MY?psc=1</t>
  </si>
  <si>
    <t>B09KMGP3KC</t>
  </si>
  <si>
    <t>https://m.media-amazon.com/images/I/81U-tFX7ZiL.jpg</t>
  </si>
  <si>
    <t>Catchmaster Window Fly Traps 12-Pack XL, Fruit Fly Traps for Indoors, Disposable Bulk Bug Catcher, Waterproof Insect Glue Trap, Adhesive Fly Strips, Pest Control for Home, Kitchen, &amp; Garage</t>
  </si>
  <si>
    <t>https://www.amazon.com/dp/B09KMGP3KC?psc=1</t>
  </si>
  <si>
    <t>12 XL Clear Traps</t>
  </si>
  <si>
    <t>B0GLKPKZWH</t>
  </si>
  <si>
    <t>https://m.media-amazon.com/images/I/71G3iWl-DyL.jpg</t>
  </si>
  <si>
    <t>Catchmaster Window Fly Traps 12-Pack, Designed to Disguise House &amp; Fruit Fly, Gnats, Adhesive Strips for Indoor, Disposable Bug Catcher, Insect Sticky Glue Traps, Pest Control for Home &amp; Kitchen</t>
  </si>
  <si>
    <t>https://www.amazon.com/dp/B0GLKPKZWH?psc=1</t>
  </si>
  <si>
    <t>12 Leaf Print Traps</t>
  </si>
  <si>
    <t>B0FWNCK26N</t>
  </si>
  <si>
    <t>https://m.media-amazon.com/images/I/81b7E+EOh9L.jpg</t>
  </si>
  <si>
    <t>Catchmaster DEFIANT Reusable Outdoor Garden Stake Ant Traps (5 Pack), Bait NOT Included – Bait Stations That Hold Liquid Ant Killer - For Garden, Soil &amp; Mulch – Discreet Bait Stations for Pest Control</t>
  </si>
  <si>
    <t>https://www.amazon.com/dp/B0FWNCK26N?psc=1</t>
  </si>
  <si>
    <t>B08PC9R71X</t>
  </si>
  <si>
    <t>https://m.media-amazon.com/images/I/814whW5lPuL.jpg</t>
  </si>
  <si>
    <t>Catchmaster Spider Traps Glue Boards 6-Pack, Adhesive Bug Catcher, Insect, Scorpion, Cricket, Cockroach, &amp; Spider Killer for Home, Bulk Glue Traps for House &amp; Garage, Pest Control for Home</t>
  </si>
  <si>
    <t>https://www.amazon.com/dp/B08PC9R71X?psc=1</t>
  </si>
  <si>
    <t>B08563R81S</t>
  </si>
  <si>
    <t>https://m.media-amazon.com/images/I/715O2aCJFzL.jpg</t>
  </si>
  <si>
    <t>Catchmaster Tree Banding Insect Barrier DIY 15oz Pail, Lanternfly &amp; Ant Traps, Outdoor Adhesive Crawling Insect Trap to Protect Trees, Fruit &amp; Plants</t>
  </si>
  <si>
    <t>https://www.amazon.com/dp/B08563R81S?psc=1</t>
  </si>
  <si>
    <t>1 Tub</t>
  </si>
  <si>
    <t>B005968T1M</t>
  </si>
  <si>
    <t>https://m.media-amazon.com/images/I/81-T-NxpJOL.jpg</t>
  </si>
  <si>
    <t>Pest Pro Mouse, Spider, Roach &amp; Insect Glue Boards - 75 Count - Peanut Butter Scented (Non-Allergenic)</t>
  </si>
  <si>
    <t>https://www.amazon.com/dp/B005968T1M</t>
  </si>
  <si>
    <t>B0GRWPG7R2</t>
  </si>
  <si>
    <t>https://m.media-amazon.com/images/I/71x0H7LY2TL.jpg</t>
  </si>
  <si>
    <t>Catchmaster Fly Traps for Window Corners Lemon Yellow 12PK, Gnat and Fruit Fly Strips for Indoor, Disposable Sticky Traps Designed to Disguise Trapped Flies, Adhesive Pest Control for Home &amp; Kitchen</t>
  </si>
  <si>
    <t>https://www.amazon.com/dp/B0GRWPG7R2?psc=1</t>
  </si>
  <si>
    <t>12 Lemon Print Traps</t>
  </si>
  <si>
    <t>B085LQ18MR</t>
  </si>
  <si>
    <t>https://m.media-amazon.com/images/I/81ElHYBcAUL.jpg</t>
  </si>
  <si>
    <t>Catchmaster Multi-Catch Mouse Trap 12-Pack Refill, Humane Mouse Traps Indoor for Home, Includes Replaceable Glue Boards, Live Catch Pest Control for Garage &amp; Shed</t>
  </si>
  <si>
    <t>https://www.amazon.com/dp/B085LQ18MR?psc=1</t>
  </si>
  <si>
    <t>12-Traps Refills</t>
  </si>
  <si>
    <t>B089NZXLZ7</t>
  </si>
  <si>
    <t>https://m.media-amazon.com/images/I/71OZrRw0oCL.jpg</t>
  </si>
  <si>
    <t>Catchmaster Tree Banding Insect Barrier DIY Kit, 15oz Pail &amp; Spreader, Lanternfly &amp; Ant Traps, Outdoor Adhesive Crawling Insect Trap to Protect Trees, Fruit &amp; Plants</t>
  </si>
  <si>
    <t>https://www.amazon.com/dp/B089NZXLZ7?psc=1</t>
  </si>
  <si>
    <t>1 Tub + Spreader</t>
  </si>
  <si>
    <t>B0C44G48FP</t>
  </si>
  <si>
    <t>https://m.media-amazon.com/images/I/815Xa+vlBLL.jpg</t>
  </si>
  <si>
    <t>Catchmaster Vector 30 Silver Commercial UV Fly Light Trap, 1,500 Sq Ft</t>
  </si>
  <si>
    <t>https://www.amazon.com/dp/B0C44G48FP?psc=1</t>
  </si>
  <si>
    <t>1,180 sq ft coverage | Single Unit</t>
  </si>
  <si>
    <t>B0CHLHS4BT</t>
  </si>
  <si>
    <t>https://m.media-amazon.com/images/I/81fgGiQOfIL.jpg</t>
  </si>
  <si>
    <t>Catchmaster Vector Universal Replacement Glue Boards Black, UV Light Fly Trap for Home, Unscented Gnat Traps for House, UV Lamp Insect &amp; Mosquito Killer Refill, Adhesive Bug Light Boards, 12-Pack</t>
  </si>
  <si>
    <t>https://www.amazon.com/dp/B0CHLHS4BT?psc=1</t>
  </si>
  <si>
    <t>1,416-2,900 sq ft coverage</t>
  </si>
  <si>
    <t>B0DYGL7BCF</t>
  </si>
  <si>
    <t>https://m.media-amazon.com/images/I/71iWFz5wDSL.jpg</t>
  </si>
  <si>
    <t>Catchmaster Japanese Beetle Trap Bags 6 Pack, Outdoor Traps w/Dual Lure</t>
  </si>
  <si>
    <t>https://www.amazon.com/dp/B0DYGL7BCF?psc=1</t>
  </si>
  <si>
    <t>6-Pack</t>
  </si>
  <si>
    <t>B0DKH2JKVK</t>
  </si>
  <si>
    <t>https://m.media-amazon.com/images/I/81pvxdycPKL.jpg</t>
  </si>
  <si>
    <t>Catchmaster Dual Action Plant Labels 100 PK, Sticky Insect Trap Plant Stakes, for Live Plants Indoor Outdoor, Fruit Fly Trap, Glue Traps for Home, Farm, Garden, Hydroponics &amp; Greenhouse, Pest Control</t>
  </si>
  <si>
    <t>https://www.amazon.com/dp/B0DKH2JKVK</t>
  </si>
  <si>
    <t>100 Pack</t>
  </si>
  <si>
    <t>B0195UE0NI</t>
  </si>
  <si>
    <t>https://m.media-amazon.com/images/I/51dPgIr0SeL.jpg</t>
  </si>
  <si>
    <t>Catchmaster 72MB Glueboards QTY 12 Glueboards 602534 by Catchmaster</t>
  </si>
  <si>
    <t>https://www.amazon.com/dp/B0195UE0NI</t>
  </si>
  <si>
    <t>Each</t>
  </si>
  <si>
    <t>B07YCVK6KJ</t>
  </si>
  <si>
    <t>https://m.media-amazon.com/images/I/71YN8r+LzjL.jpg</t>
  </si>
  <si>
    <t>Catchmaster Freeze Resistant Glue Traps 6PK Mouse Traps Indoor for Home, Pest Control Tray for Rodents, Bugs &amp; Crickets, Cold Weather Glue Board for House, Shed &amp; Garage</t>
  </si>
  <si>
    <t>https://www.amazon.com/dp/B07YCVK6KJ?psc=1</t>
  </si>
  <si>
    <t>B084H1TJ57</t>
  </si>
  <si>
    <t>https://m.media-amazon.com/images/I/71tb5V66x3L.jpg</t>
  </si>
  <si>
    <t>Catchmaster-6 Freeze Resistant Mouse &amp; Insect Glue Traps, Indoor for Home, Pest Control Adhesive Tray, Catch Bugs, Crickets, Spiders, Rats, Pet Safe Glue Boards for Cold Weather, House, Shed &amp; Garage</t>
  </si>
  <si>
    <t>https://www.amazon.com/dp/B084H1TJ57?psc=1</t>
  </si>
  <si>
    <t>6-Pack Cold Weather</t>
  </si>
  <si>
    <t>B0GX7N33Q3</t>
  </si>
  <si>
    <t>https://m.media-amazon.com/images/I/81P1EjXaDNL.jpg</t>
  </si>
  <si>
    <t>Catchmaster Window Fly Traps Decorative Linen 3 Count + 6 Refills, Gnat and Fruit Fly Strips for Indoor, Disposable Discreet Bug Catcher, Insect Sticky Glue Traps, Adhesive Pest Control for Home</t>
  </si>
  <si>
    <t>https://www.amazon.com/dp/B0GX7N33Q3?psc=1</t>
  </si>
  <si>
    <t>3 Reusable Traps + 6 Refills</t>
  </si>
  <si>
    <t>B0DZF2HY12</t>
  </si>
  <si>
    <t>https://m.media-amazon.com/images/I/8131nmkMgIL.jpg</t>
  </si>
  <si>
    <t>Catchmaster Defiant Extra Long Reusable Ant Traps Indoor (8 Pack), Bait NOT Included – Stackable, Narrow Bait Stations that Hold Liquid Ant Killer – 28 Entry Points for Maximum Access</t>
  </si>
  <si>
    <t>https://www.amazon.com/dp/B0DZF2HY12?psc=1</t>
  </si>
  <si>
    <t>B0G36CY3L8</t>
  </si>
  <si>
    <t>https://m.media-amazon.com/images/I/81jWQ4uEavL.jpg</t>
  </si>
  <si>
    <t>Catchmaster Defiant XL Outdoor Ant Traps for Yard (2 Pack), Bait NOT Included - Reusable Ant Bait Stations that Hold Liquid Ant Killer, – XL Size Speeds Up Ant Elimination</t>
  </si>
  <si>
    <t>https://www.amazon.com/dp/B0G36CY3L8?psc=1</t>
  </si>
  <si>
    <t>B0D3JDQKHC</t>
  </si>
  <si>
    <t>https://m.media-amazon.com/images/I/81tX9pljM7L.jpg</t>
  </si>
  <si>
    <t>Catchmaster Multi-Catch Mouse Trap, Humane Mouse Trap Indoor for Home, Includes 1 Replaceable Glue Board, Live Catch Pest Control for Garage &amp; Shed</t>
  </si>
  <si>
    <t>https://www.amazon.com/dp/B0D3JDQKHC?psc=1</t>
  </si>
  <si>
    <t>1-Trap Metallic</t>
  </si>
  <si>
    <t>B0FNFDDLVN</t>
  </si>
  <si>
    <t>https://m.media-amazon.com/images/I/81QySPNCspL.jpg</t>
  </si>
  <si>
    <t>Catchmaster Multi-Catch Mouse Trap, Humane Mouse Trap Indoor for Home, Includes 1 Replaceable Glue Board, Live Catch Pest Control for Garage &amp; Shed (Black)</t>
  </si>
  <si>
    <t>https://www.amazon.com/dp/B0FNFDDLVN?psc=1</t>
  </si>
  <si>
    <t>1-Trap Black</t>
  </si>
  <si>
    <t>B07V6J6MGC</t>
  </si>
  <si>
    <t>Catchmaster Disposable Outdoor Fly Trap, 4 Hanging Bags with Bait</t>
  </si>
  <si>
    <t>https://www.amazon.com/dp/B07V6J6MGC?psc=1</t>
  </si>
  <si>
    <t>4x Fly Bag, Disposable</t>
  </si>
  <si>
    <t>B0839QH3G8</t>
  </si>
  <si>
    <t>https://m.media-amazon.com/images/I/71PmQlZjl+L.jpg</t>
  </si>
  <si>
    <t>Catchmaster GRO Yellow Regular Double Sided Sticky Traps 36PK, Adhesive Bug &amp; Fruit Fly Trap, Pest Control for Home, Farm, Garden, Hydroponics &amp; Greenhouse, Protect Live Plants Indoor &amp; Outdoor</t>
  </si>
  <si>
    <t>https://www.amazon.com/dp/B0839QH3G8?psc=1</t>
  </si>
  <si>
    <t>36 Pack - Yellow</t>
  </si>
  <si>
    <t>B08WRSW1MC</t>
  </si>
  <si>
    <t>https://m.media-amazon.com/images/I/71wYKtaOZHL.jpg</t>
  </si>
  <si>
    <t>Catchmaster Tree Banding Insect Barrier DIY Kit 4Pk, 15oz., Spreader, 1Kft Roll Plastic Wrap, Lanternfly &amp; Ant Traps, Outdoor Adhesive Crawling Insect Trap to Protect Trees, Fruit &amp; Plants</t>
  </si>
  <si>
    <t>https://www.amazon.com/dp/B08WRSW1MC?psc=1</t>
  </si>
  <si>
    <t>4 Tubs+ 1 Spreader + 1 Wrap</t>
  </si>
  <si>
    <t>B0C44B6YMK</t>
  </si>
  <si>
    <t>https://m.media-amazon.com/images/I/81cZ3ING52L.jpg</t>
  </si>
  <si>
    <t>Catchmaster Vector 15 Commercial UV Fly Light Trap, Wall Mount, 800 Sq Ft</t>
  </si>
  <si>
    <t>https://www.amazon.com/dp/B0C44B6YMK?psc=1</t>
  </si>
  <si>
    <t>590 sq ft coverage | Single Unit</t>
  </si>
  <si>
    <t>B0DT7XQCBT</t>
  </si>
  <si>
    <t>https://m.media-amazon.com/images/I/81vKpqCYK2L.jpg</t>
  </si>
  <si>
    <t>Catchmaster Vector 30 Black Commercial UV Fly Light Trap, 1,500 Sq Ft</t>
  </si>
  <si>
    <t>https://www.amazon.com/dp/B0DT7XQCBT?psc=1</t>
  </si>
  <si>
    <t>B0DYGK2LK5</t>
  </si>
  <si>
    <t>https://m.media-amazon.com/images/I/713VtcdxrPL.jpg</t>
  </si>
  <si>
    <t>Catchmaster Japanese Beetle Traps 3 Pack, Outdoor Beetle Bags w/Dual Lure</t>
  </si>
  <si>
    <t>https://www.amazon.com/dp/B0DYGK2LK5?psc=1</t>
  </si>
  <si>
    <t>3-Pack</t>
  </si>
  <si>
    <t>B015BSSHBY</t>
  </si>
  <si>
    <t>https://m.media-amazon.com/images/I/61X3CLUnNsL.jpg</t>
  </si>
  <si>
    <t>72 Catchmaster Mouse Insect Glue Boards 72mb Mice Roach Spider Flea Sticky Trap"</t>
  </si>
  <si>
    <t>https://www.amazon.com/dp/B015BSSHBY</t>
  </si>
  <si>
    <t>B08FBJPWWP</t>
  </si>
  <si>
    <t>https://m.media-amazon.com/images/I/61ugdWixTQL.jpg</t>
  </si>
  <si>
    <t>Catchmaster Catch Zone Pest Boundary Roll 60ft, Glue Trap Roll, Rodent Tape</t>
  </si>
  <si>
    <t>https://www.amazon.com/dp/B08FBJPWWP</t>
  </si>
  <si>
    <t>B0CHKZJWHY</t>
  </si>
  <si>
    <t>https://m.media-amazon.com/images/I/71AAMdWJmLL.jpg</t>
  </si>
  <si>
    <t>Catchmaster Vector Optima Black Wall-Mounted UV Fly Light Trap, Fly Trap for Restaurant Dining Areas, Bakery, Deli &amp; Meat Cases, and Office Spaces, UV Lamp Insect Killer</t>
  </si>
  <si>
    <t>https://www.amazon.com/dp/B0CHKZJWHY?psc=1</t>
  </si>
  <si>
    <t>17W, 590 sq ft Coverage</t>
  </si>
  <si>
    <t>B076QK3HXD</t>
  </si>
  <si>
    <t>https://m.media-amazon.com/images/I/41zBgRNEIoL.jpg</t>
  </si>
  <si>
    <t>Full Case of 72 Catchmaster Mouse/Spider/Insect/Scorpion Glue Board Sticky Traps Peanut Butter Scent</t>
  </si>
  <si>
    <t>https://www.amazon.com/dp/B076QK3HXD</t>
  </si>
  <si>
    <t>B0097BC26I</t>
  </si>
  <si>
    <t>https://m.media-amazon.com/images/I/51lFgHADDXL.jpg</t>
  </si>
  <si>
    <t>Catchmaster TRTD11386 72TC Glue Board Rodent and Insect Trap, Original Version</t>
  </si>
  <si>
    <t>https://www.amazon.com/dp/B0097BC26I</t>
  </si>
  <si>
    <t>B01H9234G8</t>
  </si>
  <si>
    <t>https://m.media-amazon.com/images/I/615xY9VdTuL.jpg</t>
  </si>
  <si>
    <t>Catchmaster Gold Stick 962 Large 24" Fly Trap - Box of 12</t>
  </si>
  <si>
    <t>https://www.amazon.com/dp/B01H9234G8</t>
  </si>
  <si>
    <t>Large</t>
  </si>
  <si>
    <t>B0CLSXKZ96</t>
  </si>
  <si>
    <t>https://m.media-amazon.com/images/I/81VudPa6fZL.jpg</t>
  </si>
  <si>
    <t>Catchmaster Cricket XL Giant Glue Boards 48Pk, Cricket Traps Indoor with Adhesive Attractant Design, Bug Catcher Traps for Inside Your Home, Insect Killer for House &amp; Garage, Pest Control for Home</t>
  </si>
  <si>
    <t>https://www.amazon.com/dp/B0CLSXKZ96?psc=1</t>
  </si>
  <si>
    <t>48-Traps</t>
  </si>
  <si>
    <t>B087YYJ41X</t>
  </si>
  <si>
    <t>https://m.media-amazon.com/images/I/81+Rm86YdLL.jpg</t>
  </si>
  <si>
    <t>Catchmaster Fly Bait Refills, 3 Pack, for Outdoor Reusable Fly Trap Jars" New size: "Fly Jar Bait Refill 3-Count</t>
  </si>
  <si>
    <t>https://www.amazon.com/dp/B087YYJ41X?psc=1</t>
  </si>
  <si>
    <t>Fly Jar Bait Refill 3-Count</t>
  </si>
  <si>
    <t>B0BDPJBL9H</t>
  </si>
  <si>
    <t>https://m.media-amazon.com/images/I/61CJnN8QVFL.jpg</t>
  </si>
  <si>
    <t>Catchmaster Reusable Outdoor Fly Trap, 2 Hanging Blue Jars with Bait</t>
  </si>
  <si>
    <t>https://www.amazon.com/dp/B0BDPJBL9H?psc=1</t>
  </si>
  <si>
    <t>2x Fly Jar, Reusable</t>
  </si>
  <si>
    <t>B0BDPG7B74</t>
  </si>
  <si>
    <t>Catchmaster Reusable Outdoor Fly Trap, 3 Hanging Blue Jars with Bait</t>
  </si>
  <si>
    <t>https://www.amazon.com/dp/B0BDPG7B74?psc=1</t>
  </si>
  <si>
    <t>3x Fly Jar, Reusable</t>
  </si>
  <si>
    <t>B085HML2M2</t>
  </si>
  <si>
    <t>Catchmaster Reusable Outdoor Fly Trap, 6 Hanging Blue Jars with Bait</t>
  </si>
  <si>
    <t>https://www.amazon.com/dp/B085HML2M2?psc=1</t>
  </si>
  <si>
    <t>6x Fly Jar, Reusable</t>
  </si>
  <si>
    <t>B085HNLLNZ</t>
  </si>
  <si>
    <t>Catchmaster Reusable Outdoor Fly Trap, 1 Hanging Blue Jar with Bait</t>
  </si>
  <si>
    <t>https://www.amazon.com/dp/B085HNLLNZ?psc=1</t>
  </si>
  <si>
    <t>1x Fly Jar, Reusable</t>
  </si>
  <si>
    <t>B0DSY9SC3N</t>
  </si>
  <si>
    <t>https://m.media-amazon.com/images/I/81S+v3++VoL.jpg</t>
  </si>
  <si>
    <t>Catchmaster Vector Universal Replacement Glue Boards White, UV Light Fly Trap For Home, Unscented Gnat Traps for House, UV Lamp Insect &amp; Mosquito Killer Refill, Adhesive Bug Light Boards, 12-Pack</t>
  </si>
  <si>
    <t>https://www.amazon.com/dp/B0DSY9SC3N?psc=1</t>
  </si>
  <si>
    <t>B0CHLM66LF</t>
  </si>
  <si>
    <t>https://m.media-amazon.com/images/I/71qr0H369kL.jpg</t>
  </si>
  <si>
    <t>Catchmaster Vector Optima White Wall-Mounted UV Fly Light Trap, Fly Trap for Restaurant Dining Areas, Bakery, Deli &amp; Meat Cases, and Office Spaces, UV Lamp Insect Killer</t>
  </si>
  <si>
    <t>https://www.amazon.com/dp/B0CHLM66LF?psc=1</t>
  </si>
  <si>
    <t>B008EO80K6</t>
  </si>
  <si>
    <t>https://m.media-amazon.com/images/I/817y9ngUBSL.jpg</t>
  </si>
  <si>
    <t>Catchmaster 288i Insect &amp; Spider Trap - 36 Glue Boards (108 Monitor Traps)</t>
  </si>
  <si>
    <t>https://www.amazon.com/dp/B008EO80K6?psc=1</t>
  </si>
  <si>
    <t>(Pack of 1)</t>
  </si>
  <si>
    <t>B077H34VXW</t>
  </si>
  <si>
    <t>https://m.media-amazon.com/images/I/81QeNc0nVuL.jpg</t>
  </si>
  <si>
    <t>Catchmaster 100I Insect Monitors &amp; Traps 25 Boards</t>
  </si>
  <si>
    <t>https://www.amazon.com/dp/B077H34VXW?psc=1</t>
  </si>
  <si>
    <t>B09KHJPC1X</t>
  </si>
  <si>
    <t>https://m.media-amazon.com/images/I/81uYMXKDgtL.jpg</t>
  </si>
  <si>
    <t>Catchmaster Pro Series Flying Insect Light Trap Replacement Board 5-PK, UV Light Fly Trap Refill, Adhesive Glue Boards, Bug Catcher, UV Lamp Mosquito Catcher, Home &amp; Garage Pest Control</t>
  </si>
  <si>
    <t>https://www.amazon.com/dp/B09KHJPC1X?psc=1</t>
  </si>
  <si>
    <t>(5-Pack)</t>
  </si>
  <si>
    <t>B07K6TVBSS</t>
  </si>
  <si>
    <t>https://m.media-amazon.com/images/I/61-dwN38jqL.jpg</t>
  </si>
  <si>
    <t>Catchmaster 72TB Mouse Glue Boards, 72 ct</t>
  </si>
  <si>
    <t>https://www.amazon.com/dp/B07K6TVBSS</t>
  </si>
  <si>
    <t>B0CS7PTJ7F</t>
  </si>
  <si>
    <t>https://m.media-amazon.com/images/I/81QdSHDHkIL.jpg</t>
  </si>
  <si>
    <t>Catchmaster GRO Yellow Large Double Sided Sticky Traps 50PK, Adhesive Bug &amp; Fruit Fly Trap, Pest Control for Home, Farm, Garden, Hydroponics &amp; Greenhouse, Protect Live Plants Indoor &amp; Outdoor</t>
  </si>
  <si>
    <t>https://www.amazon.com/dp/B0CS7PTJ7F</t>
  </si>
  <si>
    <t>50 Pack</t>
  </si>
  <si>
    <t>B0168K936W</t>
  </si>
  <si>
    <t>Scotts</t>
  </si>
  <si>
    <t>https://m.media-amazon.com/images/I/81TuZYPbOOL.jpg</t>
  </si>
  <si>
    <t>Scotts EZ Seed Patch &amp; Repair for Sun and Shade, 3.75 lbs.</t>
  </si>
  <si>
    <t>https://www.amazon.com/dp/B0168K936W?psc=1</t>
  </si>
  <si>
    <t>3.75 lb.</t>
  </si>
  <si>
    <t>B0DV9W259K</t>
  </si>
  <si>
    <t>https://m.media-amazon.com/images/I/61GhlbEyFTL.jpg</t>
  </si>
  <si>
    <t>Scotts Whirl Hand-Powered Spreader</t>
  </si>
  <si>
    <t>https://www.amazon.com/dp/B0DV9W259K</t>
  </si>
  <si>
    <t>B075R7BNXV</t>
  </si>
  <si>
    <t>https://m.media-amazon.com/images/I/710N1nUPNFL.jpg</t>
  </si>
  <si>
    <t>Scotts DiseaseEx Lawn Fungicide, 10 lbs.</t>
  </si>
  <si>
    <t>https://www.amazon.com/dp/B075R7BNXV?psc=1</t>
  </si>
  <si>
    <t>5,000 sq. ft.</t>
  </si>
  <si>
    <t>B0B72GKJM5</t>
  </si>
  <si>
    <t>https://m.media-amazon.com/images/I/714MMulChTL.jpg</t>
  </si>
  <si>
    <t>Scotts Turf Builder Grass Seed Sun &amp; Shade Mix, 5.6 lbs.</t>
  </si>
  <si>
    <t>https://www.amazon.com/dp/B0B72GKJM5?psc=1</t>
  </si>
  <si>
    <t>5.6 lb.</t>
  </si>
  <si>
    <t>B0BGMM1FZV</t>
  </si>
  <si>
    <t>https://m.media-amazon.com/images/I/71YeM-sHDPL.jpg</t>
  </si>
  <si>
    <t>Scotts Turf Builder WinterGuard Fall Lawn Food, 10 lbs.</t>
  </si>
  <si>
    <t>https://www.amazon.com/dp/B0BGMM1FZV?psc=1</t>
  </si>
  <si>
    <t>4,000 sq. ft.</t>
  </si>
  <si>
    <t>B0BGMNJC58</t>
  </si>
  <si>
    <t>Scotts Turf Builder WinterGuard Fall Lawn Food, 32.3 lbs.</t>
  </si>
  <si>
    <t>https://www.amazon.com/dp/B0BGMNJC58?psc=1</t>
  </si>
  <si>
    <t>12,000 sq. ft.</t>
  </si>
  <si>
    <t>B00DK49DVA</t>
  </si>
  <si>
    <t>https://m.media-amazon.com/images/I/81oY9zpw+qL.jpg</t>
  </si>
  <si>
    <t>Scotts Turf Builder Starter Fertilizer for New Grass, 15 lbs.</t>
  </si>
  <si>
    <t>https://www.amazon.com/dp/B00DK49DVA?psc=1</t>
  </si>
  <si>
    <t>B0050DV4ZW</t>
  </si>
  <si>
    <t>https://m.media-amazon.com/images/I/81WYeL+smbL.jpg</t>
  </si>
  <si>
    <t>Scotts GrubEx1 Season Long Grub Killer, 5,000 sq. ft.</t>
  </si>
  <si>
    <t>https://www.amazon.com/dp/B0050DV4ZW?psc=1</t>
  </si>
  <si>
    <t>B01MXS85YT</t>
  </si>
  <si>
    <t>https://m.media-amazon.com/images/I/71Yz3+OLjPL.jpg</t>
  </si>
  <si>
    <t>Scotts Liquid Turf Builder with Plus 2 Weed Control, 32 fl. oz.</t>
  </si>
  <si>
    <t>https://www.amazon.com/dp/B01MXS85YT?psc=1</t>
  </si>
  <si>
    <t>6,000 sq. ft.</t>
  </si>
  <si>
    <t>B08KGYNJ8H</t>
  </si>
  <si>
    <t>https://m.media-amazon.com/images/I/71l8P4m+a1S.jpg</t>
  </si>
  <si>
    <t>Scotts Turf Builder Rapid Grass Tall Fescue Mix, 5.6 lbs.</t>
  </si>
  <si>
    <t>https://www.amazon.com/dp/B08KGYNJ8H?psc=1</t>
  </si>
  <si>
    <t>B0BGMNB1CQ</t>
  </si>
  <si>
    <t>https://m.media-amazon.com/images/I/71TUICGPtFL.jpg</t>
  </si>
  <si>
    <t>Scotts Turf Builder WinterGuard Fall Weed &amp; Feed3, 11.43 lbs.</t>
  </si>
  <si>
    <t>https://www.amazon.com/dp/B0BGMNB1CQ?psc=1</t>
  </si>
  <si>
    <t>B077T77H9J</t>
  </si>
  <si>
    <t>https://m.media-amazon.com/images/I/81GamxyChfL.jpg</t>
  </si>
  <si>
    <t>Scotts PatchMaster Lawn Repair Mix Sun + Shade Mix, 4.75 lbs.</t>
  </si>
  <si>
    <t>https://www.amazon.com/dp/B077T77H9J?psc=1</t>
  </si>
  <si>
    <t>4.75 lb</t>
  </si>
  <si>
    <t>B087DVBCD1</t>
  </si>
  <si>
    <t>https://m.media-amazon.com/images/I/71GdSjosyhL.jpg</t>
  </si>
  <si>
    <t>Miracle-Gro Perlite, 8 qt. (2-Pack)</t>
  </si>
  <si>
    <t>https://www.amazon.com/dp/B087DVBCD1?psc=1</t>
  </si>
  <si>
    <t>B005W1QXQW</t>
  </si>
  <si>
    <t>https://m.media-amazon.com/images/I/717yQf8OMaL.jpg</t>
  </si>
  <si>
    <t>Scotts Turf Builder Lawn Food, 12.5 lbs.</t>
  </si>
  <si>
    <t>https://www.amazon.com/dp/B005W1QXQW?psc=1</t>
  </si>
  <si>
    <t>B01N6AT6BF</t>
  </si>
  <si>
    <t>https://m.media-amazon.com/images/I/61HN2g9OUDL.jpg</t>
  </si>
  <si>
    <t>Scotts Liquid Turf Builder Lawn Food, 2,000 sq. ft.</t>
  </si>
  <si>
    <t>https://www.amazon.com/dp/B01N6AT6BF?psc=1</t>
  </si>
  <si>
    <t>1-Pack</t>
  </si>
  <si>
    <t>B0168K92U4</t>
  </si>
  <si>
    <t>https://m.media-amazon.com/images/I/71g6WpC+KjL.jpg</t>
  </si>
  <si>
    <t>Scotts EZ Seed Patch &amp; Repair Sun and Shade, 10 lbs.</t>
  </si>
  <si>
    <t>https://www.amazon.com/dp/B0168K92U4?psc=1</t>
  </si>
  <si>
    <t>10 lb.</t>
  </si>
  <si>
    <t>B0CVQR3TC4</t>
  </si>
  <si>
    <t>https://m.media-amazon.com/images/I/81CAibYF7wL.jpg</t>
  </si>
  <si>
    <t>Scotts Turf Builder WinterGuard Fall Weed &amp; Feed₅, 33.84 lbs.</t>
  </si>
  <si>
    <t>https://www.amazon.com/dp/B0CVQR3TC4?psc=1</t>
  </si>
  <si>
    <t>B074P1578H</t>
  </si>
  <si>
    <t>https://m.media-amazon.com/images/I/71BFOghJYcL.jpg</t>
  </si>
  <si>
    <t>Scotts Turf Builder Thick'R Lawn Sun &amp; Shade, 40 lbs.</t>
  </si>
  <si>
    <t>https://www.amazon.com/dp/B074P1578H?psc=1</t>
  </si>
  <si>
    <t>40 lb.</t>
  </si>
  <si>
    <t>B0FMVJMR4M</t>
  </si>
  <si>
    <t>https://m.media-amazon.com/images/I/81134lpU6cL.jpg</t>
  </si>
  <si>
    <t>Scotts Turf Builder Thick'r Lawn Sun &amp; Shade, 10 lbs.</t>
  </si>
  <si>
    <t>https://www.amazon.com/dp/B0FMVJMR4M?psc=1</t>
  </si>
  <si>
    <t>B0168K8VUQ</t>
  </si>
  <si>
    <t>https://m.media-amazon.com/images/I/81+cxazwJuL.jpg</t>
  </si>
  <si>
    <t>Scotts Green Max Lawn Food, 16.67 lbs.</t>
  </si>
  <si>
    <t>https://www.amazon.com/dp/B0168K8VUQ?psc=1</t>
  </si>
  <si>
    <t>B0B9QBRDJF</t>
  </si>
  <si>
    <t>https://m.media-amazon.com/images/I/71OSRjEF6oL.jpg</t>
  </si>
  <si>
    <t>Scotts Turf Builder Grass Seed Kentucky Bluegrass Mix, 2.4 lbs.</t>
  </si>
  <si>
    <t>https://www.amazon.com/dp/B0B9QBRDJF?psc=1</t>
  </si>
  <si>
    <t>2.4 lb.</t>
  </si>
  <si>
    <t>B00IMZVQ6M</t>
  </si>
  <si>
    <t>https://m.media-amazon.com/images/I/71XJB6h9tUL.jpg</t>
  </si>
  <si>
    <t>Scotts Turf Builder SummerGuard Lawn Food with Insect Control - Lawn Fertilizer and Insect Killer, 5,000 sq. ft., 13.35 lbs.</t>
  </si>
  <si>
    <t>https://www.amazon.com/dp/B00IMZVQ6M?psc=1</t>
  </si>
  <si>
    <t>B0B72BDSCJ</t>
  </si>
  <si>
    <t>https://m.media-amazon.com/images/I/6155D5k+XJL.jpg</t>
  </si>
  <si>
    <t>Scotts Turf Builder Grass Seed Sun &amp; Shade Mix, 2.4 lbs.</t>
  </si>
  <si>
    <t>https://www.amazon.com/dp/B0B72BDSCJ?psc=1</t>
  </si>
  <si>
    <t>B00FOMY10O</t>
  </si>
  <si>
    <t>https://m.media-amazon.com/images/I/71EThqJtwSL.jpg</t>
  </si>
  <si>
    <t>Scotts Turf Builder Starter Food for New Grass, 42 lb. - Lawn Fertilizer for Newly Planted Grass, Also Great for Sod and Grass Plugs - Covers 14,000 sq. ft.</t>
  </si>
  <si>
    <t>https://www.amazon.com/dp/B00FOMY10O?psc=1</t>
  </si>
  <si>
    <t>14,000 sq. ft.</t>
  </si>
  <si>
    <t>B00DK49BXK</t>
  </si>
  <si>
    <t>https://m.media-amazon.com/images/I/81zN3kS0L7L.jpg</t>
  </si>
  <si>
    <t>Scotts Turf Builder Starter Food for New Grass, 3 lbs.</t>
  </si>
  <si>
    <t>https://www.amazon.com/dp/B00DK49BXK?psc=1</t>
  </si>
  <si>
    <t>1,000 sq. ft.</t>
  </si>
  <si>
    <t>B0050DW2M6</t>
  </si>
  <si>
    <t>https://m.media-amazon.com/images/I/710KUgVTw1L.jpg</t>
  </si>
  <si>
    <t>Scotts GrubEx1 Season Long Grub Killer, 28.7 lbs</t>
  </si>
  <si>
    <t>https://www.amazon.com/dp/B0050DW2M6?psc=1</t>
  </si>
  <si>
    <t>10,000 sq. ft.</t>
  </si>
  <si>
    <t>B00XJM8KMQ</t>
  </si>
  <si>
    <t>https://m.media-amazon.com/images/I/81hPWFaP6qL.jpg</t>
  </si>
  <si>
    <t>Scotts Turf Builder Weed &amp; Feed3, 14.29 lbs.</t>
  </si>
  <si>
    <t>https://www.amazon.com/dp/B00XJM8KMQ?psc=1</t>
  </si>
  <si>
    <t>B002YPS1KK</t>
  </si>
  <si>
    <t>https://m.media-amazon.com/images/I/51nuGG4UMgL.jpg</t>
  </si>
  <si>
    <t>Scotts Turf Builder EdgeGuard Mini Broadcast Spreader</t>
  </si>
  <si>
    <t>https://www.amazon.com/dp/B002YPS1KK?psc=1</t>
  </si>
  <si>
    <t>Single Pack</t>
  </si>
  <si>
    <t>B001H1EQO2</t>
  </si>
  <si>
    <t>https://m.media-amazon.com/images/I/51keIshZOYL.jpg</t>
  </si>
  <si>
    <t>Scotts Turf Builder EdgeGuard DLX Broadcast Spreader for Seed, Fertilizer, Salt, Ice Melt, Holds up to 15,000 sq.ft. Product, Green</t>
  </si>
  <si>
    <t>https://www.amazon.com/dp/B001H1EQO2?psc=1</t>
  </si>
  <si>
    <t>B0B9PYL5CJ</t>
  </si>
  <si>
    <t>https://m.media-amazon.com/images/I/61pOorMlU8L.jpg</t>
  </si>
  <si>
    <t>Scotts Turf Builder Grass Seed Tall Fescue Mix, 5.6 lbs.</t>
  </si>
  <si>
    <t>https://www.amazon.com/dp/B0B9PYL5CJ?psc=1</t>
  </si>
  <si>
    <t>B0DSGH9YHL</t>
  </si>
  <si>
    <t>https://m.media-amazon.com/images/I/81EnniaAAAL.jpg</t>
  </si>
  <si>
    <t>O.M. Scott &amp; Sons Strawberry Clover Seed, 2 lbs.</t>
  </si>
  <si>
    <t>https://www.amazon.com/dp/B0DSGH9YHL?psc=1</t>
  </si>
  <si>
    <t>B005W1QYDO</t>
  </si>
  <si>
    <t>https://m.media-amazon.com/images/I/71mHBTAek5L.jpg</t>
  </si>
  <si>
    <t>Scotts Turf Builder Lawn Food, 37.50 lbs.</t>
  </si>
  <si>
    <t>https://www.amazon.com/dp/B005W1QYDO?psc=1</t>
  </si>
  <si>
    <t>15,000 sq. ft.</t>
  </si>
  <si>
    <t>B000AYFU5Q</t>
  </si>
  <si>
    <t>https://m.media-amazon.com/images/I/71kymqrC5NL.jpg</t>
  </si>
  <si>
    <t>Scotts EZ Seed Patch &amp; Repair Tall Fescue Lawns, 10 lbs.</t>
  </si>
  <si>
    <t>https://www.amazon.com/dp/B000AYFU5Q?psc=1</t>
  </si>
  <si>
    <t>B0B9Q1MXKW</t>
  </si>
  <si>
    <t>https://m.media-amazon.com/images/I/61BY7EUBo4L.jpg</t>
  </si>
  <si>
    <t>Scotts Turf Builder Grass Seed Kentucky Bluegrass Mix, 5.6 lbs.</t>
  </si>
  <si>
    <t>https://www.amazon.com/dp/B0B9Q1MXKW?psc=1</t>
  </si>
  <si>
    <t>B00DU7Z62W</t>
  </si>
  <si>
    <t>https://m.media-amazon.com/images/I/81sPqDXosxL.jpg</t>
  </si>
  <si>
    <t>Scotts Halts Crabgrass &amp; Grassy Weed Preventer, 10.06 lbs.</t>
  </si>
  <si>
    <t>https://www.amazon.com/dp/B00DU7Z62W?psc=1</t>
  </si>
  <si>
    <t>B0FQWJ65LF</t>
  </si>
  <si>
    <t>https://m.media-amazon.com/images/I/81ycfwTHk3L.jpg</t>
  </si>
  <si>
    <t>Scotts Turf Builder Rapid Grass Sun &amp; Shade Mix, 2.4 lbs.</t>
  </si>
  <si>
    <t>https://www.amazon.com/dp/B0FQWJ65LF?psc=1</t>
  </si>
  <si>
    <t>2.4 lb</t>
  </si>
  <si>
    <t>B08KH1RYW3</t>
  </si>
  <si>
    <t>https://m.media-amazon.com/images/I/7172S2Z3ydL.jpg</t>
  </si>
  <si>
    <t>Scotts Turf Builder Triple Action Built for Seeding, 17.2 lbs.</t>
  </si>
  <si>
    <t>https://www.amazon.com/dp/B08KH1RYW3?psc=1</t>
  </si>
  <si>
    <t>B0CVR4TJVB</t>
  </si>
  <si>
    <t>https://m.media-amazon.com/images/I/81HsZe1qOZL.jpg</t>
  </si>
  <si>
    <t>Scotts Turf Builder WinterGuard Fall Weed &amp; Feed₅, 11.28 lbs.</t>
  </si>
  <si>
    <t>https://www.amazon.com/dp/B0CVR4TJVB</t>
  </si>
  <si>
    <t>11.28 lb</t>
  </si>
  <si>
    <t>B000FBMI36</t>
  </si>
  <si>
    <t>https://m.media-amazon.com/images/I/81McGCR7zhL.jpg</t>
  </si>
  <si>
    <t>Scotts Turf Builder Southern Lawn Food, 14.06 lbs.</t>
  </si>
  <si>
    <t>https://www.amazon.com/dp/B000FBMI36?psc=1</t>
  </si>
  <si>
    <t>B017VN8WZI</t>
  </si>
  <si>
    <t>https://m.media-amazon.com/images/I/71xmo4naLTL.jpg</t>
  </si>
  <si>
    <t>Scotts EZ Seed Patch &amp; Repair Bermudagrass, 10 lbs.</t>
  </si>
  <si>
    <t>https://www.amazon.com/dp/B017VN8WZI?psc=1</t>
  </si>
  <si>
    <t>B000M2X2QU</t>
  </si>
  <si>
    <t>https://m.media-amazon.com/images/I/81+-onguAML.jpg</t>
  </si>
  <si>
    <t>Scotts Rose and Bloom Continuous Release Plant Food, 3 lbs.</t>
  </si>
  <si>
    <t>https://www.amazon.com/dp/B000M2X2QU?psc=1</t>
  </si>
  <si>
    <t>3 pounds</t>
  </si>
  <si>
    <t>B0168K8Y94</t>
  </si>
  <si>
    <t>https://m.media-amazon.com/images/I/71-YOcEq8WL.jpg</t>
  </si>
  <si>
    <t>Scotts EZ Seed Dog Spot Repair Sun and Shade, 2 lbs.</t>
  </si>
  <si>
    <t>https://www.amazon.com/dp/B0168K8Y94?psc=1</t>
  </si>
  <si>
    <t>2 lb.</t>
  </si>
  <si>
    <t>B01JIRMAZS</t>
  </si>
  <si>
    <t>https://m.media-amazon.com/images/I/71orLIcI9+L.jpg</t>
  </si>
  <si>
    <t>Scotts Weed Control for Lawns, 14 lbs.</t>
  </si>
  <si>
    <t>https://www.amazon.com/dp/B01JIRMAZS</t>
  </si>
  <si>
    <t>5000 sq. ft.</t>
  </si>
  <si>
    <t>B00GTDGWAY</t>
  </si>
  <si>
    <t>https://m.media-amazon.com/images/I/71RiRa8chrL.jpg</t>
  </si>
  <si>
    <t>Scotts Super Bloom Water Soluble Plant Food, 2 lbs.</t>
  </si>
  <si>
    <t>https://www.amazon.com/dp/B00GTDGWAY?psc=1</t>
  </si>
  <si>
    <t>2 lb</t>
  </si>
  <si>
    <t>B0DSGGP4B7</t>
  </si>
  <si>
    <t>https://m.media-amazon.com/images/I/81Muxao5oKL.jpg</t>
  </si>
  <si>
    <t>O.M. Scott &amp; Sons Tall Fescue Blend Grass Seed, 8 lbs.</t>
  </si>
  <si>
    <t>https://www.amazon.com/dp/B0DSGGP4B7?psc=1</t>
  </si>
  <si>
    <t>B08L6T3B4H</t>
  </si>
  <si>
    <t>https://m.media-amazon.com/images/I/71a+sKSacML.jpg</t>
  </si>
  <si>
    <t>Scotts Halts Crabgrass &amp; Grassy Weed Preventer, 20.12 lbs.</t>
  </si>
  <si>
    <t>https://www.amazon.com/dp/B08L6T3B4H?psc=1</t>
  </si>
  <si>
    <t>10,000 sq ft</t>
  </si>
  <si>
    <t>B09JVFT7N5</t>
  </si>
  <si>
    <t>https://m.media-amazon.com/images/I/71QL62ekgLL.jpg</t>
  </si>
  <si>
    <t>Scotts Turf Builder Triple Action1, 11.31 lb.</t>
  </si>
  <si>
    <t>https://www.amazon.com/dp/B09JVFT7N5</t>
  </si>
  <si>
    <t>B000I1M5OU</t>
  </si>
  <si>
    <t>https://m.media-amazon.com/images/I/81lQ+3XkBbL.jpg</t>
  </si>
  <si>
    <t>Scotts Turf Builder WinterGuard Fall Lawn Food, 12.5 lb. - Fall Lawn Fertilizer Builds Strong, Deep Grass Roots for a Better Lawn Next Spring - Covers 5,000 sq. ft.</t>
  </si>
  <si>
    <t>https://www.amazon.com/dp/B000I1M5OU?psc=1</t>
  </si>
  <si>
    <t>B0168K96FK</t>
  </si>
  <si>
    <t>https://m.media-amazon.com/images/I/81lyFrEqaNL.jpg</t>
  </si>
  <si>
    <t>Scotts EZ Seed Patch &amp; Repair Sun and Shade, 20 lbs.</t>
  </si>
  <si>
    <t>https://www.amazon.com/dp/B0168K96FK?psc=1</t>
  </si>
  <si>
    <t>20 lb.</t>
  </si>
  <si>
    <t>B0BBN6RHBY</t>
  </si>
  <si>
    <t>https://m.media-amazon.com/images/I/71vILnL0-sL.jpg</t>
  </si>
  <si>
    <t>Scotts Turf Builder Weed &amp; Feed5, 33.95 lbs.</t>
  </si>
  <si>
    <t>https://www.amazon.com/dp/B0BBN6RHBY?psc=1</t>
  </si>
  <si>
    <t>B00XGNUEIQ</t>
  </si>
  <si>
    <t>https://m.media-amazon.com/images/I/71h0ANPUSFL.jpg</t>
  </si>
  <si>
    <t>Scotts Turf Builder Weed &amp; Feed3, 42.87 lbs.</t>
  </si>
  <si>
    <t>https://www.amazon.com/dp/B00XGNUEIQ?psc=1</t>
  </si>
  <si>
    <t>B077T7GNDW</t>
  </si>
  <si>
    <t>https://m.media-amazon.com/images/I/71chsmSOcxL.jpg</t>
  </si>
  <si>
    <t>Scotts PatchMaster Lawn Repair Mix Sun and Shade Mix - 10 lb, All-in-One Bare Spot Repair, Feeds for Up to 6 Weeks, Fast Growth and Thick Results, Covers Up to 290 sq. ft.</t>
  </si>
  <si>
    <t>https://www.amazon.com/dp/B077T7GNDW?psc=1</t>
  </si>
  <si>
    <t>10 lb</t>
  </si>
  <si>
    <t>B00GTDI6YO</t>
  </si>
  <si>
    <t>https://m.media-amazon.com/images/I/71VW-thkZ4L.jpg</t>
  </si>
  <si>
    <t>Miracle-Gro Perlite, 8 qt.</t>
  </si>
  <si>
    <t>https://www.amazon.com/dp/B00GTDI6YO?psc=1</t>
  </si>
  <si>
    <t>B0BZN5843P</t>
  </si>
  <si>
    <t>https://m.media-amazon.com/images/I/71jByfafa+L.jpg</t>
  </si>
  <si>
    <t>Scotts Liquid Green Max Lawn Food, 32 oz.</t>
  </si>
  <si>
    <t>https://www.amazon.com/dp/B0BZN5843P?psc=1</t>
  </si>
  <si>
    <t>2,000 sq. ft</t>
  </si>
  <si>
    <t>B0FNCM8V8S</t>
  </si>
  <si>
    <t>https://m.media-amazon.com/images/I/81xpOPVGcZL.jpg</t>
  </si>
  <si>
    <t>Scotts Kentucky 31 Grass Seed Mix, 20 lbs.</t>
  </si>
  <si>
    <t>https://www.amazon.com/dp/B0FNCM8V8S?psc=1</t>
  </si>
  <si>
    <t>20 lb</t>
  </si>
  <si>
    <t>B0CZSFGKMW</t>
  </si>
  <si>
    <t>https://m.media-amazon.com/images/I/71IHhVQ2GWL.jpg</t>
  </si>
  <si>
    <t>Scotts Turf Builder Grass Seed Fall Mix, 2.4 lbs.</t>
  </si>
  <si>
    <t>https://www.amazon.com/dp/B0CZSFGKMW?psc=1</t>
  </si>
  <si>
    <t>B08KGXWPHR</t>
  </si>
  <si>
    <t>https://m.media-amazon.com/images/I/71dE-q1sH-L.jpg</t>
  </si>
  <si>
    <t>Scotts Turf Builder Triple Action Built for Seeding, 4.3 lbs.</t>
  </si>
  <si>
    <t>https://www.amazon.com/dp/B08KGXWPHR?psc=1</t>
  </si>
  <si>
    <t>B0FWYBFWX7</t>
  </si>
  <si>
    <t>https://m.media-amazon.com/images/I/61MhQiXt4CL.jpg</t>
  </si>
  <si>
    <t>Scotts Liquid Green Max Lawn Food, 32 fl. oz.</t>
  </si>
  <si>
    <t>https://www.amazon.com/dp/B0FWYBFWX7?psc=1</t>
  </si>
  <si>
    <t>Refill</t>
  </si>
  <si>
    <t>B0FWY9PF18</t>
  </si>
  <si>
    <t>https://m.media-amazon.com/images/I/71l+ZKm1EVL.jpg</t>
  </si>
  <si>
    <t>https://www.amazon.com/dp/B0FWY9PF18?psc=1</t>
  </si>
  <si>
    <t>Liquid Fertilizer</t>
  </si>
  <si>
    <t>B0FWYC56GX</t>
  </si>
  <si>
    <t>https://m.media-amazon.com/images/I/714G80uSmbL.jpg</t>
  </si>
  <si>
    <t>Scotts Turf Builder Liquid Lawn Food Plus Weed Control, 32 fl. oz.</t>
  </si>
  <si>
    <t>https://www.amazon.com/dp/B0FWYC56GX?psc=1</t>
  </si>
  <si>
    <t>B0FWY7GYNR</t>
  </si>
  <si>
    <t>https://m.media-amazon.com/images/I/71XWjhQKDYL.jpg</t>
  </si>
  <si>
    <t>Scotts Turf Builder Liquid Lawn Food, 32 fl. oz.</t>
  </si>
  <si>
    <t>https://www.amazon.com/dp/B0FWY7GYNR?psc=1</t>
  </si>
  <si>
    <t>B0FQWFJ4QJ</t>
  </si>
  <si>
    <t>https://m.media-amazon.com/images/I/71qL2l2Zg8L.jpg</t>
  </si>
  <si>
    <t>Scotts EZ Seed Patch &amp; Repair Zoysia Grass, 3.75 lbs.</t>
  </si>
  <si>
    <t>https://www.amazon.com/dp/B0FQWFJ4QJ?psc=1</t>
  </si>
  <si>
    <t>3.75lb</t>
  </si>
  <si>
    <t>B000HAAOXQ</t>
  </si>
  <si>
    <t>https://m.media-amazon.com/images/I/81pVBMoD1CL.jpg</t>
  </si>
  <si>
    <t>Scotts Evergreen, Flowering Tree &amp; Shrub Continuous Release Plant Food</t>
  </si>
  <si>
    <t>https://www.amazon.com/dp/B000HAAOXQ?psc=1</t>
  </si>
  <si>
    <t>B0168K92NG</t>
  </si>
  <si>
    <t>https://m.media-amazon.com/images/I/61y2RryRjZL.jpg</t>
  </si>
  <si>
    <t>Scotts EZ Patch Lawn Repair for St. Augustine Lawns, 3.75 lbs.</t>
  </si>
  <si>
    <t>https://www.amazon.com/dp/B0168K92NG?psc=1</t>
  </si>
  <si>
    <t>3.75 lb</t>
  </si>
  <si>
    <t>B07NNWK7CT</t>
  </si>
  <si>
    <t>https://m.media-amazon.com/images/I/71p7rK3vlzL.jpg</t>
  </si>
  <si>
    <t>Scotts 2 Gallon Lithium-Ion Battery Powered Sprayer with Pump Zero Technology, Rechargeable Lawn &amp; Garden Tank Sprayer, Model 190567</t>
  </si>
  <si>
    <t>https://www.amazon.com/dp/B07NNWK7CT</t>
  </si>
  <si>
    <t>2-Gallon</t>
  </si>
  <si>
    <t>B0DSGH48Y8</t>
  </si>
  <si>
    <t>https://m.media-amazon.com/images/I/71LmdlL1LSL.jpg</t>
  </si>
  <si>
    <t>O.M. Scott &amp; Sons Bermudagrass Grass Seed, 5 lbs.</t>
  </si>
  <si>
    <t>https://www.amazon.com/dp/B0DSGH48Y8?psc=1</t>
  </si>
  <si>
    <t>B01BF98TIE</t>
  </si>
  <si>
    <t>https://m.media-amazon.com/images/I/71lkengvGEL.jpg</t>
  </si>
  <si>
    <t>Scotts EZ Seed Patch &amp; Repair Tall Fescue Lawns, 20 lbs.</t>
  </si>
  <si>
    <t>https://www.amazon.com/dp/B01BF98TIE?psc=1</t>
  </si>
  <si>
    <t>B08KGW41BV</t>
  </si>
  <si>
    <t>https://m.media-amazon.com/images/I/81LkCcjg4oL.jpg</t>
  </si>
  <si>
    <t>Scotts Turf Builder Rapid Grass Sun &amp; Shade Mix, 16 lbs.</t>
  </si>
  <si>
    <t>https://www.amazon.com/dp/B08KGW41BV?psc=1</t>
  </si>
  <si>
    <t>16 lb</t>
  </si>
  <si>
    <t>B017VN8WX0</t>
  </si>
  <si>
    <t>https://m.media-amazon.com/images/I/71mlar2qLBL.jpg</t>
  </si>
  <si>
    <t>Scotts EZ Seed Patch &amp; Repair Bermudagrass, 20 lbs.</t>
  </si>
  <si>
    <t>https://www.amazon.com/dp/B017VN8WX0?psc=1</t>
  </si>
  <si>
    <t>B00ARYRY1W</t>
  </si>
  <si>
    <t>https://m.media-amazon.com/images/I/81KD7e640uL.jpg</t>
  </si>
  <si>
    <t>Scotts Turf Builder Grass Seed Zoysia Grass Seed and Mulch, 5 lb. - Full Sun and Light Shade - Thrives in Heat &amp; Drought - Grows a Tough, Durable, Low-Maintenance Lawn - Seeds up to 2,000 sq. ft.</t>
  </si>
  <si>
    <t>https://www.amazon.com/dp/B00ARYRY1W?psc=1</t>
  </si>
  <si>
    <t>5lb</t>
  </si>
  <si>
    <t>B0B9Q8LW92</t>
  </si>
  <si>
    <t>https://m.media-amazon.com/images/I/61VPMwQn3AL.jpg</t>
  </si>
  <si>
    <t>Scotts Turf Builder Grass Seed Bermudagrass, 1 lb.</t>
  </si>
  <si>
    <t>https://www.amazon.com/dp/B0B9Q8LW92?psc=1</t>
  </si>
  <si>
    <t>1 lb.</t>
  </si>
  <si>
    <t>B08KH22BRW</t>
  </si>
  <si>
    <t>https://m.media-amazon.com/images/I/81LAwmrPpRS.jpg</t>
  </si>
  <si>
    <t>Scotts Turf Builder Rapid Grass Tall Fescue Mix, 16 lbs.</t>
  </si>
  <si>
    <t>https://www.amazon.com/dp/B08KH22BRW?psc=1</t>
  </si>
  <si>
    <t>16 lb.</t>
  </si>
  <si>
    <t>B001PCUU70</t>
  </si>
  <si>
    <t>https://m.media-amazon.com/images/I/81fva27K3iL.jpg</t>
  </si>
  <si>
    <t>Scotts All Purpose Flower &amp; Vegetable Continuous Release Plant Food, 3 lbs.</t>
  </si>
  <si>
    <t>https://www.amazon.com/dp/B001PCUU70?psc=1</t>
  </si>
  <si>
    <t>3 lb</t>
  </si>
  <si>
    <t>B07YM5CY3F</t>
  </si>
  <si>
    <t>https://m.media-amazon.com/images/I/7131dnJLXIL.jpg</t>
  </si>
  <si>
    <t>Scotts MossEx Moss Killer for Lawns, 4.59 lbs.</t>
  </si>
  <si>
    <t>https://www.amazon.com/dp/B07YM5CY3F</t>
  </si>
  <si>
    <t>Easy-To-Use Granules</t>
  </si>
  <si>
    <t>B004BKS110</t>
  </si>
  <si>
    <t>https://m.media-amazon.com/images/I/71HEM34dlwL.jpg</t>
  </si>
  <si>
    <t>Scotts Natural Lawn Food, Lawn Fertilizer, For All Grass Types, Apply Any Season, OMRI Listed, Covers 4,000 sq. ft., 29.1 lbs.</t>
  </si>
  <si>
    <t>https://www.amazon.com/dp/B004BKS110?psc=1</t>
  </si>
  <si>
    <t>B0D96VRSJB</t>
  </si>
  <si>
    <t>https://m.media-amazon.com/images/I/71GlZcPwJeL.jpg</t>
  </si>
  <si>
    <t>Scotts Professional Turfgrass Seed Sun &amp; Shade Mix, 50 lbs.</t>
  </si>
  <si>
    <t>https://www.amazon.com/dp/B0D96VRSJB?psc=1</t>
  </si>
  <si>
    <t>50 lb.</t>
  </si>
  <si>
    <t>B0B728996W</t>
  </si>
  <si>
    <t>https://m.media-amazon.com/images/I/61bK0UhdF5L.jpg</t>
  </si>
  <si>
    <t>Scotts Turf Builder Grass Seed Tall Fescue Mix, 16 lbs.</t>
  </si>
  <si>
    <t>https://www.amazon.com/dp/B0B728996W?psc=1</t>
  </si>
  <si>
    <t>B0CZSD34RB</t>
  </si>
  <si>
    <t>https://m.media-amazon.com/images/I/71V+W57JNhL.jpg</t>
  </si>
  <si>
    <t>Scotts Turf Builder Grass Seed Fall Mix, 5.6 lbs.</t>
  </si>
  <si>
    <t>https://www.amazon.com/dp/B0CZSD34RB?psc=1</t>
  </si>
  <si>
    <t>5.6 lb</t>
  </si>
  <si>
    <t>B00GPAGO6S</t>
  </si>
  <si>
    <t>https://m.media-amazon.com/images/I/71YeTiAg6yL.jpg</t>
  </si>
  <si>
    <t>Scotts Turf Builder Bonus S Southern Weed &amp; Feed2, 17.24 lbs.</t>
  </si>
  <si>
    <t>https://www.amazon.com/dp/B00GPAGO6S?psc=1</t>
  </si>
  <si>
    <t>B07L19YBJ8</t>
  </si>
  <si>
    <t>https://m.media-amazon.com/images/I/71t8Jsd-saL.jpg</t>
  </si>
  <si>
    <t>Scotts MossEx 3-in-1 Ready Spray, 32 fl. oz.</t>
  </si>
  <si>
    <t>https://www.amazon.com/dp/B07L19YBJ8?psc=1</t>
  </si>
  <si>
    <t>Ready To Spray</t>
  </si>
  <si>
    <t>B09JVCSXJC</t>
  </si>
  <si>
    <t>https://m.media-amazon.com/images/I/712s6m2tDyL.jpg</t>
  </si>
  <si>
    <t>Scotts Turf Builder Triple Action1, 33.94 lbs.</t>
  </si>
  <si>
    <t>https://www.amazon.com/dp/B09JVCSXJC?psc=1</t>
  </si>
  <si>
    <t>B07KXLD8VL</t>
  </si>
  <si>
    <t>https://m.media-amazon.com/images/I/71YoLY+2OcL.jpg</t>
  </si>
  <si>
    <t>Scotts WeedEx Prevent with Halts, 10.06 lbs.</t>
  </si>
  <si>
    <t>https://www.amazon.com/dp/B07KXLD8VL</t>
  </si>
  <si>
    <t>10.06 lb</t>
  </si>
  <si>
    <t>B0FNCJXFV3</t>
  </si>
  <si>
    <t>https://m.media-amazon.com/images/I/81nhXI7pAkL.jpg</t>
  </si>
  <si>
    <t>Scotts Kentucky 31 Grass Seed Mix, 40 lbs.</t>
  </si>
  <si>
    <t>https://www.amazon.com/dp/B0FNCJXFV3?psc=1</t>
  </si>
  <si>
    <t>40 lb</t>
  </si>
  <si>
    <t>B07YM5J72D</t>
  </si>
  <si>
    <t>https://m.media-amazon.com/images/I/719t4Dy+ZkL.jpg</t>
  </si>
  <si>
    <t>Scotts Turf Builder Thick'R Lawn Bermudagrass - Covers 1,200 sq. ft., Combination Seed, Fertilizer and Soil Improver, Fill and Repair Gaps in Thin Lawns and Enhance Root Development, 12 lb.</t>
  </si>
  <si>
    <t>https://www.amazon.com/dp/B07YM5J72D?psc=1</t>
  </si>
  <si>
    <t>12 lb.</t>
  </si>
  <si>
    <t>B0H2BWJ6GR</t>
  </si>
  <si>
    <t>https://m.media-amazon.com/images/I/811O4jGNWSL.jpg</t>
  </si>
  <si>
    <t>Scotts Turf Builder Thick'R Lawn Bermudagrass, 10 lbs.</t>
  </si>
  <si>
    <t>https://www.amazon.com/dp/B0H2BWJ6GR</t>
  </si>
  <si>
    <t>B009QAJ6VO</t>
  </si>
  <si>
    <t>https://m.media-amazon.com/images/I/61yHpu1tpJL.jpg</t>
  </si>
  <si>
    <t>Scotts Turf Builder Starter Food for New Grass Ready-Spray, 32 fl. oz.</t>
  </si>
  <si>
    <t>https://www.amazon.com/dp/B009QAJ6VO?psc=1</t>
  </si>
  <si>
    <t>32 OZ</t>
  </si>
  <si>
    <t>B0DSGHCRS8</t>
  </si>
  <si>
    <t>https://m.media-amazon.com/images/I/81Fe+GeYo0L.jpg</t>
  </si>
  <si>
    <t>O.M. Scott &amp; Sons Natural Grass Food, 12.72 lbs.</t>
  </si>
  <si>
    <t>https://www.amazon.com/dp/B0DSGHCRS8?psc=1</t>
  </si>
  <si>
    <t>B0191J9EZC</t>
  </si>
  <si>
    <t>https://m.media-amazon.com/images/I/61+Q7geXyYL.jpg</t>
  </si>
  <si>
    <t>Scotts EZ Seed Patch &amp; Repair Tall Fescue Lawns, 3.75 lbs.</t>
  </si>
  <si>
    <t>https://www.amazon.com/dp/B0191J9EZC?psc=1</t>
  </si>
  <si>
    <t>B07YM66RXF</t>
  </si>
  <si>
    <t>https://m.media-amazon.com/images/I/710EjaLFAuL.jpg</t>
  </si>
  <si>
    <t>Scotts Turf Builder Bonus S Southern Weed &amp; FeedF2, 34.48 lbs.</t>
  </si>
  <si>
    <t>https://www.amazon.com/dp/B07YM66RXF?psc=1</t>
  </si>
  <si>
    <t>B07YM5X6VL</t>
  </si>
  <si>
    <t>https://m.media-amazon.com/images/I/71M+cK61wAL.jpg</t>
  </si>
  <si>
    <t>Scotts Turf Builder Bonus S Southern Weed and FeedF2-5,000 sq. ft., Florida Fertilizer Kills Dollarweed and Clover, Fertilizes Grass to Crowd Out Future Weeds, Use on Southern Grasses, 17.34 lb.</t>
  </si>
  <si>
    <t>https://www.amazon.com/dp/B07YM5X6VL?psc=1</t>
  </si>
  <si>
    <t>B0DNRFWG7Q</t>
  </si>
  <si>
    <t>https://m.media-amazon.com/images/I/81cvIg2stFL.jpg</t>
  </si>
  <si>
    <t>Scotts Grass Seed Drought Tolerant Mix, 4 lbs.</t>
  </si>
  <si>
    <t>https://www.amazon.com/dp/B0DNRFWG7Q?psc=1</t>
  </si>
  <si>
    <t>4 lb.</t>
  </si>
  <si>
    <t>B0B72BDF86</t>
  </si>
  <si>
    <t>https://m.media-amazon.com/images/I/61fLxvlKUwL.jpg</t>
  </si>
  <si>
    <t>Scotts Turf Builder Grass Seed Bermudagrass, 4 lbs.</t>
  </si>
  <si>
    <t>https://www.amazon.com/dp/B0B72BDF86?psc=1</t>
  </si>
  <si>
    <t>B077Y8GVJN</t>
  </si>
  <si>
    <t>https://m.media-amazon.com/images/I/91bstsSDDCL.jpg</t>
  </si>
  <si>
    <t>Scotts Turf Builder Thick'R Lawn Tall Fescue Mix, 40 lbs.</t>
  </si>
  <si>
    <t>https://www.amazon.com/dp/B077Y8GVJN?psc=1</t>
  </si>
  <si>
    <t>B0BGMLFMMW</t>
  </si>
  <si>
    <t>Scotts Turf Builder WinterGuard Fall Weed &amp; Feed3, 34.3 lbs.</t>
  </si>
  <si>
    <t>https://www.amazon.com/dp/B0BGMLFMMW?psc=1</t>
  </si>
  <si>
    <t>33.84 lbs (12,000 sq. ft.)</t>
  </si>
  <si>
    <t>B08Z8GM3RW</t>
  </si>
  <si>
    <t>https://m.media-amazon.com/images/I/71m0byIJvPL.jpg</t>
  </si>
  <si>
    <t>Scotts DiseaseEx Lawn Fungicide, 10 lbs. (2-Pack)</t>
  </si>
  <si>
    <t>https://www.amazon.com/dp/B08Z8GM3RW?psc=1</t>
  </si>
  <si>
    <t>5,000 sq. ft. (2-Pack)</t>
  </si>
  <si>
    <t>B0D96VL94N</t>
  </si>
  <si>
    <t>Scotts Professional Turfgrass Seed Tall Fescue Mix, 50 lbs.</t>
  </si>
  <si>
    <t>https://www.amazon.com/dp/B0D96VL94N?psc=1</t>
  </si>
  <si>
    <t>B0FMV5C4WX</t>
  </si>
  <si>
    <t>https://m.media-amazon.com/images/I/81o74jUrnIL.jpg</t>
  </si>
  <si>
    <t>Scotts Turf Builder Rapid Grass Sun &amp; Shade Mix, 10 lbs.</t>
  </si>
  <si>
    <t>https://www.amazon.com/dp/B0FMV5C4WX?psc=1</t>
  </si>
  <si>
    <t>B0FWYF4C6D</t>
  </si>
  <si>
    <t>https://m.media-amazon.com/images/I/61BP2ZVY0vL.jpg</t>
  </si>
  <si>
    <t>Scotts Turf Builder Liquid Starter Lawn Food, 32 fl. oz.</t>
  </si>
  <si>
    <t>https://www.amazon.com/dp/B0FWYF4C6D?psc=1</t>
  </si>
  <si>
    <t>B0B9PS6J6T</t>
  </si>
  <si>
    <t>https://m.media-amazon.com/images/I/61ApUYm5gML.jpg</t>
  </si>
  <si>
    <t>Scotts Turf Builder Grass Seed Bermudagrass, 8 lbs.</t>
  </si>
  <si>
    <t>https://www.amazon.com/dp/B0B9PS6J6T?psc=1</t>
  </si>
  <si>
    <t>8 lb.</t>
  </si>
  <si>
    <t>B0DNRGGDD9</t>
  </si>
  <si>
    <t>https://m.media-amazon.com/images/I/8171Wp8fzLL.jpg</t>
  </si>
  <si>
    <t>Scotts Grass Seed Drought Tolerant Mix, 10 lbs.</t>
  </si>
  <si>
    <t>https://www.amazon.com/dp/B0DNRGGDD9?psc=1</t>
  </si>
  <si>
    <t>B00004RA3E</t>
  </si>
  <si>
    <t>https://m.media-amazon.com/images/I/71qmpG-9fjL.jpg</t>
  </si>
  <si>
    <t>Scotts 2000-20S 20-Inch 5-Blade Push Reel Lawn Mower, Green</t>
  </si>
  <si>
    <t>https://www.amazon.com/dp/B00004RA3E?psc=1</t>
  </si>
  <si>
    <t>20-Inch, 5-Blade</t>
  </si>
  <si>
    <t>B084MNP9Y3</t>
  </si>
  <si>
    <t>https://m.media-amazon.com/images/I/71P7E0ZXSKL.jpg</t>
  </si>
  <si>
    <t>Scotts 716-18S 18-Inch 7-Blade Push Reel Lawn Mower, Green</t>
  </si>
  <si>
    <t>https://www.amazon.com/dp/B084MNP9Y3?psc=1</t>
  </si>
  <si>
    <t>18-Inch, 7-Blade</t>
  </si>
  <si>
    <t>B077T7CRR9</t>
  </si>
  <si>
    <t>https://m.media-amazon.com/images/I/712pZsJ+lJL.jpg</t>
  </si>
  <si>
    <t>Scotts PatchMaster Lawn Repair Mix Tall Fescue Mix, 10 lbs.</t>
  </si>
  <si>
    <t>https://www.amazon.com/dp/B077T7CRR9?psc=1</t>
  </si>
  <si>
    <t>10 LB</t>
  </si>
  <si>
    <t>B005W1Q6YG</t>
  </si>
  <si>
    <t>https://m.media-amazon.com/images/I/71ejn5-0eKL.jpg</t>
  </si>
  <si>
    <t>Scotts Turf Builder with Moss Control, 5,000 sq. ft.</t>
  </si>
  <si>
    <t>https://www.amazon.com/dp/B005W1Q6YG?psc=1</t>
  </si>
  <si>
    <t>B0B6CY8FLH</t>
  </si>
  <si>
    <t>https://m.media-amazon.com/images/I/61KS4jlz5FL.jpg</t>
  </si>
  <si>
    <t>Scotts Turf Builder Grass Seed Sunny Mix, 2.4 lbs.</t>
  </si>
  <si>
    <t>https://www.amazon.com/dp/B0B6CY8FLH?psc=1</t>
  </si>
  <si>
    <t>B07J5HTH37</t>
  </si>
  <si>
    <t>https://m.media-amazon.com/images/I/71hOfnbHBhL.jpg</t>
  </si>
  <si>
    <t>Scotts PS45010S 10-Inch 8-Amp Corded Pole Saw with Adjustable Head</t>
  </si>
  <si>
    <t>https://www.amazon.com/dp/B07J5HTH37?psc=1</t>
  </si>
  <si>
    <t>10 Inch</t>
  </si>
  <si>
    <t>B0CJL2CCJX</t>
  </si>
  <si>
    <t>https://m.media-amazon.com/images/I/61HWfvCIRjL.jpg</t>
  </si>
  <si>
    <t>Scotts Turf Builder Healthy Plus Lawn Food, 13.70 lbs.</t>
  </si>
  <si>
    <t>https://www.amazon.com/dp/B0CJL2CCJX?psc=1</t>
  </si>
  <si>
    <t>4,000 sq ft.</t>
  </si>
  <si>
    <t>B0B72FGY27</t>
  </si>
  <si>
    <t>https://m.media-amazon.com/images/I/61NVISjoBJL.jpg</t>
  </si>
  <si>
    <t>Scotts Turf Builder Grass Seed Tall Fescue Mix, 32 lbs.</t>
  </si>
  <si>
    <t>https://www.amazon.com/dp/B0B72FGY27?psc=1</t>
  </si>
  <si>
    <t>32 lb.</t>
  </si>
  <si>
    <t>B0B9PWX1TN</t>
  </si>
  <si>
    <t>https://m.media-amazon.com/images/I/61GZxsr2PDL.jpg</t>
  </si>
  <si>
    <t>Scotts Turf Builder Grass Seed Tall Fescue Mix, 2.4 lbs.</t>
  </si>
  <si>
    <t>https://www.amazon.com/dp/B0B9PWX1TN?psc=1</t>
  </si>
  <si>
    <t>B0FSF7TD6R</t>
  </si>
  <si>
    <t>https://m.media-amazon.com/images/I/812AO2ywPlL.jpg</t>
  </si>
  <si>
    <t>O.M. Scott &amp; Sons Dichondra Seed, 1.5 lbs.</t>
  </si>
  <si>
    <t>https://www.amazon.com/dp/B0FSF7TD6R?psc=1</t>
  </si>
  <si>
    <t>B0168K92Z4</t>
  </si>
  <si>
    <t>https://m.media-amazon.com/images/I/71LyL25Mt2L.jpg</t>
  </si>
  <si>
    <t>Scotts EZ Seed Dog Spot Repair Tall Fescue Lawns, 2 lbs.</t>
  </si>
  <si>
    <t>https://www.amazon.com/dp/B0168K92Z4?psc=1</t>
  </si>
  <si>
    <t>B0D2PCPZ7S</t>
  </si>
  <si>
    <t>https://m.media-amazon.com/images/I/715Hk4nsqGL.jpg</t>
  </si>
  <si>
    <t>Scotts Turf Builder Grass Seed Fall Mix, 16 lbs.</t>
  </si>
  <si>
    <t>https://www.amazon.com/dp/B0D2PCPZ7S?psc=1</t>
  </si>
  <si>
    <t>B087QT2LFM</t>
  </si>
  <si>
    <t>https://m.media-amazon.com/images/I/81kNW+GWxIL.jpg</t>
  </si>
  <si>
    <t>Scotts Halts Crabgrass &amp; Grassy Weed Preventer, 10.06 lbs. (2-Pack)</t>
  </si>
  <si>
    <t>https://www.amazon.com/dp/B087QT2LFM?psc=1</t>
  </si>
  <si>
    <t>B0B3LM1WNG</t>
  </si>
  <si>
    <t>https://m.media-amazon.com/images/I/71DuWlzn-hL.jpg</t>
  </si>
  <si>
    <t>Scotts Turf Builder Triple Action Built For Seeding, (2-Pack)</t>
  </si>
  <si>
    <t>https://www.amazon.com/dp/B0B3LM1WNG?psc=1</t>
  </si>
  <si>
    <t>B00L0LJ3N8</t>
  </si>
  <si>
    <t>https://m.media-amazon.com/images/I/71yerPptJVL.jpg</t>
  </si>
  <si>
    <t>Scotts Turf Builder Southern Lawn Food, 28.12 lbs.</t>
  </si>
  <si>
    <t>https://www.amazon.com/dp/B00L0LJ3N8?psc=1</t>
  </si>
  <si>
    <t>B000UGU59K</t>
  </si>
  <si>
    <t>https://m.media-amazon.com/images/I/71qLT1YpEML.jpg</t>
  </si>
  <si>
    <t>Scotts Turf Builder Southern Lawn Food, 42.18 lbs.</t>
  </si>
  <si>
    <t>https://www.amazon.com/dp/B000UGU59K?psc=1</t>
  </si>
  <si>
    <t>B07YM52XZX</t>
  </si>
  <si>
    <t>https://m.media-amazon.com/images/I/71+KkQH6dAL.jpg</t>
  </si>
  <si>
    <t>Lawn Fertilizer by Scotts Miracle Gro</t>
  </si>
  <si>
    <t>https://www.amazon.com/dp/B07YM52XZX?psc=1</t>
  </si>
  <si>
    <t>B0168K931W</t>
  </si>
  <si>
    <t>https://m.media-amazon.com/images/I/71HIqt--lyL.jpg</t>
  </si>
  <si>
    <t>Scotts EZ Seed Patch &amp; Repair Bermudagrass, 3.75 lbs.</t>
  </si>
  <si>
    <t>https://www.amazon.com/dp/B0168K931W?psc=1</t>
  </si>
  <si>
    <t>B0FSF7RBG1</t>
  </si>
  <si>
    <t>https://m.media-amazon.com/images/I/81z22DyvRjL.jpg</t>
  </si>
  <si>
    <t>Scotts Turf Builder Rapid Grass Tall Fescue Mix, 2.4 lbs.</t>
  </si>
  <si>
    <t>https://www.amazon.com/dp/B0FSF7RBG1?psc=1</t>
  </si>
  <si>
    <t>B09HSXPN3J</t>
  </si>
  <si>
    <t>https://m.media-amazon.com/images/I/71b7RaMs8oL.jpg</t>
  </si>
  <si>
    <t>Scotts Turf Builder Rapid Grass Bermudagrass, 8 lbs.</t>
  </si>
  <si>
    <t>https://www.amazon.com/dp/B09HSXPN3J?psc=1</t>
  </si>
  <si>
    <t>B09JXZH5WM</t>
  </si>
  <si>
    <t>https://m.media-amazon.com/images/I/71mOU84AihL.jpg</t>
  </si>
  <si>
    <t>Scotts Turf Builder Rapid Grass Bermudagrass, 4 lbs.</t>
  </si>
  <si>
    <t>https://www.amazon.com/dp/B09JXZH5WM?psc=1</t>
  </si>
  <si>
    <t>B0026T3O6A</t>
  </si>
  <si>
    <t>https://m.media-amazon.com/images/I/71xlZXGCwoL.jpg</t>
  </si>
  <si>
    <t>Scotts 304-14S 14-Inch 5-Blade Push Reel Lawn Mower, Green</t>
  </si>
  <si>
    <t>https://www.amazon.com/dp/B0026T3O6A?psc=1</t>
  </si>
  <si>
    <t>14-Inch, 5-Blade</t>
  </si>
  <si>
    <t>B077T3X45R</t>
  </si>
  <si>
    <t>https://m.media-amazon.com/images/I/71RFZPVg6tL.jpg</t>
  </si>
  <si>
    <t>Scotts PatchMaster Lawn Repair Mix Tall Fescue Mix, 4.75 lbs.</t>
  </si>
  <si>
    <t>https://www.amazon.com/dp/B077T3X45R?psc=1</t>
  </si>
  <si>
    <t>4.75 LB</t>
  </si>
  <si>
    <t>B0B9Q23CWX</t>
  </si>
  <si>
    <t>https://m.media-amazon.com/images/I/61Wj6WRL0jL.jpg</t>
  </si>
  <si>
    <t>Scotts Turf Builder Grass Seed Perennial Ryegrass Mix, 5.6 lbs.</t>
  </si>
  <si>
    <t>https://www.amazon.com/dp/B0B9Q23CWX?psc=1</t>
  </si>
  <si>
    <t>B07YM4VXQC</t>
  </si>
  <si>
    <t>https://m.media-amazon.com/images/I/71ohtPsMRGL.jpg</t>
  </si>
  <si>
    <t>Scotts Turf Builder Thick'R Lawn Bermudagrass, 40 lbs.</t>
  </si>
  <si>
    <t>https://www.amazon.com/dp/B07YM4VXQC?psc=1</t>
  </si>
  <si>
    <t>B0758L58YY</t>
  </si>
  <si>
    <t>https://m.media-amazon.com/images/I/71kAIZCAf-L.jpg</t>
  </si>
  <si>
    <t>Scotts Turf Builder Southern Triple Action, 13.32 lbs.</t>
  </si>
  <si>
    <t>https://www.amazon.com/dp/B0758L58YY?psc=1</t>
  </si>
  <si>
    <t>4,000 sq. ft. (Single)</t>
  </si>
  <si>
    <t>B075G283GS</t>
  </si>
  <si>
    <t>https://m.media-amazon.com/images/I/71miTXazhoL.jpg</t>
  </si>
  <si>
    <t>Scotts Turf Builder Southern Triple Action, 26.64 lbs.</t>
  </si>
  <si>
    <t>https://www.amazon.com/dp/B075G283GS?psc=1</t>
  </si>
  <si>
    <t>8,000 sq. ft. (Single)</t>
  </si>
  <si>
    <t>B0BDJJY49Z</t>
  </si>
  <si>
    <t>https://m.media-amazon.com/images/I/61IkRuEjkDL.jpg</t>
  </si>
  <si>
    <t>Scotts Turf Builder Grass Seed Dense Shade Mix, 5.6 lbs.</t>
  </si>
  <si>
    <t>https://www.amazon.com/dp/B0BDJJY49Z?psc=1</t>
  </si>
  <si>
    <t>B0GFXY17XW</t>
  </si>
  <si>
    <t>https://m.media-amazon.com/images/I/81sRrJICewL.jpg</t>
  </si>
  <si>
    <t>Scotts Kentucky 31 Grass Seed Mix, 7 lbs.</t>
  </si>
  <si>
    <t>https://www.amazon.com/dp/B0GFXY17XW?psc=1</t>
  </si>
  <si>
    <t>7 lb</t>
  </si>
  <si>
    <t>B0GLJY3CWH</t>
  </si>
  <si>
    <t>https://m.media-amazon.com/images/I/81jldvizOOL.jpg</t>
  </si>
  <si>
    <t>Scotts Turf Builder Grass Seed Landscaper's Mix, 7 lbs.</t>
  </si>
  <si>
    <t>https://www.amazon.com/dp/B0GLJY3CWH?psc=1</t>
  </si>
  <si>
    <t>7 lb.</t>
  </si>
  <si>
    <t>B08KGYRHG1</t>
  </si>
  <si>
    <t>https://m.media-amazon.com/images/I/71Co9GIW1BL.jpg</t>
  </si>
  <si>
    <t>Fundamentals by Scotts Grass Seed Perennial Ryegrass Mix, 3 lbs.</t>
  </si>
  <si>
    <t>https://www.amazon.com/dp/B08KGYRHG1?psc=1</t>
  </si>
  <si>
    <t>1 Count (Pack of 1)</t>
  </si>
  <si>
    <t>B0B9Q6SRZK</t>
  </si>
  <si>
    <t>https://m.media-amazon.com/images/I/61H7srXMhtL.jpg</t>
  </si>
  <si>
    <t>Scotts Turf Builder Grass Seed Heat-Tolerant Blue Mix, 16 lbs.</t>
  </si>
  <si>
    <t>https://www.amazon.com/dp/B0B9Q6SRZK?psc=1</t>
  </si>
  <si>
    <t>B0B9PWMJFD</t>
  </si>
  <si>
    <t>https://m.media-amazon.com/images/I/61F+4vzL5SL.jpg</t>
  </si>
  <si>
    <t>Scotts Turf Builder Grass Seed Heat-Tolerant Blue Mix, 5.6 lbs.</t>
  </si>
  <si>
    <t>https://www.amazon.com/dp/B0B9PWMJFD?psc=1</t>
  </si>
  <si>
    <t>B01N0TGIMO</t>
  </si>
  <si>
    <t>https://m.media-amazon.com/images/I/71Pu6aO6LPL.jpg</t>
  </si>
  <si>
    <t>Scotts EZ Seed Patch and Repair Centipede Grass, 20 lb. - Combination Mulch, Seed, and Fertilizer - Tackifier Reduces Seed Wash-Away - Covers up to 445 sq. ft.</t>
  </si>
  <si>
    <t>https://www.amazon.com/dp/B01N0TGIMO?psc=1</t>
  </si>
  <si>
    <t>B071S2QGLN</t>
  </si>
  <si>
    <t>https://m.media-amazon.com/images/I/71xdr7xCooL.jpg</t>
  </si>
  <si>
    <t>Ortho Home Defense Termite &amp; Destructive Bug Killer Concentrate, 16 oz.</t>
  </si>
  <si>
    <t>https://www.amazon.com/dp/B071S2QGLN</t>
  </si>
  <si>
    <t>B00ARYORQC</t>
  </si>
  <si>
    <t>https://m.media-amazon.com/images/I/81YM88C7hEL.jpg</t>
  </si>
  <si>
    <t>Scotts Turf Builder Grass Seed Centipede Grass Seed &amp; Mulch, 5 lbs.</t>
  </si>
  <si>
    <t>https://www.amazon.com/dp/B00ARYORQC?psc=1</t>
  </si>
  <si>
    <t>2,000 sq. ft.</t>
  </si>
  <si>
    <t>B0FWY7JWHD</t>
  </si>
  <si>
    <t>https://m.media-amazon.com/images/I/71r9aNLS38L.jpg</t>
  </si>
  <si>
    <t>https://www.amazon.com/dp/B0FWY7JWHD?psc=1</t>
  </si>
  <si>
    <t>B0GN7TJ2X3</t>
  </si>
  <si>
    <t>https://m.media-amazon.com/images/I/71uNJ6X8j+L.jpg</t>
  </si>
  <si>
    <t>Scotts Turf Builder Lawn Food, 15.8 lbs.</t>
  </si>
  <si>
    <t>https://www.amazon.com/dp/B0GN7TJ2X3?psc=1</t>
  </si>
  <si>
    <t>B0FWYDW4ZW</t>
  </si>
  <si>
    <t>https://m.media-amazon.com/images/I/61kAv-RxXdL.jpg</t>
  </si>
  <si>
    <t>https://www.amazon.com/dp/B0FWYDW4ZW?psc=1</t>
  </si>
  <si>
    <t>B002RBB0HC</t>
  </si>
  <si>
    <t>https://m.media-amazon.com/images/I/71LEcyCt2QL.jpg</t>
  </si>
  <si>
    <t>Scotts Turf Builder Grass Seed Quality All-Purpose Mix, 20 lbs.</t>
  </si>
  <si>
    <t>https://www.amazon.com/dp/B002RBB0HC</t>
  </si>
  <si>
    <t>B08J1NSPCB</t>
  </si>
  <si>
    <t>https://m.media-amazon.com/images/I/71BeiCJxB3L.jpg</t>
  </si>
  <si>
    <t>Scotts Lithium-ion Powered Pump Zero Technology, Wheeled Cart Sprayer, 3 Gallon, White, 190617</t>
  </si>
  <si>
    <t>https://www.amazon.com/dp/B08J1NSPCB</t>
  </si>
  <si>
    <t>3-Gallon</t>
  </si>
  <si>
    <t>B09V8HSZNG</t>
  </si>
  <si>
    <t>https://m.media-amazon.com/images/I/71wGku41IiL.jpg</t>
  </si>
  <si>
    <t>Scotts EZ Seed Patch &amp; Repair Sun and Shade, 10 lbs. (2-Pack)</t>
  </si>
  <si>
    <t>https://www.amazon.com/dp/B09V8HSZNG?psc=1</t>
  </si>
  <si>
    <t>B08Q1XRCQY</t>
  </si>
  <si>
    <t>https://m.media-amazon.com/images/I/81duy6CrKAL.jpg</t>
  </si>
  <si>
    <t>Scotts Turf Builder Starter Food for New Grass, 15 lbs. (2-Pack)</t>
  </si>
  <si>
    <t>https://www.amazon.com/dp/B08Q1XRCQY?psc=1</t>
  </si>
  <si>
    <t>B0BXQRXCZH</t>
  </si>
  <si>
    <t>https://m.media-amazon.com/images/I/71SXJ19zbaL.jpg</t>
  </si>
  <si>
    <t>Scotts DiseaseEx Lawn Fungicide, 10 lbs. (3-Pack)</t>
  </si>
  <si>
    <t>https://www.amazon.com/dp/B0BXQRXCZH?psc=1</t>
  </si>
  <si>
    <t>10 lbs(Pack of 3)</t>
  </si>
  <si>
    <t>B0BBN199N4</t>
  </si>
  <si>
    <t>https://m.media-amazon.com/images/I/81tmrjh+QfL.jpg</t>
  </si>
  <si>
    <t>Scotts Turf Builder Weed &amp; Feed5, 11.32 lbs.</t>
  </si>
  <si>
    <t>https://www.amazon.com/dp/B0BBN199N4?psc=1</t>
  </si>
  <si>
    <t>B077SXJDJP</t>
  </si>
  <si>
    <t>https://m.media-amazon.com/images/I/71SOTd73k5L.jpg</t>
  </si>
  <si>
    <t>Scotts Turf Builder Thick'r Lawn Sun &amp; Shade, 12 lbs.</t>
  </si>
  <si>
    <t>https://www.amazon.com/dp/B077SXJDJP?psc=1</t>
  </si>
  <si>
    <t>B0CS8MBLGW</t>
  </si>
  <si>
    <t>https://m.media-amazon.com/images/I/81v0Z7c4FjL.jpg</t>
  </si>
  <si>
    <t>Miracle-Gro Perlite - Enriched with Plant Food, Improves Drainage and Aeration in Potting Soil Mixes, For Container Plants, 8 qt. (3-Pack)</t>
  </si>
  <si>
    <t>https://www.amazon.com/dp/B0CS8MBLGW?psc=1</t>
  </si>
  <si>
    <t>B07YM5YLP5</t>
  </si>
  <si>
    <t>https://m.media-amazon.com/images/I/71Uq-1ZoqaL.jpg</t>
  </si>
  <si>
    <t>Scotts Green Max Lawn FoodFL, 15.15 lbs.</t>
  </si>
  <si>
    <t>https://www.amazon.com/dp/B07YM5YLP5?psc=1</t>
  </si>
  <si>
    <t>B01BF98TPM</t>
  </si>
  <si>
    <t>https://m.media-amazon.com/images/I/71rxDZq2llL.jpg</t>
  </si>
  <si>
    <t>Scotts EZ Seed Patch &amp; Repair Tall Fescue Lawns, 40 lbs.</t>
  </si>
  <si>
    <t>https://www.amazon.com/dp/B01BF98TPM?psc=1</t>
  </si>
  <si>
    <t>B0BYH7F39D</t>
  </si>
  <si>
    <t>https://m.media-amazon.com/images/I/81dxRdFaWlL.jpg</t>
  </si>
  <si>
    <t>Scotts Halts Crabgrass &amp; Grassy Weed Preventer, 20.12 lbs. (2-Pack)</t>
  </si>
  <si>
    <t>https://www.amazon.com/dp/B0BYH7F39D?psc=1</t>
  </si>
  <si>
    <t>10,000 sq. ft. (2-Pack)</t>
  </si>
  <si>
    <t>B08KGYF4RX</t>
  </si>
  <si>
    <t>https://m.media-amazon.com/images/I/71M3jRhAUbL.jpg</t>
  </si>
  <si>
    <t>Scotts Turf Builder Rapid Grass Sun &amp; Shade Mix, 5.6 lbs.</t>
  </si>
  <si>
    <t>https://www.amazon.com/dp/B08KGYF4RX?psc=1</t>
  </si>
  <si>
    <t>B07YM6XT69</t>
  </si>
  <si>
    <t>https://m.media-amazon.com/images/I/71N+56Rr1TL.jpg</t>
  </si>
  <si>
    <t>Scotts Turf Builder Southern Lawn FoodFL, 28.13 lbs.</t>
  </si>
  <si>
    <t>https://www.amazon.com/dp/B07YM6XT69?psc=1</t>
  </si>
  <si>
    <t>B00HJBOPK4</t>
  </si>
  <si>
    <t>https://m.media-amazon.com/images/I/712uAKwmghL.jpg</t>
  </si>
  <si>
    <t>Scotts Turf Builder SummerGuard Lawn Food with Insect Control - Lawn Fertilizer and Insect Killer, 15,000 sq. ft., 40.05 lbs.</t>
  </si>
  <si>
    <t>https://www.amazon.com/dp/B00HJBOPK4?psc=1</t>
  </si>
  <si>
    <t>B0FSF2LK5Q</t>
  </si>
  <si>
    <t>https://m.media-amazon.com/images/I/81qpGojD25L.jpg</t>
  </si>
  <si>
    <t>Scotts Turf Builder Rapid Grass Bermudagrass, 1 lb.</t>
  </si>
  <si>
    <t>https://www.amazon.com/dp/B0FSF2LK5Q?psc=1</t>
  </si>
  <si>
    <t>B0B3LYVL3S</t>
  </si>
  <si>
    <t>https://m.media-amazon.com/images/I/71boeuxBMHL.jpg</t>
  </si>
  <si>
    <t>Scotts Turf Builder Triple Action1, 11.31 lb. (2-Pack)</t>
  </si>
  <si>
    <t>https://www.amazon.com/dp/B0B3LYVL3S?psc=1</t>
  </si>
  <si>
    <t>8,000 sq. ft.</t>
  </si>
  <si>
    <t>B0FWYGXSM7</t>
  </si>
  <si>
    <t>https://m.media-amazon.com/images/I/712On+8BHwL.jpg</t>
  </si>
  <si>
    <t>Scotts Turf Builder Triple Action1, 14.10 lbs.</t>
  </si>
  <si>
    <t>https://www.amazon.com/dp/B0FWYGXSM7?psc=1</t>
  </si>
  <si>
    <t>B0D49NJTS1</t>
  </si>
  <si>
    <t>https://m.media-amazon.com/images/I/81sQK0wkavL.jpg</t>
  </si>
  <si>
    <t>Scotts Liquid Turf Builder Lawn Food, 32 fl. oz. (2-Pack)</t>
  </si>
  <si>
    <t>https://www.amazon.com/dp/B0D49NJTS1?psc=1</t>
  </si>
  <si>
    <t>2-Pack</t>
  </si>
  <si>
    <t>B0DJCJNCBM</t>
  </si>
  <si>
    <t>https://m.media-amazon.com/images/I/81JQOQeh41L.jpg</t>
  </si>
  <si>
    <t>Scotts Turf Builder Triple Action for Moss Control, 20 lbs.</t>
  </si>
  <si>
    <t>https://www.amazon.com/dp/B0DJCJNCBM?psc=1</t>
  </si>
  <si>
    <t>4,000 sq. ft</t>
  </si>
  <si>
    <t>B0B9PSR96K</t>
  </si>
  <si>
    <t>https://m.media-amazon.com/images/I/61QeBnyThQL.jpg</t>
  </si>
  <si>
    <t>Scotts Turf Builder Grass Seed Southern Gold Mix, 2.4 lbs.</t>
  </si>
  <si>
    <t>https://www.amazon.com/dp/B0B9PSR96K?psc=1</t>
  </si>
  <si>
    <t>B0B9PNVDGZ</t>
  </si>
  <si>
    <t>https://m.media-amazon.com/images/I/616+vWFB5PL.jpg</t>
  </si>
  <si>
    <t>Scotts Turf Builder Grass Seed Southern Gold Mix, 16 lbs.</t>
  </si>
  <si>
    <t>https://www.amazon.com/dp/B0B9PNVDGZ?psc=1</t>
  </si>
  <si>
    <t>B0B9Q6T778</t>
  </si>
  <si>
    <t>https://m.media-amazon.com/images/I/61hj8svJN8L.jpg</t>
  </si>
  <si>
    <t>Scotts Turf Builder Grass Seed Perennial Ryegrass Mix, 2.4 lbs.</t>
  </si>
  <si>
    <t>https://www.amazon.com/dp/B0B9Q6T778?psc=1</t>
  </si>
  <si>
    <t>B0B9PS48W5</t>
  </si>
  <si>
    <t>https://m.media-amazon.com/images/I/61TMPrTSJmL.jpg</t>
  </si>
  <si>
    <t>Scotts Turf Builder Grass Seed Dense Shade Mix, 2.4 lbs.</t>
  </si>
  <si>
    <t>https://www.amazon.com/dp/B0B9PS48W5?psc=1</t>
  </si>
  <si>
    <t>B0B9Q58TYD</t>
  </si>
  <si>
    <t>https://m.media-amazon.com/images/I/61mJbnLrTeL.jpg</t>
  </si>
  <si>
    <t>Scotts Turf Builder Grass Seed Heat-Tolerant Blue Mix, 2.4 lbs.</t>
  </si>
  <si>
    <t>https://www.amazon.com/dp/B0B9Q58TYD?psc=1</t>
  </si>
  <si>
    <t>B01MQYMWGT</t>
  </si>
  <si>
    <t>https://m.media-amazon.com/images/I/719aDYPDsFL.jpg</t>
  </si>
  <si>
    <t>Scotts EZ Seed Patch &amp; Repair Centipede Grass, 3.75 lbs.</t>
  </si>
  <si>
    <t>https://www.amazon.com/dp/B01MQYMWGT?psc=1</t>
  </si>
  <si>
    <t>3.75 Lb.</t>
  </si>
  <si>
    <t>B01NBN8LIY</t>
  </si>
  <si>
    <t>https://m.media-amazon.com/images/I/71DOQyAt5gL.jpg</t>
  </si>
  <si>
    <t>Scotts EZ Seed Patch &amp; Repair Centipede Grass, 10 lbs.</t>
  </si>
  <si>
    <t>https://www.amazon.com/dp/B01NBN8LIY?psc=1</t>
  </si>
  <si>
    <t>B0GLKLZHM9</t>
  </si>
  <si>
    <t>https://m.media-amazon.com/images/I/81g0TtMJe6L.jpg</t>
  </si>
  <si>
    <t>Scotts Turf Builder Grass Seed Landscaper's Mix for Tall Fescue Lawns, 7lb.</t>
  </si>
  <si>
    <t>https://www.amazon.com/dp/B0GLKLZHM9?psc=1</t>
  </si>
  <si>
    <t>B0FWYBFT3V</t>
  </si>
  <si>
    <t>https://m.media-amazon.com/images/I/61s8MgJ0olL.jpg</t>
  </si>
  <si>
    <t>Scotts Turf Builder Liquid Lawn Food Plus Weed Control Refill, 32 fl. oz.</t>
  </si>
  <si>
    <t>https://www.amazon.com/dp/B0FWYBFT3V?psc=1</t>
  </si>
  <si>
    <t>B00DU82CEG</t>
  </si>
  <si>
    <t>https://m.media-amazon.com/images/I/81mA5A-k2AL.jpg</t>
  </si>
  <si>
    <t>Scotts Moss Control Granules for Lawns, 18.37 lbs.</t>
  </si>
  <si>
    <t>https://www.amazon.com/dp/B00DU82CEG</t>
  </si>
  <si>
    <t>B07F9F7QWN</t>
  </si>
  <si>
    <t>https://m.media-amazon.com/images/I/91oNSgM4PFL.jpg</t>
  </si>
  <si>
    <t>Scotts Outdoor Power Tools LSW70026S 26-Inch Push Lawn Sweeper, Black/Green</t>
  </si>
  <si>
    <t>https://www.amazon.com/dp/B07F9F7QWN?psc=1</t>
  </si>
  <si>
    <t>B0B9PQLSH8</t>
  </si>
  <si>
    <t>https://m.media-amazon.com/images/I/61LfnYfbOyL.jpg</t>
  </si>
  <si>
    <t>Scotts Turf Builder Grass Seed Southern Gold Mix, 32 lbs.</t>
  </si>
  <si>
    <t>https://www.amazon.com/dp/B0B9PQLSH8?psc=1</t>
  </si>
  <si>
    <t>B0B72CRFRR</t>
  </si>
  <si>
    <t>https://m.media-amazon.com/images/I/61Unz9-XpdL.jpg</t>
  </si>
  <si>
    <t>Scotts Turf Builder Grass Seed High Traffic Mix, 5.6 lbs.</t>
  </si>
  <si>
    <t>https://www.amazon.com/dp/B0B72CRFRR?psc=1</t>
  </si>
  <si>
    <t>B07J5HK5X2</t>
  </si>
  <si>
    <t>https://m.media-amazon.com/images/I/71VsGR0SKAL.jpg</t>
  </si>
  <si>
    <t>Scotts LSS10272PS 7.5-Volt Grass Shear/Shrub Trimmer, Wheeled Handle</t>
  </si>
  <si>
    <t>https://www.amazon.com/dp/B07J5HK5X2?psc=1</t>
  </si>
  <si>
    <t>7.2 Volt Shrub Shear Combo W/Pole</t>
  </si>
  <si>
    <t>B07NLR222X</t>
  </si>
  <si>
    <t>https://m.media-amazon.com/images/I/815u67a5KPL.jpg</t>
  </si>
  <si>
    <t>Scotts Wizz Battery Powered Fertilizer, Seed, and Ice Spreader</t>
  </si>
  <si>
    <t>https://www.amazon.com/dp/B07NLR222X</t>
  </si>
  <si>
    <t>B00J43J9OW</t>
  </si>
  <si>
    <t>https://m.media-amazon.com/images/I/61mnQT1vrXL.jpg</t>
  </si>
  <si>
    <t>Lawn Pro Step 4 Lawn Fertlizer 32-0-12 5000 Sq. Ft. Granules Y</t>
  </si>
  <si>
    <t>https://www.amazon.com/dp/B00J43J9OW?psc=1</t>
  </si>
  <si>
    <t>12.5 lbs"</t>
  </si>
  <si>
    <t>B07J5HJZRM</t>
  </si>
  <si>
    <t>https://m.media-amazon.com/images/I/719giaB7pbL.jpg</t>
  </si>
  <si>
    <t>Scotts PR17215S 7.2-Volt Cordless Rechargeable Power Pruner, Green</t>
  </si>
  <si>
    <t>https://www.amazon.com/dp/B07J5HJZRM?psc=1</t>
  </si>
  <si>
    <t>7.2-Volt Pruner without Pole</t>
  </si>
  <si>
    <t>B0HDLZJPVM</t>
  </si>
  <si>
    <t>https://m.media-amazon.com/images/I/81Yo1sJNRQL.jpg</t>
  </si>
  <si>
    <t>Scotts Green Max Lawn Food, 46.67 lbs.</t>
  </si>
  <si>
    <t>https://www.amazon.com/dp/B0HDLZJPVM</t>
  </si>
  <si>
    <t>46.67 lbs</t>
  </si>
  <si>
    <t>B0GZYNN2WL</t>
  </si>
  <si>
    <t>https://m.media-amazon.com/images/I/81fii2PuEwL.jpg</t>
  </si>
  <si>
    <t>Scotts Liquid Green Max Lawn Food, 32 fl. oz. (2-Pack)</t>
  </si>
  <si>
    <t>https://www.amazon.com/dp/B0GZYNN2WL</t>
  </si>
  <si>
    <t>32 fl. oz.</t>
  </si>
  <si>
    <t>B0DQRB8RVB</t>
  </si>
  <si>
    <t>https://m.media-amazon.com/images/I/71PjQKhFvKL.jpg</t>
  </si>
  <si>
    <t>Scotts 2 Gallon Lithium-Ion Power Wand Backpack Sprayer for Sprayer for Watering, Fertilizing and Controlling Weeds in Lawn, Garden, Yard</t>
  </si>
  <si>
    <t>https://www.amazon.com/dp/B0DQRB8RVB</t>
  </si>
  <si>
    <t>B00OHRYOZO</t>
  </si>
  <si>
    <t>https://m.media-amazon.com/images/I/71aMgtlvXlL.jpg</t>
  </si>
  <si>
    <t>Scotts Outdoor Cleaner Multi-Purpose Formula, Concentrate, 1 gal.</t>
  </si>
  <si>
    <t>https://www.amazon.com/dp/B00OHRYOZO?psc=1</t>
  </si>
  <si>
    <t>1 gal.</t>
  </si>
  <si>
    <t>B0077AQ6FY</t>
  </si>
  <si>
    <t>https://m.media-amazon.com/images/I/71sjsOKPwxL.jpg</t>
  </si>
  <si>
    <t>Scotts Company Miracle-Gro 1750011 Water Soluble Miracid Acid-Loving Plant Food, 1-Pound</t>
  </si>
  <si>
    <t>https://www.amazon.com/dp/B0077AQ6FY</t>
  </si>
  <si>
    <t>1 Pack [NEW VERSION]</t>
  </si>
  <si>
    <t>B00AUN6ZTW</t>
  </si>
  <si>
    <t>https://m.media-amazon.com/images/I/81tEmMcuAaL.jpg</t>
  </si>
  <si>
    <t>Scotts Turf Builder Grass Seed Quick Fix Mix, 3 lbs.</t>
  </si>
  <si>
    <t>https://www.amazon.com/dp/B00AUN6ZTW?psc=1</t>
  </si>
  <si>
    <t>3 lb.</t>
  </si>
  <si>
    <t>B0049PNEDW</t>
  </si>
  <si>
    <t>https://m.media-amazon.com/images/I/71a-p-1hFqL.jpg</t>
  </si>
  <si>
    <t>Scotts TouchUp Weed Control for Lawn (Dandelion, Clover, &amp; Crabgrass Killer) (Not Sold in HI), 24 fl oz</t>
  </si>
  <si>
    <t>https://www.amazon.com/dp/B0049PNEDW</t>
  </si>
  <si>
    <t>B0CQ8RSTC9</t>
  </si>
  <si>
    <t>Victor</t>
  </si>
  <si>
    <t>https://m.media-amazon.com/images/I/81mZvMUlvoL.jpg</t>
  </si>
  <si>
    <t>Victor Metal Pedal Mouse Traps, 12-Pack, Reusable Wooden Snap Traps</t>
  </si>
  <si>
    <t>https://www.amazon.com/dp/B0CQ8RSTC9?psc=1</t>
  </si>
  <si>
    <t>12 Metal Pedal Traps</t>
  </si>
  <si>
    <t>B0CQ8SQCP3</t>
  </si>
  <si>
    <t>https://m.media-amazon.com/images/I/81y8-pebBHL.jpg</t>
  </si>
  <si>
    <t>Victor Wide Pedal Mouse Traps, 12-Pack, Plastic Pedal Snap Traps</t>
  </si>
  <si>
    <t>https://www.amazon.com/dp/B0CQ8SQCP3?psc=1</t>
  </si>
  <si>
    <t>12 Plastic Pedal Traps</t>
  </si>
  <si>
    <t>B083WPSXPZ</t>
  </si>
  <si>
    <t>https://m.media-amazon.com/images/I/81wLUYTDYNL.jpg</t>
  </si>
  <si>
    <t>Victor Rodent Killer, 4 lb Fish-Flavored Bait Balls, Mouse Poisoning Bait</t>
  </si>
  <si>
    <t>https://www.amazon.com/dp/B083WPSXPZ</t>
  </si>
  <si>
    <t>4 lb</t>
  </si>
  <si>
    <t>B0CQ8S545V</t>
  </si>
  <si>
    <t>https://m.media-amazon.com/images/I/71Gsgz-8+OL.jpg</t>
  </si>
  <si>
    <t>Victor Electronic Mouse Trap, 2-Pack, Indoor Electric Mouse Traps for Home</t>
  </si>
  <si>
    <t>https://www.amazon.com/dp/B0CQ8S545V?psc=1</t>
  </si>
  <si>
    <t>2 Traps</t>
  </si>
  <si>
    <t>B09LDZKCN7</t>
  </si>
  <si>
    <t>https://m.media-amazon.com/images/I/71oGSglrRFL.jpg</t>
  </si>
  <si>
    <t>Victor Power-Kill Mouse Traps, 6-Pack Humane Snap Traps</t>
  </si>
  <si>
    <t>https://www.amazon.com/dp/B09LDZKCN7</t>
  </si>
  <si>
    <t>6 Traps</t>
  </si>
  <si>
    <t>B07QCK7BPT</t>
  </si>
  <si>
    <t>https://m.media-amazon.com/images/I/71d8SVDlrxL.jpg</t>
  </si>
  <si>
    <t>Victor Snake-A-Way Outdoor Snake Repellent Granules for Yard, 10 lb Bag</t>
  </si>
  <si>
    <t>https://www.amazon.com/dp/B07QCK7BPT?psc=1</t>
  </si>
  <si>
    <t>10 Pound Bag</t>
  </si>
  <si>
    <t>B0CH3V9XYL</t>
  </si>
  <si>
    <t>https://m.media-amazon.com/images/I/81IROmiNk8L.jpg</t>
  </si>
  <si>
    <t>Victor Wide Pedal Snap Rat Traps, 9-Pack, FSC Certified Wood</t>
  </si>
  <si>
    <t>https://www.amazon.com/dp/B0CH3V9XYL?psc=1</t>
  </si>
  <si>
    <t>9 Traps</t>
  </si>
  <si>
    <t>B07WLSX6LZ</t>
  </si>
  <si>
    <t>https://m.media-amazon.com/images/I/81SBePTjgyL.jpg</t>
  </si>
  <si>
    <t>Victor Outdoor Mole &amp; Gopher Poison Peanuts 4-Pack</t>
  </si>
  <si>
    <t>https://www.amazon.com/dp/B07WLSX6LZ?psc=1</t>
  </si>
  <si>
    <t>4 Pack</t>
  </si>
  <si>
    <t>B09R9DBWH6</t>
  </si>
  <si>
    <t>https://m.media-amazon.com/images/I/81u9SDUGD2L.jpg</t>
  </si>
  <si>
    <t>Victor Metal Pedal Sustainably Sourced FSC Wood Snap Mouse Trap - 20 Wooden Traps - M156-20 - Snap Traps for Mice - Reusable or Disposable Mouse Trap</t>
  </si>
  <si>
    <t>https://www.amazon.com/dp/B09R9DBWH6?psc=1</t>
  </si>
  <si>
    <t>20 Traps</t>
  </si>
  <si>
    <t>B0CQ8QTXS9</t>
  </si>
  <si>
    <t>https://m.media-amazon.com/images/I/71bsrR8wmzL.jpg</t>
  </si>
  <si>
    <t>Victor Electronic Mouse Trap, Humane Indoor Electric Mouse Traps for Home</t>
  </si>
  <si>
    <t>https://www.amazon.com/dp/B0CQ8QTXS9?psc=1</t>
  </si>
  <si>
    <t>1 Trap - New</t>
  </si>
  <si>
    <t>B09LDHP97G</t>
  </si>
  <si>
    <t>https://m.media-amazon.com/images/I/71gT471F4JL.jpg</t>
  </si>
  <si>
    <t>Victor Quick-Kill Mouse Traps, 6-Pack</t>
  </si>
  <si>
    <t>https://www.amazon.com/dp/B09LDHP97G?psc=1</t>
  </si>
  <si>
    <t>B0GTBL5T1G</t>
  </si>
  <si>
    <t>https://m.media-amazon.com/images/I/81A6iCfvMjL.jpg</t>
  </si>
  <si>
    <t>Victor Fast-Kill Bait Blocks II, 86-Count Rat and Mouse Poison Bait Blocks</t>
  </si>
  <si>
    <t>https://www.amazon.com/dp/B0GTBL5T1G</t>
  </si>
  <si>
    <t>B07N1GMVWL</t>
  </si>
  <si>
    <t>https://m.media-amazon.com/images/I/71ZGV1kO2UL.jpg</t>
  </si>
  <si>
    <t>Victor Snake-A-Way Outdoor Snake Repellent Granules for Yard, 4 lb Bag</t>
  </si>
  <si>
    <t>https://www.amazon.com/dp/B07N1GMVWL?psc=1</t>
  </si>
  <si>
    <t>4 Pound Bag</t>
  </si>
  <si>
    <t>B00CAO1RH4</t>
  </si>
  <si>
    <t>https://m.media-amazon.com/images/I/81TwCOTQQcL.jpg</t>
  </si>
  <si>
    <t>Victor Wide Pedal Snap Rat Traps, 12-Pack, FSC Certified Wood</t>
  </si>
  <si>
    <t>https://www.amazon.com/dp/B00CAO1RH4?psc=1</t>
  </si>
  <si>
    <t>12 Traps</t>
  </si>
  <si>
    <t>B0CCWRKQ56</t>
  </si>
  <si>
    <t>https://m.media-amazon.com/images/I/81AZ0hsIpaL.jpg</t>
  </si>
  <si>
    <t>Victor Power Kill Rat Trap, 2-Pack of Easy Set Reusable Rat Traps</t>
  </si>
  <si>
    <t>https://www.amazon.com/dp/B0CCWRKQ56?psc=1</t>
  </si>
  <si>
    <t>B0CQ8RTXRT</t>
  </si>
  <si>
    <t>https://m.media-amazon.com/images/I/71CIAhftZSL.jpg</t>
  </si>
  <si>
    <t>Victor Electronic Rat Trap 1-Pack, Indoor Humane Electric Rodent Killer</t>
  </si>
  <si>
    <t>https://www.amazon.com/dp/B0CQ8RTXRT</t>
  </si>
  <si>
    <t>1 Trap</t>
  </si>
  <si>
    <t>B0DH58VZ26</t>
  </si>
  <si>
    <t>https://m.media-amazon.com/images/I/81gUcJMlFLL.jpg</t>
  </si>
  <si>
    <t>Victor Scent-Away Mouse Repellent Pouches 10-Pack, Natural Rodent Deterrent</t>
  </si>
  <si>
    <t>https://www.amazon.com/dp/B0DH58VZ26?psc=1</t>
  </si>
  <si>
    <t>1 Ounce (Pack of 10)</t>
  </si>
  <si>
    <t>B07KMXG47F</t>
  </si>
  <si>
    <t>https://m.media-amazon.com/images/I/71UBRjZW5PL.jpg</t>
  </si>
  <si>
    <t>Victor Poison Moleworms, 10-Pack</t>
  </si>
  <si>
    <t>https://www.amazon.com/dp/B07KMXG47F</t>
  </si>
  <si>
    <t>No Size</t>
  </si>
  <si>
    <t>B00Q71KSG2</t>
  </si>
  <si>
    <t>https://m.media-amazon.com/images/I/81JksFjMQRL.jpg</t>
  </si>
  <si>
    <t>Victor M309 Professional Glue Boards for Insect and Rodent monitoring - 72 Glue Boards</t>
  </si>
  <si>
    <t>https://www.amazon.com/dp/B00Q71KSG2?psc=1</t>
  </si>
  <si>
    <t>B0BCMSRSNC</t>
  </si>
  <si>
    <t>https://m.media-amazon.com/images/I/71kiyieu-QL.jpg</t>
  </si>
  <si>
    <t>Victor Refillable Rodent Bait Station - XL Rodenticide Bait Station - Also Holds Rat Traps - Indoor and Outdoor Use - M901RB - Poison and Kill Rats</t>
  </si>
  <si>
    <t>https://www.amazon.com/dp/B0BCMSRSNC</t>
  </si>
  <si>
    <t>B07KMWZQYS</t>
  </si>
  <si>
    <t>https://m.media-amazon.com/images/I/81ok3puQgOL.jpg</t>
  </si>
  <si>
    <t>Victor Easy-to-Set DeadSet Mole Trap</t>
  </si>
  <si>
    <t>https://www.amazon.com/dp/B07KMWZQYS?psc=1</t>
  </si>
  <si>
    <t>B07VC9KSJ7</t>
  </si>
  <si>
    <t>https://m.media-amazon.com/images/I/71dg3DDCH1L.jpg</t>
  </si>
  <si>
    <t>Victor PestChaser Rodent Repellent with Nightlight, 6-Pack</t>
  </si>
  <si>
    <t>https://www.amazon.com/dp/B07VC9KSJ7?psc=1</t>
  </si>
  <si>
    <t>B000VYD0MA</t>
  </si>
  <si>
    <t>https://m.media-amazon.com/images/I/81WGwltVLIL.jpg</t>
  </si>
  <si>
    <t>Victor Easy Set Gopher Trap, 2-Pack, Weather-Resistant Rodent Traps</t>
  </si>
  <si>
    <t>https://www.amazon.com/dp/B000VYD0MA?psc=1</t>
  </si>
  <si>
    <t>B002665ZTC</t>
  </si>
  <si>
    <t>https://m.media-amazon.com/images/I/71BvXo0FOdL.jpg</t>
  </si>
  <si>
    <t>Victor Rat Zapper Classic Indoor Electronic Mouse and Rat Trap - 1 Electric Trap - RZC001-4 - Kill Up To 20 Rats - Easy to Use - LED Light Catch Alerts - Humanely Kill Mice and Rats - No See, No Touch</t>
  </si>
  <si>
    <t>https://www.amazon.com/dp/B002665ZTC?psc=1</t>
  </si>
  <si>
    <t>B07QSC43X9</t>
  </si>
  <si>
    <t>https://m.media-amazon.com/images/I/71ekcueLzBL.jpg</t>
  </si>
  <si>
    <t>Victor Mole and Gopher Repellent, 10 lb Bag, Castor Oil Granules</t>
  </si>
  <si>
    <t>https://www.amazon.com/dp/B07QSC43X9?psc=1</t>
  </si>
  <si>
    <t>160 Ounce (Pack of 1)</t>
  </si>
  <si>
    <t>B07Q7DN41N</t>
  </si>
  <si>
    <t>https://m.media-amazon.com/images/I/91H9NBbkppL.jpg</t>
  </si>
  <si>
    <t>Victor Tin Cat Multi-Catch Live Mouse Traps, 2-Pack</t>
  </si>
  <si>
    <t>https://www.amazon.com/dp/B07Q7DN41N</t>
  </si>
  <si>
    <t>B07KMX9PKY</t>
  </si>
  <si>
    <t>https://m.media-amazon.com/images/I/71Ox7qPnIpL.jpg</t>
  </si>
  <si>
    <t>Victor Mole and Gopher Sonic Spike, 2-Pack</t>
  </si>
  <si>
    <t>https://www.amazon.com/dp/B07KMX9PKY?psc=1</t>
  </si>
  <si>
    <t>2 spike</t>
  </si>
  <si>
    <t>B0CQ8SGK6W</t>
  </si>
  <si>
    <t>https://m.media-amazon.com/images/I/718OP8wbrzL.jpg</t>
  </si>
  <si>
    <t>Victor Electronic Mouse Trap, 3-Pack, Indoor Electric Mouse Traps for Home</t>
  </si>
  <si>
    <t>https://www.amazon.com/dp/B0CQ8SGK6W?psc=1</t>
  </si>
  <si>
    <t>3 Traps</t>
  </si>
  <si>
    <t>B0FV5761ML</t>
  </si>
  <si>
    <t>https://m.media-amazon.com/images/I/71JY+PtkCHL.jpg</t>
  </si>
  <si>
    <t>Victor Out O'Sight Mole Trap - Mole Control Device for Lawns, Gardens, and Yards - 0631A - Durable Steel Trap for Outdoor Pest Removal</t>
  </si>
  <si>
    <t>https://www.amazon.com/dp/B0FV5761ML</t>
  </si>
  <si>
    <t>B07QR77XDK</t>
  </si>
  <si>
    <t>https://m.media-amazon.com/images/I/71ncGFqEPzL.jpg</t>
  </si>
  <si>
    <t>Victor Snake-A-Way Outdoor Snake Repelling Granules for Yard, 28 lb Bucket</t>
  </si>
  <si>
    <t>https://www.amazon.com/dp/B07QR77XDK?psc=1</t>
  </si>
  <si>
    <t>28 Pound Bucket</t>
  </si>
  <si>
    <t>B07CML1TM4</t>
  </si>
  <si>
    <t>https://m.media-amazon.com/images/I/71jB0bhnfjL.jpg</t>
  </si>
  <si>
    <t>Victor Rat-A-Way Rat &amp; Mouse Repellent - Repel Rodents Outdoors with Essential Oils - Biodegradable Pellets - Natural, Non-Toxic &amp; Poison-Free Rodent Repeller for Rats and Mice - M807 - 3 lb Bag</t>
  </si>
  <si>
    <t>https://www.amazon.com/dp/B07CML1TM4?psc=1</t>
  </si>
  <si>
    <t>B07N1F385G</t>
  </si>
  <si>
    <t>https://m.media-amazon.com/images/I/71kVfpJC+gL.jpg</t>
  </si>
  <si>
    <t>Victor Mole and Gopher Repellent Spray, 32 fl oz Bottle</t>
  </si>
  <si>
    <t>https://www.amazon.com/dp/B07N1F385G</t>
  </si>
  <si>
    <t>6 Count (Pack of 1)</t>
  </si>
  <si>
    <t>B07N1GGPRP</t>
  </si>
  <si>
    <t>https://m.media-amazon.com/images/I/71JGXk5+XQL.jpg</t>
  </si>
  <si>
    <t>Victor VP363 Way Snake Repelling Granules – 1.75 LB,White</t>
  </si>
  <si>
    <t>https://www.amazon.com/dp/B07N1GGPRP?psc=1</t>
  </si>
  <si>
    <t>28 Ounce (Pack of 1)</t>
  </si>
  <si>
    <t>B0CM51TLC5</t>
  </si>
  <si>
    <t>https://m.media-amazon.com/images/I/71gIsoMzZVL.jpg</t>
  </si>
  <si>
    <t>Victor M144B Instant Power-Kill Easy Set Reusable Rat Trap - 6 Traps</t>
  </si>
  <si>
    <t>https://www.amazon.com/dp/B0CM51TLC5?psc=1</t>
  </si>
  <si>
    <t>B00SDTPS3E</t>
  </si>
  <si>
    <t>https://m.media-amazon.com/images/I/41aHLi3CQWL.jpg</t>
  </si>
  <si>
    <t>Victor m154 metal pedal mouse trap (8)</t>
  </si>
  <si>
    <t>https://www.amazon.com/dp/B00SDTPS3E?psc=1</t>
  </si>
  <si>
    <t>8 Traps</t>
  </si>
  <si>
    <t>B078216C9T</t>
  </si>
  <si>
    <t>https://m.media-amazon.com/images/I/91Wa8VYl+3L.jpg</t>
  </si>
  <si>
    <t>Victor EZ Set Wooden Snap Trap - 12 Pack</t>
  </si>
  <si>
    <t>https://www.amazon.com/dp/B078216C9T?psc=1</t>
  </si>
  <si>
    <t>B01C3B82P8</t>
  </si>
  <si>
    <t>https://m.media-amazon.com/images/I/61O6cTPCyUL.jpg</t>
  </si>
  <si>
    <t>Victor Easy Set Mouse Trap (4 Pack)</t>
  </si>
  <si>
    <t>https://www.amazon.com/dp/B01C3B82P8</t>
  </si>
  <si>
    <t>B001B1OI0A</t>
  </si>
  <si>
    <t>https://m.media-amazon.com/images/I/71zxCqqMF-L.jpg</t>
  </si>
  <si>
    <t>Victor PestChaser Pro Heavy-Duty Ultrasonic Rodent Repeller</t>
  </si>
  <si>
    <t>https://www.amazon.com/dp/B001B1OI0A?psc=1</t>
  </si>
  <si>
    <t>B07RJTFX87</t>
  </si>
  <si>
    <t>https://m.media-amazon.com/images/I/71cflC9AvDL.jpg</t>
  </si>
  <si>
    <t>Victor Fast-Kill Brand Refillable Mouse Poison Bait Station - 20 Baits - Dual Entry Design - M923</t>
  </si>
  <si>
    <t>https://www.amazon.com/dp/B07RJTFX87?psc=1</t>
  </si>
  <si>
    <t>B01MSJJKKA</t>
  </si>
  <si>
    <t>https://m.media-amazon.com/images/I/81xoRRNjCFL.jpg</t>
  </si>
  <si>
    <t>Victor M156 Metal Pedal Sustainably Sourced FSC Wood Snap Mouse Trap - 64 Traps</t>
  </si>
  <si>
    <t>https://www.amazon.com/dp/B01MSJJKKA?psc=1</t>
  </si>
  <si>
    <t>64 Traps</t>
  </si>
  <si>
    <t>B0049GSQUM</t>
  </si>
  <si>
    <t>https://m.media-amazon.com/images/I/31CtR7yJjJL.jpg</t>
  </si>
  <si>
    <t>Victor Roach &amp; Insect Traps &amp; Monitor - 30 Units (60 Traps)</t>
  </si>
  <si>
    <t>https://www.amazon.com/dp/B0049GSQUM</t>
  </si>
  <si>
    <t>B01BDST9BS</t>
  </si>
  <si>
    <t>https://m.media-amazon.com/images/I/51gbhJHLgsL.jpg</t>
  </si>
  <si>
    <t>Victor M205 Easy Set Rat Trap (Pack of 2)</t>
  </si>
  <si>
    <t>https://www.amazon.com/dp/B01BDST9BS</t>
  </si>
  <si>
    <t>B07KMXBM74</t>
  </si>
  <si>
    <t>https://m.media-amazon.com/images/I/61LDbvUMisL.jpg</t>
  </si>
  <si>
    <t>Victor M6006 Outdoor Mole &amp; Gopher Poison Peanuts - Mole and Gopher Bait Killer</t>
  </si>
  <si>
    <t>https://www.amazon.com/dp/B07KMXBM74?psc=1</t>
  </si>
  <si>
    <t>B0CCWPCCSM</t>
  </si>
  <si>
    <t>https://m.media-amazon.com/images/I/71gAiOJeBYL.jpg</t>
  </si>
  <si>
    <t>Victor M144B Power-Kill Rat Trap - Snap Traps for Rats - Rat Traps Indoor, Outdoor - Rat Traps for House</t>
  </si>
  <si>
    <t>https://www.amazon.com/dp/B0CCWPCCSM?psc=1</t>
  </si>
  <si>
    <t>1 Trap (New Packaging)</t>
  </si>
  <si>
    <t>B0CQ8S3BJT</t>
  </si>
  <si>
    <t>https://m.media-amazon.com/images/I/71n9hVFbjNL.jpg</t>
  </si>
  <si>
    <t>Victor Electronic Rat Trap, 2-Pack</t>
  </si>
  <si>
    <t>https://www.amazon.com/dp/B0CQ8S3BJT</t>
  </si>
  <si>
    <t>B010RJ7VPA</t>
  </si>
  <si>
    <t>https://m.media-amazon.com/images/I/91Ofgu-ruFL.jpg</t>
  </si>
  <si>
    <t>Rat Zapper Classic Indoor Electronic Rat Trap, 4 Pack</t>
  </si>
  <si>
    <t>https://www.amazon.com/dp/B010RJ7VPA?psc=1</t>
  </si>
  <si>
    <t>4 pack</t>
  </si>
  <si>
    <t>B00004RAN4</t>
  </si>
  <si>
    <t>https://m.media-amazon.com/images/I/71ep6GzpBsL.jpg</t>
  </si>
  <si>
    <t>VICTOR Easy Set Mouse Trap - 2Pk</t>
  </si>
  <si>
    <t>https://www.amazon.com/dp/B00004RAN4?psc=1</t>
  </si>
  <si>
    <t>2 Count (Pack of 1)</t>
  </si>
  <si>
    <t>B07H57FS1H</t>
  </si>
  <si>
    <t>https://m.media-amazon.com/images/I/81FhcWNpzQL.jpg</t>
  </si>
  <si>
    <t>Victor M158-4 Metal Pedal Mouse Trap, 32 Traps</t>
  </si>
  <si>
    <t>https://www.amazon.com/dp/B07H57FS1H?psc=1</t>
  </si>
  <si>
    <t>32 Traps</t>
  </si>
  <si>
    <t>B0CQ8S7QH8</t>
  </si>
  <si>
    <t>https://m.media-amazon.com/images/I/713HAA3wPRL.jpg</t>
  </si>
  <si>
    <t>Victor Catch &amp; Hold Mouse Traps, 3-Pack</t>
  </si>
  <si>
    <t>https://www.amazon.com/dp/B0CQ8S7QH8?psc=1</t>
  </si>
  <si>
    <t>B0C7XK7PW4</t>
  </si>
  <si>
    <t>https://m.media-amazon.com/images/I/61ImJYAiiKL.jpg</t>
  </si>
  <si>
    <t>Victor M142-3B Victor Power-Kill Mouse Trap - 3 Pack</t>
  </si>
  <si>
    <t>https://www.amazon.com/dp/B0C7XK7PW4?psc=1</t>
  </si>
  <si>
    <t>B000NCTMCW</t>
  </si>
  <si>
    <t>https://m.media-amazon.com/images/I/81-Zyyh9AcL.jpg</t>
  </si>
  <si>
    <t>Victor M205 Easy Set Plastic Pedal Sustainably Sourced FSC Wood Humane Snap Rat Trap</t>
  </si>
  <si>
    <t>https://www.amazon.com/dp/B000NCTMCW?psc=1</t>
  </si>
  <si>
    <t>Pack of 1</t>
  </si>
  <si>
    <t>B07YNHYG8M</t>
  </si>
  <si>
    <t>https://m.media-amazon.com/images/I/71mgfKdKhrL.jpg</t>
  </si>
  <si>
    <t>Victor Mouse and Rat Repellent Spray, 32 oz Bottle</t>
  </si>
  <si>
    <t>https://www.amazon.com/dp/B07YNHYG8M?psc=1</t>
  </si>
  <si>
    <t>32 Fl Oz (Pack of 1)</t>
  </si>
  <si>
    <t>B07KMXRWQY</t>
  </si>
  <si>
    <t>https://m.media-amazon.com/images/I/81nLSvaTjjL.jpg</t>
  </si>
  <si>
    <t>Victor M7001-1 Mole &amp; Gopher Repellent, 64 Ounce (Pack of 1), Black</t>
  </si>
  <si>
    <t>https://www.amazon.com/dp/B07KMXRWQY?psc=1</t>
  </si>
  <si>
    <t>64 Ounce (Pack of 1)</t>
  </si>
  <si>
    <t>B00C1NN4B6</t>
  </si>
  <si>
    <t>https://m.media-amazon.com/images/I/71ntVT9QilL.jpg</t>
  </si>
  <si>
    <t>Victor Metal Pedal Sustainably Sourced FSC Wood Snap Mouse Trap - 4 Wooden Traps - M156 - Snap Traps for Mice - Reusable or Disposable Mouse Trap</t>
  </si>
  <si>
    <t>https://www.amazon.com/dp/B00C1NN4B6?psc=1</t>
  </si>
  <si>
    <t>4 Traps</t>
  </si>
  <si>
    <t>B0CQ8T7T37</t>
  </si>
  <si>
    <t>https://m.media-amazon.com/images/I/71AzdH-7ysL.jpg</t>
  </si>
  <si>
    <t>Victor Electronic Rat Trap, 3-Pack</t>
  </si>
  <si>
    <t>https://www.amazon.com/dp/B0CQ8T7T37</t>
  </si>
  <si>
    <t>B075QRXRGH</t>
  </si>
  <si>
    <t>https://m.media-amazon.com/images/I/91uRS5NHSIL.jpg</t>
  </si>
  <si>
    <t>Victor Easy Set Mouse Trap - 18 Pack (72 Total Traps)</t>
  </si>
  <si>
    <t>https://www.amazon.com/dp/B075QRXRGH?psc=1</t>
  </si>
  <si>
    <t>72 Traps</t>
  </si>
  <si>
    <t>B07QHPSJBP</t>
  </si>
  <si>
    <t>https://m.media-amazon.com/images/I/91s6U7Bv5dL.jpg</t>
  </si>
  <si>
    <t>Victor M250SSR-3 Indoor Humane Electronic Mouse Trap - No Touch, No See Electric Instant Kill Mouse Trap - 3 Traps</t>
  </si>
  <si>
    <t>https://www.amazon.com/dp/B07QHPSJBP?psc=1</t>
  </si>
  <si>
    <t>B07BZVXJB4</t>
  </si>
  <si>
    <t>https://m.media-amazon.com/images/I/81NYucFSNbL.jpg</t>
  </si>
  <si>
    <t>Victor M250S Indoor Humane Electronic Mouse Trap - No Touch, No See Electric Instant Kill Mouse Trap - 4 Traps</t>
  </si>
  <si>
    <t>https://www.amazon.com/dp/B07BZVXJB4?psc=1</t>
  </si>
  <si>
    <t>B0C7XVCDCW</t>
  </si>
  <si>
    <t>https://m.media-amazon.com/images/I/71+cqA6ujOL.jpg</t>
  </si>
  <si>
    <t>Victor M142B Power-Kill Mouse Trap - Snap Traps for Mice - Plastic Mouse Traps - Indoor, Outdoor Mousetraps</t>
  </si>
  <si>
    <t>https://www.amazon.com/dp/B0C7XVCDCW?psc=1</t>
  </si>
  <si>
    <t>B0CTL12488</t>
  </si>
  <si>
    <t>https://m.media-amazon.com/images/I/71GwzeVPZoL.jpg</t>
  </si>
  <si>
    <t>Victor M205 Easy Set Plastic Pedal Sustainably Sourced FSC Wood Humane Snap Rat Trap (Pack of 3)</t>
  </si>
  <si>
    <t>https://www.amazon.com/dp/B0CTL12488?psc=1</t>
  </si>
  <si>
    <t>Pack of 3</t>
  </si>
  <si>
    <t>B00004RAMU</t>
  </si>
  <si>
    <t>https://m.media-amazon.com/images/I/71mFFxeoTWL.jpg</t>
  </si>
  <si>
    <t>Victor M310S Tin Cat Multi-Catch Live Mouse Trap - Indoor and Outdoor Humane Catch and Release</t>
  </si>
  <si>
    <t>https://www.amazon.com/dp/B00004RAMU?psc=1</t>
  </si>
  <si>
    <t>B0035AS5K4</t>
  </si>
  <si>
    <t>https://m.media-amazon.com/images/I/71zixap91aL.jpg</t>
  </si>
  <si>
    <t>Victor Rat Traps M326 (6 Traps)</t>
  </si>
  <si>
    <t>https://www.amazon.com/dp/B0035AS5K4</t>
  </si>
  <si>
    <t>B0815GYYZ8</t>
  </si>
  <si>
    <t>https://m.media-amazon.com/images/I/8146XbFBHcL.jpg</t>
  </si>
  <si>
    <t>Victor M070 Easy and Safe-Set Power Kill Mouse Trap Quick and Clean Rodent Disposal - 2 Reusable Mouse Traps</t>
  </si>
  <si>
    <t>https://www.amazon.com/dp/B0815GYYZ8?psc=1</t>
  </si>
  <si>
    <t>B0CQ8KQ5HV</t>
  </si>
  <si>
    <t>https://m.media-amazon.com/images/I/718B3jwTKqL.jpg</t>
  </si>
  <si>
    <t>Victor Live Catch Mouse Trap - 4 Traps - M337SR-4 - Live Catch and Release Trap for Mice - Humane Mouse Traps - Clear Design - Humane, Easy to Use - 4 Pack</t>
  </si>
  <si>
    <t>https://www.amazon.com/dp/B0CQ8KQ5HV?psc=1</t>
  </si>
  <si>
    <t>B001JJCW0M</t>
  </si>
  <si>
    <t>https://m.media-amazon.com/images/I/81ir1DjZQ+L.jpg</t>
  </si>
  <si>
    <t>Victor Multi-Kill Electronic Mouse Trap</t>
  </si>
  <si>
    <t>https://www.amazon.com/dp/B001JJCW0M?psc=1</t>
  </si>
  <si>
    <t>B00OL1WVVK</t>
  </si>
  <si>
    <t>https://m.media-amazon.com/images/I/81K9EbGbL1L.jpg</t>
  </si>
  <si>
    <t>Victor M319 Professional Glue Boards for Insect and Rodent monitoring - 24 Glue Boards</t>
  </si>
  <si>
    <t>https://www.amazon.com/dp/B00OL1WVVK</t>
  </si>
  <si>
    <t>B07RGLY1BK</t>
  </si>
  <si>
    <t>https://m.media-amazon.com/images/I/71fCeZKKuML.jpg</t>
  </si>
  <si>
    <t>Victor M922 Fast-Kill Disposable Mouse Poison Bait Station - Mouse Poisoning Bait - Mouse Poisoning Station - Mouse Bait Stations</t>
  </si>
  <si>
    <t>https://www.amazon.com/dp/B07RGLY1BK?psc=1</t>
  </si>
  <si>
    <t>B0C7XS9252</t>
  </si>
  <si>
    <t>https://m.media-amazon.com/images/I/71T0iIHLLNL.jpg</t>
  </si>
  <si>
    <t>Victor M070B Easy Safe-Set Power Kill Mouse Trap, 2-Pack Reusable Snap Trap</t>
  </si>
  <si>
    <t>https://www.amazon.com/dp/B0C7XS9252</t>
  </si>
  <si>
    <t>B0G55YRFHP</t>
  </si>
  <si>
    <t>https://m.media-amazon.com/images/I/71G-4BmoOUL.jpg</t>
  </si>
  <si>
    <t>Victor Safe-Set Rat Trap, 4 Pack, Black, Easy to Set with One Click, Kills Rats Guaranteed, Safe Around Children and Pets, Reusable, Manual Power Source</t>
  </si>
  <si>
    <t>https://www.amazon.com/dp/B0G55YRFHP</t>
  </si>
  <si>
    <t>B07HR987YB</t>
  </si>
  <si>
    <t>https://m.media-amazon.com/images/I/61C1uXTlntL.jpg</t>
  </si>
  <si>
    <t>Victor M2 Smart-Kill Humane Wi-Fi Enabled Electronic Rat Trap Killer - 2 Traps</t>
  </si>
  <si>
    <t>https://www.amazon.com/dp/B07HR987YB</t>
  </si>
  <si>
    <t>B00DV6LO0A</t>
  </si>
  <si>
    <t>https://m.media-amazon.com/images/I/81+CSf8g8kL.jpg</t>
  </si>
  <si>
    <t>Victor Ultra Pest Chaser Rodent Repeller</t>
  </si>
  <si>
    <t>https://www.amazon.com/dp/B00DV6LO0A</t>
  </si>
  <si>
    <t>B0CQ8SW3N1</t>
  </si>
  <si>
    <t>https://m.media-amazon.com/images/I/61Y6jy+M95L.jpg</t>
  </si>
  <si>
    <t>Victor Live Catch Mouse Trap, 1-Pack, Humane Catch &amp; Release Trap for Mice</t>
  </si>
  <si>
    <t>https://www.amazon.com/dp/B0CQ8SW3N1?psc=1</t>
  </si>
  <si>
    <t>B076BVPL2M</t>
  </si>
  <si>
    <t>https://m.media-amazon.com/images/I/51Oo7iJgHkL.jpg</t>
  </si>
  <si>
    <t>Victor WSL Rat Trap</t>
  </si>
  <si>
    <t>https://www.amazon.com/dp/B076BVPL2M</t>
  </si>
  <si>
    <t>B087PH89MD</t>
  </si>
  <si>
    <t>https://m.media-amazon.com/images/I/71ajuCU+WYL.jpg</t>
  </si>
  <si>
    <t>Victor M6009 Poison Moleworms, Yellow (Twо Расk)</t>
  </si>
  <si>
    <t>https://www.amazon.com/dp/B087PH89MD</t>
  </si>
  <si>
    <t>B004RVNNA2</t>
  </si>
  <si>
    <t>https://m.media-amazon.com/images/I/713rTyPUVLL.jpg</t>
  </si>
  <si>
    <t>Victor Tin Cat Glue Boards M309 - CASE (72 boards)</t>
  </si>
  <si>
    <t>https://www.amazon.com/dp/B004RVNNA2</t>
  </si>
  <si>
    <t>B01DL410JQ</t>
  </si>
  <si>
    <t>https://m.media-amazon.com/images/I/81snFqeAgwL.jpg</t>
  </si>
  <si>
    <t>Victor M380 Fly Magnet 1-Quart Reusable Trap With Bait (3 Pack)</t>
  </si>
  <si>
    <t>https://www.amazon.com/dp/B01DL410JQ</t>
  </si>
  <si>
    <t>1 Quart - 3 Pack</t>
  </si>
  <si>
    <t>B0C3FTCYZL</t>
  </si>
  <si>
    <t>ZEVO</t>
  </si>
  <si>
    <t>https://m.media-amazon.com/images/I/81uXJAVhd1L.jpg</t>
  </si>
  <si>
    <t>Zevo Flying Insect Trap Refill Cartridges for Fruit Flies &amp; Gnats, 4 Count</t>
  </si>
  <si>
    <t>https://www.amazon.com/dp/B0C3FTCYZL?psc=1</t>
  </si>
  <si>
    <t>B07T869RNY</t>
  </si>
  <si>
    <t>https://m.media-amazon.com/images/I/81AnvlATCkL.jpg</t>
  </si>
  <si>
    <t>Zevo Flying Insect Trap for Fruit Flies &amp; Gnats, 1 Plug-in Base &amp; 1 Refills</t>
  </si>
  <si>
    <t>https://www.amazon.com/dp/B07T869RNY?psc=1</t>
  </si>
  <si>
    <t>1 Device &amp; 1 Cartridge</t>
  </si>
  <si>
    <t>B0CTQDTF1V</t>
  </si>
  <si>
    <t>https://m.media-amazon.com/images/I/81+nq0FrOeL.jpg</t>
  </si>
  <si>
    <t>Zevo Flying Insect Trap Refill Cartridges for Fruit Flies &amp; Gnats, 6 Count</t>
  </si>
  <si>
    <t>https://www.amazon.com/dp/B0CTQDTF1V?psc=1</t>
  </si>
  <si>
    <t>B0CKY689WQ</t>
  </si>
  <si>
    <t>https://m.media-amazon.com/images/I/81oM9Fx8QaL.jpg</t>
  </si>
  <si>
    <t>Zevo Flying Insect Trap for Fruit Flies &amp; Gnats, 1 Plug-in Base &amp; 3 Refills</t>
  </si>
  <si>
    <t>https://www.amazon.com/dp/B0CKY689WQ?psc=1</t>
  </si>
  <si>
    <t>1 Device &amp; 3 Cartridges</t>
  </si>
  <si>
    <t>B0C3PDTYYX</t>
  </si>
  <si>
    <t>https://m.media-amazon.com/images/I/81uxQ4MUSlL.jpg</t>
  </si>
  <si>
    <t>Zevo Flying Insect Trap for Fruit Flies &amp; Gnats, 2 Plug-in Bases, 2 Refills</t>
  </si>
  <si>
    <t>https://www.amazon.com/dp/B0C3PDTYYX?psc=1</t>
  </si>
  <si>
    <t>2 Devices &amp; 2 Cartridges</t>
  </si>
  <si>
    <t>B0CYVVT3LC</t>
  </si>
  <si>
    <t>https://m.media-amazon.com/images/I/81hU8gwZ9iL.jpg</t>
  </si>
  <si>
    <t>Zevo Flying Insect Trap Refill Cartridges for Fruit Flies &amp; Gnats, 8 Count</t>
  </si>
  <si>
    <t>https://www.amazon.com/dp/B0CYVVT3LC?psc=1</t>
  </si>
  <si>
    <t>B0CKY5N63H</t>
  </si>
  <si>
    <t>https://m.media-amazon.com/images/I/815OU+3uq7L.jpg</t>
  </si>
  <si>
    <t>Zevo Flying Insect Trap for Fruit Flies &amp; Gnats, 2 Plug-in Bases, 4 Refills</t>
  </si>
  <si>
    <t>https://www.amazon.com/dp/B0CKY5N63H?psc=1</t>
  </si>
  <si>
    <t>2 Devices &amp; 4 Cartridges</t>
  </si>
  <si>
    <t>B0GJRLN3WS</t>
  </si>
  <si>
    <t>https://m.media-amazon.com/images/I/71mxDSYZbUL.jpg</t>
  </si>
  <si>
    <t>Zevo Compact Flying Insect Trap for Gnats &amp; Fruit Flies, 1 Base &amp; 3 Refills</t>
  </si>
  <si>
    <t>https://www.amazon.com/dp/B0GJRLN3WS?psc=1</t>
  </si>
  <si>
    <t>B0CWJGGSXT</t>
  </si>
  <si>
    <t>https://m.media-amazon.com/images/I/71vFqtFG1hL.jpg</t>
  </si>
  <si>
    <t>Zevo Flying Insect Bug Aerosol Spray, Kills Flies &amp; Fruit Flies, 3 Bottles</t>
  </si>
  <si>
    <t>https://www.amazon.com/dp/B0CWJGGSXT?psc=1</t>
  </si>
  <si>
    <t>30 Fl Oz (Pack of 1)</t>
  </si>
  <si>
    <t>B0GJRKLHSY</t>
  </si>
  <si>
    <t>https://m.media-amazon.com/images/I/71bgnHf1W2L.jpg</t>
  </si>
  <si>
    <t>Zevo Compact Flying Insect Trap Refills for Gnats &amp; Fruit Flies, 6 Count</t>
  </si>
  <si>
    <t>https://www.amazon.com/dp/B0GJRKLHSY?psc=1</t>
  </si>
  <si>
    <t>B0CRPHSQCQ</t>
  </si>
  <si>
    <t>https://m.media-amazon.com/images/I/81pHFv-2NnL.jpg</t>
  </si>
  <si>
    <t>Zevo Flying Insect Trap for Fruit Flies &amp; Gnats, 4 Plug-in Bases, 4 Refills</t>
  </si>
  <si>
    <t>https://www.amazon.com/dp/B0CRPHSQCQ?psc=1</t>
  </si>
  <si>
    <t>4 Devices &amp; 4 Cartridges</t>
  </si>
  <si>
    <t>B08JL4V71X</t>
  </si>
  <si>
    <t>https://m.media-amazon.com/images/I/71uIgyro92L.jpg</t>
  </si>
  <si>
    <t>Zevo Flying Insect Bug Aerosol Spray, Kills Flies &amp; Fruit Flies, 2 Bottles</t>
  </si>
  <si>
    <t>https://www.amazon.com/dp/B08JL4V71X?psc=1</t>
  </si>
  <si>
    <t>10 Fl Oz (2 Bottles)</t>
  </si>
  <si>
    <t>B0CPKZLV35</t>
  </si>
  <si>
    <t>https://m.media-amazon.com/images/I/81it3H8Hb5L.jpg</t>
  </si>
  <si>
    <t>Zevo MAX Bug Catcher, Gnat &amp; Fruit Fly Trap Indoors, 1 Base &amp; 2 Refills</t>
  </si>
  <si>
    <t>https://www.amazon.com/dp/B0CPKZLV35?psc=1</t>
  </si>
  <si>
    <t>B0CTQH1Q83</t>
  </si>
  <si>
    <t>https://m.media-amazon.com/images/I/81Y+aI7vYfL.jpg</t>
  </si>
  <si>
    <t>Zevo MAX Bug Catcher, Gnat &amp; Fruit Fly Trap Indoors, 1 Base &amp; 6 Refills</t>
  </si>
  <si>
    <t>https://www.amazon.com/dp/B0CTQH1Q83?psc=1</t>
  </si>
  <si>
    <t>B0CTQ1TQ45</t>
  </si>
  <si>
    <t>https://m.media-amazon.com/images/I/81TOTrmfohL.jpg</t>
  </si>
  <si>
    <t>Zevo Flying Insect Trap Refill Cartridges for Fruit Flies &amp; Gnats, 12 Count</t>
  </si>
  <si>
    <t>https://www.amazon.com/dp/B0CTQ1TQ45?psc=1</t>
  </si>
  <si>
    <t>B0CTQ3B8JD</t>
  </si>
  <si>
    <t>https://m.media-amazon.com/images/I/81eNUlyxy1L.jpg</t>
  </si>
  <si>
    <t>Zevo Flying Insect Trap Refill Cartridges for Fruit Flies &amp; Gnats, 10 Count</t>
  </si>
  <si>
    <t>https://www.amazon.com/dp/B0CTQ3B8JD?psc=1</t>
  </si>
  <si>
    <t>B0GJRMVM7W</t>
  </si>
  <si>
    <t>https://m.media-amazon.com/images/I/81XHeLfy-AL.jpg</t>
  </si>
  <si>
    <t>Zevo Compact Flying Insect Trap Refills for Gnats &amp; Fruit Flies, 8 Count</t>
  </si>
  <si>
    <t>https://www.amazon.com/dp/B0GJRMVM7W?psc=1</t>
  </si>
  <si>
    <t>B0D3FNQKN6</t>
  </si>
  <si>
    <t>https://m.media-amazon.com/images/I/71jsErvtiPL.jpg</t>
  </si>
  <si>
    <t>Zevo Multi-Insect Bug Killer Spray, for Ant, Fly, Spider &amp; Roach, 3 Bottles</t>
  </si>
  <si>
    <t>https://www.amazon.com/dp/B0D3FNQKN6?psc=1</t>
  </si>
  <si>
    <t>36 Fl Oz (Pack of 1)</t>
  </si>
  <si>
    <t>B0CTQDRPJN</t>
  </si>
  <si>
    <t>https://m.media-amazon.com/images/I/71u9LLmjB2L.jpg</t>
  </si>
  <si>
    <t>Zevo MAX Bug Catcher &amp; Fruit Fly Trap, 2 Bases &amp; 3 Refill Cartridges</t>
  </si>
  <si>
    <t>https://www.amazon.com/dp/B0CTQDRPJN?psc=1</t>
  </si>
  <si>
    <t>B0DGF6DM7B</t>
  </si>
  <si>
    <t>https://m.media-amazon.com/images/I/51dEkhPfsSL.jpg</t>
  </si>
  <si>
    <t>Zevo Flying Insect Trap Refill Cartridges (1 Device &amp; 3 Refill Cartridges Pack)</t>
  </si>
  <si>
    <t>https://www.amazon.com/dp/B0DGF6DM7B</t>
  </si>
  <si>
    <t>B0CX9YYD3Q</t>
  </si>
  <si>
    <t>https://m.media-amazon.com/images/I/51l4dL0c5PL.jpg</t>
  </si>
  <si>
    <t>Zevo MAX Bug Catcher &amp; Fly Trap for Indoor- Flying Insect Trap for Gnat, House &amp; Fruit Flies - Use in Any Room - No-Mess Disposal (2 Device &amp; 6 Cartridges)</t>
  </si>
  <si>
    <t>https://www.amazon.com/dp/B0CX9YYD3Q</t>
  </si>
  <si>
    <t>B0FB2KR45J</t>
  </si>
  <si>
    <t>https://m.media-amazon.com/images/I/51BI0rQDqlL.jpg</t>
  </si>
  <si>
    <t>Zevo Flying Insect Refills for Indoor Light Trap: Light Trap Refill Cartridges Capture Fruit Flies, Gnats and Houseflies (2 Refill Cartridge)</t>
  </si>
  <si>
    <t>https://www.amazon.com/dp/B0FB2KR45J</t>
  </si>
  <si>
    <t>B0GTZTSR32</t>
  </si>
  <si>
    <t>https://m.media-amazon.com/images/I/61Hg9L0+kWL.jpg</t>
  </si>
  <si>
    <t>Zevo Plug-in Flying Insect Trap Refill Pack, 8 Authentic Cartridges for Indoor Spaces</t>
  </si>
  <si>
    <t>https://www.amazon.com/dp/B0GTZTSR32</t>
  </si>
  <si>
    <t>B089QTC1QN</t>
  </si>
  <si>
    <t>https://m.media-amazon.com/images/I/31dk8ftdlKL.jpg</t>
  </si>
  <si>
    <t>Zevo Ant, Roach, Spider Insect Killer</t>
  </si>
  <si>
    <t>https://www.amazon.com/dp/B089QTC1QN</t>
  </si>
  <si>
    <t>B0CTQ5TSYB</t>
  </si>
  <si>
    <t>https://m.media-amazon.com/images/I/81I--Fi2k9L.jpg</t>
  </si>
  <si>
    <t>Zevo MAX Bug Catcher &amp; Fruit Fly Trap, 2 Bases &amp; 4 Refill Cartridges</t>
  </si>
  <si>
    <t>https://www.amazon.com/dp/B0CTQ5TSYB?psc=1</t>
  </si>
  <si>
    <t>B0D8M2TDM5</t>
  </si>
  <si>
    <t>https://m.media-amazon.com/images/I/71vQIyhJZRL.jpg</t>
  </si>
  <si>
    <t>Zevo Flying Insect Trap, Fly Trap, Fruit Fly Trap (4 Refill Cartridges (New)</t>
  </si>
  <si>
    <t>https://www.amazon.com/dp/B0D8M2TDM5?psc=1</t>
  </si>
  <si>
    <t>B0G8S8Y88F</t>
  </si>
  <si>
    <t>https://m.media-amazon.com/images/I/71J9E09e5VL.jpg</t>
  </si>
  <si>
    <t>Zevo Trap &amp; Kill Foam Insect Killer for Roaches &amp; Spiders 12 fl oz</t>
  </si>
  <si>
    <t>https://www.amazon.com/dp/B0G8S8Y88F</t>
  </si>
  <si>
    <t>12 Fl Oz (Pack of 1)</t>
  </si>
  <si>
    <t>B0D4KGPY79</t>
  </si>
  <si>
    <t>https://m.media-amazon.com/images/I/811UleDoe8L.jpg</t>
  </si>
  <si>
    <t>Zevo Flying Insect Trap, Fly Trap Captures Houseflies, Fruit Flies, and Gnats (2 Device &amp; 6 Cartridge)</t>
  </si>
  <si>
    <t>https://www.amazon.com/dp/B0D4KGPY79</t>
  </si>
  <si>
    <t>Monthly Units Sold</t>
  </si>
  <si>
    <t>Manufacture</t>
  </si>
  <si>
    <t>atlantic paste</t>
  </si>
  <si>
    <t>Atlantic Paste and Glue Co. Inc.</t>
  </si>
  <si>
    <t>CatchMaster</t>
  </si>
  <si>
    <t>Catchmaster Store</t>
  </si>
  <si>
    <t>AP&amp;G</t>
  </si>
  <si>
    <t>APG</t>
  </si>
  <si>
    <t>AP</t>
  </si>
  <si>
    <t>Atlantic Paste &amp; Glue Co.</t>
  </si>
  <si>
    <t>The Scotts Company LLC</t>
  </si>
  <si>
    <t>The Scotts Company</t>
  </si>
  <si>
    <t>Scotts MiracleGro</t>
  </si>
  <si>
    <t>Scotts - Mixing Warehouse Items</t>
  </si>
  <si>
    <t>The Fountainhead Group</t>
  </si>
  <si>
    <t>Scotts Miracle Gro</t>
  </si>
  <si>
    <t>Scotts Miracle-Gro</t>
  </si>
  <si>
    <t>American Lawn Mower Company</t>
  </si>
  <si>
    <t>Great States</t>
  </si>
  <si>
    <t>Scott'S</t>
  </si>
  <si>
    <t>The Fountainhead Group, Inc.</t>
  </si>
  <si>
    <t>ScotchBlue</t>
  </si>
  <si>
    <t>Woodstream Corporation</t>
  </si>
  <si>
    <t>TV Non-Branded Items</t>
  </si>
  <si>
    <t>WOPDD</t>
  </si>
  <si>
    <t>Woodstream</t>
  </si>
  <si>
    <t>woodstream</t>
  </si>
  <si>
    <t>Woodstream Corportation</t>
  </si>
  <si>
    <t>Woodstream Corporatoin</t>
  </si>
  <si>
    <t>Zevo</t>
  </si>
  <si>
    <t>B0F1H7DYTP</t>
  </si>
  <si>
    <t>B012VJLZOM</t>
  </si>
  <si>
    <t>B08129DYTH</t>
  </si>
  <si>
    <t>B01MT6BOR0</t>
  </si>
  <si>
    <t>B012RGM7BO</t>
  </si>
  <si>
    <t>B01MT1XQZS</t>
  </si>
  <si>
    <t>B012VKAYLQ</t>
  </si>
  <si>
    <t>B01MS4NEQJ</t>
  </si>
  <si>
    <t>B01N6O3IB3</t>
  </si>
  <si>
    <t>B012RDT44U</t>
  </si>
  <si>
    <t>B07YL5BLK4</t>
  </si>
  <si>
    <t>B00N6XKV4I</t>
  </si>
  <si>
    <t>B07YM5BY58</t>
  </si>
  <si>
    <t>B0149L6MY8</t>
  </si>
  <si>
    <t>B01N6JJ3QG</t>
  </si>
  <si>
    <t>B012VK4BYC</t>
  </si>
  <si>
    <t>B012VN2CHC</t>
  </si>
  <si>
    <t>B012RE01U0</t>
  </si>
  <si>
    <t>B077VLKY68</t>
  </si>
  <si>
    <t>B08GH3BQY1</t>
  </si>
  <si>
    <t>B012VK606O</t>
  </si>
  <si>
    <t>B012RGT7RQ</t>
  </si>
  <si>
    <t>B0BZDY37G9</t>
  </si>
  <si>
    <t>B01MT6BTQW</t>
  </si>
  <si>
    <t>B0BZDW8JV1</t>
  </si>
  <si>
    <t>B01MR39KH9</t>
  </si>
  <si>
    <t>B012RDZ7R8</t>
  </si>
  <si>
    <t>B0132FQWLU</t>
  </si>
  <si>
    <t>B01MT6BRM7</t>
  </si>
  <si>
    <t>B012RGNIO4</t>
  </si>
  <si>
    <t>B012RGQVM0</t>
  </si>
  <si>
    <t>B01N0Y1I7T</t>
  </si>
  <si>
    <t>B01N1ZL6RK</t>
  </si>
  <si>
    <t>B012E3SYXK</t>
  </si>
  <si>
    <t>B01BUTD9D4</t>
  </si>
  <si>
    <t>B012REFL3C</t>
  </si>
  <si>
    <t>B0CKLYKJH6</t>
  </si>
  <si>
    <t>B08SLP5MQ1</t>
  </si>
  <si>
    <t>B012RDT5YE</t>
  </si>
  <si>
    <t>B008RGCA9I</t>
  </si>
  <si>
    <t>B012RDZH96</t>
  </si>
  <si>
    <t>B08W28QJ5N</t>
  </si>
  <si>
    <t>B0DVH59VKD</t>
  </si>
  <si>
    <t>B0BZDY5G3R</t>
  </si>
  <si>
    <t>B07YLDRZVX</t>
  </si>
  <si>
    <t>B012RDQXMQ</t>
  </si>
  <si>
    <t>B012VK6OOW</t>
  </si>
  <si>
    <t>B01N7KUOWN</t>
  </si>
  <si>
    <t>B012RDZ34A</t>
  </si>
  <si>
    <t>B0BZDTVQYC</t>
  </si>
  <si>
    <t>B012VN2PSS</t>
  </si>
  <si>
    <t>B012REE9C6</t>
  </si>
  <si>
    <t>B01N30Z11V</t>
  </si>
  <si>
    <t>B012VN2HLI</t>
  </si>
  <si>
    <t>B012VP1VPY</t>
  </si>
  <si>
    <t>B01MT6BRO9</t>
  </si>
  <si>
    <t>B073Z6T92D</t>
  </si>
  <si>
    <t>B012RDRGYU</t>
  </si>
  <si>
    <t>B09GGF2F71</t>
  </si>
  <si>
    <t>B0CKLZ3HMN</t>
  </si>
  <si>
    <t>B01N5MJFZK</t>
  </si>
  <si>
    <t>B01NBNAM0Y</t>
  </si>
  <si>
    <t>B012RGO4ZG</t>
  </si>
  <si>
    <t>B0132FYCP8</t>
  </si>
  <si>
    <t>B012VK688Y</t>
  </si>
  <si>
    <t>B01MS07UDH</t>
  </si>
  <si>
    <t>B01MY5HL4Y</t>
  </si>
  <si>
    <t>B01N5MKVUS</t>
  </si>
  <si>
    <t>B01NCOT3W4</t>
  </si>
  <si>
    <t>B01MQYUVLK</t>
  </si>
  <si>
    <t>B012REEF2A</t>
  </si>
  <si>
    <t>B005BV0DD2</t>
  </si>
  <si>
    <t>B012RDZN9A</t>
  </si>
  <si>
    <t>B071L9QR2B</t>
  </si>
  <si>
    <t>B01N2WKMEE</t>
  </si>
  <si>
    <t>B00N6XKVNY</t>
  </si>
  <si>
    <t>B01N2WKLR0</t>
  </si>
  <si>
    <t>B01MZ2LOBP</t>
  </si>
  <si>
    <t>B08R6F8FGY</t>
  </si>
  <si>
    <t>B012ODVXHY</t>
  </si>
  <si>
    <t>B01MU3GZWX</t>
  </si>
  <si>
    <t>B012RGQ936</t>
  </si>
  <si>
    <t>B012REF4D4</t>
  </si>
  <si>
    <t>B0719DF4NZ</t>
  </si>
  <si>
    <t>B0CLSF5325</t>
  </si>
  <si>
    <t>B012E3F87U</t>
  </si>
  <si>
    <t>B005KF8PAM</t>
  </si>
  <si>
    <t>B0BSRFNZQV</t>
  </si>
  <si>
    <t>B012VJMDK2</t>
  </si>
  <si>
    <t>B0CLSG1DNG</t>
  </si>
  <si>
    <t>B00CQDNBTG</t>
  </si>
  <si>
    <t>Tomcat</t>
  </si>
  <si>
    <t>https://m.media-amazon.com/images/I/71mRczEEboL.jpg</t>
  </si>
  <si>
    <t>Tomcat with Bromethalin Bait Chunx Pail, 4.25 lbs.</t>
  </si>
  <si>
    <t>https://www.amazon.com/dp/B0F1H7DYTP?psc=1</t>
  </si>
  <si>
    <t>https://m.media-amazon.com/images/I/71+nkyLpm5L.jpg</t>
  </si>
  <si>
    <t>Tomcat Glue Traps Mouse Size with Eugenol for Enhanced Stickiness, 6 Traps</t>
  </si>
  <si>
    <t>https://www.amazon.com/dp/B012VJLZOM?psc=1</t>
  </si>
  <si>
    <t>https://m.media-amazon.com/images/I/71dWjBhXZ8L.jpg</t>
  </si>
  <si>
    <t>Tomcat Rat &amp; Mouse Killer, Child &amp; Dog Resistant, Disposable Station, 8 oz.</t>
  </si>
  <si>
    <t>https://www.amazon.com/dp/B08129DYTH?psc=1</t>
  </si>
  <si>
    <t>https://m.media-amazon.com/images/I/71pDBqk7YsL.jpg</t>
  </si>
  <si>
    <t>Tomcat Mouse Killer, Child &amp; Dog Resistant, Refillable Station and 16 Baits</t>
  </si>
  <si>
    <t>https://www.amazon.com/dp/B01MT6BOR0?psc=1</t>
  </si>
  <si>
    <t>https://m.media-amazon.com/images/I/71HDwlqK3-L.jpg</t>
  </si>
  <si>
    <t>Tomcat Rat Snap Trap, 1 Rat Size Trap</t>
  </si>
  <si>
    <t>https://www.amazon.com/dp/B012RGM7BO?psc=1</t>
  </si>
  <si>
    <t>https://m.media-amazon.com/images/I/81aoRiCs1yL.jpg</t>
  </si>
  <si>
    <t>Tomcat Mouse Killer, Child &amp; Dog Resistant, Disposable Station, 2 Stations</t>
  </si>
  <si>
    <t>https://www.amazon.com/dp/B01MT1XQZS?psc=1</t>
  </si>
  <si>
    <t>https://m.media-amazon.com/images/I/81T5YP6J5sL.jpg</t>
  </si>
  <si>
    <t>Tomcat Mole Killer(a), 12 Worm Baits</t>
  </si>
  <si>
    <t>https://www.amazon.com/dp/B012VKAYLQ?psc=1</t>
  </si>
  <si>
    <t>https://m.media-amazon.com/images/I/71nAiGcfQzL.jpg</t>
  </si>
  <si>
    <t>Tomcat Glue Boards with Eugenol for Enhanced Stickiness, 4 Sticky Traps</t>
  </si>
  <si>
    <t>https://www.amazon.com/dp/B01MS4NEQJ?psc=1</t>
  </si>
  <si>
    <t>https://m.media-amazon.com/images/I/81FhkvntoLL.jpg</t>
  </si>
  <si>
    <t>Tomcat Rat &amp; Mouse Killer, Child &amp; Dog Resistant, Refillable Station</t>
  </si>
  <si>
    <t>https://www.amazon.com/dp/B01N6O3IB3?psc=1</t>
  </si>
  <si>
    <t>https://m.media-amazon.com/images/I/81njVAn-VoL.jpg</t>
  </si>
  <si>
    <t>Tomcat Mouse Traps (Wooden), 4 Pack</t>
  </si>
  <si>
    <t>https://www.amazon.com/dp/B012RDT44U?psc=1</t>
  </si>
  <si>
    <t>https://m.media-amazon.com/images/I/61r8INiagUL.jpg</t>
  </si>
  <si>
    <t>Outpost Rat Bait Station | Single Station Targets Small Mice Up to Large Rats | Position Horizontal or Vertical | Made in USA</t>
  </si>
  <si>
    <t>https://www.amazon.com/dp/B07YL5BLK4</t>
  </si>
  <si>
    <t>https://m.media-amazon.com/images/I/71gZYdPlIpL.jpg</t>
  </si>
  <si>
    <t>Tomcat Kill &amp; Contain Mouse Trap, 2 Traps</t>
  </si>
  <si>
    <t>https://www.amazon.com/dp/B00N6XKV4I?psc=1</t>
  </si>
  <si>
    <t>https://m.media-amazon.com/images/I/61QuN-Td4RL.jpg</t>
  </si>
  <si>
    <t>Tomcat Rodent Block Expanding Foam Barrier, 12 oz.</t>
  </si>
  <si>
    <t>https://www.amazon.com/dp/B07YM5BY58?psc=1</t>
  </si>
  <si>
    <t>https://m.media-amazon.com/images/I/81ffZsxKqWL.jpg</t>
  </si>
  <si>
    <t>TOMCAT Bromethalin Place Pacs Bait, 4.1 lbs.</t>
  </si>
  <si>
    <t>https://www.amazon.com/dp/B0149L6MY8?psc=1</t>
  </si>
  <si>
    <t>https://m.media-amazon.com/images/I/71SXW0VvNwL.jpg</t>
  </si>
  <si>
    <t>Tomcat Super Hold Glue Traps Mouse Size for Mice, Cockroaches, Spiders, and Scorpions, Ready-To-Use, 4 Traps</t>
  </si>
  <si>
    <t>https://www.amazon.com/dp/B01N6JJ3QG?psc=1</t>
  </si>
  <si>
    <t>https://m.media-amazon.com/images/I/61ssqBH0k4L.jpg</t>
  </si>
  <si>
    <t>Tomcat Super Hold Glue Traps Rat Size, 24 Sticky Rat Traps</t>
  </si>
  <si>
    <t>https://www.amazon.com/dp/B012VK4BYC?psc=1</t>
  </si>
  <si>
    <t>https://m.media-amazon.com/images/I/71U+K6RdwZL.jpg</t>
  </si>
  <si>
    <t>Tomcat Press 'N Set Mouse Trap, 8 Traps</t>
  </si>
  <si>
    <t>https://www.amazon.com/dp/B012VN2CHC?psc=1</t>
  </si>
  <si>
    <t>https://m.media-amazon.com/images/I/719ycsbiXHL.jpg</t>
  </si>
  <si>
    <t>Tomcat Repellents Rodent Repellent Ready-to-Use with Comfort Wand, 1.33 Gal</t>
  </si>
  <si>
    <t>https://www.amazon.com/dp/B012RE01U0?psc=1</t>
  </si>
  <si>
    <t>170.24 Ounce (Pack of 1)</t>
  </si>
  <si>
    <t>https://m.media-amazon.com/images/I/71NTSh4w+WL.jpg</t>
  </si>
  <si>
    <t>Tomcat Repellents Rodent Repellent Granules, 2 lb.</t>
  </si>
  <si>
    <t>https://www.amazon.com/dp/B077VLKY68?psc=1</t>
  </si>
  <si>
    <t>TOMCAT</t>
  </si>
  <si>
    <t>https://m.media-amazon.com/images/I/41hovlyMNpL.jpg</t>
  </si>
  <si>
    <t>Tomcat Outpost rat bait station, set of 6, lockable tamper-resistant, vertical or horizontal mount, black, 8.5" x 7" x 5"</t>
  </si>
  <si>
    <t>https://www.amazon.com/dp/B08GH3BQY1</t>
  </si>
  <si>
    <t>https://m.media-amazon.com/images/I/81H-LX6UuPL.jpg</t>
  </si>
  <si>
    <t>Tomcat Mouse Killer, Child Resistant, Disposable Station, 2 Stations</t>
  </si>
  <si>
    <t>https://www.amazon.com/dp/B012VK606O?psc=1</t>
  </si>
  <si>
    <t>2 Stations</t>
  </si>
  <si>
    <t>https://m.media-amazon.com/images/I/61R4pq2sgNL.jpg</t>
  </si>
  <si>
    <t>Tomcat Mole &amp; Gopher Bait(a), 6 oz.</t>
  </si>
  <si>
    <t>https://www.amazon.com/dp/B012RGT7RQ</t>
  </si>
  <si>
    <t>https://m.media-amazon.com/images/I/71lRhlS+1QL.jpg</t>
  </si>
  <si>
    <t>Tomcat Rat &amp; Mouse Bait Station, 2 Packages Each with 1 Station &amp; 15 Baits</t>
  </si>
  <si>
    <t>https://www.amazon.com/dp/B0BZDY37G9?psc=1</t>
  </si>
  <si>
    <t>https://m.media-amazon.com/images/I/81OtiKwR24L.jpg</t>
  </si>
  <si>
    <t>Tomcat Mouse Killer(e), Child Resistant, Refillable Station, 32 Bait Blocks</t>
  </si>
  <si>
    <t>https://www.amazon.com/dp/B01MT6BTQW?psc=1</t>
  </si>
  <si>
    <t>1-pack</t>
  </si>
  <si>
    <t>https://m.media-amazon.com/images/I/71Kj823Hq7L.jpg</t>
  </si>
  <si>
    <t>Tomcat Glue Traps Mouse Size with Eugenol, 16 Sticky Traps</t>
  </si>
  <si>
    <t>https://www.amazon.com/dp/B0BZDW8JV1?psc=1</t>
  </si>
  <si>
    <t>16 Traps</t>
  </si>
  <si>
    <t>https://m.media-amazon.com/images/I/81MOufV1e6L.jpg</t>
  </si>
  <si>
    <t>Tomcat Mouse Killer, Child Resistant, Refillable Station with 4 Bait Blocks</t>
  </si>
  <si>
    <t>https://www.amazon.com/dp/B01MR39KH9?psc=1</t>
  </si>
  <si>
    <t>https://m.media-amazon.com/images/I/71+Yo9lQ85L.jpg</t>
  </si>
  <si>
    <t>Tomcat Glue Boards with Eugenol for Enhanced Stickiness, 12 Sticky Traps</t>
  </si>
  <si>
    <t>https://www.amazon.com/dp/B012RDZ7R8?psc=1</t>
  </si>
  <si>
    <t>https://m.media-amazon.com/images/I/71nC8kwZ28L.jpg</t>
  </si>
  <si>
    <t>Tomcat Super Hold Glue Traps Mouse Size, 4 Traps</t>
  </si>
  <si>
    <t>https://www.amazon.com/dp/B0132FQWLU?psc=1</t>
  </si>
  <si>
    <t>https://m.media-amazon.com/images/I/810XFfEetrL.jpg</t>
  </si>
  <si>
    <t>Tomcat Rat Trap (Wooden), 1 Trap</t>
  </si>
  <si>
    <t>https://www.amazon.com/dp/B01MT6BRM7?psc=1</t>
  </si>
  <si>
    <t>https://m.media-amazon.com/images/I/81LTP9SZmfL.jpg</t>
  </si>
  <si>
    <t>Tomcat Spin Trap for Mice, 2 Traps</t>
  </si>
  <si>
    <t>https://www.amazon.com/dp/B012RGNIO4?psc=1</t>
  </si>
  <si>
    <t>https://m.media-amazon.com/images/I/61I+rstIoxL.jpg</t>
  </si>
  <si>
    <t>Tomcat Repellents Rodent Repellent Continuous Spray, 14 oz.</t>
  </si>
  <si>
    <t>https://www.amazon.com/dp/B012RGQVM0?psc=1</t>
  </si>
  <si>
    <t>14 Fl Oz (Pack of 1)</t>
  </si>
  <si>
    <t>https://m.media-amazon.com/images/I/716ejhdAq-L.jpg</t>
  </si>
  <si>
    <t>Tomcat Mouse Traps (Wooden), 2 Traps</t>
  </si>
  <si>
    <t>https://www.amazon.com/dp/B01N0Y1I7T?psc=1</t>
  </si>
  <si>
    <t>https://m.media-amazon.com/images/I/71RGQs5U0YL.jpg</t>
  </si>
  <si>
    <t>Tomcat Mouse Killer, Child &amp; Dog Resistant, Refillable Station and 8 Baits</t>
  </si>
  <si>
    <t>https://www.amazon.com/dp/B01N1ZL6RK?psc=1</t>
  </si>
  <si>
    <t>https://m.media-amazon.com/images/I/61prCtnU+fL.jpg</t>
  </si>
  <si>
    <t>Tomcat Household Pest Glue Trap, 4-Pack</t>
  </si>
  <si>
    <t>https://www.amazon.com/dp/B012E3SYXK?psc=1</t>
  </si>
  <si>
    <t>https://m.media-amazon.com/images/I/81aKbvP3-IL.jpg</t>
  </si>
  <si>
    <t>Tomcat Press 'N Set Mouse Trap, 14 Traps</t>
  </si>
  <si>
    <t>https://www.amazon.com/dp/B01BUTD9D4?psc=1</t>
  </si>
  <si>
    <t>14 Traps</t>
  </si>
  <si>
    <t>https://m.media-amazon.com/images/I/716+WoDj9yL.jpg</t>
  </si>
  <si>
    <t>Tomcat Mouse Killer, Child Resistant, Refillable Station with 8 Bait Blocks</t>
  </si>
  <si>
    <t>https://www.amazon.com/dp/B012REFL3C?psc=1</t>
  </si>
  <si>
    <t>https://m.media-amazon.com/images/I/61K4bIAhvTL.jpg</t>
  </si>
  <si>
    <t>Tomcat Press 'N Set Mouse Trap, 2 Traps</t>
  </si>
  <si>
    <t>https://www.amazon.com/dp/B0CKLYKJH6?psc=1</t>
  </si>
  <si>
    <t>One Size</t>
  </si>
  <si>
    <t>https://m.media-amazon.com/images/I/719w8FIuDjL.jpg</t>
  </si>
  <si>
    <t>Tomcat Mouse Snap Trap, 4 Traps</t>
  </si>
  <si>
    <t>https://www.amazon.com/dp/B08SLP5MQ1?psc=1</t>
  </si>
  <si>
    <t>https://m.media-amazon.com/images/I/81sTUMr+ufL.jpg</t>
  </si>
  <si>
    <t>Tomcat Rat Snap Trap, 4 Rat Size Traps</t>
  </si>
  <si>
    <t>https://www.amazon.com/dp/B012RDT5YE?psc=1</t>
  </si>
  <si>
    <t>4-Pack</t>
  </si>
  <si>
    <t>https://m.media-amazon.com/images/I/71T7hWctkOL.jpg</t>
  </si>
  <si>
    <t>Tomcat Mole &amp; Gopher Repellent Granules, 4 lbs.</t>
  </si>
  <si>
    <t>https://www.amazon.com/dp/B008RGCA9I?psc=1</t>
  </si>
  <si>
    <t>https://m.media-amazon.com/images/I/81H+HYOLF0L.jpg</t>
  </si>
  <si>
    <t>Tomcat Glue Boards with Eugenol for Enhanced Stickiness, 32 Sticky Traps</t>
  </si>
  <si>
    <t>https://www.amazon.com/dp/B012RDZH96?psc=1</t>
  </si>
  <si>
    <t>8-Pack</t>
  </si>
  <si>
    <t>https://m.media-amazon.com/images/I/61K0XtpxWKL.jpg</t>
  </si>
  <si>
    <t>Tomcat Rodent Block Expanding Foam Barrier, 12 oz. (2-Pack)</t>
  </si>
  <si>
    <t>https://www.amazon.com/dp/B08W28QJ5N?psc=1</t>
  </si>
  <si>
    <t>https://m.media-amazon.com/images/I/81dk0vQPqlL.jpg</t>
  </si>
  <si>
    <t>Tomcat Repellents Rodent Repellent Pouches, 4.23 oz. (4-Pack)</t>
  </si>
  <si>
    <t>https://www.amazon.com/dp/B0DVH59VKD?psc=1</t>
  </si>
  <si>
    <t>https://m.media-amazon.com/images/I/61qog2Sl2FL.jpg</t>
  </si>
  <si>
    <t>Tomcat Repellents Rodent Repellent Ready-To-Use, 1 gal. (2-Pack)</t>
  </si>
  <si>
    <t>https://www.amazon.com/dp/B0BZDY5G3R</t>
  </si>
  <si>
    <t>128 Ounce (Pack of 2)</t>
  </si>
  <si>
    <t>Motomco</t>
  </si>
  <si>
    <t>https://m.media-amazon.com/images/I/51rLHAiObXL.jpg</t>
  </si>
  <si>
    <t>Tomcat Titan Rodent Bait Station | Commercial Grade Pest Control | Run Traps and Bait in Tandem | No Additional Securing Required</t>
  </si>
  <si>
    <t>https://www.amazon.com/dp/B07YLDRZVX</t>
  </si>
  <si>
    <t>1-pk</t>
  </si>
  <si>
    <t>https://m.media-amazon.com/images/I/61i3s4CXMVL.jpg</t>
  </si>
  <si>
    <t>Tomcat Tunnel Trapping System</t>
  </si>
  <si>
    <t>https://www.amazon.com/dp/B012RDQXMQ?psc=1</t>
  </si>
  <si>
    <t>https://m.media-amazon.com/images/I/81IGR7pIo0L.jpg</t>
  </si>
  <si>
    <t>Tomcat Mole Killer Grubs, 8 Grubs</t>
  </si>
  <si>
    <t>https://www.amazon.com/dp/B012VK6OOW?psc=1</t>
  </si>
  <si>
    <t>https://m.media-amazon.com/images/I/71DgSPvIX5L.jpg</t>
  </si>
  <si>
    <t>Tomcat Super Hold Glue Traps Rat Size, 2 Sticky Rat Traps</t>
  </si>
  <si>
    <t>https://www.amazon.com/dp/B01N7KUOWN?psc=1</t>
  </si>
  <si>
    <t>12-Pack</t>
  </si>
  <si>
    <t>https://m.media-amazon.com/images/I/7186Nqjb7fL.jpg</t>
  </si>
  <si>
    <t>Tomcat Super Hold Glue Traps Mouse Size, 3-Pack (12 Glue Traps)</t>
  </si>
  <si>
    <t>https://www.amazon.com/dp/B012RDZ34A?psc=1</t>
  </si>
  <si>
    <t>https://m.media-amazon.com/images/I/81DWvd8+57L.jpg</t>
  </si>
  <si>
    <t>Tomcat Super Hold Glue Traps Mouse Size, 32 Traps</t>
  </si>
  <si>
    <t>https://www.amazon.com/dp/B0BZDTVQYC?psc=1</t>
  </si>
  <si>
    <t>https://m.media-amazon.com/images/I/71I3yLe1W3L.jpg</t>
  </si>
  <si>
    <t>Tomcat Kill &amp; Contain Mouse Trap, 4 traps</t>
  </si>
  <si>
    <t>https://www.amazon.com/dp/B012VN2PSS?psc=1</t>
  </si>
  <si>
    <t>https://m.media-amazon.com/images/I/71ljBTAlsTL.jpg</t>
  </si>
  <si>
    <t>Tomcat Repellents Rodent Repellent Continuous Spray, 2-Pack</t>
  </si>
  <si>
    <t>https://www.amazon.com/dp/B012REE9C6?psc=1</t>
  </si>
  <si>
    <t>https://m.media-amazon.com/images/I/81AykjskH7L.jpg</t>
  </si>
  <si>
    <t>Tomcat Mouse Killer, Child Resistant, Disposable Station, 1 Station</t>
  </si>
  <si>
    <t>https://www.amazon.com/dp/B01N30Z11V?psc=1</t>
  </si>
  <si>
    <t>1 Station</t>
  </si>
  <si>
    <t>https://m.media-amazon.com/images/I/71VgvF+ObZL.jpg</t>
  </si>
  <si>
    <t>Tomcat Mouse Bait Stations, 2 Packages Each with 4 Pre-Filled Stations</t>
  </si>
  <si>
    <t>https://www.amazon.com/dp/B012VN2HLI?psc=1</t>
  </si>
  <si>
    <t>8 Stations</t>
  </si>
  <si>
    <t>https://m.media-amazon.com/images/I/71lW1LjQmWL.jpg</t>
  </si>
  <si>
    <t>Tomcat Repellents Rodent Repeller Refill Pack, 2 Refills</t>
  </si>
  <si>
    <t>https://www.amazon.com/dp/B012VP1VPY?psc=1</t>
  </si>
  <si>
    <t>0.64 Fl Oz (Pack of 2)</t>
  </si>
  <si>
    <t>https://m.media-amazon.com/images/I/81NEtF5jaUL.jpg</t>
  </si>
  <si>
    <t>https://www.amazon.com/dp/B01MT6BRO9?psc=1</t>
  </si>
  <si>
    <t>Scott'S Formerly Motomco</t>
  </si>
  <si>
    <t>https://m.media-amazon.com/images/I/615zONIqEuL.jpg</t>
  </si>
  <si>
    <t>Tomcat Rat Snap Trap- Pack of 4</t>
  </si>
  <si>
    <t>https://www.amazon.com/dp/B073Z6T92D</t>
  </si>
  <si>
    <t>https://m.media-amazon.com/images/I/71irKMHaaGL.jpg</t>
  </si>
  <si>
    <t>Tomcat Mole Trap, 1 Trap</t>
  </si>
  <si>
    <t>https://www.amazon.com/dp/B012RDRGYU?psc=1</t>
  </si>
  <si>
    <t>https://m.media-amazon.com/images/I/817yxXzeS8L.jpg</t>
  </si>
  <si>
    <t>Tomcat Rat &amp; Mouse Killer Refillable Rockscape Bait Station</t>
  </si>
  <si>
    <t>https://www.amazon.com/dp/B09GGF2F71</t>
  </si>
  <si>
    <t>https://m.media-amazon.com/images/I/71zIcGUyqJL.jpg</t>
  </si>
  <si>
    <t>Tomcat Press 'N Set Mouse Trap, 16 Traps</t>
  </si>
  <si>
    <t>https://www.amazon.com/dp/B0CKLZ3HMN?psc=1</t>
  </si>
  <si>
    <t>https://m.media-amazon.com/images/I/819YtxpBhhL.jpg</t>
  </si>
  <si>
    <t>Tomcat Rodent Station, 1 Station with Security Key</t>
  </si>
  <si>
    <t>https://www.amazon.com/dp/B01N5MJFZK?psc=1</t>
  </si>
  <si>
    <t>https://m.media-amazon.com/images/I/71IurmiJJML.jpg</t>
  </si>
  <si>
    <t>Tomcat Glue Traps Rat Size with Eugenol for Enhanced Stickiness, 24 Traps</t>
  </si>
  <si>
    <t>https://www.amazon.com/dp/B01NBNAM0Y?psc=1</t>
  </si>
  <si>
    <t>24 Traps</t>
  </si>
  <si>
    <t>https://m.media-amazon.com/images/I/71R8kgHQE0L.jpg</t>
  </si>
  <si>
    <t>Tomcat Mouse Trap with Immediate Grip Glue for Mice, Cockroaches, Spiders, and Scorpions, Ready-To-Use, 4 Traps</t>
  </si>
  <si>
    <t>https://www.amazon.com/dp/B012RGO4ZG?psc=1</t>
  </si>
  <si>
    <t>https://m.media-amazon.com/images/I/81WgV-+ZjAL.jpg</t>
  </si>
  <si>
    <t>Tomcat Mouse Bait Station, 2 Packages Each with 1 Station &amp; 16 Bait Blocks</t>
  </si>
  <si>
    <t>https://www.amazon.com/dp/B0132FYCP8?psc=1</t>
  </si>
  <si>
    <t>https://m.media-amazon.com/images/I/71TWtRcvPYL.jpg</t>
  </si>
  <si>
    <t>Tomcat Mouse Killer, Child &amp; Dog Resistant, Refillable Station and 4 Baits</t>
  </si>
  <si>
    <t>https://www.amazon.com/dp/B012VK688Y?psc=1</t>
  </si>
  <si>
    <t>https://m.media-amazon.com/images/I/81XQMai3pLS.jpg</t>
  </si>
  <si>
    <t>Tomcat Rat &amp; Mouse Bait Station, 4 Packages Each with 1 Station &amp; 15 Baits</t>
  </si>
  <si>
    <t>https://www.amazon.com/dp/B01MS07UDH?psc=1</t>
  </si>
  <si>
    <t>https://m.media-amazon.com/images/I/71EHrmOQWkL.jpg</t>
  </si>
  <si>
    <t>Tomcat Rat &amp; Mouse Killer, Child &amp; Dog Resistant, Disposable Station</t>
  </si>
  <si>
    <t>https://www.amazon.com/dp/B01MY5HL4Y?psc=1</t>
  </si>
  <si>
    <t>https://m.media-amazon.com/images/I/81ZyfqN87VL.jpg</t>
  </si>
  <si>
    <t>Tomcat Mouse Bait Stations, 6 Packages Each with 2 Pre-Filled Stations</t>
  </si>
  <si>
    <t>https://www.amazon.com/dp/B01N5MKVUS?psc=1</t>
  </si>
  <si>
    <t>https://m.media-amazon.com/images/I/91rRWf0pKTL.jpg</t>
  </si>
  <si>
    <t>Tomcat Glue Boards with Eugenol for Enhanced Stickiness, 104 Sticky Traps</t>
  </si>
  <si>
    <t>https://www.amazon.com/dp/B01NCOT3W4?psc=1</t>
  </si>
  <si>
    <t>26-Pack</t>
  </si>
  <si>
    <t>Tomcat Mouse Traps (Wooden), 48 Traps</t>
  </si>
  <si>
    <t>https://www.amazon.com/dp/B01MQYUVLK?psc=1</t>
  </si>
  <si>
    <t>https://m.media-amazon.com/images/I/71szanVri-L.jpg</t>
  </si>
  <si>
    <t>Tomcat Repellents Rodent Repellent Continuous Spray, 14 oz. (3-Pack)</t>
  </si>
  <si>
    <t>https://www.amazon.com/dp/B012REEF2A?psc=1</t>
  </si>
  <si>
    <t>https://m.media-amazon.com/images/I/71H-l5Sm8kL.jpg</t>
  </si>
  <si>
    <t>Tomcat Bromethalin Bait Chunx — Rat and Mouse Control Blocks for Agricultural Use, 4 lbs.</t>
  </si>
  <si>
    <t>https://www.amazon.com/dp/B005BV0DD2</t>
  </si>
  <si>
    <t>https://m.media-amazon.com/images/I/81RuyWQNUoL.jpg</t>
  </si>
  <si>
    <t>Tomcat Mouse Bait Stations, 4 Packages Each with 4 Pre-Filled Stations</t>
  </si>
  <si>
    <t>https://www.amazon.com/dp/B012RDZN9A?psc=1</t>
  </si>
  <si>
    <t>https://m.media-amazon.com/images/I/81cUriSrt8L.jpg</t>
  </si>
  <si>
    <t>Tomcat Repellents Deer Repellent, 1 gal.</t>
  </si>
  <si>
    <t>https://www.amazon.com/dp/B071L9QR2B?psc=1</t>
  </si>
  <si>
    <t>128 Fl Oz (Pack of 1)</t>
  </si>
  <si>
    <t>https://m.media-amazon.com/images/I/81oCBboMt6L.jpg</t>
  </si>
  <si>
    <t>Tomcat Rat Snap Trap, 8 Rat Size Traps</t>
  </si>
  <si>
    <t>https://www.amazon.com/dp/B01N2WKMEE</t>
  </si>
  <si>
    <t>https://m.media-amazon.com/images/I/71PtIXplj0L.jpg</t>
  </si>
  <si>
    <t>Tomcat Press 'N Set Mouse Trap, Plastic, Spring-Loaded Mouse Killer with Grab-Tab, 2 Traps</t>
  </si>
  <si>
    <t>https://www.amazon.com/dp/B00N6XKVNY</t>
  </si>
  <si>
    <t>Press 'N Set Trap - 2 Set (1 Pack)</t>
  </si>
  <si>
    <t>https://m.media-amazon.com/images/I/81RNR3CgjEL.jpg</t>
  </si>
  <si>
    <t>Tomcat Glue Traps Mouse Size with Eugenol for Enhanced Stickiness, 72 Traps</t>
  </si>
  <si>
    <t>https://www.amazon.com/dp/B01N2WKLR0?psc=1</t>
  </si>
  <si>
    <t>https://m.media-amazon.com/images/I/81OJ8Z+1FUL.jpg</t>
  </si>
  <si>
    <t>Tomcat Rat &amp; Mouse Bait Stations, 4 Packages Each with 1 Prefilled Station</t>
  </si>
  <si>
    <t>https://www.amazon.com/dp/B01MZ2LOBP?psc=1</t>
  </si>
  <si>
    <t>https://m.media-amazon.com/images/I/71wtBvW1+3L.jpg</t>
  </si>
  <si>
    <t>Tomcat Secure-Kill Rat Trap, 2 Traps</t>
  </si>
  <si>
    <t>https://www.amazon.com/dp/B08R6F8FGY?psc=1</t>
  </si>
  <si>
    <t>https://m.media-amazon.com/images/I/71oTSaqtiWL.jpg</t>
  </si>
  <si>
    <t>Tomcat Mole Trap, 2 Traps</t>
  </si>
  <si>
    <t>https://www.amazon.com/dp/B012ODVXHY?psc=1</t>
  </si>
  <si>
    <t>https://m.media-amazon.com/images/I/91WX73j0-UL.jpg</t>
  </si>
  <si>
    <t>Tomcat Mouse Traps (Wooden), 24 Traps</t>
  </si>
  <si>
    <t>https://www.amazon.com/dp/B01MU3GZWX?psc=1</t>
  </si>
  <si>
    <t>24-Pack</t>
  </si>
  <si>
    <t>https://m.media-amazon.com/images/I/71X3w3mYNRL.jpg</t>
  </si>
  <si>
    <t>Tomcat Repellents Rodent Repellent Ready-to-Use with Comfort Wand, 1 gal.</t>
  </si>
  <si>
    <t>https://www.amazon.com/dp/B012RGQ936?psc=1</t>
  </si>
  <si>
    <t>128 Ounce (Pack of 1)</t>
  </si>
  <si>
    <t>https://m.media-amazon.com/images/I/7186uKUl6SL.jpg</t>
  </si>
  <si>
    <t>Tomcat Repellents Rodent Repeller, 1 Warmer with 1 Refill</t>
  </si>
  <si>
    <t>https://www.amazon.com/dp/B012REF4D4?psc=1</t>
  </si>
  <si>
    <t>1.21 Fl Oz (Pack of 1)</t>
  </si>
  <si>
    <t>https://m.media-amazon.com/images/I/81v71yDLtNL.jpg</t>
  </si>
  <si>
    <t>Tomcat Repellents Animal Repellent Ready-to-Use1 with Comfort Wand, 1 gal.</t>
  </si>
  <si>
    <t>https://www.amazon.com/dp/B0719DF4NZ?psc=1</t>
  </si>
  <si>
    <t>https://m.media-amazon.com/images/I/71hGDrEGsNL.jpg</t>
  </si>
  <si>
    <t>Tomcat Advanced Brand Mouse Bait with Refillable Station, Indoor and Outdoor Use, 1 Station and 6 Bait Block Refills</t>
  </si>
  <si>
    <t>https://www.amazon.com/dp/B0CLSF5325?psc=1</t>
  </si>
  <si>
    <t>https://m.media-amazon.com/images/I/71g-NRF5GzL.jpg</t>
  </si>
  <si>
    <t>Tomcat Advanced Brand Rat &amp; Mouse Bait with Refillable Station, 12 Baits</t>
  </si>
  <si>
    <t>https://www.amazon.com/dp/B012E3F87U?psc=1</t>
  </si>
  <si>
    <t>https://m.media-amazon.com/images/I/817oSER7qEL.jpg</t>
  </si>
  <si>
    <t>Tomcat Mouse Bait Station, 6 Packages Each with 1 Station &amp; 4 Bait Blocks</t>
  </si>
  <si>
    <t>https://www.amazon.com/dp/B005KF8PAM?psc=1</t>
  </si>
  <si>
    <t>https://m.media-amazon.com/images/I/71VGyV1SssL.jpg</t>
  </si>
  <si>
    <t>Tomcat with Bromethalin Bait Chunx Pail, Rat and Mice Control for Agricultural Use and Professional Applicators, 4 lbs. 2-Pack</t>
  </si>
  <si>
    <t>https://www.amazon.com/dp/B0BSRFNZQV</t>
  </si>
  <si>
    <t>https://m.media-amazon.com/images/I/71C9oSyQcxL.jpg</t>
  </si>
  <si>
    <t>Tomcat Mouse Killer Disposable Station for Indoor Use - Child Resistant, 3 Stations with 1 Bait Each</t>
  </si>
  <si>
    <t>https://www.amazon.com/dp/B012VJMDK2</t>
  </si>
  <si>
    <t>https://m.media-amazon.com/images/I/71FJmFspHoL.jpg</t>
  </si>
  <si>
    <t>https://www.amazon.com/dp/B0CLSG1DNG</t>
  </si>
  <si>
    <t>https://m.media-amazon.com/images/I/71hLLBFeN4L.jpg</t>
  </si>
  <si>
    <t>Tomcat Rat Killer II Tier 1 Refillable Rat Bait Station</t>
  </si>
  <si>
    <t>https://www.amazon.com/dp/B00CQDNBTG</t>
  </si>
  <si>
    <t>B00DLKGD3Y</t>
  </si>
  <si>
    <t>B00270DAIU</t>
  </si>
  <si>
    <t>B007A60AMA</t>
  </si>
  <si>
    <t>B07GBQKLWZ</t>
  </si>
  <si>
    <t>B0713S4D85</t>
  </si>
  <si>
    <t>B00D8NL29O</t>
  </si>
  <si>
    <t>B004ZXAPAS</t>
  </si>
  <si>
    <t>B00YZHVB2A</t>
  </si>
  <si>
    <t>B007ICK5RG</t>
  </si>
  <si>
    <t>B0BKH9GQG8</t>
  </si>
  <si>
    <t>B075H1NMKJ</t>
  </si>
  <si>
    <t>B07LH9QJFP</t>
  </si>
  <si>
    <t>B071Z52Z2Y</t>
  </si>
  <si>
    <t>B000HMCAAO</t>
  </si>
  <si>
    <t>B0BKHB35LQ</t>
  </si>
  <si>
    <t>B01BWA8U4Y</t>
  </si>
  <si>
    <t>B004ZXAQEI</t>
  </si>
  <si>
    <t>B00DLKGIT8</t>
  </si>
  <si>
    <t>B00DLKKYRU</t>
  </si>
  <si>
    <t>B001KMYREM</t>
  </si>
  <si>
    <t>B002ITSNAK</t>
  </si>
  <si>
    <t>B072DX31YY</t>
  </si>
  <si>
    <t>B000BZ1HWO</t>
  </si>
  <si>
    <t>B000XDUPXQ</t>
  </si>
  <si>
    <t>B084WN1K1S</t>
  </si>
  <si>
    <t>B00PUOW4QO</t>
  </si>
  <si>
    <t>B07MVM3XLC</t>
  </si>
  <si>
    <t>B0BKH945MP</t>
  </si>
  <si>
    <t>B015L2J2DM</t>
  </si>
  <si>
    <t>B005FMKDXW</t>
  </si>
  <si>
    <t>B0014T72SY</t>
  </si>
  <si>
    <t>B001QV3U7C</t>
  </si>
  <si>
    <t>B00VE3BDVC</t>
  </si>
  <si>
    <t>B07MVKYC8Y</t>
  </si>
  <si>
    <t>B07286FCZ3</t>
  </si>
  <si>
    <t>B074N7ZSRR</t>
  </si>
  <si>
    <t>B0BKH6DWPN</t>
  </si>
  <si>
    <t>B00DLKFYM0</t>
  </si>
  <si>
    <t>B000T7J9TM</t>
  </si>
  <si>
    <t>B072HY83CL</t>
  </si>
  <si>
    <t>B0722P2QHQ</t>
  </si>
  <si>
    <t>B015LDUJ5G</t>
  </si>
  <si>
    <t>B0CFXWZYHV</t>
  </si>
  <si>
    <t>B00DLKKT1Q</t>
  </si>
  <si>
    <t>B000NCWOM2</t>
  </si>
  <si>
    <t>JT Eaton</t>
  </si>
  <si>
    <t>3M</t>
  </si>
  <si>
    <t>https://m.media-amazon.com/images/I/71OL+FSL2CL.jpg</t>
  </si>
  <si>
    <t>J.T. Eaton 704-PN Bait Block, Solid, 1 oz, Pail</t>
  </si>
  <si>
    <t>https://www.amazon.com/dp/B00DLKGD3Y</t>
  </si>
  <si>
    <t>https://m.media-amazon.com/images/I/710hezB2nAL.jpg</t>
  </si>
  <si>
    <t>BIGFOOT Rat Size Snap Trap with Expanded Trigger – Heavy-Duty Wooden Rat Trap with Adjustable Sensitivity for Effective Rodent Control</t>
  </si>
  <si>
    <t>https://www.amazon.com/dp/B00270DAIU?psc=1</t>
  </si>
  <si>
    <t>https://m.media-amazon.com/images/I/71-D9aFnTVL.jpg</t>
  </si>
  <si>
    <t>JT Eaton Anticoagulant Rodenticide Bait Block for Mice and Rats, Made in USA, Apple Flavor, 9 lb Pail of 144 Blocks</t>
  </si>
  <si>
    <t>https://www.amazon.com/dp/B007A60AMA</t>
  </si>
  <si>
    <t>J T Eaton</t>
  </si>
  <si>
    <t>https://m.media-amazon.com/images/I/717166MjcQL.jpg</t>
  </si>
  <si>
    <t>Bait Block Apple Flavor Rodenticide – 4 lb. Pail – Effective Rodent Control Bait Blocks – Long-Lasting and Easy to Use</t>
  </si>
  <si>
    <t>https://www.amazon.com/dp/B07GBQKLWZ</t>
  </si>
  <si>
    <t>https://m.media-amazon.com/images/I/71mj5I2NasL.jpg</t>
  </si>
  <si>
    <t>JT Eaton 409 Jawz Indoor Plastic Mouse Trap for Solid or Liquid Bait, Instant Kill Mouse Traps, No-Touch Disposal with Trap Set Indicator 6-Pack</t>
  </si>
  <si>
    <t>https://www.amazon.com/dp/B0713S4D85</t>
  </si>
  <si>
    <t>https://m.media-amazon.com/images/I/71HizGcnRXL.jpg</t>
  </si>
  <si>
    <t>JT Eaton Glue Trap - for Crickets and Spiders, Home Pest Control - 4 Pack - Multi Material</t>
  </si>
  <si>
    <t>https://www.amazon.com/dp/B00D8NL29O?psc=1</t>
  </si>
  <si>
    <t>https://m.media-amazon.com/images/I/81Vx9r7MMmL.jpg</t>
  </si>
  <si>
    <t>Stick-Em Mouse &amp; Insect Glue Trap – Effective Indoor Rodent &amp; Insect Control – Non-Toxic, Mess-Free Adhesive – Ideal for Mice, Spiders, and Crawling Insects – Easy to Use and Dispose</t>
  </si>
  <si>
    <t>https://www.amazon.com/dp/B004ZXAPAS</t>
  </si>
  <si>
    <t>https://m.media-amazon.com/images/I/714vwjji12L.jpg</t>
  </si>
  <si>
    <t>J T Eaton 076706844002 Spider and Cricket Glue Trap (Pack of 5), White Box</t>
  </si>
  <si>
    <t>https://www.amazon.com/dp/B00YZHVB2A</t>
  </si>
  <si>
    <t>JT Eaton Store</t>
  </si>
  <si>
    <t>https://m.media-amazon.com/images/I/71LFOnpN+fL.jpg</t>
  </si>
  <si>
    <t>JT Eaton Anticoagulant Rodenticide Bait Block for Mice and Rats, Made in USA, Peanut Butter Flavor, 9 Pound Pail, 144 Blocks</t>
  </si>
  <si>
    <t>https://www.amazon.com/dp/B007ICK5RG</t>
  </si>
  <si>
    <t>https://m.media-amazon.com/images/I/81la5LYo11L.jpg</t>
  </si>
  <si>
    <t>ZendoZones Succulent Fruit Fly Trap – Dark Green Design with White Base – Eco-Friendly Indoor Fruit Fly Control – Easy-to-Use Decorative Trap</t>
  </si>
  <si>
    <t>https://www.amazon.com/dp/B0BKH9GQG8?psc=1</t>
  </si>
  <si>
    <t>https://m.media-amazon.com/images/I/81QHcPobxpL.jpg</t>
  </si>
  <si>
    <t>JT Eaton 709-PN Bait Block Rodenticide Anticoagulant Bait, Peanut Butter Flavor, for Mice and Rats (Pail of 144) (2 Pails of 144)</t>
  </si>
  <si>
    <t>https://www.amazon.com/dp/B075H1NMKJ</t>
  </si>
  <si>
    <t>https://m.media-amazon.com/images/I/617tSRKRJmL.jpg</t>
  </si>
  <si>
    <t>JAWZTM Plastic Mouse Traps Packed Bulk, Packed 6 per Case</t>
  </si>
  <si>
    <t>https://www.amazon.com/dp/B07LH9QJFP</t>
  </si>
  <si>
    <t>https://m.media-amazon.com/images/I/71iGgugfAVL.jpg</t>
  </si>
  <si>
    <t>JT Eaton Jawz 407 Depot Covered Mouse Traps</t>
  </si>
  <si>
    <t>https://www.amazon.com/dp/B071Z52Z2Y?psc=1</t>
  </si>
  <si>
    <t>https://m.media-amazon.com/images/I/519oi-LvXFL.jpg</t>
  </si>
  <si>
    <t>Crawling Insect Killer, Powder</t>
  </si>
  <si>
    <t>https://www.amazon.com/dp/B000HMCAAO?psc=1</t>
  </si>
  <si>
    <t>https://m.media-amazon.com/images/I/51ziuV1iFLL.jpg</t>
  </si>
  <si>
    <t>ZendoZones Succulent Fruit Fly Trap – Dark Green Design with Terracotta Base – Eco-Friendly Indoor Fruit Fly Control – Easy-to-Use Decorative Trap</t>
  </si>
  <si>
    <t>https://www.amazon.com/dp/B0BKHB35LQ?psc=1</t>
  </si>
  <si>
    <t>https://m.media-amazon.com/images/I/711Iar60MCL.jpg</t>
  </si>
  <si>
    <t>JT Eaton Mouse Trap - No-Touch Disposal, Trap Set Indicator, Jawz Mousetraps - 12-Pack - Plastic</t>
  </si>
  <si>
    <t>https://www.amazon.com/dp/B01BWA8U4Y?psc=1</t>
  </si>
  <si>
    <t>https://m.media-amazon.com/images/I/517l4aB3U-L.jpg</t>
  </si>
  <si>
    <t>J T Eaton JT Eaton 410, 1 Pack Rat Trap, 3-1/2 in. L, 5-7/8 in. W, Black</t>
  </si>
  <si>
    <t>https://www.amazon.com/dp/B004ZXAQEI?psc=1</t>
  </si>
  <si>
    <t>https://m.media-amazon.com/images/I/71dmpB49HeL.jpg</t>
  </si>
  <si>
    <t>JT Eaton Top Gun All-Weather Rodenticide Bait Blocks, Rats &amp; Mice</t>
  </si>
  <si>
    <t>https://www.amazon.com/dp/B00DLKGIT8</t>
  </si>
  <si>
    <t>JT Eaton 409 Jawz Indoor Plastic Mouse Trap for Solid or Liquid Bait, Instant Kill Mouse Traps, No-Touch Disposal with Trap Set Indicator 24-Pack</t>
  </si>
  <si>
    <t>https://www.amazon.com/dp/B00DLKKYRU</t>
  </si>
  <si>
    <t>https://m.media-amazon.com/images/I/71WGMFAAj9L.jpg</t>
  </si>
  <si>
    <t>J T Eaton JT Eaton J T Eaton 155N Stick-Em Rat and Mouse Size, 2-Pack, Multi, 2 Glue Traps</t>
  </si>
  <si>
    <t>https://www.amazon.com/dp/B001KMYREM</t>
  </si>
  <si>
    <t>https://m.media-amazon.com/images/I/61ToRQl03aL.jpg</t>
  </si>
  <si>
    <t>J T Eaton Stick-A-Fly Fly Trap for Windows</t>
  </si>
  <si>
    <t>https://www.amazon.com/dp/B002ITSNAK</t>
  </si>
  <si>
    <t>https://m.media-amazon.com/images/I/61BHvHqt2EL.jpg</t>
  </si>
  <si>
    <t>JAWZ Plastic Covered Rat Traps, Black, 6 Pack</t>
  </si>
  <si>
    <t>https://www.amazon.com/dp/B072DX31YY</t>
  </si>
  <si>
    <t>https://m.media-amazon.com/images/I/81V9+tq97PL.jpg</t>
  </si>
  <si>
    <t>JT Eaton Anticoagulant Block Bait for Pocket Gophers, Moisture Resistant, 1 lb Box of 4</t>
  </si>
  <si>
    <t>https://www.amazon.com/dp/B000BZ1HWO?psc=1</t>
  </si>
  <si>
    <t>https://m.media-amazon.com/images/I/81oo+V8zYIL.jpg</t>
  </si>
  <si>
    <t>JT Eaton Stick-Em Compact Mouse Glue Trap, Non-Toxic, Indoor Use</t>
  </si>
  <si>
    <t>https://www.amazon.com/dp/B000XDUPXQ</t>
  </si>
  <si>
    <t>https://m.media-amazon.com/images/I/61g-nkvc1lL.jpg</t>
  </si>
  <si>
    <t>JT Eaton Home Pest Lures - Top Loader Bait Station, Modern Style - 2 Pack - Plastic</t>
  </si>
  <si>
    <t>https://www.amazon.com/dp/B084WN1K1S</t>
  </si>
  <si>
    <t>Eaton J T</t>
  </si>
  <si>
    <t>https://m.media-amazon.com/images/I/512gcLqKM1L.jpg</t>
  </si>
  <si>
    <t>J T Eaton 844 Pest Catchers Large Spider and Cricket Size Attractant Scented Glue Trap, 8 Traps</t>
  </si>
  <si>
    <t>https://www.amazon.com/dp/B00PUOW4QO</t>
  </si>
  <si>
    <t>https://m.media-amazon.com/images/I/81BNvx2X+bL.jpg</t>
  </si>
  <si>
    <t>Stick-Em 198-12S 12 Pack Scorpion Glue Trap, Brown/A</t>
  </si>
  <si>
    <t>https://www.amazon.com/dp/B07MVM3XLC</t>
  </si>
  <si>
    <t>https://m.media-amazon.com/images/I/71ykERmkHVL.jpg</t>
  </si>
  <si>
    <t>ZendoZones Fruit Fly Trap for Indoors, Light Green Succulent, White</t>
  </si>
  <si>
    <t>https://www.amazon.com/dp/B0BKH945MP?psc=1</t>
  </si>
  <si>
    <t>JT Eaton Jawz Depot Covered Mouse Trap</t>
  </si>
  <si>
    <t>https://www.amazon.com/dp/B015L2J2DM</t>
  </si>
  <si>
    <t>https://m.media-amazon.com/images/I/61GF5-JS5QL.jpg</t>
  </si>
  <si>
    <t>J T Eaton JT Eaton 428CL Mouse Trap with Clear Inspection Window, Pack of 1, N</t>
  </si>
  <si>
    <t>https://www.amazon.com/dp/B005FMKDXW?psc=1</t>
  </si>
  <si>
    <t>https://m.media-amazon.com/images/I/716OXKD7+oL.jpg</t>
  </si>
  <si>
    <t>Kills Bedbugs Oil-Based Spray, Gallon with Sprayer – Professional Bed Bug Killer for Indoor Use – Oil-Based Formula for Mattresses, Furniture &amp; Upholstery – Easy Application Pest Control Treatment</t>
  </si>
  <si>
    <t>https://www.amazon.com/dp/B0014T72SY?psc=1</t>
  </si>
  <si>
    <t>https://m.media-amazon.com/images/I/61CwSyWhQKL.jpg</t>
  </si>
  <si>
    <t>J T Eaton Oil Base Bedbug Spray</t>
  </si>
  <si>
    <t>https://www.amazon.com/dp/B001QV3U7C?psc=1</t>
  </si>
  <si>
    <t>Jt Eaton</t>
  </si>
  <si>
    <t>https://m.media-amazon.com/images/I/7161XcEanyL.jpg</t>
  </si>
  <si>
    <t>JT Eaton Answer Humane Live Catch &amp; Release Skunk Trap, Wire Cage</t>
  </si>
  <si>
    <t>https://www.amazon.com/dp/B00VE3BDVC</t>
  </si>
  <si>
    <t>https://m.media-amazon.com/images/I/81H5IO8P5AL.jpg</t>
  </si>
  <si>
    <t>JT Eaton 144N Stick-Em Covered Mouse Glue Trap, 3, Brown/A</t>
  </si>
  <si>
    <t>https://www.amazon.com/dp/B07MVKYC8Y?psc=1</t>
  </si>
  <si>
    <t>https://m.media-amazon.com/images/I/71VuFrqosxL.jpg</t>
  </si>
  <si>
    <t>JT Eaton Rodent Rock 2G Tamper-Resistant Bait Station, Outdoor</t>
  </si>
  <si>
    <t>https://www.amazon.com/dp/B07286FCZ3</t>
  </si>
  <si>
    <t>https://m.media-amazon.com/images/I/41S9B5TAJpL.jpg</t>
  </si>
  <si>
    <t>JT Eaton Home Pest Control Trap - Top Loader Bait Station, Modern Style - 6 Pack - Plastic</t>
  </si>
  <si>
    <t>https://www.amazon.com/dp/B074N7ZSRR</t>
  </si>
  <si>
    <t>https://m.media-amazon.com/images/I/61ZNTkbFr0L.jpg</t>
  </si>
  <si>
    <t>JT Eaton Jawz Safe-Tee Rat and Mouse Bait Station, Black</t>
  </si>
  <si>
    <t>https://www.amazon.com/dp/B0BKH6DWPN</t>
  </si>
  <si>
    <t>https://m.media-amazon.com/images/I/61VpoILg5jL.jpg</t>
  </si>
  <si>
    <t>JT Eaton Double Jeopardy Glue Board for Rodents &amp; Insects, 72-Pack</t>
  </si>
  <si>
    <t>https://www.amazon.com/dp/B00DLKFYM0</t>
  </si>
  <si>
    <t>https://m.media-amazon.com/images/I/71jsrxe7ulL.jpg</t>
  </si>
  <si>
    <t>J T Eaton 444 Fly Glue Trap</t>
  </si>
  <si>
    <t>https://www.amazon.com/dp/B000T7J9TM</t>
  </si>
  <si>
    <t>https://m.media-amazon.com/images/I/71q5Prt2-9L.jpg</t>
  </si>
  <si>
    <t>JT Eaton Stick-Em City Rat &amp; Snake Glue Trap, Extra Large Size</t>
  </si>
  <si>
    <t>https://www.amazon.com/dp/B072HY83CL?psc=1</t>
  </si>
  <si>
    <t>https://m.media-amazon.com/images/I/71EDCWmrApL.jpg</t>
  </si>
  <si>
    <t>JT Eaton 716-S Nectus Soft Bait 2G Second Generation Rodenticide, Bait for Rats and Mice, 16-Pound Pail</t>
  </si>
  <si>
    <t>https://www.amazon.com/dp/B0722P2QHQ</t>
  </si>
  <si>
    <t>https://m.media-amazon.com/images/I/6157o1L4flL.jpg</t>
  </si>
  <si>
    <t>J T Eaton 844 Pest Catchers Large Spider and Cricket Size Attractant Scented Glue Trap, 12 Traps</t>
  </si>
  <si>
    <t>https://www.amazon.com/dp/B015LDUJ5G</t>
  </si>
  <si>
    <t>https://m.media-amazon.com/images/I/71vw1pgbaRL.jpg</t>
  </si>
  <si>
    <t>ClimbUp Original White – Effective Bed Bug Interceptor Trap – Durable, Easy-to-Use Pest Monitoring Solution</t>
  </si>
  <si>
    <t>https://www.amazon.com/dp/B0CFXWZYHV</t>
  </si>
  <si>
    <t>https://m.media-amazon.com/images/I/718FdwjxquL.jpg</t>
  </si>
  <si>
    <t>JT Eaton Bigfoot Rat Snap Trap with Expanded Trigger, 12-Pack</t>
  </si>
  <si>
    <t>https://www.amazon.com/dp/B00DLKKT1Q</t>
  </si>
  <si>
    <t>https://m.media-amazon.com/images/I/716NnqORVIL.jpg</t>
  </si>
  <si>
    <t>JT Eaton Stick-A-Fly Window Fly Trap, Clear</t>
  </si>
  <si>
    <t>https://www.amazon.com/dp/B000NCWOM2</t>
  </si>
  <si>
    <t>9_Pound</t>
  </si>
  <si>
    <t>4_Pound</t>
  </si>
  <si>
    <t>144 Count (Pack of 1)</t>
  </si>
  <si>
    <t>2 Pails of 144</t>
  </si>
  <si>
    <t>1_pound</t>
  </si>
  <si>
    <t>2 Glue Traps</t>
  </si>
  <si>
    <t>16 Ounce (Pack of 1)</t>
  </si>
  <si>
    <t>4 Glue Traps</t>
  </si>
  <si>
    <t>6 pack</t>
  </si>
  <si>
    <t>1-Gallon</t>
  </si>
  <si>
    <t>1-Quart</t>
  </si>
  <si>
    <t>3 Count (Pack of 1)</t>
  </si>
  <si>
    <t>B005SEADJ6</t>
  </si>
  <si>
    <t>B003K2RYAY</t>
  </si>
  <si>
    <t>B002Y6JHES</t>
  </si>
  <si>
    <t>B0084NVRQQ</t>
  </si>
  <si>
    <t>B003ORPOJ8</t>
  </si>
  <si>
    <t>B002V0ZM4G</t>
  </si>
  <si>
    <t>B0084X5ONI</t>
  </si>
  <si>
    <t>B007QT3FBY</t>
  </si>
  <si>
    <t>B003K947Q6</t>
  </si>
  <si>
    <t>B005DL9AGQ</t>
  </si>
  <si>
    <t>B006WTCYK2</t>
  </si>
  <si>
    <t>B07YCMW8KD</t>
  </si>
  <si>
    <t>B015BSUAEG</t>
  </si>
  <si>
    <t>B00CLTOEX2</t>
  </si>
  <si>
    <t>B004HHK98A</t>
  </si>
  <si>
    <t>B08CY6F7DV</t>
  </si>
  <si>
    <t>B002Y6NS48</t>
  </si>
  <si>
    <t>B00605F7TI</t>
  </si>
  <si>
    <t>B002Y5MVO2</t>
  </si>
  <si>
    <t>https://m.media-amazon.com/images/I/81bmdIIjE1L.jpg</t>
  </si>
  <si>
    <t>https://m.media-amazon.com/images/I/811IsCRQk3L.jpg</t>
  </si>
  <si>
    <t>https://m.media-amazon.com/images/I/81-DuKZt8oL.jpg</t>
  </si>
  <si>
    <t>https://m.media-amazon.com/images/I/71NJYvQkAwL.jpg</t>
  </si>
  <si>
    <t>https://m.media-amazon.com/images/I/61iENhZL-vL.jpg</t>
  </si>
  <si>
    <t>https://m.media-amazon.com/images/I/41YbxIoHREL.jpg</t>
  </si>
  <si>
    <t>https://m.media-amazon.com/images/I/51jdRqFoxeL.jpg</t>
  </si>
  <si>
    <t>https://m.media-amazon.com/images/I/71XRRGt14tL.jpg</t>
  </si>
  <si>
    <t>https://m.media-amazon.com/images/I/61o2zI-JpZL.jpg</t>
  </si>
  <si>
    <t>https://m.media-amazon.com/images/I/81MPzfYVjTL.jpg</t>
  </si>
  <si>
    <t>https://m.media-amazon.com/images/I/71CSKPCo5vL.jpg</t>
  </si>
  <si>
    <t>https://m.media-amazon.com/images/I/71DesHZ31gL.jpg</t>
  </si>
  <si>
    <t>https://m.media-amazon.com/images/I/51ADWFVUexL.jpg</t>
  </si>
  <si>
    <t>https://m.media-amazon.com/images/I/71cKFzjdeYL.jpg</t>
  </si>
  <si>
    <t>https://m.media-amazon.com/images/I/81A8ngoqFkL.jpg</t>
  </si>
  <si>
    <t>https://m.media-amazon.com/images/I/41hJDCNzU+L.jpg</t>
  </si>
  <si>
    <t>https://m.media-amazon.com/images/I/81YfCCwOLFL.jpg</t>
  </si>
  <si>
    <t>https://m.media-amazon.com/images/I/316wGkUJBXL.jpg</t>
  </si>
  <si>
    <t>https://m.media-amazon.com/images/I/71KNAnzmqiL.jpg</t>
  </si>
  <si>
    <t>https://www.amazon.com/dp/B005SEADJ6</t>
  </si>
  <si>
    <t>https://www.amazon.com/dp/B003K2RYAY</t>
  </si>
  <si>
    <t>https://www.amazon.com/dp/B002Y6JHES?psc=1</t>
  </si>
  <si>
    <t>https://www.amazon.com/dp/B0084NVRQQ</t>
  </si>
  <si>
    <t>https://www.amazon.com/dp/B003ORPOJ8</t>
  </si>
  <si>
    <t>https://www.amazon.com/dp/B002V0ZM4G</t>
  </si>
  <si>
    <t>https://www.amazon.com/dp/B0084X5ONI</t>
  </si>
  <si>
    <t>https://www.amazon.com/dp/B007QT3FBY</t>
  </si>
  <si>
    <t>https://www.amazon.com/dp/B003K947Q6</t>
  </si>
  <si>
    <t>https://www.amazon.com/dp/B005DL9AGQ</t>
  </si>
  <si>
    <t>https://www.amazon.com/dp/B006WTCYK2</t>
  </si>
  <si>
    <t>https://www.amazon.com/dp/B07YCMW8KD</t>
  </si>
  <si>
    <t>https://www.amazon.com/dp/B015BSUAEG</t>
  </si>
  <si>
    <t>https://www.amazon.com/dp/B00CLTOEX2</t>
  </si>
  <si>
    <t>https://www.amazon.com/dp/B004HHK98A</t>
  </si>
  <si>
    <t>https://www.amazon.com/dp/B08CY6F7DV</t>
  </si>
  <si>
    <t>https://www.amazon.com/dp/B002Y6NS48</t>
  </si>
  <si>
    <t>https://www.amazon.com/dp/B00605F7TI</t>
  </si>
  <si>
    <t>https://www.amazon.com/dp/B002Y5MVO2</t>
  </si>
  <si>
    <t>Contrac Blox 4lbs</t>
  </si>
  <si>
    <t>Bell Laboratories Talpirid 7150 Mole Bait Worms, 20 Count</t>
  </si>
  <si>
    <t>Trapper Insect Trap (Great for Bed Bugs, Spiders, Cockroaches) - Includes 90 Traps</t>
  </si>
  <si>
    <t>Final Blocks Rodenticide 18 lbs</t>
  </si>
  <si>
    <t>18 LB Contrac Blox Rodent Control Rodenticide Kills Mice &amp; Rats</t>
  </si>
  <si>
    <t>Provoke Professional Gel for Mouse Traps, 2 Oz</t>
  </si>
  <si>
    <t>Bell Labs Trapper T-Rex Rat Trap (4 Traps)</t>
  </si>
  <si>
    <t>Liquatox (There are 8 Pouches each with 1.7 oz of liquid per pouch)</t>
  </si>
  <si>
    <t>Trapper Mini T-rex Easy Set Mouse Snap Trap 6 Traps BELL-1044</t>
  </si>
  <si>
    <t>Bell Labs Contrac All Weather Blox 18 Lb Pail BELL</t>
  </si>
  <si>
    <t>Ditrac All-Weather Blox Bell Labs Rat Poison/Bait</t>
  </si>
  <si>
    <t>Contrac Blox Rodenticide - 1 Pail (18 lb.)</t>
  </si>
  <si>
    <t>Replacement Key Protecta Evo Bait Stations Evo Express Evo Ambush Evo Circuit</t>
  </si>
  <si>
    <t>Bell Final Blox Rodent Bait Poison 18#- Brodifacoum</t>
  </si>
  <si>
    <t>Terad3 Blox Kills Rats and Mice</t>
  </si>
  <si>
    <t>Bell Labs Fastrac Soft Bait</t>
  </si>
  <si>
    <t>Trapper Rat Glue Boards 1Pack (2 Boards)</t>
  </si>
  <si>
    <t>Trapper Max Free Mouse Glue Boards-12 Boards</t>
  </si>
  <si>
    <t>Trapper T Rex Rat Traps(1 Case-12 traps)</t>
  </si>
  <si>
    <t>Bell Labs</t>
  </si>
  <si>
    <t>Bell</t>
  </si>
  <si>
    <t>BELL LABS</t>
  </si>
  <si>
    <t>Bell Labratories Inc.</t>
  </si>
  <si>
    <t>selfhelppestcontrolonline</t>
  </si>
  <si>
    <t>Control Solutions, Inc</t>
  </si>
  <si>
    <t>Bell Laboratories</t>
  </si>
  <si>
    <t>Valent USA Corp.</t>
  </si>
  <si>
    <t>self help pest control online</t>
  </si>
  <si>
    <t>large pail (18 lbs.)</t>
  </si>
  <si>
    <t>18 lb. bucket</t>
  </si>
  <si>
    <t>2_ounce</t>
  </si>
  <si>
    <t>4_pound</t>
  </si>
  <si>
    <t>B00004RA4D</t>
  </si>
  <si>
    <t>B0007QKECG</t>
  </si>
  <si>
    <t>B00B9IK0IE</t>
  </si>
  <si>
    <t>Kness</t>
  </si>
  <si>
    <t>Kness Mfg Company</t>
  </si>
  <si>
    <t>Kness Mfg Co Inc</t>
  </si>
  <si>
    <t>https://m.media-amazon.com/images/I/71-GQUYEoNL.jpg</t>
  </si>
  <si>
    <t>https://m.media-amazon.com/images/I/81KBaf3nxOL.jpg</t>
  </si>
  <si>
    <t>https://m.media-amazon.com/images/I/41qnfJsR78L.jpg</t>
  </si>
  <si>
    <t>Kness 101-0-002 Ketch-All Mousetrap,Silver</t>
  </si>
  <si>
    <t>Big Snap E Rat Trap 6 Pack</t>
  </si>
  <si>
    <t>Kness 107-0-012 Green Ants-No-More Ant Bait Station, 1 Count (Pack of 1)</t>
  </si>
  <si>
    <t>https://www.amazon.com/dp/B00004RA4D</t>
  </si>
  <si>
    <t>https://www.amazon.com/dp/B0007QKECG?psc=1</t>
  </si>
  <si>
    <t>https://www.amazon.com/dp/B00B9IK0IE</t>
  </si>
  <si>
    <t>1 TRAP</t>
  </si>
  <si>
    <t>B0CJRH76BR</t>
  </si>
  <si>
    <t>B0C9T97G4N</t>
  </si>
  <si>
    <t>B0CD24D6PB</t>
  </si>
  <si>
    <t>B0CSFDPTFS</t>
  </si>
  <si>
    <t>Jahy2Tech</t>
  </si>
  <si>
    <t>https://m.media-amazon.com/images/I/61MJWT+SqgL.jpg</t>
  </si>
  <si>
    <t>https://m.media-amazon.com/images/I/81k4qtFwb8L.jpg</t>
  </si>
  <si>
    <t>https://m.media-amazon.com/images/I/61BEdw38ljL.jpg</t>
  </si>
  <si>
    <t>https://m.media-amazon.com/images/I/71FhGAlVyXL.jpg</t>
  </si>
  <si>
    <t>Jahy2Tech Original 6 Pcs Flea Trap Replacement Light Bulbs, Special for Flea Traps for Inside Your Home, Friendly for Kids &amp; Pets, Warm Light</t>
  </si>
  <si>
    <t>2 Pcs Under Hood Rodent Repeller with Strobe Light &amp; 3 Power Supply Methods, Professional Ultrasonic Mouse Repellent Rat Squirrel Deterrent for 12V Cars Trucks RV Engine Bay Warehouse Attic</t>
  </si>
  <si>
    <t>Mouse Bait Station Outdoor Indoor with Keys, 8 Pack Reusable Rat Bait Stations, Mice Stations, Keep Children and Pets Safe, Bait Station Box for Kitchen Garage Patio(Bait is not Included)</t>
  </si>
  <si>
    <t>Bug Vacuum Catcher, Spider and Insect Catcher Traps, Rechargeable Bug Catcher Grabber with Brush Head &amp; Charging Cable &amp; Multifunctional Suction Nozzle for Stink Bug Moth Cockroach Spider Ant Black</t>
  </si>
  <si>
    <t>https://www.amazon.com/dp/B0CJRH76BR</t>
  </si>
  <si>
    <t>https://www.amazon.com/dp/B0C9T97G4N?psc=1</t>
  </si>
  <si>
    <t>https://www.amazon.com/dp/B0CD24D6PB?psc=1</t>
  </si>
  <si>
    <t>https://www.amazon.com/dp/B0CSFDPTFS?psc=1</t>
  </si>
  <si>
    <t>Mouse Bait Station 510L</t>
  </si>
  <si>
    <t>B096CFRMZT</t>
  </si>
  <si>
    <t>B08R3Z36ZR</t>
  </si>
  <si>
    <t>B09ZHC4FCV</t>
  </si>
  <si>
    <t>B0GPMNX1WS</t>
  </si>
  <si>
    <t>B0FVDY8D4N</t>
  </si>
  <si>
    <t>B0DGFJQ6F8</t>
  </si>
  <si>
    <t>HOY HOY</t>
  </si>
  <si>
    <t>Earth Corporation</t>
  </si>
  <si>
    <t>https://m.media-amazon.com/images/I/81ehO-+hjuL.jpg</t>
  </si>
  <si>
    <t>https://m.media-amazon.com/images/I/71gDMO7lwDL.jpg</t>
  </si>
  <si>
    <t>https://m.media-amazon.com/images/I/81SqODZXjGL.jpg</t>
  </si>
  <si>
    <t>https://m.media-amazon.com/images/I/71G284et-RL.jpg</t>
  </si>
  <si>
    <t>https://m.media-amazon.com/images/I/716lHWuS-eL.jpg</t>
  </si>
  <si>
    <t>https://m.media-amazon.com/images/I/71mYr6ordaL.jpg</t>
  </si>
  <si>
    <t>HOY HOY Trap A Roach - 10 Traps [2 Pack] Baited Glue Traps, Great for Home with Kids &amp; Pets Indoor, Sticky Pest Control Trap, Roach Killer, Made in Japan</t>
  </si>
  <si>
    <t>HOY HOY Trap A Roach - Bait Glue Traps, Great for Home with Kids &amp; Pets Indoor, Sticky Pest Control Trap, Roach Killer, Made in Japan 5 Traps</t>
  </si>
  <si>
    <t>HOY HOY Trap A Roach - 20 Traps [4 Pack] Baited Glue Traps, Great for Home with Kids &amp; Pets Indoor, Sticky Pest Control Trap, Roach Killer, Made in Japan</t>
  </si>
  <si>
    <t>HOY HOY Fruit Fly Trap – 2 Traps (1 Pack) – Attracts &amp; Traps Fruit Flies, Up to 120-Day Supply, Food-Based Lure, Indoor Use for Kitchen, Sink &amp; Trash Areas</t>
  </si>
  <si>
    <t>HOY HOY Rat &amp; Mouse Glue Transformable Trap with Lure – 5 Traps, Clever Foldable Design for Indoor Use, Super Sticky Wavy Glue with Food-Based Lure Bag, Made in Japan</t>
  </si>
  <si>
    <t>HOY HOY Fly Ribbon 4 Traps (1 Pack) - Multi-Insect Catcher for Home &amp; Garden, Super Sticky, Long Lasting</t>
  </si>
  <si>
    <t>https://www.amazon.com/dp/B096CFRMZT?psc=1</t>
  </si>
  <si>
    <t>https://www.amazon.com/dp/B08R3Z36ZR?psc=1</t>
  </si>
  <si>
    <t>https://www.amazon.com/dp/B09ZHC4FCV?psc=1</t>
  </si>
  <si>
    <t>https://www.amazon.com/dp/B0GPMNX1WS</t>
  </si>
  <si>
    <t>https://www.amazon.com/dp/B0FVDY8D4N</t>
  </si>
  <si>
    <t>https://www.amazon.com/dp/B0DGFJQ6F8?psc=1</t>
  </si>
  <si>
    <t>5 Traps</t>
  </si>
  <si>
    <t>B09DJD5NFQ</t>
  </si>
  <si>
    <t>B08SL6KJ29</t>
  </si>
  <si>
    <t>B0C4XVQ71S</t>
  </si>
  <si>
    <t>RinneTraps</t>
  </si>
  <si>
    <t>RinneCorp</t>
  </si>
  <si>
    <t>https://m.media-amazon.com/images/I/51jV541-C8L.jpg</t>
  </si>
  <si>
    <t>https://m.media-amazon.com/images/I/51Rt5vjP0tL.jpg</t>
  </si>
  <si>
    <t>https://m.media-amazon.com/images/I/61LI3KyzljL.jpg</t>
  </si>
  <si>
    <t>RinneTraps - Flip N Slide Bucket Lid Mouse Trap |2 Pack| |Multi Catch| |Made in USA | US Pat D1,039,648s</t>
  </si>
  <si>
    <t>RinneTraps - Flip N Slide Bucket Lid Mouse Trap | Original | Made in USA | US PAT D1,039,648s</t>
  </si>
  <si>
    <t>RinneTraps | Dizzy Dunker Bucket Lid Mouse Trap | Made in USA | Multi Catch | Humane | Indoor/Outdoor | (1 Pack</t>
  </si>
  <si>
    <t>https://www.amazon.com/dp/B09DJD5NFQ?psc=1</t>
  </si>
  <si>
    <t>https://www.amazon.com/dp/B08SL6KJ29?psc=1</t>
  </si>
  <si>
    <t>https://www.amazon.com/dp/B0C4XVQ71S</t>
  </si>
  <si>
    <t>B007CRG4CW</t>
  </si>
  <si>
    <t>B000UJVDXY</t>
  </si>
  <si>
    <t>B01LYXXTZF</t>
  </si>
  <si>
    <t>B000BQLQU6</t>
  </si>
  <si>
    <t>B000BX1HKI</t>
  </si>
  <si>
    <t>B000BX1HGC</t>
  </si>
  <si>
    <t>B001VJ4FYQ</t>
  </si>
  <si>
    <t>B002ITKVKU</t>
  </si>
  <si>
    <t>B0BQ922LQM</t>
  </si>
  <si>
    <t>B004CSWPS6</t>
  </si>
  <si>
    <t>B000HCNSWI</t>
  </si>
  <si>
    <t>B001E4R2SO</t>
  </si>
  <si>
    <t>B000BWZ9M6</t>
  </si>
  <si>
    <t>B001VJBYMC</t>
  </si>
  <si>
    <t>B00BSULSHA</t>
  </si>
  <si>
    <t>B06XXRWWZC</t>
  </si>
  <si>
    <t>B00XNM535Y</t>
  </si>
  <si>
    <t>B0BQ7MR53S</t>
  </si>
  <si>
    <t>B001VJ83LW</t>
  </si>
  <si>
    <t>B000BWZ9U8</t>
  </si>
  <si>
    <t>B001D13U2K</t>
  </si>
  <si>
    <t>B0001O0CMQ</t>
  </si>
  <si>
    <t>B0BQ7JRWQX</t>
  </si>
  <si>
    <t>B09G939ZR5</t>
  </si>
  <si>
    <t>B000BX1HJY</t>
  </si>
  <si>
    <t>B002RBGO3M</t>
  </si>
  <si>
    <t>B002RBD43U</t>
  </si>
  <si>
    <t>B0044FTST6</t>
  </si>
  <si>
    <t>B001VJ2DDG</t>
  </si>
  <si>
    <t>B00FGIS4G8</t>
  </si>
  <si>
    <t>B000BX4RNW</t>
  </si>
  <si>
    <t>B000KL73OK</t>
  </si>
  <si>
    <t>B000UJTBWE</t>
  </si>
  <si>
    <t>B009YNZX42</t>
  </si>
  <si>
    <t>B0BQ8YSCVM</t>
  </si>
  <si>
    <t>B001H1GRQC</t>
  </si>
  <si>
    <t>B0DN3GCGZK</t>
  </si>
  <si>
    <t>B000BOB7UW</t>
  </si>
  <si>
    <t>B006MVFSOE</t>
  </si>
  <si>
    <t>B001D1H6SE</t>
  </si>
  <si>
    <t>B000OOAL6U</t>
  </si>
  <si>
    <t>B001WP31T4</t>
  </si>
  <si>
    <t>B006QYSBIM</t>
  </si>
  <si>
    <t>B000BQ800K</t>
  </si>
  <si>
    <t>B074G46K6X</t>
  </si>
  <si>
    <t>B001BOBMYC</t>
  </si>
  <si>
    <t>B00H9DYJA8</t>
  </si>
  <si>
    <t>B002ITL19A</t>
  </si>
  <si>
    <t>B0035HA0AK</t>
  </si>
  <si>
    <t>B000BQ7T1Q</t>
  </si>
  <si>
    <t>B0DN3ZJL5J</t>
  </si>
  <si>
    <t>B0BQ7L18NW</t>
  </si>
  <si>
    <t>B000HJ9F7S</t>
  </si>
  <si>
    <t>B0051DRSFQ</t>
  </si>
  <si>
    <t>B014POVYZG</t>
  </si>
  <si>
    <t>B000KE1U2I</t>
  </si>
  <si>
    <t>B001VJ492Y</t>
  </si>
  <si>
    <t>B00V4WUBJ8</t>
  </si>
  <si>
    <t>B011TBDZG4</t>
  </si>
  <si>
    <t>B000UJRMHA</t>
  </si>
  <si>
    <t>B09G9KBX7G</t>
  </si>
  <si>
    <t>B000HCNT3Q</t>
  </si>
  <si>
    <t>B0011VHOXI</t>
  </si>
  <si>
    <t>B002LFEQ6G</t>
  </si>
  <si>
    <t>B09WTJNXMF</t>
  </si>
  <si>
    <t>B000N7AZIW</t>
  </si>
  <si>
    <t>B000HCRM4S</t>
  </si>
  <si>
    <t>B076HW6S9K</t>
  </si>
  <si>
    <t>B07L1MS63W</t>
  </si>
  <si>
    <t>B0H7FW1TR6</t>
  </si>
  <si>
    <t>B09G93W2YM</t>
  </si>
  <si>
    <t>B0BQ7MFDCD</t>
  </si>
  <si>
    <t>B002LFCS3Y</t>
  </si>
  <si>
    <t>B09G9FP9WQ</t>
  </si>
  <si>
    <t>B000KL1G5W</t>
  </si>
  <si>
    <t>B000RUASQE</t>
  </si>
  <si>
    <t>B002ZBPNMC</t>
  </si>
  <si>
    <t>B000RUD032</t>
  </si>
  <si>
    <t>B000BPC1YM</t>
  </si>
  <si>
    <t>B07DLGZ26P</t>
  </si>
  <si>
    <t>B000UJX9TK</t>
  </si>
  <si>
    <t>B0DCZZKK52</t>
  </si>
  <si>
    <t>B001U14FA4</t>
  </si>
  <si>
    <t>B000HCRMIY</t>
  </si>
  <si>
    <t>B00YETULD4</t>
  </si>
  <si>
    <t>B00192ANXM</t>
  </si>
  <si>
    <t>B000UJRMOS</t>
  </si>
  <si>
    <t>B000BX1HSU</t>
  </si>
  <si>
    <t>B00YIHBWNK</t>
  </si>
  <si>
    <t>B006QYSAPQ</t>
  </si>
  <si>
    <t>B001D0YG5Q</t>
  </si>
  <si>
    <t>B004MPKF5Y</t>
  </si>
  <si>
    <t>B002CA92NC</t>
  </si>
  <si>
    <t>B000OWB63O</t>
  </si>
  <si>
    <t>B0CRHXZTGR</t>
  </si>
  <si>
    <t>B09G99F6NW</t>
  </si>
  <si>
    <t>B009ATFJWG</t>
  </si>
  <si>
    <t>B00353GTOK</t>
  </si>
  <si>
    <t>B005X94R7U</t>
  </si>
  <si>
    <t>B000A0RF6C</t>
  </si>
  <si>
    <t>B000BX4RT6</t>
  </si>
  <si>
    <t>B000OP4E5S</t>
  </si>
  <si>
    <t>B000ON67VO</t>
  </si>
  <si>
    <t>B00URP7BQ4</t>
  </si>
  <si>
    <t>B000GD3KM6</t>
  </si>
  <si>
    <t>B00192FZ30</t>
  </si>
  <si>
    <t>B09WTV7KJH</t>
  </si>
  <si>
    <t>B00FGIJOAI</t>
  </si>
  <si>
    <t>B00ADFNCX4</t>
  </si>
  <si>
    <t>B000BZ1HZQ</t>
  </si>
  <si>
    <t>B09G98ZXVX</t>
  </si>
  <si>
    <t>B00P8EG8XQ</t>
  </si>
  <si>
    <t>B01IDXDU98</t>
  </si>
  <si>
    <t>B001H1EQ42</t>
  </si>
  <si>
    <t>B09G93TXSS</t>
  </si>
  <si>
    <t>B00CXJTPAW</t>
  </si>
  <si>
    <t>B001H1GQN6</t>
  </si>
  <si>
    <t>B09G9FBZ6X</t>
  </si>
  <si>
    <t>B0H7FKXMRZ</t>
  </si>
  <si>
    <t>B00H1ZZMI2</t>
  </si>
  <si>
    <t>B000OWC16U</t>
  </si>
  <si>
    <t>B09WTTNNNL</t>
  </si>
  <si>
    <t>B000A0YHGS</t>
  </si>
  <si>
    <t>B0F33S5JG6</t>
  </si>
  <si>
    <t>B09WTKPVB3</t>
  </si>
  <si>
    <t>B001D1FVCC</t>
  </si>
  <si>
    <t>B000OWB6UW</t>
  </si>
  <si>
    <t>B07KDXQQ1J</t>
  </si>
  <si>
    <t>B002RBEPMO</t>
  </si>
  <si>
    <t>B000UJYJRG</t>
  </si>
  <si>
    <t>B0085OOIB0</t>
  </si>
  <si>
    <t>B0084NO9KC</t>
  </si>
  <si>
    <t>B000OW92BC</t>
  </si>
  <si>
    <t>B000WGTK62</t>
  </si>
  <si>
    <t>B000HA95W2</t>
  </si>
  <si>
    <t>B000CO5RIY</t>
  </si>
  <si>
    <t>B000HCUK38</t>
  </si>
  <si>
    <t>B07JYFFMV1</t>
  </si>
  <si>
    <t>B00QV332A0</t>
  </si>
  <si>
    <t>B000UJTCG4</t>
  </si>
  <si>
    <t>B000HCUJUW</t>
  </si>
  <si>
    <t>B002RBEPQ0</t>
  </si>
  <si>
    <t>B00KOW48MU</t>
  </si>
  <si>
    <t>B08T3WLXS1</t>
  </si>
  <si>
    <t>B008GUI0XU</t>
  </si>
  <si>
    <t>B001B2XHS8</t>
  </si>
  <si>
    <t>B00USMWZ58</t>
  </si>
  <si>
    <t>B0H7FTR8VL</t>
  </si>
  <si>
    <t>B000OW94Y2</t>
  </si>
  <si>
    <t>B01LZ9LXR2</t>
  </si>
  <si>
    <t>B000BQR0XS</t>
  </si>
  <si>
    <t>B08DZ71CYV</t>
  </si>
  <si>
    <t>B001D10EQA</t>
  </si>
  <si>
    <t>B00FGIPQYQ</t>
  </si>
  <si>
    <t>B000A0PZPA</t>
  </si>
  <si>
    <t>B07KQDKMGY</t>
  </si>
  <si>
    <t>B0035H7V34</t>
  </si>
  <si>
    <t>B001AS2WL6</t>
  </si>
  <si>
    <t>B09WTHQW7W</t>
  </si>
  <si>
    <t>Bonide</t>
  </si>
  <si>
    <t>bonide</t>
  </si>
  <si>
    <t>Bonide Products LLC</t>
  </si>
  <si>
    <t>Arboria/LWO Corporation</t>
  </si>
  <si>
    <t>Arett Sales - LG</t>
  </si>
  <si>
    <t>Bonide Chemical</t>
  </si>
  <si>
    <t>Bonide Product</t>
  </si>
  <si>
    <t>BFG Supply</t>
  </si>
  <si>
    <t>Monster Pets</t>
  </si>
  <si>
    <t>BONIDE</t>
  </si>
  <si>
    <t>Bonide Chemical Company</t>
  </si>
  <si>
    <t>Bradley Caldwell</t>
  </si>
  <si>
    <t>Ames True Temper</t>
  </si>
  <si>
    <t>Garant</t>
  </si>
  <si>
    <t>Sunlight Supply Inc.</t>
  </si>
  <si>
    <t>BONIDE PRODUCTS INC</t>
  </si>
  <si>
    <t>Bonide Products Inc</t>
  </si>
  <si>
    <t>Jensen Distributing - Lawn &amp; Garden</t>
  </si>
  <si>
    <t>BONIDE PRODUCT</t>
  </si>
  <si>
    <t>Bradley Caldwell Inc</t>
  </si>
  <si>
    <t>https://m.media-amazon.com/images/I/61pAcVYsuSL.jpg</t>
  </si>
  <si>
    <t>https://m.media-amazon.com/images/I/51TvaZYmdMS.jpg</t>
  </si>
  <si>
    <t>https://m.media-amazon.com/images/I/71MXC--vcpL.jpg</t>
  </si>
  <si>
    <t>https://m.media-amazon.com/images/I/51fWAvNvOqL.jpg</t>
  </si>
  <si>
    <t>https://m.media-amazon.com/images/I/61ms-IockXL.jpg</t>
  </si>
  <si>
    <t>https://m.media-amazon.com/images/I/81oeREaghaL.jpg</t>
  </si>
  <si>
    <t>https://m.media-amazon.com/images/I/51SOf64ByuS.jpg</t>
  </si>
  <si>
    <t>https://m.media-amazon.com/images/I/610NUQirtrS.jpg</t>
  </si>
  <si>
    <t>https://m.media-amazon.com/images/I/51IaPmrbbOL.jpg</t>
  </si>
  <si>
    <t>https://m.media-amazon.com/images/I/61y5b1Hu3RS.jpg</t>
  </si>
  <si>
    <t>https://m.media-amazon.com/images/I/51EGWyXsVwS.jpg</t>
  </si>
  <si>
    <t>https://m.media-amazon.com/images/I/51jTj9aOJrL.jpg</t>
  </si>
  <si>
    <t>https://m.media-amazon.com/images/I/61CKR7J6ClL.jpg</t>
  </si>
  <si>
    <t>https://m.media-amazon.com/images/I/51p5v7ph3uL.jpg</t>
  </si>
  <si>
    <t>https://m.media-amazon.com/images/I/716BOXqvOTL.jpg</t>
  </si>
  <si>
    <t>https://m.media-amazon.com/images/I/611K1CYgBPL.jpg</t>
  </si>
  <si>
    <t>https://m.media-amazon.com/images/I/71OJaxk2Z0L.jpg</t>
  </si>
  <si>
    <t>https://m.media-amazon.com/images/I/71JW0xKDYAL.jpg</t>
  </si>
  <si>
    <t>https://m.media-amazon.com/images/I/51Nf+MgSbXL.jpg</t>
  </si>
  <si>
    <t>https://m.media-amazon.com/images/I/71nQmHiVfgL.jpg</t>
  </si>
  <si>
    <t>https://m.media-amazon.com/images/I/51b2DaVziTL.jpg</t>
  </si>
  <si>
    <t>https://m.media-amazon.com/images/I/61jh4lQuaCL.jpg</t>
  </si>
  <si>
    <t>https://m.media-amazon.com/images/I/61LziAuhCTL.jpg</t>
  </si>
  <si>
    <t>https://m.media-amazon.com/images/I/61ZZ43jgscL.jpg</t>
  </si>
  <si>
    <t>https://m.media-amazon.com/images/I/61u898TmeXL.jpg</t>
  </si>
  <si>
    <t>https://m.media-amazon.com/images/I/61UUlwJlbIL.jpg</t>
  </si>
  <si>
    <t>https://m.media-amazon.com/images/I/61MrIrbW7RL.jpg</t>
  </si>
  <si>
    <t>https://m.media-amazon.com/images/I/71N8K4M8aCL.jpg</t>
  </si>
  <si>
    <t>https://m.media-amazon.com/images/I/71zNgR41Q2L.jpg</t>
  </si>
  <si>
    <t>https://m.media-amazon.com/images/I/61KUviT0f-L.jpg</t>
  </si>
  <si>
    <t>https://m.media-amazon.com/images/I/6123JMMVhIL.jpg</t>
  </si>
  <si>
    <t>https://m.media-amazon.com/images/I/51iJrO+UBcL.jpg</t>
  </si>
  <si>
    <t>https://m.media-amazon.com/images/I/61juK3UzRoS.jpg</t>
  </si>
  <si>
    <t>https://m.media-amazon.com/images/I/515mZXDmtCL.jpg</t>
  </si>
  <si>
    <t>https://m.media-amazon.com/images/I/61PhYm5vMtL.jpg</t>
  </si>
  <si>
    <t>https://m.media-amazon.com/images/I/61kCn+wKvQS.jpg</t>
  </si>
  <si>
    <t>https://m.media-amazon.com/images/I/710DqnyYaLL.jpg</t>
  </si>
  <si>
    <t>https://m.media-amazon.com/images/I/51yg83Yl6CL.jpg</t>
  </si>
  <si>
    <t>https://m.media-amazon.com/images/I/51ojuogD9RL.jpg</t>
  </si>
  <si>
    <t>https://m.media-amazon.com/images/I/6134Ws8Qr0L.jpg</t>
  </si>
  <si>
    <t>https://m.media-amazon.com/images/I/51AEEUzel2L.jpg</t>
  </si>
  <si>
    <t>https://m.media-amazon.com/images/I/61wVnGSPKAL.jpg</t>
  </si>
  <si>
    <t>https://m.media-amazon.com/images/I/51QH54XULOL.jpg</t>
  </si>
  <si>
    <t>https://m.media-amazon.com/images/I/51R4kqSDLbL.jpg</t>
  </si>
  <si>
    <t>https://m.media-amazon.com/images/I/61QaM7+LJOL.jpg</t>
  </si>
  <si>
    <t>https://m.media-amazon.com/images/I/61FZqki5TgL.jpg</t>
  </si>
  <si>
    <t>https://m.media-amazon.com/images/I/61ydGt-KPiL.jpg</t>
  </si>
  <si>
    <t>https://m.media-amazon.com/images/I/61Ooiy-G12L.jpg</t>
  </si>
  <si>
    <t>https://m.media-amazon.com/images/I/61Cmdc161eL.jpg</t>
  </si>
  <si>
    <t>https://m.media-amazon.com/images/I/61ZnhSW6TTL.jpg</t>
  </si>
  <si>
    <t>https://m.media-amazon.com/images/I/71irnx-UpuL.jpg</t>
  </si>
  <si>
    <t>https://m.media-amazon.com/images/I/61urv5lBojL.jpg</t>
  </si>
  <si>
    <t>https://m.media-amazon.com/images/I/41+fpaky6NL.jpg</t>
  </si>
  <si>
    <t>https://m.media-amazon.com/images/I/51ZKYbWg1SL.jpg</t>
  </si>
  <si>
    <t>https://m.media-amazon.com/images/I/61394fIZLVL.jpg</t>
  </si>
  <si>
    <t>https://m.media-amazon.com/images/I/61SgoZg-N6L.jpg</t>
  </si>
  <si>
    <t>https://m.media-amazon.com/images/I/71UTMLzaivL.jpg</t>
  </si>
  <si>
    <t>https://m.media-amazon.com/images/I/51TP9o7getL.jpg</t>
  </si>
  <si>
    <t>https://m.media-amazon.com/images/I/71tfBXCGWPL.jpg</t>
  </si>
  <si>
    <t>https://m.media-amazon.com/images/I/71NLQ+lEUJS.jpg</t>
  </si>
  <si>
    <t>https://m.media-amazon.com/images/I/61gA9b5iLOL.jpg</t>
  </si>
  <si>
    <t>https://m.media-amazon.com/images/I/61l0O3X0AAL.jpg</t>
  </si>
  <si>
    <t>https://m.media-amazon.com/images/I/51zdUdMJ8GL.jpg</t>
  </si>
  <si>
    <t>https://m.media-amazon.com/images/I/71dxJRX8bCL.jpg</t>
  </si>
  <si>
    <t>https://m.media-amazon.com/images/I/51UZXjc-tuL.jpg</t>
  </si>
  <si>
    <t>https://m.media-amazon.com/images/I/61UOjX7RqKL.jpg</t>
  </si>
  <si>
    <t>https://m.media-amazon.com/images/I/61YrEQHo0kS.jpg</t>
  </si>
  <si>
    <t>https://m.media-amazon.com/images/I/71CTSurs7oL.jpg</t>
  </si>
  <si>
    <t>https://m.media-amazon.com/images/I/71-vmzxAUOL.jpg</t>
  </si>
  <si>
    <t>https://m.media-amazon.com/images/I/71+rQuLvfhL.jpg</t>
  </si>
  <si>
    <t>https://m.media-amazon.com/images/I/51ytYBy9oWL.jpg</t>
  </si>
  <si>
    <t>https://m.media-amazon.com/images/I/61xKOFzp0AL.jpg</t>
  </si>
  <si>
    <t>https://m.media-amazon.com/images/I/51azV5Oc7DL.jpg</t>
  </si>
  <si>
    <t>https://m.media-amazon.com/images/I/51ESbbP5vjL.jpg</t>
  </si>
  <si>
    <t>https://m.media-amazon.com/images/I/51T5wNJA3vL.jpg</t>
  </si>
  <si>
    <t>https://m.media-amazon.com/images/I/51-DeYlh8SS.jpg</t>
  </si>
  <si>
    <t>https://m.media-amazon.com/images/I/61Cqbg-57YL.jpg</t>
  </si>
  <si>
    <t>https://m.media-amazon.com/images/I/61QPWAh+cUL.jpg</t>
  </si>
  <si>
    <t>https://m.media-amazon.com/images/I/51J4CFPbdRL.jpg</t>
  </si>
  <si>
    <t>https://m.media-amazon.com/images/I/61IAXn5UobL.jpg</t>
  </si>
  <si>
    <t>https://m.media-amazon.com/images/I/514vnYMpi+L.jpg</t>
  </si>
  <si>
    <t>https://m.media-amazon.com/images/I/71mGrtYL4tL.jpg</t>
  </si>
  <si>
    <t>https://m.media-amazon.com/images/I/714aSfqWfCL.jpg</t>
  </si>
  <si>
    <t>https://m.media-amazon.com/images/I/61a9nJ8C4oS.jpg</t>
  </si>
  <si>
    <t>https://m.media-amazon.com/images/I/51OY-rzlu0S.jpg</t>
  </si>
  <si>
    <t>https://m.media-amazon.com/images/I/61xMn-aeFML.jpg</t>
  </si>
  <si>
    <t>https://m.media-amazon.com/images/I/51Na5pWrqiS.jpg</t>
  </si>
  <si>
    <t>https://m.media-amazon.com/images/I/61lAL0spvDL.jpg</t>
  </si>
  <si>
    <t>https://m.media-amazon.com/images/I/41ENz1CMDNL.jpg</t>
  </si>
  <si>
    <t>https://m.media-amazon.com/images/I/61KzavHH84L.jpg</t>
  </si>
  <si>
    <t>https://m.media-amazon.com/images/I/71zXtRxNfHL.jpg</t>
  </si>
  <si>
    <t>https://m.media-amazon.com/images/I/51AyU0lqF3L.jpg</t>
  </si>
  <si>
    <t>https://m.media-amazon.com/images/I/51ozAKZGOxL.jpg</t>
  </si>
  <si>
    <t>https://m.media-amazon.com/images/I/51Pi1ya0zzS.jpg</t>
  </si>
  <si>
    <t>https://m.media-amazon.com/images/I/61IpFdXhCBL.jpg</t>
  </si>
  <si>
    <t>https://m.media-amazon.com/images/I/61rICSQr3jL.jpg</t>
  </si>
  <si>
    <t>https://m.media-amazon.com/images/I/517sJ1dNVkL.jpg</t>
  </si>
  <si>
    <t>https://m.media-amazon.com/images/I/61gkc31FxwL.jpg</t>
  </si>
  <si>
    <t>https://m.media-amazon.com/images/I/71Z0N6hXvAL.jpg</t>
  </si>
  <si>
    <t>https://m.media-amazon.com/images/I/61cSjsSTuFL.jpg</t>
  </si>
  <si>
    <t>https://m.media-amazon.com/images/I/51ZlqmGEDwL.jpg</t>
  </si>
  <si>
    <t>https://m.media-amazon.com/images/I/61PI5mnvh9L.jpg</t>
  </si>
  <si>
    <t>https://m.media-amazon.com/images/I/61ui+I38+hL.jpg</t>
  </si>
  <si>
    <t>https://m.media-amazon.com/images/I/71RMerJR42S.jpg</t>
  </si>
  <si>
    <t>https://m.media-amazon.com/images/I/51qaezg0n1L.jpg</t>
  </si>
  <si>
    <t>https://m.media-amazon.com/images/I/51THzR+rQuL.jpg</t>
  </si>
  <si>
    <t>https://m.media-amazon.com/images/I/71M+JBVtGAL.jpg</t>
  </si>
  <si>
    <t>https://m.media-amazon.com/images/I/51aYTPEZz9L.jpg</t>
  </si>
  <si>
    <t>https://m.media-amazon.com/images/I/51xyFQJFjzL.jpg</t>
  </si>
  <si>
    <t>https://m.media-amazon.com/images/I/51nwkhWc1jL.jpg</t>
  </si>
  <si>
    <t>https://m.media-amazon.com/images/I/51XXBWwOr+L.jpg</t>
  </si>
  <si>
    <t>https://m.media-amazon.com/images/I/71cPFEC7kuL.jpg</t>
  </si>
  <si>
    <t>https://m.media-amazon.com/images/I/51YLL8pu-BL.jpg</t>
  </si>
  <si>
    <t>https://m.media-amazon.com/images/I/61rpiPG-YsL.jpg</t>
  </si>
  <si>
    <t>https://m.media-amazon.com/images/I/51KSSzDWeuL.jpg</t>
  </si>
  <si>
    <t>https://m.media-amazon.com/images/I/61Q1kSZc2eL.jpg</t>
  </si>
  <si>
    <t>https://m.media-amazon.com/images/I/51+RkOhKuBL.jpg</t>
  </si>
  <si>
    <t>https://m.media-amazon.com/images/I/61zlIZTpKhL.jpg</t>
  </si>
  <si>
    <t>https://m.media-amazon.com/images/I/71qReSRJtSL.jpg</t>
  </si>
  <si>
    <t>https://m.media-amazon.com/images/I/51c82KhG1IL.jpg</t>
  </si>
  <si>
    <t>https://m.media-amazon.com/images/I/51Xv6rEyvHS.jpg</t>
  </si>
  <si>
    <t>https://m.media-amazon.com/images/I/61XI4+dA09L.jpg</t>
  </si>
  <si>
    <t>https://m.media-amazon.com/images/I/61w8xIst7dL.jpg</t>
  </si>
  <si>
    <t>https://m.media-amazon.com/images/I/61qJGeLyRmL.jpg</t>
  </si>
  <si>
    <t>https://m.media-amazon.com/images/I/51Wtzy4Gx7L.jpg</t>
  </si>
  <si>
    <t>https://m.media-amazon.com/images/I/610mqU6vo1L.jpg</t>
  </si>
  <si>
    <t>https://m.media-amazon.com/images/I/51AFUtOHQAL.jpg</t>
  </si>
  <si>
    <t>https://m.media-amazon.com/images/I/61b1hhwj8iL.jpg</t>
  </si>
  <si>
    <t>https://m.media-amazon.com/images/I/61vFguHbVJL.jpg</t>
  </si>
  <si>
    <t>https://m.media-amazon.com/images/I/51ImhdQSwNL.jpg</t>
  </si>
  <si>
    <t>https://m.media-amazon.com/images/I/618fe8XXJ0L.jpg</t>
  </si>
  <si>
    <t>https://m.media-amazon.com/images/I/41jloX-q4KL.jpg</t>
  </si>
  <si>
    <t>https://m.media-amazon.com/images/I/61939SEHVPL.jpg</t>
  </si>
  <si>
    <t>https://m.media-amazon.com/images/I/61Qoy8HfIoL.jpg</t>
  </si>
  <si>
    <t>https://m.media-amazon.com/images/I/5182IeWQI-L.jpg</t>
  </si>
  <si>
    <t>https://m.media-amazon.com/images/I/517anLczPlL.jpg</t>
  </si>
  <si>
    <t>https://m.media-amazon.com/images/I/51EZfwGMa4L.jpg</t>
  </si>
  <si>
    <t>https://m.media-amazon.com/images/I/516MWPVPzlL.jpg</t>
  </si>
  <si>
    <t>https://m.media-amazon.com/images/I/51zI75QSk9S.jpg</t>
  </si>
  <si>
    <t>https://m.media-amazon.com/images/I/6100RMRmE0L.jpg</t>
  </si>
  <si>
    <t>https://m.media-amazon.com/images/I/51peRxuYsKS.jpg</t>
  </si>
  <si>
    <t>https://m.media-amazon.com/images/I/512GoOMONOL.jpg</t>
  </si>
  <si>
    <t>https://m.media-amazon.com/images/I/71an2BRn8lL.jpg</t>
  </si>
  <si>
    <t>https://m.media-amazon.com/images/I/61xaguqJOuL.jpg</t>
  </si>
  <si>
    <t>https://m.media-amazon.com/images/I/71km3L4CmDL.jpg</t>
  </si>
  <si>
    <t>https://m.media-amazon.com/images/I/61kq3jZXWmL.jpg</t>
  </si>
  <si>
    <t>https://m.media-amazon.com/images/I/412O+8zXw6L.jpg</t>
  </si>
  <si>
    <t>https://m.media-amazon.com/images/I/71vr5hPjeJL.jpg</t>
  </si>
  <si>
    <t>https://m.media-amazon.com/images/I/51CdP-o2zpL.jpg</t>
  </si>
  <si>
    <t>https://m.media-amazon.com/images/I/61zHreC4ZUL.jpg</t>
  </si>
  <si>
    <t>https://m.media-amazon.com/images/I/61I1GqdFi9L.jpg</t>
  </si>
  <si>
    <t>https://m.media-amazon.com/images/I/615mtgD7PwL.jpg</t>
  </si>
  <si>
    <t>https://m.media-amazon.com/images/I/514OcdIx90L.jpg</t>
  </si>
  <si>
    <t>https://m.media-amazon.com/images/I/517kMJf-KeL.jpg</t>
  </si>
  <si>
    <t>https://m.media-amazon.com/images/I/51NLFyggd5L.jpg</t>
  </si>
  <si>
    <t>https://m.media-amazon.com/images/I/71Lgd800t3L.jpg</t>
  </si>
  <si>
    <t>https://m.media-amazon.com/images/I/71yDr6T3ELL.jpg</t>
  </si>
  <si>
    <t>https://m.media-amazon.com/images/I/51VPWYa-6VS.jpg</t>
  </si>
  <si>
    <t>https://m.media-amazon.com/images/I/61yWt4yNyML.jpg</t>
  </si>
  <si>
    <t>Bonide Captain Jack's Neem Oil, 32 oz Ready-to-Use Spray</t>
  </si>
  <si>
    <t>Bonide Captain Jack's Copper Fungicide, 32 oz Ready-to-Use Spray for Organic Gardening, Controls Common Diseases, for All Plants</t>
  </si>
  <si>
    <t>Bonide Captain Jack's Bacillus Thuringiensis BT, 32 oz</t>
  </si>
  <si>
    <t>Bonide Insecticidal Soap, 32 oz Ready-to-Use Spray Multi-Purpose Insect Control for Organic Gardening Indoor and Outdoor</t>
  </si>
  <si>
    <t>Bonide Systemic Houseplant Insect Control, 8 oz Ready-to-Use Granules for Indoors and Outdoors, Protects Plants from Insects</t>
  </si>
  <si>
    <t>Bonide Bontone II Rooting Powder, 1.25 oz Ready-to-Use Dust for Houseplants and Transplants Speeds Root Development</t>
  </si>
  <si>
    <t>Bonide Captain Jack's Deadbug Brew Ready-to-Use Spray, 32 oz Outdoor Insecticide and Mite Killer for Organic Gardening</t>
  </si>
  <si>
    <t>Bonide Repels-All Animal Repellent Granules, 3 lbs. Ready-to-Use Deer &amp; Rabbit Repellent, Deter Pests from Lawn &amp; Garden</t>
  </si>
  <si>
    <t>Revenge Spider &amp; Ground Bee Killer, 10 oz Ready-to-Use Dust Treatment</t>
  </si>
  <si>
    <t>Bonide MOLEMAX Mole &amp; Vole Repellent Granules, 10 lbs. Ready-to-Use, Outdoor Lawn &amp; Garden Mole Control, People &amp; Pet Safe</t>
  </si>
  <si>
    <t>Bonide Captain Jack's Insecticidal Super Soap, 32 oz Ready-to-Use Spray For Organic Gardening and Outdoor Plants</t>
  </si>
  <si>
    <t>Bonide Repels-All Animal Repellent, 32 oz Ready-to-Use Spray, Outdoor Garden Deer &amp; Rabbit Repellent, People &amp; Pet Safe</t>
  </si>
  <si>
    <t>Bonide Captain Jack's Neem Max, 16 oz Concentrated Cold Pressed Neem Oil, Multi-Purpose Insecticide, Fungicide, Miticide, and Nematicide for Organic Gardening</t>
  </si>
  <si>
    <t>Bonide Captain Jack's Deadbug Brew, 16 oz Concentrate Outdoor Insecticide and Mite Killer for Organic Gardening</t>
  </si>
  <si>
    <t>Bonide Captain Jack Copper Fungicide 16 oz Concentrated Plant Disease Control Solution for Organic Gardening</t>
  </si>
  <si>
    <t>Bonide Captain Jack's Neem Oil, 128 oz Ready-to-Use, Multi-Purpose Fungicide, Insecticide and Miticide for Organic Gardening</t>
  </si>
  <si>
    <t>Stump-Out Stump &amp; Vine Killer, 8 oz with Applicator</t>
  </si>
  <si>
    <t>Bonide Captain Jack's Neem Max Ready-to-Use Spray, 64 oz</t>
  </si>
  <si>
    <t>Bonide Captain Jack's Deadbug Brew, 32 oz Concentrate Outdoor Insecticide and Mite Killer for Organic Gardening, 2 lbs</t>
  </si>
  <si>
    <t>Bonide Insect Control Systemic Granules, 4 lbs</t>
  </si>
  <si>
    <t>Bonide All Seasons Horticultural &amp; Dormant Spray Oil, 32 oz</t>
  </si>
  <si>
    <t>Bonide Stump-Out Granules, 1 lb</t>
  </si>
  <si>
    <t>Bonide Captain Jack's Neem Max, 128 oz Ready-to-Use Spray</t>
  </si>
  <si>
    <t>Bonide Captain Jack's Neem Max, 8 oz Concentrated Cold Pressed Neem Oil</t>
  </si>
  <si>
    <t>Bonide Systemic Insect Control, 1 lb. Ready-to-Use Granules for Long Lasting Insect Control in Lawn and Garden</t>
  </si>
  <si>
    <t>Bonide Go Away! Rabbit, Dog, &amp; Cat Repellent Granules, 1 lb Ready-to-Use, Keep Dogs off Lawn, Garden, Mulch &amp; Flower Beds</t>
  </si>
  <si>
    <t>Bonide Go Away! Rabbit, Dog, &amp; Cat Repellent Granules, 3 lbs Ready-to-Use, Keep Dogs off Lawn, Garden, Mulch &amp; Flower Beds</t>
  </si>
  <si>
    <t>Bonide Garden Rich Root &amp; Grow Root Stimulator &amp; Plant Starter</t>
  </si>
  <si>
    <t>Bonide Mouse Magic Mouse Repellent Scent Packs, 12 Packs</t>
  </si>
  <si>
    <t>Bonide Sucker Punch Knock out Sprouts 8 oz</t>
  </si>
  <si>
    <t>Bonide All Seasons Horticultural &amp; Dormant Spray Oil, 16 oz Concentrate, Disease Prevention &amp; Insect Killer for Organic Gardening</t>
  </si>
  <si>
    <t>Bonide Poison Oak &amp; Ivy Killer, 32 oz Ready-to-Use Spray</t>
  </si>
  <si>
    <t>Bonide Mosquito Beater Granules, 1.3 lbs Ready-to-Use</t>
  </si>
  <si>
    <t>Bonide All Seasons Horticultural &amp; Dormant Spray Oil, 32 oz Ready-to-Spray, Disease Prevention and Insect Killer for Organic Gardening</t>
  </si>
  <si>
    <t>Bonide Captain Jack's Rose Rx 4-in-1 Insect &amp; Disease Control, 32 oz Ready-to-Use Spray Neem Oil for Organic Gardening</t>
  </si>
  <si>
    <t>Bonide Bat Magic Bat Repellent, Pack of 4 Ready-to-Use Peppermint Oil Scent Packs for Long Lasting Indoor Bat Control</t>
  </si>
  <si>
    <t>Bonide Captain Jack's Neem Max, 32 oz Ready-to-Use Spray</t>
  </si>
  <si>
    <t>Bonide Hot Pepper Wax Animal Repellent, 32 oz Ready-to-Use Spray for Deer, Squirrels, Rabbits in Lawn &amp; Garden</t>
  </si>
  <si>
    <t>Bonide Sedge Ender, 16 oz Concentrated Weed Killer For Outdoors</t>
  </si>
  <si>
    <t>Bonide Thuricide BT Concentrate, 16 oz Ready-to-Mix Solution for Caterpillar, Worm and Moth Control in Home Garden</t>
  </si>
  <si>
    <t>Bonide Rot-Stop Tomato Blossom End Rot, 16 oz Concentrated Liquid Garden Fertilizer for Calcium Deficiency Indoors &amp; Outdoors</t>
  </si>
  <si>
    <t>Bonide Systemic Granules Insect Killer 1 lb.</t>
  </si>
  <si>
    <t>Bonide Snake Stopper Snake Repellent, 32 oz Ready-to-Spray</t>
  </si>
  <si>
    <t>Bonide Fung-onil Multi-Purpose Fungicide, 32 oz Ready-to-Use Spray for Plant Disease Control, Controls Blight, Mildew &amp; More</t>
  </si>
  <si>
    <t>Bonide Captain Jack's Thuricide BT, 128 oz Ready-to-Use with Sprayer, Kills Worms and Caterpillars in Home Garden, For Organic Gardening</t>
  </si>
  <si>
    <t>Bonide MOLEMAX Mole &amp; Vole Repellent Granules, 5 lbs. Ready-to-Use, Outdoor Lawn &amp; Garden Mole Control, People &amp; Pet Safe</t>
  </si>
  <si>
    <t>Bonide Sucker Punch, 16 oz Ready-to-Use Spray</t>
  </si>
  <si>
    <t>Bonide Annual Tree &amp; Shrub Insect Control with Systemaxx, 128 oz Concentrate, Year Long Protection and Insect Killer</t>
  </si>
  <si>
    <t>Bonide Pyrethrin Garden Insect Spray Concentrate, 8 oz Ready-to-Mix Fast Acting Insecticide for Outdoor Garden Use</t>
  </si>
  <si>
    <t>Bonide Infuse Systemic Disease Control, 16 oz Concentrated Solution for Plant Disease Control, Long Lasting &amp; Waterproof</t>
  </si>
  <si>
    <t>Bonide Captain Jack's Neem Max, 16 oz Ready-to-Spray Neem Oil</t>
  </si>
  <si>
    <t>Bonide Captain Jack's Fruit Tree Spray, 32 oz Concentrate</t>
  </si>
  <si>
    <t>REVENGE Moletox Mole &amp; Gopher Killer Poison Bait Granules, 1 lb. Ready-to-Use Control for Pocket Gophers in Lawn</t>
  </si>
  <si>
    <t>Bonide Chickweed, Clover and Oxalis Killer, 16 oz Concentrate</t>
  </si>
  <si>
    <t>Bonide Rat Magic Rodent Repellent, 5 lb. Ready-to-Use Granules</t>
  </si>
  <si>
    <t>Bonide Product 951 Systemic House Plant Insect Control 8 Oz. (3 Pack)</t>
  </si>
  <si>
    <t>Bonide 363 Spider And Ground Bee Killer - 10 oz.</t>
  </si>
  <si>
    <t>Houseplant Insect Contro</t>
  </si>
  <si>
    <t>Bonide 363 Spider and Ground Bee Killer, 2 Pack of 10 oz</t>
  </si>
  <si>
    <t>Bonide Repels-All Animal Repellent Granules, 6 lbs.</t>
  </si>
  <si>
    <t>Bonide Captain Jack's Deadweed Brew, 128 oz Ready-to-Use, Controls All Types of Weeds and Grasses, For Organic Gardening</t>
  </si>
  <si>
    <t>Bonide Repels-All Animal Repellent, 32 oz Concentrate, Long Lasting Outdoor Garden Deer Repellent, People and Pet Safe</t>
  </si>
  <si>
    <t>Bonide Wilt Stop, 40 oz Ready-to-Use Spray Anti-Transpirant Plant Protector</t>
  </si>
  <si>
    <t>Bonide Houseplant Liquid Plant Food 10-10-10, 8 oz Concentrated Fertilizer for Indoors, Use Every Time You Water</t>
  </si>
  <si>
    <t>Revenge Termite &amp; Carpenter Ant Killer, 32 oz Concentrate</t>
  </si>
  <si>
    <t>Bonide Systemic Insect Control, 16 oz Concentrate Long Lasting Insecticide for Outdoor Gardening, Makes 16 Gallons</t>
  </si>
  <si>
    <t>Bonide Chickweed, Clover &amp; Oxalis Killer, 128 oz Ready-to-Use Spray</t>
  </si>
  <si>
    <t>Bonide Revitalize Biofungicide, 16 oz Concentrate Disease Control for Organic Gardening, Controls Blight &amp; Mold</t>
  </si>
  <si>
    <t>Bonide Captain Jack's Copper Fungicide, 16 oz Ready-to-Spray</t>
  </si>
  <si>
    <t>Bonide Captain Jack's Spotted Lanternfly Eliminator, 16 oz Ready-to-Spray</t>
  </si>
  <si>
    <t>Bonide Captain Jack's Deadweed Brew, 32 oz Ready-to-Use Spray</t>
  </si>
  <si>
    <t>Bonide Captain Jack's Fruit Tree Spray, 16 oz Concentrate</t>
  </si>
  <si>
    <t>Bonide Captain Jack's Mite-X Houseplant Spray, 12 oz</t>
  </si>
  <si>
    <t>Bonide Captain Jack's Lawnweed Brew, 32 oz Concentrate, Fast-Acting Formula Controls Weeds, Moss, Algae, Lichens &amp; Disease</t>
  </si>
  <si>
    <t>Bonide Eight Insect Control Garden &amp; Home, 32 oz Ready-to-Use Spray</t>
  </si>
  <si>
    <t>Bonide Copper Fungicide, 1 lb. Ready-to-Use Spray or Dust</t>
  </si>
  <si>
    <t>Bonide Captain Jack's Bug &amp; Slug Killer Granules, 1.5 lb.</t>
  </si>
  <si>
    <t>Bonide Mosquito Beater Water Soluble Pouches, Pack of 24 Pouches</t>
  </si>
  <si>
    <t>Bonide Captain Jack's Tomato &amp; Vegetable Spray, 32 oz Ready-to-Use Spray, Insect &amp; Disease Control for Organic Gardening</t>
  </si>
  <si>
    <t>Bonide Captain Jack's Deadbug Brew Ready-to-Use Spray, 32 oz Outdoor Insecticide and Mite Killer for Organic Gardening (Pack of 2)</t>
  </si>
  <si>
    <t>Bonide Repels-All Animal Repellent Granules, 1.25 lbs.</t>
  </si>
  <si>
    <t>Bonide Captain Jack's Neem Max 12 oz Ready-to-Use Spray for Houseplants</t>
  </si>
  <si>
    <t>Bonide Garden Rich Root &amp; Grow Root Stimulator, 128 oz Concentrate</t>
  </si>
  <si>
    <t>Bonide Mouse Magic Mouse Repellent Scent Packs, 4 Packs</t>
  </si>
  <si>
    <t>Bonide Products Houseplant Systemic Insect Control Granules, 8oz</t>
  </si>
  <si>
    <t>Bonide Annual Tree &amp; Shrub Insect Control with Systemaxx</t>
  </si>
  <si>
    <t>Bonide Infuse Systemic Disease Control Lawn &amp; Landscape</t>
  </si>
  <si>
    <t>Bonide Eight Insect Control Vegetable, Fruit &amp; Flower, 32 oz Concentrate Long Lasting Insecticide for Beetles and More</t>
  </si>
  <si>
    <t>Sulfur Plant Fungicide MICRONIZED Spray OR DUST</t>
  </si>
  <si>
    <t>Bonide Captain Jack's Neem Oil, 16 oz. Concentrate, Multi-Purpose Fungicide, Insecticide and Miticide for Organic Gardening</t>
  </si>
  <si>
    <t>Bonide Infuse Lawn &amp; Landscape Systemic Disease Control, 7.5 lb.</t>
  </si>
  <si>
    <t>Bonide Go Away! Deer &amp; Rabbit Repellent, 32 oz. Ready-to-Use Spray</t>
  </si>
  <si>
    <t>Bonide Tomato &amp; Blossom Spray Set, 32 oz Ready-to-Use</t>
  </si>
  <si>
    <t>Bonide Rot-Stop Tomato Blossom End Rot, 32 oz Ready-to-Use Spray</t>
  </si>
  <si>
    <t>Bonide Captain Jack's Copper Fungicide, 32 oz Ready-to-Use Spray for Organic Gardening, Controls Common Diseases (Pack of 2)</t>
  </si>
  <si>
    <t>Bonide Captain Jack's Deadweed Brew, 128 oz Ready-to-Use with Power Sprayer</t>
  </si>
  <si>
    <t>Bonide Pyrethrin Garden Insect Spray Concentrate, 16 oz</t>
  </si>
  <si>
    <t>Bonide Repels-All Animal Repellent, 128 oz Concentrate</t>
  </si>
  <si>
    <t>Bonide Bug Beater Stink Bug Trap</t>
  </si>
  <si>
    <t>Bonide Poison Ivy &amp; Brush Killer BK-32, 32 oz Concentrate</t>
  </si>
  <si>
    <t>Bonide Poison Ivy &amp; Brush Killer BK-32, 16 oz Concentrate</t>
  </si>
  <si>
    <t>Bonide Wilt Stop, 32 oz Concentrated Anti-Transpirant Plant Protector</t>
  </si>
  <si>
    <t>BONIDE PRODUCTS INC 1 LB MOLETOX, Mole &amp; Gopher KILLER</t>
  </si>
  <si>
    <t>Bonide Systemic House Plant Insect Control Multiple Insects Granules 8 Oz</t>
  </si>
  <si>
    <t>Bonide Weed Beater Ultra, 32 oz Ready-to-Use Spray</t>
  </si>
  <si>
    <t>Bonide Captain Jack's Citrus, Fruit &amp; Nut Orchard Spray, 32 oz Concentrate, Multi-Purpose Fungicide, Insecticide and Miticide</t>
  </si>
  <si>
    <t>Bonide Revenge Dual Action Bedbug &amp; Insect Room Fogger, Pack of 3 Long Lasting Protection Against Fleas, Ticks, Cockroaches, Ants</t>
  </si>
  <si>
    <t>Bonide Revenge Horse &amp; Stable Fly Spray, 32 oz Ready-to-Use</t>
  </si>
  <si>
    <t>Bonide Sedge Ender, 16 oz Ready-to-Spray Weed Killer For Outdoors, Fast-Acting and Rainproof, Lawn Friendly Formula</t>
  </si>
  <si>
    <t>Bonide Gophertox Gopher Killer, 1 lb. Ready-to-Use Poison Bait Granules to Protect Lawn &amp; Garden from Pocket Gophers</t>
  </si>
  <si>
    <t>Bonide Captain Jack's Lawnweed Brew, 32 oz Ready-to-Use Spray</t>
  </si>
  <si>
    <t>Liquid Plant Food 10-10-10</t>
  </si>
  <si>
    <t>Bonide Mouse Magic Mouse Repellent</t>
  </si>
  <si>
    <t>Bonide Repels-All Animal Repellent, 32 oz Ready-to-Spray</t>
  </si>
  <si>
    <t>Bonide Captain Jack's Lawnweed Brew, 32 oz Ready-to-Spray</t>
  </si>
  <si>
    <t>Bonide Vine &amp; Stump Killer with Applicator Concentrate 8 Oz</t>
  </si>
  <si>
    <t>Bonide Systemic Insect Spray with Systemaxx, 32 oz</t>
  </si>
  <si>
    <t>Bonide Captain Jack's Deadweed Brew, 128 oz Concentrate</t>
  </si>
  <si>
    <t>Bonide Captain Jack's Spotted Lanternfly Eliminator, 16 oz Concentrate</t>
  </si>
  <si>
    <t>Bontone Rooting Powder, 1.25-oz.</t>
  </si>
  <si>
    <t>Bonide Eight Insect Control Yard &amp; Garden, 32 oz Ready-to-Spray</t>
  </si>
  <si>
    <t>Bonide Revenge Spider Killer, 128 oz Ready-to-Use Spray, Long Lasting Odorless for Formula for Indoors and Outdoors</t>
  </si>
  <si>
    <t>Bonide Fung-onil Multi-Purpose Fungicide, 16 oz Concentrate</t>
  </si>
  <si>
    <t>Bonide Captain Jack's Rose Rx 4-in-1 Insect &amp; Disease Control, 16 oz</t>
  </si>
  <si>
    <t>REVENGE Termite &amp; Carpenter Ant Killer, 15 oz Ready-to-Use Aerosol Spray, Kills on Contact and Long Lasting Control</t>
  </si>
  <si>
    <t>Bonide® Copper Fungicide Ready to Use, pack of 3</t>
  </si>
  <si>
    <t>Bonide Eight Insect Control, Vegetable, Fruit &amp; Flower 16 oz Concentrate</t>
  </si>
  <si>
    <t>Bonide (BND3082) - Weed Beater Ultra, Ready to Use Weed Killer (1 gal.)</t>
  </si>
  <si>
    <t>Bonide Weed Beater Ultra, 128 oz Ready-to-Use Spray, Fast-Acting Protection Against Broadleaf Weeds in Home Garden</t>
  </si>
  <si>
    <t>Bonide Captain Jack's Citrus, Fruit &amp; Nut Orchard Spray, 32 oz</t>
  </si>
  <si>
    <t>Bonide MoleMax Mole &amp; Gopher Repeller Solar-Powered Sonic Spike</t>
  </si>
  <si>
    <t>Bonide MoleMax Mole &amp; Gopher Repeller Battery-Powered Sonic Spike</t>
  </si>
  <si>
    <t>Bonide Mosquito Beater Flying Insect Fog, 32 oz Concentrate Kills Insects and Mosquitoes in Lawn and Garden</t>
  </si>
  <si>
    <t>Bonide Mosquito Beater Flying Insect Fog, 128 oz Ready-To-Use Kills Insects and Mosquitoes in Lawn and Garden</t>
  </si>
  <si>
    <t>Bonide (BND141) - Sulfur Plant Fungicide, Organically Controls Rust, Leaf Spot and Powdery Mildew (1 lb.), Ready-to-Use</t>
  </si>
  <si>
    <t>Bonide Japanese Beetle Killer Ready-to-Use Spray, 32 oz</t>
  </si>
  <si>
    <t>Bonide Weed Beater Ultra, 16 oz Concentrate, Fast-Acting Protection Against Broadleaf Weeds in Warm &amp; Cool Weather</t>
  </si>
  <si>
    <t>Bonide Chipmunk, Squirrel &amp; Rodent Repellent, 32 oz Ready-to-Spray</t>
  </si>
  <si>
    <t>Bonide Hot Pepper Wax Animal Repellent, Ready-to-Use, 32 oz</t>
  </si>
  <si>
    <t>Bonide Snake Stopper Snake Repellent, 1.5 lbs Ready-to-Use Granules, Outdoor Deterrent for Snakes, Lizards, Iguanas</t>
  </si>
  <si>
    <t>Bonide MossMax, 32 oz Ready-to-Spray Control for Algae, Moss and Lichens, Outdoor Home and Garden Use, Nonstaining Formula</t>
  </si>
  <si>
    <t>Bonide Rose Rx Systemic Drench, 32 oz</t>
  </si>
  <si>
    <t>Tomato &amp; Blossom Set Spray Ready to Use</t>
  </si>
  <si>
    <t>Bonide KleenUP Weed &amp; Grass Killer High Efficiency Formula, 128 oz Concentrate, Fast-Acting Formula Kills Weeds &amp; Roots</t>
  </si>
  <si>
    <t>Pyrethrin Bonide Garden Insect Spray Concentrate 16 oz</t>
  </si>
  <si>
    <t>Bonide 4 oz Multipurpose Measuring Cups for Gardening Solutions, Measure and Mix Pesticides, Fertilizers at Home, White</t>
  </si>
  <si>
    <t>Mosquito Beater Granules, 1.5-Lbs.</t>
  </si>
  <si>
    <t>Bonide Captain Jack's Spotted Lanternfly Eliminator, 32 oz Concentrate</t>
  </si>
  <si>
    <t>Bonide Malathion Insect Control, 16 oz Ready-to-Mix Concentrate Bug &amp; Spider Mite Killer for Outdoor Garden Use</t>
  </si>
  <si>
    <t>Bonide Diatomaceous Earth Crawling Insect Killer, 1.3 lbs. Fast Acting and Long Lasting Pesticide for Indoor or Outdoor Use</t>
  </si>
  <si>
    <t>Bonide Captain Jack's Slug Magic Granules, 3 lbs. Snail &amp; Slug Killer, For Organic Formula, Pet Safe Formula</t>
  </si>
  <si>
    <t>Bonide Rose Shield Systemic Rose &amp; Flower Drench, 40 oz</t>
  </si>
  <si>
    <t>Bonide Bon-Neem II RTU 32 oz</t>
  </si>
  <si>
    <t>Bonide Fruit Tree &amp; Plant Guard, 32 oz Concentrate</t>
  </si>
  <si>
    <t>Bonide Mosquito Beater, 32 oz Ready-to-Spray Insect Repellent</t>
  </si>
  <si>
    <t>BONIDE Products INC 142 Sulfur Plant Fungicide Organically Controls Rust, Leaf Spot and Powdery Mildew, 4 lbs (2)</t>
  </si>
  <si>
    <t>Bonide Sulfur Plant Fungicide, 4 lb. Ready-to-Use Micronized Spray or Dust for Organic Gardening, Controls Common Diseases</t>
  </si>
  <si>
    <t>Bonide Weed Beater Plus Crabgrass &amp; Broadleaf Weed Killer, 32 oz Ready-to-Spray, Fast-Acting Control for Broadleaf Weeds</t>
  </si>
  <si>
    <t>REVENGE Wasp &amp; Hornet Killer Aerosol, 15 oz Ready-to-Use Spray for Wasps, Hornets and Yellow Jackets, Kills Entire Nest</t>
  </si>
  <si>
    <t>https://www.amazon.com/dp/B007CRG4CW?psc=1</t>
  </si>
  <si>
    <t>https://www.amazon.com/dp/B000UJVDXY?psc=1</t>
  </si>
  <si>
    <t>https://www.amazon.com/dp/B01LYXXTZF?psc=1</t>
  </si>
  <si>
    <t>https://www.amazon.com/dp/B000BQLQU6?psc=1</t>
  </si>
  <si>
    <t>https://www.amazon.com/dp/B000BX1HKI?psc=1</t>
  </si>
  <si>
    <t>https://www.amazon.com/dp/B000BX1HGC?psc=1</t>
  </si>
  <si>
    <t>https://www.amazon.com/dp/B001VJ4FYQ?psc=1</t>
  </si>
  <si>
    <t>https://www.amazon.com/dp/B002ITKVKU?psc=1</t>
  </si>
  <si>
    <t>https://www.amazon.com/dp/B0BQ922LQM</t>
  </si>
  <si>
    <t>https://www.amazon.com/dp/B004CSWPS6?psc=1</t>
  </si>
  <si>
    <t>https://www.amazon.com/dp/B000HCNSWI</t>
  </si>
  <si>
    <t>https://www.amazon.com/dp/B001E4R2SO?psc=1</t>
  </si>
  <si>
    <t>https://www.amazon.com/dp/B000BWZ9M6?psc=1</t>
  </si>
  <si>
    <t>https://www.amazon.com/dp/B001VJBYMC?psc=1</t>
  </si>
  <si>
    <t>https://www.amazon.com/dp/B00BSULSHA?psc=1</t>
  </si>
  <si>
    <t>https://www.amazon.com/dp/B06XXRWWZC?psc=1</t>
  </si>
  <si>
    <t>https://www.amazon.com/dp/B00XNM535Y?psc=1</t>
  </si>
  <si>
    <t>https://www.amazon.com/dp/B0BQ7MR53S?psc=1</t>
  </si>
  <si>
    <t>https://www.amazon.com/dp/B001VJ83LW?psc=1</t>
  </si>
  <si>
    <t>https://www.amazon.com/dp/B000BWZ9U8?psc=1</t>
  </si>
  <si>
    <t>https://www.amazon.com/dp/B001D13U2K?psc=1</t>
  </si>
  <si>
    <t>https://www.amazon.com/dp/B0001O0CMQ?psc=1</t>
  </si>
  <si>
    <t>https://www.amazon.com/dp/B0BQ7JRWQX?psc=1</t>
  </si>
  <si>
    <t>https://www.amazon.com/dp/B09G939ZR5?psc=1</t>
  </si>
  <si>
    <t>https://www.amazon.com/dp/B000BX1HJY?psc=1</t>
  </si>
  <si>
    <t>https://www.amazon.com/dp/B002RBGO3M?psc=1</t>
  </si>
  <si>
    <t>https://www.amazon.com/dp/B002RBD43U?psc=1</t>
  </si>
  <si>
    <t>https://www.amazon.com/dp/B0044FTST6?psc=1</t>
  </si>
  <si>
    <t>https://www.amazon.com/dp/B001VJ2DDG?psc=1</t>
  </si>
  <si>
    <t>https://www.amazon.com/dp/B00FGIS4G8?psc=1</t>
  </si>
  <si>
    <t>https://www.amazon.com/dp/B000BX4RNW?psc=1</t>
  </si>
  <si>
    <t>https://www.amazon.com/dp/B000KL73OK</t>
  </si>
  <si>
    <t>https://www.amazon.com/dp/B000UJTBWE?psc=1</t>
  </si>
  <si>
    <t>https://www.amazon.com/dp/B009YNZX42?psc=1</t>
  </si>
  <si>
    <t>https://www.amazon.com/dp/B0BQ8YSCVM</t>
  </si>
  <si>
    <t>https://www.amazon.com/dp/B001H1GRQC?psc=1</t>
  </si>
  <si>
    <t>https://www.amazon.com/dp/B0DN3GCGZK?psc=1</t>
  </si>
  <si>
    <t>https://www.amazon.com/dp/B000BOB7UW</t>
  </si>
  <si>
    <t>https://www.amazon.com/dp/B006MVFSOE</t>
  </si>
  <si>
    <t>https://www.amazon.com/dp/B001D1H6SE</t>
  </si>
  <si>
    <t>https://www.amazon.com/dp/B000OOAL6U</t>
  </si>
  <si>
    <t>https://www.amazon.com/dp/B001WP31T4</t>
  </si>
  <si>
    <t>https://www.amazon.com/dp/B006QYSBIM?psc=1</t>
  </si>
  <si>
    <t>https://www.amazon.com/dp/B000BQ800K?psc=1</t>
  </si>
  <si>
    <t>https://www.amazon.com/dp/B074G46K6X?psc=1</t>
  </si>
  <si>
    <t>https://www.amazon.com/dp/B001BOBMYC?psc=1</t>
  </si>
  <si>
    <t>https://www.amazon.com/dp/B00H9DYJA8?psc=1</t>
  </si>
  <si>
    <t>https://www.amazon.com/dp/B002ITL19A?psc=1</t>
  </si>
  <si>
    <t>https://www.amazon.com/dp/B0035HA0AK?psc=1</t>
  </si>
  <si>
    <t>https://www.amazon.com/dp/B000BQ7T1Q?psc=1</t>
  </si>
  <si>
    <t>https://www.amazon.com/dp/B0DN3ZJL5J</t>
  </si>
  <si>
    <t>https://www.amazon.com/dp/B0BQ7L18NW?psc=1</t>
  </si>
  <si>
    <t>https://www.amazon.com/dp/B000HJ9F7S?psc=1</t>
  </si>
  <si>
    <t>https://www.amazon.com/dp/B0051DRSFQ</t>
  </si>
  <si>
    <t>https://www.amazon.com/dp/B014POVYZG</t>
  </si>
  <si>
    <t>https://www.amazon.com/dp/B000KE1U2I</t>
  </si>
  <si>
    <t>https://www.amazon.com/dp/B001VJ492Y</t>
  </si>
  <si>
    <t>https://www.amazon.com/dp/B00V4WUBJ8</t>
  </si>
  <si>
    <t>https://www.amazon.com/dp/B011TBDZG4</t>
  </si>
  <si>
    <t>https://www.amazon.com/dp/B000UJRMHA?psc=1</t>
  </si>
  <si>
    <t>https://www.amazon.com/dp/B09G9KBX7G?psc=1</t>
  </si>
  <si>
    <t>https://www.amazon.com/dp/B000HCNT3Q?psc=1</t>
  </si>
  <si>
    <t>https://www.amazon.com/dp/B0011VHOXI?psc=1</t>
  </si>
  <si>
    <t>https://www.amazon.com/dp/B002LFEQ6G</t>
  </si>
  <si>
    <t>https://www.amazon.com/dp/B09WTJNXMF?psc=1</t>
  </si>
  <si>
    <t>https://www.amazon.com/dp/B000N7AZIW</t>
  </si>
  <si>
    <t>https://www.amazon.com/dp/B000HCRM4S</t>
  </si>
  <si>
    <t>https://www.amazon.com/dp/B076HW6S9K</t>
  </si>
  <si>
    <t>https://www.amazon.com/dp/B07L1MS63W?psc=1</t>
  </si>
  <si>
    <t>https://www.amazon.com/dp/B0H7FW1TR6</t>
  </si>
  <si>
    <t>https://www.amazon.com/dp/B09G93W2YM?psc=1</t>
  </si>
  <si>
    <t>https://www.amazon.com/dp/B0BQ7MFDCD?psc=1</t>
  </si>
  <si>
    <t>https://www.amazon.com/dp/B002LFCS3Y</t>
  </si>
  <si>
    <t>https://www.amazon.com/dp/B09G9FP9WQ?psc=1</t>
  </si>
  <si>
    <t>https://www.amazon.com/dp/B000KL1G5W?psc=1</t>
  </si>
  <si>
    <t>https://www.amazon.com/dp/B000RUASQE?psc=1</t>
  </si>
  <si>
    <t>https://www.amazon.com/dp/B002ZBPNMC?psc=1</t>
  </si>
  <si>
    <t>https://www.amazon.com/dp/B000RUD032</t>
  </si>
  <si>
    <t>https://www.amazon.com/dp/B000BPC1YM?psc=1</t>
  </si>
  <si>
    <t>https://www.amazon.com/dp/B07DLGZ26P?psc=1</t>
  </si>
  <si>
    <t>https://www.amazon.com/dp/B000UJX9TK?psc=1</t>
  </si>
  <si>
    <t>https://www.amazon.com/dp/B0DCZZKK52?psc=1</t>
  </si>
  <si>
    <t>https://www.amazon.com/dp/B001U14FA4?psc=1</t>
  </si>
  <si>
    <t>https://www.amazon.com/dp/B000HCRMIY?psc=1</t>
  </si>
  <si>
    <t>https://www.amazon.com/dp/B00YETULD4</t>
  </si>
  <si>
    <t>https://www.amazon.com/dp/B00192ANXM?psc=1</t>
  </si>
  <si>
    <t>https://www.amazon.com/dp/B000UJRMOS?psc=1</t>
  </si>
  <si>
    <t>https://www.amazon.com/dp/B000BX1HSU?psc=1</t>
  </si>
  <si>
    <t>https://www.amazon.com/dp/B00YIHBWNK</t>
  </si>
  <si>
    <t>https://www.amazon.com/dp/B006QYSAPQ</t>
  </si>
  <si>
    <t>https://www.amazon.com/dp/B001D0YG5Q</t>
  </si>
  <si>
    <t>https://www.amazon.com/dp/B004MPKF5Y?psc=1</t>
  </si>
  <si>
    <t>https://www.amazon.com/dp/B002CA92NC?psc=1</t>
  </si>
  <si>
    <t>https://www.amazon.com/dp/B000OWB63O?psc=1</t>
  </si>
  <si>
    <t>https://www.amazon.com/dp/B0CRHXZTGR?psc=1</t>
  </si>
  <si>
    <t>https://www.amazon.com/dp/B09G99F6NW?psc=1</t>
  </si>
  <si>
    <t>https://www.amazon.com/dp/B009ATFJWG?psc=1</t>
  </si>
  <si>
    <t>https://www.amazon.com/dp/B00353GTOK?psc=1</t>
  </si>
  <si>
    <t>https://www.amazon.com/dp/B005X94R7U</t>
  </si>
  <si>
    <t>https://www.amazon.com/dp/B000A0RF6C?psc=1</t>
  </si>
  <si>
    <t>https://www.amazon.com/dp/B000BX4RT6?psc=1</t>
  </si>
  <si>
    <t>https://www.amazon.com/dp/B000OP4E5S?psc=1</t>
  </si>
  <si>
    <t>https://www.amazon.com/dp/B000ON67VO</t>
  </si>
  <si>
    <t>https://www.amazon.com/dp/B00URP7BQ4</t>
  </si>
  <si>
    <t>https://www.amazon.com/dp/B000GD3KM6?psc=1</t>
  </si>
  <si>
    <t>https://www.amazon.com/dp/B00192FZ30?psc=1</t>
  </si>
  <si>
    <t>https://www.amazon.com/dp/B09WTV7KJH</t>
  </si>
  <si>
    <t>https://www.amazon.com/dp/B00FGIJOAI?psc=1</t>
  </si>
  <si>
    <t>https://www.amazon.com/dp/B00ADFNCX4?psc=1</t>
  </si>
  <si>
    <t>https://www.amazon.com/dp/B000BZ1HZQ</t>
  </si>
  <si>
    <t>https://www.amazon.com/dp/B09G98ZXVX?psc=1</t>
  </si>
  <si>
    <t>https://www.amazon.com/dp/B00P8EG8XQ</t>
  </si>
  <si>
    <t>https://www.amazon.com/dp/B01IDXDU98</t>
  </si>
  <si>
    <t>https://www.amazon.com/dp/B001H1EQ42</t>
  </si>
  <si>
    <t>https://www.amazon.com/dp/B09G93TXSS?psc=1</t>
  </si>
  <si>
    <t>https://www.amazon.com/dp/B00CXJTPAW</t>
  </si>
  <si>
    <t>https://www.amazon.com/dp/B001H1GQN6?psc=1</t>
  </si>
  <si>
    <t>https://www.amazon.com/dp/B09G9FBZ6X?psc=1</t>
  </si>
  <si>
    <t>https://www.amazon.com/dp/B0H7FKXMRZ</t>
  </si>
  <si>
    <t>https://www.amazon.com/dp/B00H1ZZMI2</t>
  </si>
  <si>
    <t>https://www.amazon.com/dp/B000OWC16U</t>
  </si>
  <si>
    <t>https://www.amazon.com/dp/B09WTTNNNL</t>
  </si>
  <si>
    <t>https://www.amazon.com/dp/B000A0YHGS?psc=1</t>
  </si>
  <si>
    <t>https://www.amazon.com/dp/B0F33S5JG6?psc=1</t>
  </si>
  <si>
    <t>https://www.amazon.com/dp/B09WTKPVB3</t>
  </si>
  <si>
    <t>https://www.amazon.com/dp/B001D1FVCC?psc=1</t>
  </si>
  <si>
    <t>https://www.amazon.com/dp/B000OWB6UW?psc=1</t>
  </si>
  <si>
    <t>https://www.amazon.com/dp/B07KDXQQ1J?psc=1</t>
  </si>
  <si>
    <t>https://www.amazon.com/dp/B002RBEPMO?psc=1</t>
  </si>
  <si>
    <t>https://www.amazon.com/dp/B000UJYJRG?psc=1</t>
  </si>
  <si>
    <t>https://www.amazon.com/dp/B0085OOIB0?psc=1</t>
  </si>
  <si>
    <t>https://www.amazon.com/dp/B0084NO9KC?psc=1</t>
  </si>
  <si>
    <t>https://www.amazon.com/dp/B000OW92BC?psc=1</t>
  </si>
  <si>
    <t>https://www.amazon.com/dp/B000WGTK62?psc=1</t>
  </si>
  <si>
    <t>https://www.amazon.com/dp/B000HA95W2</t>
  </si>
  <si>
    <t>https://www.amazon.com/dp/B000CO5RIY?psc=1</t>
  </si>
  <si>
    <t>https://www.amazon.com/dp/B000HCUK38?psc=1</t>
  </si>
  <si>
    <t>https://www.amazon.com/dp/B07JYFFMV1?psc=1</t>
  </si>
  <si>
    <t>https://www.amazon.com/dp/B00QV332A0</t>
  </si>
  <si>
    <t>https://www.amazon.com/dp/B000UJTCG4?psc=1</t>
  </si>
  <si>
    <t>https://www.amazon.com/dp/B000HCUJUW</t>
  </si>
  <si>
    <t>https://www.amazon.com/dp/B002RBEPQ0?psc=1</t>
  </si>
  <si>
    <t>https://www.amazon.com/dp/B00KOW48MU?psc=1</t>
  </si>
  <si>
    <t>https://www.amazon.com/dp/B08T3WLXS1?psc=1</t>
  </si>
  <si>
    <t>https://www.amazon.com/dp/B008GUI0XU</t>
  </si>
  <si>
    <t>https://www.amazon.com/dp/B001B2XHS8</t>
  </si>
  <si>
    <t>https://www.amazon.com/dp/B00USMWZ58</t>
  </si>
  <si>
    <t>https://www.amazon.com/dp/B0H7FTR8VL</t>
  </si>
  <si>
    <t>https://www.amazon.com/dp/B000OW94Y2</t>
  </si>
  <si>
    <t>https://www.amazon.com/dp/B01LZ9LXR2?psc=1</t>
  </si>
  <si>
    <t>https://www.amazon.com/dp/B000BQR0XS?psc=1</t>
  </si>
  <si>
    <t>https://www.amazon.com/dp/B08DZ71CYV</t>
  </si>
  <si>
    <t>https://www.amazon.com/dp/B001D10EQA</t>
  </si>
  <si>
    <t>https://www.amazon.com/dp/B00FGIPQYQ?psc=1</t>
  </si>
  <si>
    <t>https://www.amazon.com/dp/B000A0PZPA</t>
  </si>
  <si>
    <t>https://www.amazon.com/dp/B07KQDKMGY</t>
  </si>
  <si>
    <t>https://www.amazon.com/dp/B0035H7V34?psc=1</t>
  </si>
  <si>
    <t>https://www.amazon.com/dp/B001AS2WL6?psc=1</t>
  </si>
  <si>
    <t>https://www.amazon.com/dp/B09WTHQW7W?psc=1</t>
  </si>
  <si>
    <t>32 fl oz</t>
  </si>
  <si>
    <t>32 oz (Pack of 1)</t>
  </si>
  <si>
    <t>32 oz</t>
  </si>
  <si>
    <t>1 quart</t>
  </si>
  <si>
    <t>8 ounces</t>
  </si>
  <si>
    <t>1.25 oz</t>
  </si>
  <si>
    <t>48 Ounce (Pack of 1)</t>
  </si>
  <si>
    <t>10.00 Ounce (Pack of 1)</t>
  </si>
  <si>
    <t>10Lbs</t>
  </si>
  <si>
    <t>32 ounce</t>
  </si>
  <si>
    <t>16 oz</t>
  </si>
  <si>
    <t>16 Fl Oz</t>
  </si>
  <si>
    <t>128 fl oz</t>
  </si>
  <si>
    <t>64 oz</t>
  </si>
  <si>
    <t>4 lbs</t>
  </si>
  <si>
    <t>1 Pound</t>
  </si>
  <si>
    <t>128 oz</t>
  </si>
  <si>
    <t>8 oz</t>
  </si>
  <si>
    <t>1 lbs</t>
  </si>
  <si>
    <t>12 Count (Pack of 1)</t>
  </si>
  <si>
    <t>32_Oz</t>
  </si>
  <si>
    <t>1.3 Pound</t>
  </si>
  <si>
    <t>4 Count (Pack of 1)</t>
  </si>
  <si>
    <t>2 Pound (Pack of 1)</t>
  </si>
  <si>
    <t>1 Pt.</t>
  </si>
  <si>
    <t>2.75_Lb*</t>
  </si>
  <si>
    <t>32 Ounce (Pack of 1)</t>
  </si>
  <si>
    <t>5 Pound</t>
  </si>
  <si>
    <t>80 Ounce (Pack of 1)</t>
  </si>
  <si>
    <t>10 Ounce (Pack of 2)</t>
  </si>
  <si>
    <t>6 Pound</t>
  </si>
  <si>
    <t>40 oz.</t>
  </si>
  <si>
    <t>Pint</t>
  </si>
  <si>
    <t>1 lb</t>
  </si>
  <si>
    <t>32 fl oz (Pack of 2)</t>
  </si>
  <si>
    <t>20 Ounce (Pack of 1)</t>
  </si>
  <si>
    <t>12 oz</t>
  </si>
  <si>
    <t>7.5_Lb*</t>
  </si>
  <si>
    <t>32 oz (Pack of 2)</t>
  </si>
  <si>
    <t>128 Ounce</t>
  </si>
  <si>
    <t>16 Oz</t>
  </si>
  <si>
    <t>16 fluid ounces</t>
  </si>
  <si>
    <t>0.5 Ounce (Pack of 12)</t>
  </si>
  <si>
    <t>1 qt</t>
  </si>
  <si>
    <t>1 Pint</t>
  </si>
  <si>
    <t>32 oz (Pack of 3)</t>
  </si>
  <si>
    <t>No Size (Pack of 1)</t>
  </si>
  <si>
    <t>24 Ounce (Pack of 1)</t>
  </si>
  <si>
    <t>4 Ounce</t>
  </si>
  <si>
    <t>20.8 Ounce (Pack of 1)</t>
  </si>
  <si>
    <t>1.3 lbs</t>
  </si>
  <si>
    <t>3 lbs</t>
  </si>
  <si>
    <t>1 Qt.</t>
  </si>
  <si>
    <t>1 Quart</t>
  </si>
  <si>
    <t>15 Fl Oz (Pack of 1)</t>
  </si>
  <si>
    <t>B00730QW70</t>
  </si>
  <si>
    <t>B0148W0WOE</t>
  </si>
  <si>
    <t>B08C3PPYSV</t>
  </si>
  <si>
    <t>B00TXFE4RI</t>
  </si>
  <si>
    <t>B08HWHD58L</t>
  </si>
  <si>
    <t>B0DSM2NQ79</t>
  </si>
  <si>
    <t>B002Y6BC1O</t>
  </si>
  <si>
    <t>B0DSM5TLY3</t>
  </si>
  <si>
    <t>B07XRSC5WZ</t>
  </si>
  <si>
    <t>B003K8JDPM</t>
  </si>
  <si>
    <t>B005DUTNF0</t>
  </si>
  <si>
    <t>B0CVR13ZL7</t>
  </si>
  <si>
    <t>B00407FUTA</t>
  </si>
  <si>
    <t>B08HY6BHT9</t>
  </si>
  <si>
    <t>B0CYJMJCQ9</t>
  </si>
  <si>
    <t>B0DN24MZ7Z</t>
  </si>
  <si>
    <t>B074W94HBQ</t>
  </si>
  <si>
    <t>B0BZ3WVCVX</t>
  </si>
  <si>
    <t>B0DYYQQRX1</t>
  </si>
  <si>
    <t>B00OXD2CKG</t>
  </si>
  <si>
    <t>B08C484NNJ</t>
  </si>
  <si>
    <t>B08HY892HM</t>
  </si>
  <si>
    <t>B074W82TL6</t>
  </si>
  <si>
    <t>B0CHLJXTRS</t>
  </si>
  <si>
    <t>B07PTYTBMM</t>
  </si>
  <si>
    <t>B00BEYQ8DO</t>
  </si>
  <si>
    <t>B0B4VBN389</t>
  </si>
  <si>
    <t>B0084NG8Y2</t>
  </si>
  <si>
    <t>B006NA5YH0</t>
  </si>
  <si>
    <t>B01G49QTLO</t>
  </si>
  <si>
    <t>B0149IBXCC</t>
  </si>
  <si>
    <t>B0DZ7BFXP2</t>
  </si>
  <si>
    <t>B0D9KTP9MF</t>
  </si>
  <si>
    <t>B00FNYAFI0</t>
  </si>
  <si>
    <t>B0084HDDIM</t>
  </si>
  <si>
    <t>B004CZ866E</t>
  </si>
  <si>
    <t>B0DYWW3BSD</t>
  </si>
  <si>
    <t>B08DL44MJ5</t>
  </si>
  <si>
    <t>B0DFDLZ4GS</t>
  </si>
  <si>
    <t>B00HTE2IKK</t>
  </si>
  <si>
    <t>B0B4VDS958</t>
  </si>
  <si>
    <t>B005UTROPA</t>
  </si>
  <si>
    <t>B096W9RJH2</t>
  </si>
  <si>
    <t>B0849XJ2JG</t>
  </si>
  <si>
    <t>B0DYYS8Q46</t>
  </si>
  <si>
    <t>B0GXGR6PP2</t>
  </si>
  <si>
    <t>B0069ALA86</t>
  </si>
  <si>
    <t>B0G96643VD</t>
  </si>
  <si>
    <t>B004HD973W</t>
  </si>
  <si>
    <t>B01BZLG0PQ</t>
  </si>
  <si>
    <t>Syngenta</t>
  </si>
  <si>
    <t>SYNGENTA</t>
  </si>
  <si>
    <t>https://m.media-amazon.com/images/I/816zrbHybmL.jpg</t>
  </si>
  <si>
    <t>https://m.media-amazon.com/images/I/81nuGmgWIrL.jpg</t>
  </si>
  <si>
    <t>https://m.media-amazon.com/images/I/71Be+ffAVoL.jpg</t>
  </si>
  <si>
    <t>https://m.media-amazon.com/images/I/71v5O8zaLZL.jpg</t>
  </si>
  <si>
    <t>https://m.media-amazon.com/images/I/71V1U9CYdKL.jpg</t>
  </si>
  <si>
    <t>https://m.media-amazon.com/images/I/71j498VtQuL.jpg</t>
  </si>
  <si>
    <t>https://m.media-amazon.com/images/I/81KUBEsN+UL.jpg</t>
  </si>
  <si>
    <t>https://m.media-amazon.com/images/I/61rAtFhUXmL.jpg</t>
  </si>
  <si>
    <t>https://m.media-amazon.com/images/I/71r7v6jhisL.jpg</t>
  </si>
  <si>
    <t>https://m.media-amazon.com/images/I/7150ZVCDOfL.jpg</t>
  </si>
  <si>
    <t>https://m.media-amazon.com/images/I/81oc4xKqJpL.jpg</t>
  </si>
  <si>
    <t>https://m.media-amazon.com/images/I/71Nmzx8z0pL.jpg</t>
  </si>
  <si>
    <t>https://m.media-amazon.com/images/I/714bwF6ktxL.jpg</t>
  </si>
  <si>
    <t>https://m.media-amazon.com/images/I/71qNjI+PS8L.jpg</t>
  </si>
  <si>
    <t>https://m.media-amazon.com/images/I/71cM-9YkIPL.jpg</t>
  </si>
  <si>
    <t>https://m.media-amazon.com/images/I/81VMZpSQb+L.jpg</t>
  </si>
  <si>
    <t>https://m.media-amazon.com/images/I/81vfOkS7zsL.jpg</t>
  </si>
  <si>
    <t>https://m.media-amazon.com/images/I/71Fl3q83ubL.jpg</t>
  </si>
  <si>
    <t>https://m.media-amazon.com/images/I/61rftbhPRjL.jpg</t>
  </si>
  <si>
    <t>https://m.media-amazon.com/images/I/71EGASgsFlL.jpg</t>
  </si>
  <si>
    <t>https://m.media-amazon.com/images/I/71GqP9RcoHL.jpg</t>
  </si>
  <si>
    <t>https://m.media-amazon.com/images/I/81FeZdufT6L.jpg</t>
  </si>
  <si>
    <t>https://m.media-amazon.com/images/I/81jRQoicPlL.jpg</t>
  </si>
  <si>
    <t>https://m.media-amazon.com/images/I/71cWpbufXAL.jpg</t>
  </si>
  <si>
    <t>https://m.media-amazon.com/images/I/71cdwbEMVdL.jpg</t>
  </si>
  <si>
    <t>https://m.media-amazon.com/images/I/610o5f8OKzL.jpg</t>
  </si>
  <si>
    <t>https://m.media-amazon.com/images/I/81hkjc07lNL.jpg</t>
  </si>
  <si>
    <t>https://m.media-amazon.com/images/I/61SStYwtMnL.jpg</t>
  </si>
  <si>
    <t>https://m.media-amazon.com/images/I/61qgdu9ZmXL.jpg</t>
  </si>
  <si>
    <t>https://m.media-amazon.com/images/I/81LsgZNz79L.jpg</t>
  </si>
  <si>
    <t>https://m.media-amazon.com/images/I/81187ADFjeL.jpg</t>
  </si>
  <si>
    <t>https://m.media-amazon.com/images/I/71C+CvxD3VL.jpg</t>
  </si>
  <si>
    <t>https://m.media-amazon.com/images/I/71MIU0h0ahL.jpg</t>
  </si>
  <si>
    <t>https://m.media-amazon.com/images/I/61tiVyuvT8L.jpg</t>
  </si>
  <si>
    <t>https://m.media-amazon.com/images/I/81F8jL4KjvL.jpg</t>
  </si>
  <si>
    <t>https://m.media-amazon.com/images/I/71D+7sez6SL.jpg</t>
  </si>
  <si>
    <t>https://m.media-amazon.com/images/I/71fIeGgL15L.jpg</t>
  </si>
  <si>
    <t>https://m.media-amazon.com/images/I/619RwLx5vLL.jpg</t>
  </si>
  <si>
    <t>https://m.media-amazon.com/images/I/71mfhd6ZUHL.jpg</t>
  </si>
  <si>
    <t>https://m.media-amazon.com/images/I/71NE2SYXZ6L.jpg</t>
  </si>
  <si>
    <t>https://m.media-amazon.com/images/I/81AvWt37x3L.jpg</t>
  </si>
  <si>
    <t>https://m.media-amazon.com/images/I/71WvlvKJNHL.jpg</t>
  </si>
  <si>
    <t>https://m.media-amazon.com/images/I/51XXu4EUQoL.jpg</t>
  </si>
  <si>
    <t>https://m.media-amazon.com/images/I/71lfkvdRN9L.jpg</t>
  </si>
  <si>
    <t>advion 383920 4 Tubes and 4 Plungers Cockroach German Roach Pest Control Inse, Brown</t>
  </si>
  <si>
    <t>Syngenta 383920 Advion Cockroach Gel Bait 4 X 30 Gram Tubes Roach Control</t>
  </si>
  <si>
    <t>Syngenta 68078 Advion Singular Tube Ant Gel Lure, 30g</t>
  </si>
  <si>
    <t>Syngenta Advion Ant Gel 4 tubes 30 grams each</t>
  </si>
  <si>
    <t>advion 68663 Arena 12ct Bag Cockroach Bait Station, White</t>
  </si>
  <si>
    <t>Advion Cockroach Gel Bait, 4 Tubes x 30-Grams, 1 Plunger and 2 Tips, Indoor and Outdoor Use, Roach Killer Gel for American, German and Other Major Cockroach Species (2 Pack)</t>
  </si>
  <si>
    <t>Syngenta 73654 Demand CS Insecticide, 8oz, Beige</t>
  </si>
  <si>
    <t>Advion Cockroach Gel Bait, 4 Tubes x 30-Grams, 4 Plunger and 4 Tips (Pack of 2)</t>
  </si>
  <si>
    <t>Syngenta Advion Ant Gel - 1 Box (4 X 30 Gr.Syringes)</t>
  </si>
  <si>
    <t>Syngenta - TRTD11568 - Optigard Ant Bait Gel Box - 4 Tubes w/ Plunger - 30g each tube, White</t>
  </si>
  <si>
    <t>Tenacity Turf Herbicide - 8 ounces (Packaging may vary)</t>
  </si>
  <si>
    <t>Syngenta - Advion WDG Insecticide - 0.33 oz Packet</t>
  </si>
  <si>
    <t>Syngenta - A20380A - Advion Fire Ant Bait - Insecticide - 2lb</t>
  </si>
  <si>
    <t>Advion Ant Bait Arena 12ct</t>
  </si>
  <si>
    <t>Advion Trio Cockroach Gel Bait, 4 Tubes x 30-Grams, 1 Plunger and 2 Tips, Formulated with 0.6% Indoxacarb, 0.1% Novaluron and 0.1% Pyriproxyfen, Ready-to-Use Roach Killer for Indoor and Outdoor Use</t>
  </si>
  <si>
    <t>Syngenta Fusilade II Herbicide - Grass Weed Killer Spray for Selective Control in Turf &amp; Landscapes, Safe on Ornamentals, Fast Acting Weed Control for Nurseries &amp; Sports Fields - 4 oz</t>
  </si>
  <si>
    <t>Syngenta - 61596 Evolution Cockroach Gel Bait, Size: 4 x 1.06 oz (30g), Various</t>
  </si>
  <si>
    <t>61596 Evolution Cockroach Gel - 4 Tubes of Bait, Prevent Roach Infestations</t>
  </si>
  <si>
    <t>Advion Cockraoch Bait Arena 12ct (2 Pack)</t>
  </si>
  <si>
    <t>Barricade 4FL Herbicide Concentrate - Preemergent Weed Control - Long Lasting Broadleaf Weed Prevention for Lawns, Turf Grass, Ornamentals, and More, 4 Fl Oz</t>
  </si>
  <si>
    <t>Advion Insect Granular Bait, 1-lb. Shaker Bottle, Effective Insect Granular Bait, Formulated with 0.22% Indoxacarb, Outdoor Use, for Control of Prevailing Perimeter Pests</t>
  </si>
  <si>
    <t>Syngenta 64749 Demand Duo Pesticide, 1 Count (Pack of 1), White</t>
  </si>
  <si>
    <t>Syngenta 61597 Optigard Cockroach Gel</t>
  </si>
  <si>
    <t>Syngenta 76623 Demand CS-0.8oz Insecticide Concentrate</t>
  </si>
  <si>
    <t>Syngenta 25001 Demon Max Insecticide</t>
  </si>
  <si>
    <t>Syngenta Headway G Granular Fungicide</t>
  </si>
  <si>
    <t>Primo Maxx Plant Growth Regulator</t>
  </si>
  <si>
    <t>Syngenta Demand CS 32oz Insecticide</t>
  </si>
  <si>
    <t>Heritage G Fungicide 30 lb Bag (1 Bag) 6666273</t>
  </si>
  <si>
    <t>Demon Max 2500 demon2500 Bug Killer, Dark Brown</t>
  </si>
  <si>
    <t>Fusilade Selective Herbicide II 73215, White</t>
  </si>
  <si>
    <t>Syngenta Herbicide Bundle- Recognition Herbicide 0.45 oz Bottle + Fusilade II Herbicide 4oz Bottle</t>
  </si>
  <si>
    <t>Syngenta Advion Ant Gel Station Insecticide, Ready-to-Use Gel Bait with The Active Ingredient Indoxacarb, Ant Bait for Use Indoor and Outdoor, 6 Boxes (18 Total Stations)</t>
  </si>
  <si>
    <t>Syngenta Caravan G Insecticide Fungicide - 30-Pound Bag</t>
  </si>
  <si>
    <t>Syngenta 33916 Archer Growth Regulator, Colorless</t>
  </si>
  <si>
    <t>Syngenta - 25837 - Avid 0.15EC - Miticide/Insecticide - 8 oz</t>
  </si>
  <si>
    <t>Syngenta Recognition Herbicide. (0.45 oz) Water Dispersible Granule Weed Killer - Post Emergent Weed Control for lawns, Weed Stop for lawns</t>
  </si>
  <si>
    <t>Advion WDG Insecticide, Effective Sprayable Insecticide, Formulated with 20.0% Indoxacarb, Indoor, Outdoor, and Food Establishment Use, for Control of a Broad Range of Pests - 5 x 0.33-oz. Packets</t>
  </si>
  <si>
    <t>Syngenta Tenacity Herbicide - Pre-Emergent and Post-Emergent Weed Control, 8-oz. Liquid Weed Killer for Lawns and Turf Grasses, Active Ingredient Mesotrione Herbicide (Pack of 2)</t>
  </si>
  <si>
    <t>Advion Cockroach Gel Bait, 4 Tubes x 30-Grams, 1 Plunger and 2 Tips, German Roach Insect Pest Control, Indoor and Outdoor Use, Roach Killer Gel for American, German and Other Major Cockroach Species</t>
  </si>
  <si>
    <t>Syngenta - Heritage SC 4oz Fungicide</t>
  </si>
  <si>
    <t>Demand CS Insecticide - Long-Lasting Pest Control, 1-qt. Sprayable Insecticide Effective Against Over 30 Pests, Formulated for Indoor &amp; Outdoor Use</t>
  </si>
  <si>
    <t>Acelepryn SC Insecticide - 4 Ounce</t>
  </si>
  <si>
    <t>Syngenta Resolute 65 WG</t>
  </si>
  <si>
    <t>Advion Ant Gel Bait, 4 Tubes x 30-Grams, 1 Plunger &amp; 2 Tips, Effective Bait Formulated with 0.05% Indoxacarb, Indoor and Outdoor Use, Killer Gel for Most Major Ant Species (Pack of 2)</t>
  </si>
  <si>
    <t>Syngenta Vanecto Cockroach Gel Bait – Roach Gel with PLINAZOLIN® Technology (Group 30) – Roach Killer Indoor Infestation Control for German and American Cockroaches - 4 x 1.06 oz</t>
  </si>
  <si>
    <t>Optigard Ant Gel Bait, 4 Tubes x 30-Grams, 1 Plunger and 2 Application Tips, Effective Bait, Formulated with 0.01% Thiamethoxam, Indoor and Outdoor Use, Killer Gel for Most Major Ant Species</t>
  </si>
  <si>
    <t>Syngenta Tribune Fast-Acting Aquatic Herbicide 128 fl oz</t>
  </si>
  <si>
    <t>Advion Ant Bait Arena, 12-Count Bag, Effective Bait in A Small Plastic Arena for Easy Placement, Formulated with 0.1% Indoxacarb, Indoor and Outdoor Use, for Control of Most Major Ant Species (3)</t>
  </si>
  <si>
    <t>Syngenta Acelepryn G – 25 lb</t>
  </si>
  <si>
    <t>https://www.amazon.com/dp/B00730QW70?psc=1</t>
  </si>
  <si>
    <t>https://www.amazon.com/dp/B0148W0WOE?psc=1</t>
  </si>
  <si>
    <t>https://www.amazon.com/dp/B08C3PPYSV</t>
  </si>
  <si>
    <t>https://www.amazon.com/dp/B00TXFE4RI</t>
  </si>
  <si>
    <t>https://www.amazon.com/dp/B08HWHD58L</t>
  </si>
  <si>
    <t>https://www.amazon.com/dp/B0DSM2NQ79?psc=1</t>
  </si>
  <si>
    <t>https://www.amazon.com/dp/B002Y6BC1O</t>
  </si>
  <si>
    <t>https://www.amazon.com/dp/B0DSM5TLY3?psc=1</t>
  </si>
  <si>
    <t>https://www.amazon.com/dp/B07XRSC5WZ?psc=1</t>
  </si>
  <si>
    <t>https://www.amazon.com/dp/B003K8JDPM</t>
  </si>
  <si>
    <t>https://www.amazon.com/dp/B005DUTNF0?psc=1</t>
  </si>
  <si>
    <t>https://www.amazon.com/dp/B0CVR13ZL7</t>
  </si>
  <si>
    <t>https://www.amazon.com/dp/B00407FUTA</t>
  </si>
  <si>
    <t>https://www.amazon.com/dp/B08HY6BHT9</t>
  </si>
  <si>
    <t>https://www.amazon.com/dp/B0CYJMJCQ9</t>
  </si>
  <si>
    <t>https://www.amazon.com/dp/B0DN24MZ7Z?psc=1</t>
  </si>
  <si>
    <t>https://www.amazon.com/dp/B074W94HBQ</t>
  </si>
  <si>
    <t>https://www.amazon.com/dp/B0BZ3WVCVX</t>
  </si>
  <si>
    <t>https://www.amazon.com/dp/B0DYYQQRX1</t>
  </si>
  <si>
    <t>https://www.amazon.com/dp/B00OXD2CKG</t>
  </si>
  <si>
    <t>https://www.amazon.com/dp/B08C484NNJ</t>
  </si>
  <si>
    <t>https://www.amazon.com/dp/B08HY892HM?psc=1</t>
  </si>
  <si>
    <t>https://www.amazon.com/dp/B074W82TL6?psc=1</t>
  </si>
  <si>
    <t>https://www.amazon.com/dp/B0CHLJXTRS</t>
  </si>
  <si>
    <t>https://www.amazon.com/dp/B07PTYTBMM</t>
  </si>
  <si>
    <t>https://www.amazon.com/dp/B00BEYQ8DO</t>
  </si>
  <si>
    <t>https://www.amazon.com/dp/B0B4VBN389</t>
  </si>
  <si>
    <t>https://www.amazon.com/dp/B0084NG8Y2</t>
  </si>
  <si>
    <t>https://www.amazon.com/dp/B006NA5YH0</t>
  </si>
  <si>
    <t>https://www.amazon.com/dp/B01G49QTLO</t>
  </si>
  <si>
    <t>https://www.amazon.com/dp/B0149IBXCC?psc=1</t>
  </si>
  <si>
    <t>https://www.amazon.com/dp/B0DZ7BFXP2</t>
  </si>
  <si>
    <t>https://www.amazon.com/dp/B0D9KTP9MF</t>
  </si>
  <si>
    <t>https://www.amazon.com/dp/B00FNYAFI0</t>
  </si>
  <si>
    <t>https://www.amazon.com/dp/B0084HDDIM</t>
  </si>
  <si>
    <t>https://www.amazon.com/dp/B004CZ866E</t>
  </si>
  <si>
    <t>https://www.amazon.com/dp/B0DYWW3BSD</t>
  </si>
  <si>
    <t>https://www.amazon.com/dp/B08DL44MJ5</t>
  </si>
  <si>
    <t>https://www.amazon.com/dp/B0DFDLZ4GS?psc=1</t>
  </si>
  <si>
    <t>https://www.amazon.com/dp/B00HTE2IKK</t>
  </si>
  <si>
    <t>https://www.amazon.com/dp/B0B4VDS958</t>
  </si>
  <si>
    <t>https://www.amazon.com/dp/B005UTROPA</t>
  </si>
  <si>
    <t>https://www.amazon.com/dp/B096W9RJH2</t>
  </si>
  <si>
    <t>https://www.amazon.com/dp/B0849XJ2JG</t>
  </si>
  <si>
    <t>https://www.amazon.com/dp/B0DYYS8Q46</t>
  </si>
  <si>
    <t>https://www.amazon.com/dp/B0GXGR6PP2</t>
  </si>
  <si>
    <t>https://www.amazon.com/dp/B0069ALA86</t>
  </si>
  <si>
    <t>https://www.amazon.com/dp/B0G96643VD</t>
  </si>
  <si>
    <t>https://www.amazon.com/dp/B004HD973W</t>
  </si>
  <si>
    <t>https://www.amazon.com/dp/B01BZLG0PQ</t>
  </si>
  <si>
    <t>4.24 Fl Oz (Pack of 1)</t>
  </si>
  <si>
    <t>4x30_gram</t>
  </si>
  <si>
    <t>Single</t>
  </si>
  <si>
    <t>4.24 Fl Oz (Pack of 2)</t>
  </si>
  <si>
    <t>8oz</t>
  </si>
  <si>
    <t>1.06 Ounce (Pack of 4)</t>
  </si>
  <si>
    <t>2lb</t>
  </si>
  <si>
    <t>12 count</t>
  </si>
  <si>
    <t>Size: 4 x 1.06 oz (30g)</t>
  </si>
  <si>
    <t>4 oz</t>
  </si>
  <si>
    <t>1 Fl Oz (Pack of 4)</t>
  </si>
  <si>
    <t>0.8 Ounce (Pack of 1)</t>
  </si>
  <si>
    <t>1 Galloon(Pack of 1)</t>
  </si>
  <si>
    <t>30_Pound</t>
  </si>
  <si>
    <t>4 Fl Oz (Pack of 1)</t>
  </si>
  <si>
    <t>32oz</t>
  </si>
  <si>
    <t>30 lbs- Ready to Use Granular</t>
  </si>
  <si>
    <t>4 oz + 0.45 oz</t>
  </si>
  <si>
    <t>8_Ounce</t>
  </si>
  <si>
    <t>0.45 oz</t>
  </si>
  <si>
    <t>Advion 4pk</t>
  </si>
  <si>
    <t>4oz</t>
  </si>
  <si>
    <t>32_ounce</t>
  </si>
  <si>
    <t>5 LB</t>
  </si>
  <si>
    <t>30 count</t>
  </si>
  <si>
    <t>25 POUND</t>
  </si>
  <si>
    <t>B0026MD0G6</t>
  </si>
  <si>
    <t>B06X952WC5</t>
  </si>
  <si>
    <t>B084CVXYCJ</t>
  </si>
  <si>
    <t>B001B1LI8A</t>
  </si>
  <si>
    <t>B07D4QW6DZ</t>
  </si>
  <si>
    <t>B072J8Z28F</t>
  </si>
  <si>
    <t>B07MJCNWGR</t>
  </si>
  <si>
    <t>B003YHD1WA</t>
  </si>
  <si>
    <t>B01N4SJWFR</t>
  </si>
  <si>
    <t>B07732SVD3</t>
  </si>
  <si>
    <t>B07RV67ZNL</t>
  </si>
  <si>
    <t>B09L5CCCHC</t>
  </si>
  <si>
    <t>B004I9MMGO</t>
  </si>
  <si>
    <t>B00E8LIXPQ</t>
  </si>
  <si>
    <t>B0056QWXLW</t>
  </si>
  <si>
    <t>B079J5XF31</t>
  </si>
  <si>
    <t>B00E8OY1TA</t>
  </si>
  <si>
    <t>B00BR1BQUO</t>
  </si>
  <si>
    <t>B005GXKEUM</t>
  </si>
  <si>
    <t>B0B3243XHH</t>
  </si>
  <si>
    <t>B003YHJ75K</t>
  </si>
  <si>
    <t>B01BRTNPCC</t>
  </si>
  <si>
    <t>B0728JL9SQ</t>
  </si>
  <si>
    <t>B01D1YE6P6</t>
  </si>
  <si>
    <t>B0056QWZJW</t>
  </si>
  <si>
    <t>B09HHMSM3J</t>
  </si>
  <si>
    <t>B08VFBXJGF</t>
  </si>
  <si>
    <t>B0FWM6SYSL</t>
  </si>
  <si>
    <t>B08511GLXR</t>
  </si>
  <si>
    <t>B0B8T5C9SX</t>
  </si>
  <si>
    <t>B0BC268VT4</t>
  </si>
  <si>
    <t>B09HHNXJ1L</t>
  </si>
  <si>
    <t>B0FWS4XKG1</t>
  </si>
  <si>
    <t>B0C8KJBXPW</t>
  </si>
  <si>
    <t>B09MDRMPPD</t>
  </si>
  <si>
    <t>B0FWMH4JVG</t>
  </si>
  <si>
    <t>B0C2VZBDJT</t>
  </si>
  <si>
    <t>B004D4V5VM</t>
  </si>
  <si>
    <t>B08ML1STTH</t>
  </si>
  <si>
    <t>B09YZZ6XB1</t>
  </si>
  <si>
    <t>B0081GOX5S</t>
  </si>
  <si>
    <t>B07TDS7GLX</t>
  </si>
  <si>
    <t>HARRIS</t>
  </si>
  <si>
    <t>HARRIS FAMOUS ROACH TABLETS</t>
  </si>
  <si>
    <t>Harris</t>
  </si>
  <si>
    <t>P F HARRIS MFG CO</t>
  </si>
  <si>
    <t>PF Harris</t>
  </si>
  <si>
    <t>PF Harris Mfg Co</t>
  </si>
  <si>
    <t>Central Garden Distribution</t>
  </si>
  <si>
    <t>P F HARRIS</t>
  </si>
  <si>
    <t>https://m.media-amazon.com/images/I/71B7SBjoDnL.jpg</t>
  </si>
  <si>
    <t>https://m.media-amazon.com/images/I/7105GKwIc5L.jpg</t>
  </si>
  <si>
    <t>https://m.media-amazon.com/images/I/71idXmZAu8L.jpg</t>
  </si>
  <si>
    <t>https://m.media-amazon.com/images/I/81GujvnXlmL.jpg</t>
  </si>
  <si>
    <t>https://m.media-amazon.com/images/I/81NNV+OuTnL.jpg</t>
  </si>
  <si>
    <t>https://m.media-amazon.com/images/I/819TnlK40bL.jpg</t>
  </si>
  <si>
    <t>https://m.media-amazon.com/images/I/71gp6zj18ZL.jpg</t>
  </si>
  <si>
    <t>https://m.media-amazon.com/images/I/71Lgk2aNpRL.jpg</t>
  </si>
  <si>
    <t>https://m.media-amazon.com/images/I/71cuIzrjtjL.jpg</t>
  </si>
  <si>
    <t>https://m.media-amazon.com/images/I/71IPiFjtPyL.jpg</t>
  </si>
  <si>
    <t>https://m.media-amazon.com/images/I/610jdUFzKQL.jpg</t>
  </si>
  <si>
    <t>https://m.media-amazon.com/images/I/61dRfBH2LdL.jpg</t>
  </si>
  <si>
    <t>https://m.media-amazon.com/images/I/71JxVV-wUKL.jpg</t>
  </si>
  <si>
    <t>https://m.media-amazon.com/images/I/61oKNWtM-WL.jpg</t>
  </si>
  <si>
    <t>https://m.media-amazon.com/images/I/618vxvkmAPL.jpg</t>
  </si>
  <si>
    <t>https://m.media-amazon.com/images/I/717KHF6uVZL.jpg</t>
  </si>
  <si>
    <t>https://m.media-amazon.com/images/I/71obTiMWXlL.jpg</t>
  </si>
  <si>
    <t>https://m.media-amazon.com/images/I/61C60LlKbLL.jpg</t>
  </si>
  <si>
    <t>https://m.media-amazon.com/images/I/61rsw0StCmL.jpg</t>
  </si>
  <si>
    <t>https://m.media-amazon.com/images/I/71fiBAPB8NL.jpg</t>
  </si>
  <si>
    <t>https://m.media-amazon.com/images/I/617xUoj7B1L.jpg</t>
  </si>
  <si>
    <t>https://m.media-amazon.com/images/I/71rg+YTm42L.jpg</t>
  </si>
  <si>
    <t>https://m.media-amazon.com/images/I/81BKzrqlGNL.jpg</t>
  </si>
  <si>
    <t>https://m.media-amazon.com/images/I/61PyW6U+I2L.jpg</t>
  </si>
  <si>
    <t>https://m.media-amazon.com/images/I/71IewKXR6vL.jpg</t>
  </si>
  <si>
    <t>https://m.media-amazon.com/images/I/71A8sNmGk2L.jpg</t>
  </si>
  <si>
    <t>https://m.media-amazon.com/images/I/71FoZ2WNdfL.jpg</t>
  </si>
  <si>
    <t>https://m.media-amazon.com/images/I/71gI5BtQG7L.jpg</t>
  </si>
  <si>
    <t>https://m.media-amazon.com/images/I/81aFS-3c1dL.jpg</t>
  </si>
  <si>
    <t>https://m.media-amazon.com/images/I/71cxG0UUsIL.jpg</t>
  </si>
  <si>
    <t>https://m.media-amazon.com/images/I/818a2z-SsoL.jpg</t>
  </si>
  <si>
    <t>https://m.media-amazon.com/images/I/81-ANNZIqeL.jpg</t>
  </si>
  <si>
    <t>https://m.media-amazon.com/images/I/718uRWiAgdL.jpg</t>
  </si>
  <si>
    <t>https://m.media-amazon.com/images/I/81tizdpZk8L.jpg</t>
  </si>
  <si>
    <t>https://m.media-amazon.com/images/I/71mBv4CFo5L.jpg</t>
  </si>
  <si>
    <t>https://m.media-amazon.com/images/I/71vkSZz4t7L.jpg</t>
  </si>
  <si>
    <t>https://m.media-amazon.com/images/I/81Dpgayc+SL.jpg</t>
  </si>
  <si>
    <t>https://m.media-amazon.com/images/I/61oUkPlbjCL.jpg</t>
  </si>
  <si>
    <t>https://m.media-amazon.com/images/I/91gUXkZg+XL.jpg</t>
  </si>
  <si>
    <t>https://m.media-amazon.com/images/I/91ywIzV41cL.jpg</t>
  </si>
  <si>
    <t>https://m.media-amazon.com/images/I/71vPIwdt0VL.jpg</t>
  </si>
  <si>
    <t>https://m.media-amazon.com/images/I/61IHbgpE-VL.jpg</t>
  </si>
  <si>
    <t>HARRIS Boric Acid Roach and Silverfish Killer Powder w/Lure for Insects (16oz)</t>
  </si>
  <si>
    <t>HARRIS Diatomaceous Earth Food Grade, Half Pound with Easy Application Puffer Tip</t>
  </si>
  <si>
    <t>Harris 8 oz Diatomaceous Earth Crawling Insect Killer — 100% Natural Dust for Ants, Roaches, Bed Bugs, Fleas — Indoor &amp; Outdoor Use</t>
  </si>
  <si>
    <t>Harris Roach Tablets, Boric Acid Roach and Insects Killer with Lure, Alternative to Bait Traps (6oz, 145 Tablets), Yellow</t>
  </si>
  <si>
    <t>Harris Diatomaceous Earth Food Grade, 5lb with Powder Duster Included in the Bag, OMRI Listed Approved for Organic Use</t>
  </si>
  <si>
    <t>HARRIS Diatomaceous Earth Food Grade, 4lb with Powder Duster Included in The Bag</t>
  </si>
  <si>
    <t>HARRIS 30% Vinegar Concentrated Extra Strength — All Purpose Cleaner for Home, Garden &amp; Patio</t>
  </si>
  <si>
    <t>Harris Asian Lady Beetle, Japanese Beetle, and Box Elder Killer, Liquid Spray with Odorless and Non-Staining Extended Residual Kill Formula (Gallon)</t>
  </si>
  <si>
    <t>Harris Roach Tablets, Boric Acid Roach Killer with Lure, Alternative to Bait Traps (6oz, 2-Pack)</t>
  </si>
  <si>
    <t>Harris Concentrated Neem Oil 100% Cold Pressed Filtered Oil Insecticide/Miticide/Fungicide, 12 oz Concentrate</t>
  </si>
  <si>
    <t>Harris Diatomaceous Earth Food Grade, 2lb OMRI Listed - Approved for Organic Use</t>
  </si>
  <si>
    <t>HARRIS Neem Oil Cold Pressed Water Soluble Concentrate, Makes 12 Gallons</t>
  </si>
  <si>
    <t>Harris Home Insect Killer, Liquid Gallon Spray with Odorless and Non Staining Residual Formula - Kills Stinkbugs, Ants, Roaches, Spiders, Fleas, Mosquitos, Moths, Scorpions, Flies and Silverfish</t>
  </si>
  <si>
    <t>Harris Bed Bug Traps for Early Detection &amp; Monitoring, 4 Pack</t>
  </si>
  <si>
    <t>Harris Roach Killer, Liquid Spray with Odorless and Non-Staining 12-Month Extended Residual Kill Formula (Gallon)</t>
  </si>
  <si>
    <t>Harris Boric Acid Roach and Silverfish Killer Powder w/Lure, Powder Duster Included in The Bag (32oz)</t>
  </si>
  <si>
    <t>Harris Scorpion Killer, Liquid Spray with Odorless and Non-Staining Extended Residual Kill Formula (Gallon) 128 Fl Oz</t>
  </si>
  <si>
    <t>Harris Cricket Glue Traps, (2-Pack)</t>
  </si>
  <si>
    <t>Harris HDE-8 Bed Bug Powder Diatomaceous Earth, 8oz, Yellow</t>
  </si>
  <si>
    <t>Harris Spotted Lantern Fly Killer, Odorless and Non Staining Ready to Use Spray, 128oz</t>
  </si>
  <si>
    <t>Harris Asian Lady Beetle and Box Elder Killer, Liquid Spray with Odorless and Non-Staining Extended Residual Kill Formula (32oz)</t>
  </si>
  <si>
    <t>HARRIS Bed Bug Traps - Parent (20-Pack)</t>
  </si>
  <si>
    <t>HARRIS Diatomaceous Earth Food Grade, 2lb with Powder Duster Included in the Bag</t>
  </si>
  <si>
    <t>Harris Toughest Bed Bug Killer, 16oz Aerosol Spray</t>
  </si>
  <si>
    <t>Harris Roach Killer, Liquid Spray with Odorless and Non-Staining 12-Month Extended Residual Kill Formula (32oz)</t>
  </si>
  <si>
    <t>Harris Premium Succulent and Cactus Potting Soil Mix, Fast Draining with Added Nutrients, 4 Quarts</t>
  </si>
  <si>
    <t>Harris Carpenter Ant Killer &amp; Termite Control Treatment, Kills On Contact, Odorless &amp; Non-Staining Formula, 128 Oz</t>
  </si>
  <si>
    <t>Harris Diatomaceous Earth Crawling Insect Killer, 8oz for Roaches, Fleas, Ants, Bed Bugs, and More 2Pack</t>
  </si>
  <si>
    <t>Harris Boric Acid Roach Killer Powder with Lure, 16oz</t>
  </si>
  <si>
    <t>HARRIS 30% Extra Strength Concentrated Vinegar for Home Cleaning and Outdoor Use, 1 Gallon, With Funnel</t>
  </si>
  <si>
    <t>Harris Horticultural Charcoal, Premium Biochar Soil Amendment for Plants and Terrariums, 2qt</t>
  </si>
  <si>
    <t>Harris All Purpose Premium Potting Soil Mix with Worm Castings and Other Nutrients, 4 Quarts</t>
  </si>
  <si>
    <t>HARRIS Diatomaceous Earth Food Grade, Half Pound with Easy Application Puffer Tip - 2 Pack</t>
  </si>
  <si>
    <t>Harris 10X Sea Salt Grass Killer, Pet Safe, Kills to The Root with Spray Trigger, 128oz</t>
  </si>
  <si>
    <t>Harris Worm Castings Organic Fertilizer - Soil Superfood for Houseplants, Flowers, and Vegetables, 4qt, 5lb Bag</t>
  </si>
  <si>
    <t>Harris Scorpion Killer, Liquid Spray with Odorless and Non-Staining Extended Residual Kill Formula (Gallon) 128 Fl Oz Includes Refill Funnel and Trigger Sprayer Applicator</t>
  </si>
  <si>
    <t>HARRIS Diatomaceous Earth Food Grade 10.5 LB, OMRI Certified, No additives or fillers</t>
  </si>
  <si>
    <t>Harris Spider Killer, Liquid Spray with Odorless and Non-Staining Formula (32oz)</t>
  </si>
  <si>
    <t>Harris Coco Coir Pith, 4 Bricks Expand to 9 Gallons of Coconut Coir, Coconut Fiber</t>
  </si>
  <si>
    <t>Harris Bonsai Soil, All Purpose Premium Blend for Outstanding Growth, 2qt</t>
  </si>
  <si>
    <t>Harris Spider Glue Traps, Pesticide Free (2-Pack), Kills Brown Recluse, Hobo Spider, Black Widow and More</t>
  </si>
  <si>
    <t>HARRIS Continuous Hand Pump Pressure Sprayer for Home, Lawn, Garden, Car Detailing and More, 1.5L</t>
  </si>
  <si>
    <t>https://www.amazon.com/dp/B0026MD0G6?psc=1</t>
  </si>
  <si>
    <t>https://www.amazon.com/dp/B06X952WC5?psc=1</t>
  </si>
  <si>
    <t>https://www.amazon.com/dp/B084CVXYCJ?psc=1</t>
  </si>
  <si>
    <t>https://www.amazon.com/dp/B001B1LI8A?psc=1</t>
  </si>
  <si>
    <t>https://www.amazon.com/dp/B07D4QW6DZ?psc=1</t>
  </si>
  <si>
    <t>https://www.amazon.com/dp/B072J8Z28F?psc=1</t>
  </si>
  <si>
    <t>https://www.amazon.com/dp/B07MJCNWGR?psc=1</t>
  </si>
  <si>
    <t>https://www.amazon.com/dp/B003YHD1WA?psc=1</t>
  </si>
  <si>
    <t>https://www.amazon.com/dp/B01N4SJWFR?psc=1</t>
  </si>
  <si>
    <t>https://www.amazon.com/dp/B07732SVD3</t>
  </si>
  <si>
    <t>https://www.amazon.com/dp/B07RV67ZNL</t>
  </si>
  <si>
    <t>https://www.amazon.com/dp/B09L5CCCHC</t>
  </si>
  <si>
    <t>https://www.amazon.com/dp/B004I9MMGO</t>
  </si>
  <si>
    <t>https://www.amazon.com/dp/B00E8LIXPQ?psc=1</t>
  </si>
  <si>
    <t>https://www.amazon.com/dp/B0056QWXLW?psc=1</t>
  </si>
  <si>
    <t>https://www.amazon.com/dp/B079J5XF31?psc=1</t>
  </si>
  <si>
    <t>https://www.amazon.com/dp/B00E8OY1TA</t>
  </si>
  <si>
    <t>https://www.amazon.com/dp/B00BR1BQUO</t>
  </si>
  <si>
    <t>https://www.amazon.com/dp/B005GXKEUM</t>
  </si>
  <si>
    <t>https://www.amazon.com/dp/B0B3243XHH</t>
  </si>
  <si>
    <t>https://www.amazon.com/dp/B003YHJ75K</t>
  </si>
  <si>
    <t>https://www.amazon.com/dp/B01BRTNPCC?psc=1</t>
  </si>
  <si>
    <t>https://www.amazon.com/dp/B0728JL9SQ?psc=1</t>
  </si>
  <si>
    <t>https://www.amazon.com/dp/B01D1YE6P6?psc=1</t>
  </si>
  <si>
    <t>https://www.amazon.com/dp/B0056QWZJW</t>
  </si>
  <si>
    <t>https://www.amazon.com/dp/B09HHMSM3J?psc=1</t>
  </si>
  <si>
    <t>https://www.amazon.com/dp/B08VFBXJGF</t>
  </si>
  <si>
    <t>https://www.amazon.com/dp/B0FWM6SYSL</t>
  </si>
  <si>
    <t>https://www.amazon.com/dp/B08511GLXR</t>
  </si>
  <si>
    <t>https://www.amazon.com/dp/B0B8T5C9SX?psc=1</t>
  </si>
  <si>
    <t>https://www.amazon.com/dp/B0BC268VT4</t>
  </si>
  <si>
    <t>https://www.amazon.com/dp/B09HHNXJ1L?psc=1</t>
  </si>
  <si>
    <t>https://www.amazon.com/dp/B0FWS4XKG1</t>
  </si>
  <si>
    <t>https://www.amazon.com/dp/B0C8KJBXPW</t>
  </si>
  <si>
    <t>https://www.amazon.com/dp/B09MDRMPPD?psc=1</t>
  </si>
  <si>
    <t>https://www.amazon.com/dp/B0FWMH4JVG</t>
  </si>
  <si>
    <t>https://www.amazon.com/dp/B0C2VZBDJT</t>
  </si>
  <si>
    <t>https://www.amazon.com/dp/B004D4V5VM?psc=1</t>
  </si>
  <si>
    <t>https://www.amazon.com/dp/B08ML1STTH?psc=1</t>
  </si>
  <si>
    <t>https://www.amazon.com/dp/B09YZZ6XB1</t>
  </si>
  <si>
    <t>https://www.amazon.com/dp/B0081GOX5S</t>
  </si>
  <si>
    <t>https://www.amazon.com/dp/B07TDS7GLX</t>
  </si>
  <si>
    <t>6 oz</t>
  </si>
  <si>
    <t>5lb w/ Duster</t>
  </si>
  <si>
    <t>4lb w/ Duster</t>
  </si>
  <si>
    <t>128 Fl Oz</t>
  </si>
  <si>
    <t>128oz</t>
  </si>
  <si>
    <t>2-Pack 6oz</t>
  </si>
  <si>
    <t>2 pounds</t>
  </si>
  <si>
    <t>8 Pound (Pack of 1)</t>
  </si>
  <si>
    <t>32oz with Duster</t>
  </si>
  <si>
    <t>20 Pack</t>
  </si>
  <si>
    <t>16 Fl Oz (Pack of 1)</t>
  </si>
  <si>
    <t>4 Dry Quarts"</t>
  </si>
  <si>
    <t>128 fl. oz.</t>
  </si>
  <si>
    <t>2qt</t>
  </si>
  <si>
    <t>4 Quart</t>
  </si>
  <si>
    <t>Half Pound</t>
  </si>
  <si>
    <t>1 Gal.</t>
  </si>
  <si>
    <t>4 qt"</t>
  </si>
  <si>
    <t>42.67 Fl Oz (Pack of 3)</t>
  </si>
  <si>
    <t>10.5-pound</t>
  </si>
  <si>
    <t>5lb (4 Bricks)</t>
  </si>
  <si>
    <t>2 DRY QUARTS"</t>
  </si>
  <si>
    <t>1.5L</t>
  </si>
  <si>
    <t>B0H8NNWBQB</t>
  </si>
  <si>
    <t>B0GCQTKDPR</t>
  </si>
  <si>
    <t>B0GKPZRMNV</t>
  </si>
  <si>
    <t>B0H97M3BX6</t>
  </si>
  <si>
    <t>B0H4L87B7M</t>
  </si>
  <si>
    <t>B0GR8XLNFL</t>
  </si>
  <si>
    <t>B0GCR638LZ</t>
  </si>
  <si>
    <t>B0H4FVRJQ7</t>
  </si>
  <si>
    <t>B0GGQPZ1Y7</t>
  </si>
  <si>
    <t>B0GJBT1127</t>
  </si>
  <si>
    <t>B0GYXQJ8P8</t>
  </si>
  <si>
    <t>B0F6NG7RQW</t>
  </si>
  <si>
    <t>B0F6NGMQ5Q</t>
  </si>
  <si>
    <t>B0H4FT347P</t>
  </si>
  <si>
    <t>B0GKPLZCM1</t>
  </si>
  <si>
    <t>B0H4LDF69Y</t>
  </si>
  <si>
    <t>B0GH6N1X3X</t>
  </si>
  <si>
    <t>B0H4GF8T52</t>
  </si>
  <si>
    <t>B0H4GBXQNC</t>
  </si>
  <si>
    <t>B0F6NGNP3Y</t>
  </si>
  <si>
    <t>B0FRSB1BCL</t>
  </si>
  <si>
    <t>B0GF7VMHMD</t>
  </si>
  <si>
    <t>B0GF7MJSMF</t>
  </si>
  <si>
    <t>B0F6NLY3QX</t>
  </si>
  <si>
    <t>B0F6NGS4Z6</t>
  </si>
  <si>
    <t>B0F6NN4434</t>
  </si>
  <si>
    <t>B0GH74FPG6</t>
  </si>
  <si>
    <t>WowCatch</t>
  </si>
  <si>
    <t>https://m.media-amazon.com/images/I/71Zv2vBnb7L.jpg</t>
  </si>
  <si>
    <t>https://m.media-amazon.com/images/I/71nVghLYWdL.jpg</t>
  </si>
  <si>
    <t>https://m.media-amazon.com/images/I/71LTma3ywGL.jpg</t>
  </si>
  <si>
    <t>https://m.media-amazon.com/images/I/71s0iWiKYdL.jpg</t>
  </si>
  <si>
    <t>https://m.media-amazon.com/images/I/71gOyJoolrL.jpg</t>
  </si>
  <si>
    <t>https://m.media-amazon.com/images/I/71q1w2EXF-L.jpg</t>
  </si>
  <si>
    <t>https://m.media-amazon.com/images/I/71PnE5Cpi9L.jpg</t>
  </si>
  <si>
    <t>https://m.media-amazon.com/images/I/71tdEargPqL.jpg</t>
  </si>
  <si>
    <t>https://m.media-amazon.com/images/I/61aDlnIyipL.jpg</t>
  </si>
  <si>
    <t>https://m.media-amazon.com/images/I/71vnguzo9-L.jpg</t>
  </si>
  <si>
    <t>https://m.media-amazon.com/images/I/81ziTZAzuqL.jpg</t>
  </si>
  <si>
    <t>https://m.media-amazon.com/images/I/718iwcbAxSL.jpg</t>
  </si>
  <si>
    <t>https://m.media-amazon.com/images/I/712eKKCkb+L.jpg</t>
  </si>
  <si>
    <t>https://m.media-amazon.com/images/I/71p9lTW7+fL.jpg</t>
  </si>
  <si>
    <t>https://m.media-amazon.com/images/I/71xe4ueuJjL.jpg</t>
  </si>
  <si>
    <t>https://m.media-amazon.com/images/I/71d6qNz+s-L.jpg</t>
  </si>
  <si>
    <t>https://m.media-amazon.com/images/I/71cNdz-0m0L.jpg</t>
  </si>
  <si>
    <t>https://m.media-amazon.com/images/I/718e7gocL1L.jpg</t>
  </si>
  <si>
    <t>https://m.media-amazon.com/images/I/71mJ3VmWZFL.jpg</t>
  </si>
  <si>
    <t>https://m.media-amazon.com/images/I/61dCqAVsbDL.jpg</t>
  </si>
  <si>
    <t>https://m.media-amazon.com/images/I/71CPKIhGrpL.jpg</t>
  </si>
  <si>
    <t>https://m.media-amazon.com/images/I/71eRd87+UQL.jpg</t>
  </si>
  <si>
    <t>https://m.media-amazon.com/images/I/71ncdz-gI-L.jpg</t>
  </si>
  <si>
    <t>https://m.media-amazon.com/images/I/71tdyyfG6qL.jpg</t>
  </si>
  <si>
    <t>WOWCATCH Flying Insect Trap for Indoors, Plug-in Bug Catcher, 1+5 Combo</t>
  </si>
  <si>
    <t>Advanced Double-Sided Indoor Fly Trap for Home, Plug-in 5-Way UV Light</t>
  </si>
  <si>
    <t>WowCatch Plug-in UV Light Flying Insect Trap for Indoors</t>
  </si>
  <si>
    <t>WOWCATCH Flying Insect Trap for Indoors, Plug-in Bug Catcher, 2+10 Combo</t>
  </si>
  <si>
    <t>Flying Insect Trap for Indoors, Plug-in Bug Catcher for Gnats, Fruit Flies</t>
  </si>
  <si>
    <t>WowCatch Flying Insect Trap for Indoors (2 Devices &amp; 4 Refill Cartridges)</t>
  </si>
  <si>
    <t>Rotating Head Electric Fly Swatter with 16–40" Telescopic Handle, 4000V</t>
  </si>
  <si>
    <t>WowCatch LED Bug Zapper Outdoor, IPX4 Weatherproof, 4200V Fly Zapper</t>
  </si>
  <si>
    <t>Solar Bug Zapper Outdoor, 3 UV Tubes 4500V Mosquito Zapper, Waterproof</t>
  </si>
  <si>
    <t>Wowcatch Rat, Snake and Mouse Traps 12 PK, Large Bulk Sticky Glue Traps</t>
  </si>
  <si>
    <t>Wowcatch Sticky Mouse Traps Indoor for Home, Sticky Glue Traps</t>
  </si>
  <si>
    <t>10-Pack Official Flying Insect Trap Refills for N386D</t>
  </si>
  <si>
    <t>10PCS Refills for Wowcatch N386E Indoor Fly Trap</t>
  </si>
  <si>
    <t>WOWCATCH Flying Insect Trap for Indoors, Plug-in Bug Catcher, 2+6 Combo</t>
  </si>
  <si>
    <t>WOWCATCH Flying Insect Trap for Indoors, Plug-in Bug Catcher, 1+3 Combo</t>
  </si>
  <si>
    <t>Upgraded 5 PCS Double-Sided Adhesive Card Refills for Replacement</t>
  </si>
  <si>
    <t>Upgraded 10 PCS Double-Sided Adhesive Card Refills for Replacement</t>
  </si>
  <si>
    <t>Wowcatch Rat, Snake and Mouse Traps 24 PK, Large Bulk Sticky Glue Traps</t>
  </si>
  <si>
    <t>Wowcatch Jumbo Rat, Snake &amp; Mouse Glue Traps - 6 Pack Extra Large</t>
  </si>
  <si>
    <t>Wowcatch Sticky Mouse Traps Indoor for Home -6 Pk Pre-baited Glue Traps</t>
  </si>
  <si>
    <t>Flying Insect Trap for Indoors, Plug-in Fly Trap Bug Catcher for Gnats, Fruit Flies &amp; House Flies, Upgraded Blue UV Light Trap with Sticky Cards, Silent &amp; Mess-Free, 1 Device + 5 Refill</t>
  </si>
  <si>
    <t>https://www.amazon.com/dp/B0H8NNWBQB?psc=1</t>
  </si>
  <si>
    <t>https://www.amazon.com/dp/B0GCQTKDPR?psc=1</t>
  </si>
  <si>
    <t>https://www.amazon.com/dp/B0GKPZRMNV?psc=1</t>
  </si>
  <si>
    <t>https://www.amazon.com/dp/B0H97M3BX6?psc=1</t>
  </si>
  <si>
    <t>https://www.amazon.com/dp/B0H4L87B7M?psc=1</t>
  </si>
  <si>
    <t>https://www.amazon.com/dp/B0GR8XLNFL?psc=1</t>
  </si>
  <si>
    <t>https://www.amazon.com/dp/B0GCR638LZ?psc=1</t>
  </si>
  <si>
    <t>https://www.amazon.com/dp/B0H4FVRJQ7?psc=1</t>
  </si>
  <si>
    <t>https://www.amazon.com/dp/B0GGQPZ1Y7</t>
  </si>
  <si>
    <t>https://www.amazon.com/dp/B0GJBT1127</t>
  </si>
  <si>
    <t>https://www.amazon.com/dp/B0GYXQJ8P8</t>
  </si>
  <si>
    <t>https://www.amazon.com/dp/B0F6NG7RQW?psc=1</t>
  </si>
  <si>
    <t>https://www.amazon.com/dp/B0F6NGMQ5Q?psc=1</t>
  </si>
  <si>
    <t>https://www.amazon.com/dp/B0H4FT347P?psc=1</t>
  </si>
  <si>
    <t>https://www.amazon.com/dp/B0GKPLZCM1?psc=1</t>
  </si>
  <si>
    <t>https://www.amazon.com/dp/B0H4LDF69Y?psc=1</t>
  </si>
  <si>
    <t>https://www.amazon.com/dp/B0GH6N1X3X?psc=1</t>
  </si>
  <si>
    <t>https://www.amazon.com/dp/B0H4GF8T52?psc=1</t>
  </si>
  <si>
    <t>https://www.amazon.com/dp/B0H4GBXQNC?psc=1</t>
  </si>
  <si>
    <t>https://www.amazon.com/dp/B0F6NGNP3Y?psc=1</t>
  </si>
  <si>
    <t>https://www.amazon.com/dp/B0FRSB1BCL?psc=1</t>
  </si>
  <si>
    <t>https://www.amazon.com/dp/B0GF7VMHMD?psc=1</t>
  </si>
  <si>
    <t>https://www.amazon.com/dp/B0GF7MJSMF?psc=1</t>
  </si>
  <si>
    <t>https://www.amazon.com/dp/B0F6NLY3QX?psc=1</t>
  </si>
  <si>
    <t>https://www.amazon.com/dp/B0F6NGS4Z6?psc=1</t>
  </si>
  <si>
    <t>https://www.amazon.com/dp/B0F6NN4434?psc=1</t>
  </si>
  <si>
    <t>https://www.amazon.com/dp/B0GH74FPG6?psc=1</t>
  </si>
  <si>
    <t>1 Device &amp; 5 Refills</t>
  </si>
  <si>
    <t>1 Device + 4 Refills</t>
  </si>
  <si>
    <t>2 Devices &amp; 10 Refills</t>
  </si>
  <si>
    <t>2 Device + 8 Refills</t>
  </si>
  <si>
    <t>1 Device + 3 Refills</t>
  </si>
  <si>
    <t>Small 12 Pack</t>
  </si>
  <si>
    <t>2 Device + 6 Refills</t>
  </si>
  <si>
    <t>2 Devices &amp; 6 Refills</t>
  </si>
  <si>
    <t>1 Device &amp; 3 Refills</t>
  </si>
  <si>
    <t>Large 6 Pack</t>
  </si>
  <si>
    <t>Small 26 Pack</t>
  </si>
  <si>
    <t>5 PCS</t>
  </si>
  <si>
    <t>10 PCS</t>
  </si>
  <si>
    <t>9.1"L x 5.4"W x 0.6"H</t>
  </si>
  <si>
    <t>B07JMDYDVJ</t>
  </si>
  <si>
    <t>B0B4KNJT14</t>
  </si>
  <si>
    <t>B07SSDHLQ8</t>
  </si>
  <si>
    <t>B08GS7L34B</t>
  </si>
  <si>
    <t>B01HTZLAG6</t>
  </si>
  <si>
    <t>B0D4F8DN84</t>
  </si>
  <si>
    <t>B084VSMY2B</t>
  </si>
  <si>
    <t>B0C24QVX4Z</t>
  </si>
  <si>
    <t>B0GXWSFFR6</t>
  </si>
  <si>
    <t>B0C6B2JSKV</t>
  </si>
  <si>
    <t>B0BZDQB1NX</t>
  </si>
  <si>
    <t>B0GWFR8Y79</t>
  </si>
  <si>
    <t>B0GXWVQVRY</t>
  </si>
  <si>
    <t>B0BZDR9TND</t>
  </si>
  <si>
    <t>B0GXXG9NDW</t>
  </si>
  <si>
    <t>B0DDRM991N</t>
  </si>
  <si>
    <t>B0G4SBX5ZH</t>
  </si>
  <si>
    <t>B0BZDR26NQ</t>
  </si>
  <si>
    <t>B07SVHV8G7</t>
  </si>
  <si>
    <t>B0BZDSJDMC</t>
  </si>
  <si>
    <t>B0F5WQ88HJ</t>
  </si>
  <si>
    <t>B0GWN1XXW3</t>
  </si>
  <si>
    <t>B0CWLNTNL2</t>
  </si>
  <si>
    <t>B0H286PWMZ</t>
  </si>
  <si>
    <t>Grandpa Gus's</t>
  </si>
  <si>
    <t>https://m.media-amazon.com/images/I/71Wjgm-2jDL.jpg</t>
  </si>
  <si>
    <t>https://m.media-amazon.com/images/I/71lp1RyLp1L.jpg</t>
  </si>
  <si>
    <t>https://m.media-amazon.com/images/I/71aKZqPf1hL.jpg</t>
  </si>
  <si>
    <t>https://m.media-amazon.com/images/I/61nFzfo0f0L.jpg</t>
  </si>
  <si>
    <t>https://m.media-amazon.com/images/I/71QlkIH7KDL.jpg</t>
  </si>
  <si>
    <t>https://m.media-amazon.com/images/I/711m-u8mpVL.jpg</t>
  </si>
  <si>
    <t>https://m.media-amazon.com/images/I/71RAeu+ruhL.jpg</t>
  </si>
  <si>
    <t>https://m.media-amazon.com/images/I/71r794qTcAL.jpg</t>
  </si>
  <si>
    <t>https://m.media-amazon.com/images/I/61T3vHWhq+L.jpg</t>
  </si>
  <si>
    <t>https://m.media-amazon.com/images/I/71s0PMHnJVL.jpg</t>
  </si>
  <si>
    <t>https://m.media-amazon.com/images/I/61nwESZmCZL.jpg</t>
  </si>
  <si>
    <t>https://m.media-amazon.com/images/I/71NtxoVqiSL.jpg</t>
  </si>
  <si>
    <t>https://m.media-amazon.com/images/I/61rCNSZ+K-L.jpg</t>
  </si>
  <si>
    <t>https://m.media-amazon.com/images/I/61bB8KSYgWL.jpg</t>
  </si>
  <si>
    <t>https://m.media-amazon.com/images/I/61gfDWpqYWL.jpg</t>
  </si>
  <si>
    <t>https://m.media-amazon.com/images/I/61JrTgouYSL.jpg</t>
  </si>
  <si>
    <t>https://m.media-amazon.com/images/I/716y4nZhJlL.jpg</t>
  </si>
  <si>
    <t>https://m.media-amazon.com/images/I/61mlPs-3lKL.jpg</t>
  </si>
  <si>
    <t>https://m.media-amazon.com/images/I/61lkIRNOTcL.jpg</t>
  </si>
  <si>
    <t>https://m.media-amazon.com/images/I/611zeXBhRBL.jpg</t>
  </si>
  <si>
    <t>https://m.media-amazon.com/images/I/51-eyGzzjaL.jpg</t>
  </si>
  <si>
    <t>https://m.media-amazon.com/images/I/61XfE-TTIqL.jpg</t>
  </si>
  <si>
    <t>https://m.media-amazon.com/images/I/71XA9qyvwQL.jpg</t>
  </si>
  <si>
    <t>https://m.media-amazon.com/images/I/61MVLyjWQjL.jpg</t>
  </si>
  <si>
    <t>Grandpa Gus's Mouse Repellent Pouches, Peppermint &amp; Cinnamon, Pack of 10</t>
  </si>
  <si>
    <t>Grandpa Gus's Rodent Repellent Spray, Natural Peppermint Oil, 128 Fl Oz</t>
  </si>
  <si>
    <t>Grandpa Gus's Mouse Repellent Pouches, Peppermint &amp; Cinnamon, Pack of 16</t>
  </si>
  <si>
    <t>Grandpa Gus's Rodent Repellent Spray, Natural Peppermint Oil, 16 Fl Oz</t>
  </si>
  <si>
    <t>Grandpa Gus's Mouse Repellent Pouches, Peppermint &amp; Cinnamon, 4 Pouches</t>
  </si>
  <si>
    <t>Grandpa Gus's Mouse Repellent Pouches, Peppermint &amp; Cinnamon, 40 Pouches</t>
  </si>
  <si>
    <t>Grandpa Gus's Natural Spider Repellent Pouches, Indoor Deterrent, 10 Pack</t>
  </si>
  <si>
    <t>Grandpa Gus's Mosquito Trap and Outdoor Bug Killer for Outdoors, 2 Pack</t>
  </si>
  <si>
    <t>Grandpa Gus's Rodent Vehicle Repellent Spray for Cars &amp; Engines, 16 Fl Oz</t>
  </si>
  <si>
    <t>Grandpa Gus's Mouse Repellent Pouches, Peppermint &amp; Cinnamon, 30 Pouches</t>
  </si>
  <si>
    <t>Grandpa Gus's Bed Bug Glue Traps for Mattress, Home, &amp; Travel, Pack of 4</t>
  </si>
  <si>
    <t>Grandpa Gus's MAX Rodent Repellent Spray, Natural Peppermint Oil, 16 Fl Oz</t>
  </si>
  <si>
    <t>Grandpa Gus's Rodent Vehicle Repellent Spray for Cars &amp; Engines, 128 Fl Oz</t>
  </si>
  <si>
    <t>Grandpa Gus's Bed Bug Glue Traps for Mattress, Home, &amp; Travel, Pack of 12</t>
  </si>
  <si>
    <t>Grandpa Gus's Natural Mosquito DEET-Free Repellent Spray, 4 oz</t>
  </si>
  <si>
    <t>Grandpa Gus's Rodent Repellent Spray Super Concentrate, 4 Fl Oz</t>
  </si>
  <si>
    <t>Grandpa Gus’s Indoor Fly Trap Plug-In - UV Light Insect Catcher for Flies, Gnats, Fruit Flies, Mosquitoes &amp; Moths - No Insecticides, Sticky Glue Trap for Kitchen, Garage, Includes 3 Refill Glue Boards</t>
  </si>
  <si>
    <t>Grandpa Gus's Ant, Roach, and Spider Bug Pest Killer Spray, 16 Fl Oz</t>
  </si>
  <si>
    <t>Grandpa Gus's Extra-Strength Mouse Repellent Pouches + Rodent Repellent Spray, Peppermint/Cinnamon, Home/RV, Boat/Car Storage &amp; Machinery, 4 x 1.75 oz Pouches + 1 x 8 oz Spray</t>
  </si>
  <si>
    <t>Grandpa Gus's Natural Bed Bug and Dust Mite Killer Spray, 16 Fl Oz</t>
  </si>
  <si>
    <t>Grandpa Gus's Rodent Lure Bait Syringe, Attractant Gel, 1.08 oz</t>
  </si>
  <si>
    <t>Grandpa Gus’s Indoor Fly Trap Plug-In 2 Pack - UV Light Insect Catcher for Flies, Gnats, Fruit Flies, Mosquitoes, Moths - No Insecticides, Sticky Glue Trap for Kitchen, Garage, w/ 4 Refill Glue Boards</t>
  </si>
  <si>
    <t>Grandpa Gus's Advanced Pest Killer Concentrate, Bug Spray, 2 Pack, 3.7 oz</t>
  </si>
  <si>
    <t>Grandpa Gus's Roach Killer Spray, Non-Staining, Indoors &amp; Outdoors, 16 oz</t>
  </si>
  <si>
    <t>https://www.amazon.com/dp/B07JMDYDVJ?psc=1</t>
  </si>
  <si>
    <t>https://www.amazon.com/dp/B0B4KNJT14?psc=1</t>
  </si>
  <si>
    <t>https://www.amazon.com/dp/B07SSDHLQ8?psc=1</t>
  </si>
  <si>
    <t>https://www.amazon.com/dp/B08GS7L34B?psc=1</t>
  </si>
  <si>
    <t>https://www.amazon.com/dp/B01HTZLAG6?psc=1</t>
  </si>
  <si>
    <t>https://www.amazon.com/dp/B0D4F8DN84?psc=1</t>
  </si>
  <si>
    <t>https://www.amazon.com/dp/B084VSMY2B</t>
  </si>
  <si>
    <t>https://www.amazon.com/dp/B0C24QVX4Z</t>
  </si>
  <si>
    <t>https://www.amazon.com/dp/B0GXWSFFR6?psc=1</t>
  </si>
  <si>
    <t>https://www.amazon.com/dp/B0C6B2JSKV?psc=1</t>
  </si>
  <si>
    <t>https://www.amazon.com/dp/B0BZDQB1NX?psc=1</t>
  </si>
  <si>
    <t>https://www.amazon.com/dp/B0GWFR8Y79</t>
  </si>
  <si>
    <t>https://www.amazon.com/dp/B0GXWVQVRY?psc=1</t>
  </si>
  <si>
    <t>https://www.amazon.com/dp/B0BZDR9TND?psc=1</t>
  </si>
  <si>
    <t>https://www.amazon.com/dp/B0GXXG9NDW?psc=1</t>
  </si>
  <si>
    <t>https://www.amazon.com/dp/B0DDRM991N?psc=1</t>
  </si>
  <si>
    <t>https://www.amazon.com/dp/B0G4SBX5ZH?psc=1</t>
  </si>
  <si>
    <t>https://www.amazon.com/dp/B0BZDR26NQ?psc=1</t>
  </si>
  <si>
    <t>https://www.amazon.com/dp/B07SVHV8G7</t>
  </si>
  <si>
    <t>https://www.amazon.com/dp/B0BZDSJDMC?psc=1</t>
  </si>
  <si>
    <t>https://www.amazon.com/dp/B0F5WQ88HJ</t>
  </si>
  <si>
    <t>https://www.amazon.com/dp/B0GWN1XXW3?psc=1</t>
  </si>
  <si>
    <t>https://www.amazon.com/dp/B0CWLNTNL2?psc=1</t>
  </si>
  <si>
    <t>https://www.amazon.com/dp/B0H286PWMZ</t>
  </si>
  <si>
    <t>10 Count (Pack of 1)</t>
  </si>
  <si>
    <t>16 Count (Pack of 1)</t>
  </si>
  <si>
    <t>40 Count (Pack of 1)</t>
  </si>
  <si>
    <t>30 Count (Pack of 1)</t>
  </si>
  <si>
    <t>Pack of 4</t>
  </si>
  <si>
    <t>1 Count (Pack of 12)</t>
  </si>
  <si>
    <t>3.75 Ounce (Pack of 4)</t>
  </si>
  <si>
    <t>16 fl oz</t>
  </si>
  <si>
    <t>1.08 Oz</t>
  </si>
  <si>
    <t>3.7 Fl Oz (Pack of 2)</t>
  </si>
  <si>
    <t>B005BUZL2Q</t>
  </si>
  <si>
    <t>B0051SVAMI</t>
  </si>
  <si>
    <t>B00GYASHRS</t>
  </si>
  <si>
    <t>B001BM4JLM</t>
  </si>
  <si>
    <t>B007OWP4CG</t>
  </si>
  <si>
    <t>B004WUP03G</t>
  </si>
  <si>
    <t>B009P70L6M</t>
  </si>
  <si>
    <t>B075CNJDHJ</t>
  </si>
  <si>
    <t>B075CQ2YVY</t>
  </si>
  <si>
    <t>B077SZ543C</t>
  </si>
  <si>
    <t>B005FYNHUQ</t>
  </si>
  <si>
    <t>B00OBYN16G</t>
  </si>
  <si>
    <t>B0067TYD6A</t>
  </si>
  <si>
    <t>B078YGGR7X</t>
  </si>
  <si>
    <t>B0FML7YSZ1</t>
  </si>
  <si>
    <t>B00HVB3GH0</t>
  </si>
  <si>
    <t>B005FYMOI2</t>
  </si>
  <si>
    <t>B09R6CM6BJ</t>
  </si>
  <si>
    <t>B01M4RDGFG</t>
  </si>
  <si>
    <t>B000HHQ320</t>
  </si>
  <si>
    <t>B000HHM5QI</t>
  </si>
  <si>
    <t>B007T9SSE0</t>
  </si>
  <si>
    <t>B079TDXSL4</t>
  </si>
  <si>
    <t>Neogen</t>
  </si>
  <si>
    <t>NEOGEN</t>
  </si>
  <si>
    <t>Ramik</t>
  </si>
  <si>
    <t>Steve Regan</t>
  </si>
  <si>
    <t>Neogen Corp</t>
  </si>
  <si>
    <t>Prime Pet Deals - Code 1</t>
  </si>
  <si>
    <t>Ideal Instruments</t>
  </si>
  <si>
    <t>https://m.media-amazon.com/images/I/81DJNJC841L.jpg</t>
  </si>
  <si>
    <t>https://m.media-amazon.com/images/I/71g61AIp5XL.jpg</t>
  </si>
  <si>
    <t>https://m.media-amazon.com/images/I/61ylwfK+IKL.jpg</t>
  </si>
  <si>
    <t>https://m.media-amazon.com/images/I/61bI-WmQjzL.jpg</t>
  </si>
  <si>
    <t>https://m.media-amazon.com/images/I/61xppj0sjaL.jpg</t>
  </si>
  <si>
    <t>https://m.media-amazon.com/images/I/716G1HoqPhL.jpg</t>
  </si>
  <si>
    <t>https://m.media-amazon.com/images/I/71fWbhpGUZL.jpg</t>
  </si>
  <si>
    <t>https://m.media-amazon.com/images/I/61vpSjD6xnL.jpg</t>
  </si>
  <si>
    <t>https://m.media-amazon.com/images/I/61+BOPBGQ-L.jpg</t>
  </si>
  <si>
    <t>https://m.media-amazon.com/images/I/81eLJOUct6L.jpg</t>
  </si>
  <si>
    <t>https://m.media-amazon.com/images/I/81mhKBG8zzL.jpg</t>
  </si>
  <si>
    <t>https://m.media-amazon.com/images/I/51a-IrqeVSL.jpg</t>
  </si>
  <si>
    <t>https://m.media-amazon.com/images/I/815UJDOMlWL.jpg</t>
  </si>
  <si>
    <t>https://m.media-amazon.com/images/I/71o04ihnf7L.jpg</t>
  </si>
  <si>
    <t>https://m.media-amazon.com/images/I/71Sxj40iKML.jpg</t>
  </si>
  <si>
    <t>https://m.media-amazon.com/images/I/91DlC95rvbL.jpg</t>
  </si>
  <si>
    <t>https://m.media-amazon.com/images/I/71tyVOhE7dL.jpg</t>
  </si>
  <si>
    <t>https://m.media-amazon.com/images/I/814dIDfOT4L.jpg</t>
  </si>
  <si>
    <t>https://m.media-amazon.com/images/I/712Rjp3SkpL.jpg</t>
  </si>
  <si>
    <t>https://m.media-amazon.com/images/I/61z0KHH5FZL.jpg</t>
  </si>
  <si>
    <t>https://m.media-amazon.com/images/I/61dToLNfsZL.jpg</t>
  </si>
  <si>
    <t>https://m.media-amazon.com/images/I/8147ud8rYTL.jpg</t>
  </si>
  <si>
    <t>https://m.media-amazon.com/images/I/61gL7CUrofL.jpg</t>
  </si>
  <si>
    <t>Neogen Ramik Green Fish Flavored Weather Resistant Rodenticide Nuggets, 4 lb bag (00615)</t>
  </si>
  <si>
    <t>Ramik Bars All-Weather Rodenticide Mold &amp; Moisture Resistant Bait for Control of Rats, Mice, and Meadow Voles, 4 lbs</t>
  </si>
  <si>
    <t>Neogen Ramik Fish Flavored Weather Resistant Rodenticide Mini Bait Bars, 4-pound pouch, multicolor (116331)</t>
  </si>
  <si>
    <t>Prozap 1499540 Garden &amp; Poultry Dust For Insects, 2 Lb</t>
  </si>
  <si>
    <t>Neogen 000550 Rodent Bait Station, Black</t>
  </si>
  <si>
    <t>Neogen Havoc Rodenticide Rat &amp; Mouse Bait Pellet Pack, 8 lb.Pail</t>
  </si>
  <si>
    <t>Neogen 698782 Green Ramik Nuggets Place Pack Pouch, 1/2 in Bait</t>
  </si>
  <si>
    <t>Neogen Ramik Green Fish Flavored Weather Resistant Rodenticide Pellets, 20-Pound bucket</t>
  </si>
  <si>
    <t>Rodex Blox-1 Moisture Resistant Warfarin Rodenticide Bait for Rats and Mice, 4 lb</t>
  </si>
  <si>
    <t>Neogen 116352 Home Pest Control Products Ground Squirrel Bait</t>
  </si>
  <si>
    <t>Prozap Insectrin 1% Pour-On Xtra 1 Gallon</t>
  </si>
  <si>
    <t>Neogen 950 Squirrel Lure, Brown</t>
  </si>
  <si>
    <t>Neogen RODENTICIDE Havoc XT Rat Bait Block Pouch, 8-Pound (00595)</t>
  </si>
  <si>
    <t>Neogen Prozap LD-44Z Farm Insect Fogger, 25oz</t>
  </si>
  <si>
    <t>Neogen Prozap Sheep &amp; Goat Spray 32oz</t>
  </si>
  <si>
    <t>Neogen 000900 Ramik Refillable Mouse Bait Station 16 count</t>
  </si>
  <si>
    <t>Neogen Insectrin X - 32 Ounce</t>
  </si>
  <si>
    <t>Neogen 116317 Ramik Green 45-Mini Bait Packs, 4.2 Pounds</t>
  </si>
  <si>
    <t>Neogen 698857 Diphacinone Rodenticide Bait, 1</t>
  </si>
  <si>
    <t>Neogen Prozap Ld-44Z Insect Fogger 20 oz</t>
  </si>
  <si>
    <t>Chemtech 698298 25 oz Prozap CT-75 Dairy Aerosol</t>
  </si>
  <si>
    <t>Neogen CHEMTECH 048-1109670 698300 Prozap Backrubber &amp; Pour-On, Blue, 2.5 Gallon, 966010</t>
  </si>
  <si>
    <t>Ideal Instruments 7610 Cow Bell 10LD Metal Cow Bell</t>
  </si>
  <si>
    <t>https://www.amazon.com/dp/B005BUZL2Q?psc=1</t>
  </si>
  <si>
    <t>https://www.amazon.com/dp/B0051SVAMI?psc=1</t>
  </si>
  <si>
    <t>https://www.amazon.com/dp/B00GYASHRS</t>
  </si>
  <si>
    <t>https://www.amazon.com/dp/B001BM4JLM?psc=1</t>
  </si>
  <si>
    <t>https://www.amazon.com/dp/B007OWP4CG?psc=1</t>
  </si>
  <si>
    <t>https://www.amazon.com/dp/B004WUP03G</t>
  </si>
  <si>
    <t>https://www.amazon.com/dp/B009P70L6M?psc=1</t>
  </si>
  <si>
    <t>https://www.amazon.com/dp/B075CNJDHJ?psc=1</t>
  </si>
  <si>
    <t>https://www.amazon.com/dp/B075CQ2YVY?psc=1</t>
  </si>
  <si>
    <t>https://www.amazon.com/dp/B077SZ543C</t>
  </si>
  <si>
    <t>https://www.amazon.com/dp/B005FYNHUQ</t>
  </si>
  <si>
    <t>https://www.amazon.com/dp/B00OBYN16G?psc=1</t>
  </si>
  <si>
    <t>https://www.amazon.com/dp/B0067TYD6A</t>
  </si>
  <si>
    <t>https://www.amazon.com/dp/B078YGGR7X</t>
  </si>
  <si>
    <t>https://www.amazon.com/dp/B0FML7YSZ1?psc=1</t>
  </si>
  <si>
    <t>https://www.amazon.com/dp/B00HVB3GH0?psc=1</t>
  </si>
  <si>
    <t>https://www.amazon.com/dp/B005FYMOI2</t>
  </si>
  <si>
    <t>https://www.amazon.com/dp/B09R6CM6BJ?psc=1</t>
  </si>
  <si>
    <t>https://www.amazon.com/dp/B01M4RDGFG?psc=1</t>
  </si>
  <si>
    <t>https://www.amazon.com/dp/B000HHQ320</t>
  </si>
  <si>
    <t>https://www.amazon.com/dp/B000HHM5QI</t>
  </si>
  <si>
    <t>https://www.amazon.com/dp/B007T9SSE0</t>
  </si>
  <si>
    <t>https://www.amazon.com/dp/B079TDXSL4</t>
  </si>
  <si>
    <t>4-pound pouch</t>
  </si>
  <si>
    <t>131.2 ounces(Pack of 1)</t>
  </si>
  <si>
    <t>20-Pound Bucket</t>
  </si>
  <si>
    <t>1.00 L x 1.00 W x 1.00 H</t>
  </si>
  <si>
    <t>128 fl oz(Pack of 1)</t>
  </si>
  <si>
    <t>Medium</t>
  </si>
  <si>
    <t>8-pound pouch</t>
  </si>
  <si>
    <t>25 oz</t>
  </si>
  <si>
    <t>32 fl oz Spray</t>
  </si>
  <si>
    <t>16 count</t>
  </si>
  <si>
    <t>N/A</t>
  </si>
  <si>
    <t>4 Pounds</t>
  </si>
  <si>
    <t>20oz</t>
  </si>
  <si>
    <t>26 oz.</t>
  </si>
  <si>
    <t>2.5 gallon</t>
  </si>
  <si>
    <t>B072C1RYZY</t>
  </si>
  <si>
    <t>B072C87MD8</t>
  </si>
  <si>
    <t>B0728M7D7L</t>
  </si>
  <si>
    <t>B072LSRFG6</t>
  </si>
  <si>
    <t>B0719V2FT1</t>
  </si>
  <si>
    <t>B07178W2MX</t>
  </si>
  <si>
    <t>B09854BKK2</t>
  </si>
  <si>
    <t>B071LS3FB7</t>
  </si>
  <si>
    <t>B071FL88SX</t>
  </si>
  <si>
    <t>B0728MLXHM</t>
  </si>
  <si>
    <t>B072FT74CT</t>
  </si>
  <si>
    <t>B01LW9UGUZ</t>
  </si>
  <si>
    <t>B01LWD8OXH</t>
  </si>
  <si>
    <t>B07178KLDM</t>
  </si>
  <si>
    <t>B071PDHF8W</t>
  </si>
  <si>
    <t>B0723FZHHY</t>
  </si>
  <si>
    <t>B072FT8CG1</t>
  </si>
  <si>
    <t>B0714P77KB</t>
  </si>
  <si>
    <t>B071SK83JG</t>
  </si>
  <si>
    <t>Nature's MACE</t>
  </si>
  <si>
    <t>https://m.media-amazon.com/images/I/81llMXXIAML.jpg</t>
  </si>
  <si>
    <t>https://m.media-amazon.com/images/I/81TYfoBeqGL.jpg</t>
  </si>
  <si>
    <t>https://m.media-amazon.com/images/I/71jh1t5NEXL.jpg</t>
  </si>
  <si>
    <t>https://m.media-amazon.com/images/I/8127ynLOc+L.jpg</t>
  </si>
  <si>
    <t>https://m.media-amazon.com/images/I/81mnibWL8RL.jpg</t>
  </si>
  <si>
    <t>https://m.media-amazon.com/images/I/71JIRq8hcKL.jpg</t>
  </si>
  <si>
    <t>https://m.media-amazon.com/images/I/81zJiNxpn8L.jpg</t>
  </si>
  <si>
    <t>https://m.media-amazon.com/images/I/81FMYR6lwNL.jpg</t>
  </si>
  <si>
    <t>https://m.media-amazon.com/images/I/81AExfaft4L.jpg</t>
  </si>
  <si>
    <t>https://m.media-amazon.com/images/I/71bpAVJnd4L.jpg</t>
  </si>
  <si>
    <t>https://m.media-amazon.com/images/I/71NHiy1ui0L.jpg</t>
  </si>
  <si>
    <t>https://m.media-amazon.com/images/I/613xw0PY2+L.jpg</t>
  </si>
  <si>
    <t>https://m.media-amazon.com/images/I/81ARIIqbgfL.jpg</t>
  </si>
  <si>
    <t>https://m.media-amazon.com/images/I/819OVF6q8xL.jpg</t>
  </si>
  <si>
    <t>https://m.media-amazon.com/images/I/61liA16gz4L.jpg</t>
  </si>
  <si>
    <t>https://m.media-amazon.com/images/I/71MIiFnL1tL.jpg</t>
  </si>
  <si>
    <t>https://m.media-amazon.com/images/I/71GTMF27WHL.jpg</t>
  </si>
  <si>
    <t>https://m.media-amazon.com/images/I/814UXXsj6ZL.jpg</t>
  </si>
  <si>
    <t>https://m.media-amazon.com/images/I/71Fau1uYveL.jpg</t>
  </si>
  <si>
    <t>Nature's Mace Cat Mace Cat Repellent 2.5 lb Granules</t>
  </si>
  <si>
    <t>Nature's Mace Squirrel Mace Repellent 40 oz Spray</t>
  </si>
  <si>
    <t>Nature's MACE Dog Mace Dog Repellent 40 oz Spray</t>
  </si>
  <si>
    <t>Nature's Mace Cat Mace Cat Repellent 6 lb Granules</t>
  </si>
  <si>
    <t>Nature's MACE Dog Mace Dog Repellent 1 Gallon Spray</t>
  </si>
  <si>
    <t>Nature's MACE Deer &amp; Rabbit Repellent 40 oz Spray</t>
  </si>
  <si>
    <t>Nature's MACE Mole &amp; Vole Repellent 160 oz Granules</t>
  </si>
  <si>
    <t>Nature's MACE Rabbit Mace Rabbit Repellent 3 lb Granules</t>
  </si>
  <si>
    <t>Nature's MACE Snake Mace Snake Repellent 7 lb Granules</t>
  </si>
  <si>
    <t>Nature's MACE Deer &amp; Rabbit Repellent 2.5 lb Granules</t>
  </si>
  <si>
    <t>Nature's MACE Deer Repellent 6 lb Granules</t>
  </si>
  <si>
    <t>Nature's MACE Mole &amp; Vole Mace Mole Repellent 32 oz</t>
  </si>
  <si>
    <t>Nature's MACE Mole and Vole Mace, Mole Deterrent for Yard, 1 Gallon, 100% Pure Castor Oil, Lawns, Mole Repellent, Stop Tunneling, Mole Remover Treatment, Castor Oil Repellent, People, Pet, Plant Safe</t>
  </si>
  <si>
    <t>Nature's MACE Snake Mace Snake Repellent 48 oz Granules</t>
  </si>
  <si>
    <t>Nature's Mace Squirrel Mace Repellent 1 Gal Spray</t>
  </si>
  <si>
    <t>Nature's MACE Deer &amp; Rabbit Repellent 40 oz Concentrate</t>
  </si>
  <si>
    <t>Nature's MACE Deer &amp; Rabbit Repellent 1 Gallon Spray</t>
  </si>
  <si>
    <t>Nature's MACE Rabbit Mace Rabbit Repellent 7 lb Granules</t>
  </si>
  <si>
    <t>Nature's MACE Rabbit Repellent 40 oz Spray</t>
  </si>
  <si>
    <t>https://www.amazon.com/dp/B072C1RYZY?psc=1</t>
  </si>
  <si>
    <t>https://www.amazon.com/dp/B072C87MD8?psc=1</t>
  </si>
  <si>
    <t>https://www.amazon.com/dp/B0728M7D7L?psc=1</t>
  </si>
  <si>
    <t>https://www.amazon.com/dp/B072LSRFG6?psc=1</t>
  </si>
  <si>
    <t>https://www.amazon.com/dp/B0719V2FT1?psc=1</t>
  </si>
  <si>
    <t>https://www.amazon.com/dp/B07178W2MX?psc=1</t>
  </si>
  <si>
    <t>https://www.amazon.com/dp/B09854BKK2</t>
  </si>
  <si>
    <t>https://www.amazon.com/dp/B071LS3FB7?psc=1</t>
  </si>
  <si>
    <t>https://www.amazon.com/dp/B071FL88SX?psc=1</t>
  </si>
  <si>
    <t>https://www.amazon.com/dp/B0728MLXHM?psc=1</t>
  </si>
  <si>
    <t>https://www.amazon.com/dp/B072FT74CT?psc=1</t>
  </si>
  <si>
    <t>https://www.amazon.com/dp/B01LW9UGUZ?psc=1</t>
  </si>
  <si>
    <t>https://www.amazon.com/dp/B01LWD8OXH?psc=1</t>
  </si>
  <si>
    <t>https://www.amazon.com/dp/B07178KLDM?psc=1</t>
  </si>
  <si>
    <t>https://www.amazon.com/dp/B071PDHF8W?psc=1</t>
  </si>
  <si>
    <t>https://www.amazon.com/dp/B0723FZHHY?psc=1</t>
  </si>
  <si>
    <t>https://www.amazon.com/dp/B072FT8CG1?psc=1</t>
  </si>
  <si>
    <t>https://www.amazon.com/dp/B0714P77KB?psc=1</t>
  </si>
  <si>
    <t>https://www.amazon.com/dp/B071SK83JG?psc=1</t>
  </si>
  <si>
    <t>2.5 Pound (Pack of 1)</t>
  </si>
  <si>
    <t>40 Fl Oz (Pack of 1)</t>
  </si>
  <si>
    <t>40 Fl Oz (Ready to Use)</t>
  </si>
  <si>
    <t>6 Pound (Pack of 1)</t>
  </si>
  <si>
    <t>128 Fl Oz (Ready to Use)</t>
  </si>
  <si>
    <t>112 Ounce (Pack of 1)</t>
  </si>
  <si>
    <t>40 Ounce (Pack of 1)</t>
  </si>
  <si>
    <t>40 Ounce Ready-to-Use</t>
  </si>
  <si>
    <t>B07JBRJH79</t>
  </si>
  <si>
    <t>B07XL6B8S8</t>
  </si>
  <si>
    <t>B0BG3GY6QP</t>
  </si>
  <si>
    <t>B0DK9Y2LTR</t>
  </si>
  <si>
    <t>B0F1F2NZ4H</t>
  </si>
  <si>
    <t>B09JB996G8</t>
  </si>
  <si>
    <t>B0D7NV4215</t>
  </si>
  <si>
    <t>B0H6XXRTSJ</t>
  </si>
  <si>
    <t>B09K9P1CFC</t>
  </si>
  <si>
    <t>B0H6XXKPJH</t>
  </si>
  <si>
    <t>B0F1F2TW3X</t>
  </si>
  <si>
    <t>B0F1DZ56Y5</t>
  </si>
  <si>
    <t>B09KBKVL1M</t>
  </si>
  <si>
    <t>B0CH2XP8KZ</t>
  </si>
  <si>
    <t>B0F1DZHH53</t>
  </si>
  <si>
    <t>Mighty Mint</t>
  </si>
  <si>
    <t>Pure Origin</t>
  </si>
  <si>
    <t>Pure Origin Products</t>
  </si>
  <si>
    <t>https://m.media-amazon.com/images/I/61HCLxMDn8L.jpg</t>
  </si>
  <si>
    <t>https://m.media-amazon.com/images/I/61x1BtDeQgL.jpg</t>
  </si>
  <si>
    <t>https://m.media-amazon.com/images/I/714dcnuXJNL.jpg</t>
  </si>
  <si>
    <t>https://m.media-amazon.com/images/I/81Q9nGMh8KL.jpg</t>
  </si>
  <si>
    <t>https://m.media-amazon.com/images/I/71jRnYwqoKL.jpg</t>
  </si>
  <si>
    <t>https://m.media-amazon.com/images/I/61Vm2Q1mAQL.jpg</t>
  </si>
  <si>
    <t>https://m.media-amazon.com/images/I/71elt+VR19L.jpg</t>
  </si>
  <si>
    <t>https://m.media-amazon.com/images/I/81wtxz8L2EL.jpg</t>
  </si>
  <si>
    <t>https://m.media-amazon.com/images/I/716C2HHDsYL.jpg</t>
  </si>
  <si>
    <t>https://m.media-amazon.com/images/I/71iI0PxoRXL.jpg</t>
  </si>
  <si>
    <t>https://m.media-amazon.com/images/I/81G0b8UwZ6L.jpg</t>
  </si>
  <si>
    <t>https://m.media-amazon.com/images/I/81WrKnABKHL.jpg</t>
  </si>
  <si>
    <t>https://m.media-amazon.com/images/I/71IpALRC3JL.jpg</t>
  </si>
  <si>
    <t>https://m.media-amazon.com/images/I/61STyAtyrKL.jpg</t>
  </si>
  <si>
    <t>https://m.media-amazon.com/images/I/71YN14IepRL.jpg</t>
  </si>
  <si>
    <t>Mighty Mint Peppermint Oil Insect Repellent Spray, 16 oz</t>
  </si>
  <si>
    <t>Mighty Mint Peppermint Oil Spider Repellent Spray, 16 oz</t>
  </si>
  <si>
    <t>Mighty Mint Peppermint Oil Insect Repellent Plus Spray, 1 Gallon (128 oz)</t>
  </si>
  <si>
    <t>Mighty Mint Mouse Repellent Pouches with Glue Dots, 12 Count</t>
  </si>
  <si>
    <t>Mighty Mint Peppermint Oil Insect Repellent Spray, 16 oz, Pack of 2</t>
  </si>
  <si>
    <t>Mighty Mint Peppermint Oil Ant Killer Spray, 16 oz</t>
  </si>
  <si>
    <t>Mighty Mint Peppermint Oil Plant Protection Spray, 16 oz</t>
  </si>
  <si>
    <t>Mighty Mint Rodent Repellent Pouches with Glue Dots, 10 Count</t>
  </si>
  <si>
    <t>Mighty Mint Peppermint Oil Plant Protection Spray, 32 oz</t>
  </si>
  <si>
    <t>Mighty Mint Rodent Repellent Pouches with Glue Dots, 10 Count Pack of 2</t>
  </si>
  <si>
    <t>Mighty Mint Peppermint Oil Lawn &amp; Yard Bug Control Spray, 32 oz, Pack of 2</t>
  </si>
  <si>
    <t>Mighty Mint Mouse Repellent Pouches, 12 Count Pack of 2</t>
  </si>
  <si>
    <t>Mighty Mint Peppermint Oil Lawn &amp; Yard Bug Control Spray, 32 oz</t>
  </si>
  <si>
    <t>Mighty Mint Neem Oil &amp; Peppermint Plant Nutrient Spray, 16 oz</t>
  </si>
  <si>
    <t>Mighty Mint Neem Oil &amp; Peppermint Plant Nutrient Spray – Natural Leaf Shine for Indoor &amp; Outdoor Use – Plant-Based Formula for Stronger, Healthy Plants - 16 oz (Pack of 2)</t>
  </si>
  <si>
    <t>https://www.amazon.com/dp/B07JBRJH79?psc=1</t>
  </si>
  <si>
    <t>https://www.amazon.com/dp/B07XL6B8S8</t>
  </si>
  <si>
    <t>https://www.amazon.com/dp/B0BG3GY6QP</t>
  </si>
  <si>
    <t>https://www.amazon.com/dp/B0DK9Y2LTR?psc=1</t>
  </si>
  <si>
    <t>https://www.amazon.com/dp/B0F1F2NZ4H?psc=1</t>
  </si>
  <si>
    <t>https://www.amazon.com/dp/B09JB996G8?psc=1</t>
  </si>
  <si>
    <t>https://www.amazon.com/dp/B0D7NV4215?psc=1</t>
  </si>
  <si>
    <t>https://www.amazon.com/dp/B0H6XXRTSJ?psc=1</t>
  </si>
  <si>
    <t>https://www.amazon.com/dp/B09K9P1CFC?psc=1</t>
  </si>
  <si>
    <t>https://www.amazon.com/dp/B0H6XXKPJH?psc=1</t>
  </si>
  <si>
    <t>https://www.amazon.com/dp/B0F1F2TW3X?psc=1</t>
  </si>
  <si>
    <t>https://www.amazon.com/dp/B0F1DZ56Y5?psc=1</t>
  </si>
  <si>
    <t>https://www.amazon.com/dp/B09KBKVL1M?psc=1</t>
  </si>
  <si>
    <t>https://www.amazon.com/dp/B0CH2XP8KZ?psc=1</t>
  </si>
  <si>
    <t>https://www.amazon.com/dp/B0F1DZHH53?psc=1</t>
  </si>
  <si>
    <t>12 Pouches</t>
  </si>
  <si>
    <t>16 Fl Oz (Pack of 2)</t>
  </si>
  <si>
    <t>10 Pouches</t>
  </si>
  <si>
    <t>20 Pouches</t>
  </si>
  <si>
    <t>32 Fl Oz (Pack of 2)</t>
  </si>
  <si>
    <t>24 Pouches</t>
  </si>
  <si>
    <t>16 fl oz (Pack of 2)</t>
  </si>
  <si>
    <t>B083JJRHH6</t>
  </si>
  <si>
    <t>B01CPURY3S</t>
  </si>
  <si>
    <t>B01DTBOV06</t>
  </si>
  <si>
    <t>B09TG877KC</t>
  </si>
  <si>
    <t>B08KGTY7QM</t>
  </si>
  <si>
    <t>B083JKN2LX</t>
  </si>
  <si>
    <t>B01DTC7FGM</t>
  </si>
  <si>
    <t>B01KN3QTWQ</t>
  </si>
  <si>
    <t>B093RXQQZK</t>
  </si>
  <si>
    <t>B07N6L9QGN</t>
  </si>
  <si>
    <t>B093RQ36Q4</t>
  </si>
  <si>
    <t>B0B34XJ71L</t>
  </si>
  <si>
    <t>Exterminators Choice</t>
  </si>
  <si>
    <t>Pinelake Companies</t>
  </si>
  <si>
    <t>Pinelake Industries</t>
  </si>
  <si>
    <t>Pinelake Industries, LLC</t>
  </si>
  <si>
    <t>Trove Companies</t>
  </si>
  <si>
    <t>Exterminator's Choice</t>
  </si>
  <si>
    <t>https://m.media-amazon.com/images/I/71rzHBiX7mL.jpg</t>
  </si>
  <si>
    <t>https://m.media-amazon.com/images/I/71CXzd-MnLL.jpg</t>
  </si>
  <si>
    <t>https://m.media-amazon.com/images/I/71JsYIPsu5L.jpg</t>
  </si>
  <si>
    <t>https://m.media-amazon.com/images/I/61qgpfRIEJL.jpg</t>
  </si>
  <si>
    <t>https://m.media-amazon.com/images/I/61FH3Ik0QAL.jpg</t>
  </si>
  <si>
    <t>https://m.media-amazon.com/images/I/71uU0zr3UyL.jpg</t>
  </si>
  <si>
    <t>https://m.media-amazon.com/images/I/71JL9XplB-L.jpg</t>
  </si>
  <si>
    <t>https://m.media-amazon.com/images/I/71CTl3Tyt3L.jpg</t>
  </si>
  <si>
    <t>https://m.media-amazon.com/images/I/61AEwiFP31L.jpg</t>
  </si>
  <si>
    <t>https://m.media-amazon.com/images/I/611auQkdXVL.jpg</t>
  </si>
  <si>
    <t>https://m.media-amazon.com/images/I/714q9XZ4v4L.jpg</t>
  </si>
  <si>
    <t>https://m.media-amazon.com/images/I/61ChunHXpuL.jpg</t>
  </si>
  <si>
    <t>Exterminators Choice - 6 Pack Rat Bait Station Boxes with 1 Key - Heavy Duty Mouse Trap Holder - Great for Catching Rats and Mice - Pest Control - Durable and Discreet</t>
  </si>
  <si>
    <t>Exterminators Choice Peppermint Oil Defense Spray for Lizards &amp; Bugs - 32 Fl Oz, Peppermint Scent Oil - Exterminator Spray Formula for Home &amp; Garden - Indoor &amp; Outdoor Use</t>
  </si>
  <si>
    <t>Exterminators Choice Vehicle Defense Spray - 32 Ounce Peppermint Car Spray for Mice &amp; Rats - Rat Protection for Car Engine - Anti Squirrel Solution for Vehicles &amp; Trucks</t>
  </si>
  <si>
    <t>Exterminators Choice Moth Defense Spray - 32 Fl Oz - Natural Lemongrass &amp; Citronella Formula - Animal Safe Moth Spray for Indoor &amp; Outdoor Yard - Anti-Clothing &amp; Fabric Treatment</t>
  </si>
  <si>
    <t>Exterminators Choice Mice Bait Station Boxes (2 Pack, with 1 Key)</t>
  </si>
  <si>
    <t>Exterminators Choice Rat Bait Stations - 2-Pack Large Green Bait Boxes - Heavy-Duty with Secure Lock &amp; Key - Outdoor Use for Rats &amp; Mice</t>
  </si>
  <si>
    <t>Exterminators Choice Gecko &amp; Lizard Defense Spray - 128 Fl Oz - Unscented - Kid &amp; Pet Safe Lizard Control - Natural Essential Oils for Reptile Protection - 1 Gallon Spray for Garden Defense</t>
  </si>
  <si>
    <t>Exterminators Choice Mice &amp; Rat Protection Spray - 128 Fl Oz Vehicle Protection &amp; Outdoor Mouse Control - Natural Peppermint Formula &amp; Peppermint Oil - Easy Application &amp; Gallon Spray</t>
  </si>
  <si>
    <t>Exterminators Choice Bee Spray &amp; Wasp Control - 32 Oz Aerosol - Natural Essential Oil Formula, Helps Keep Bees &amp; Wasps Away in Patio, Garden &amp; Yard, Safe for Kids &amp; Pets</t>
  </si>
  <si>
    <t>Exterminators Choice Lizard Spray - (2 Pack) 32 Fl Oz - Indoor &amp; Outdoor Barrier to Deter Geckos - Kid &amp; Pet Friendly Lizard Control Spray - Extended Coverage to Keep Reptiles Away</t>
  </si>
  <si>
    <t>Exterminator’s Choice Bee Exterminator &amp; Wasp Defense - 125 fl oz Cinnamon Scent - Natural Essential Oil Formula Keeps Bees Away Outside - Safe for Kids &amp; Pets - Made in USA</t>
  </si>
  <si>
    <t>Exterminators Choice Replacement Bait Station Keys - Pack of 2 Compatible with Green &amp; Black Bait Boxes - Universal Mouse &amp; Rat Station Key</t>
  </si>
  <si>
    <t>https://www.amazon.com/dp/B083JJRHH6?psc=1</t>
  </si>
  <si>
    <t>https://www.amazon.com/dp/B01CPURY3S?psc=1</t>
  </si>
  <si>
    <t>https://www.amazon.com/dp/B01DTBOV06?psc=1</t>
  </si>
  <si>
    <t>https://www.amazon.com/dp/B09TG877KC</t>
  </si>
  <si>
    <t>https://www.amazon.com/dp/B08KGTY7QM?psc=1</t>
  </si>
  <si>
    <t>https://www.amazon.com/dp/B083JKN2LX?psc=1</t>
  </si>
  <si>
    <t>https://www.amazon.com/dp/B01DTC7FGM?psc=1</t>
  </si>
  <si>
    <t>https://www.amazon.com/dp/B01KN3QTWQ?psc=1</t>
  </si>
  <si>
    <t>https://www.amazon.com/dp/B093RXQQZK</t>
  </si>
  <si>
    <t>https://www.amazon.com/dp/B07N6L9QGN?psc=1</t>
  </si>
  <si>
    <t>https://www.amazon.com/dp/B093RQ36Q4?psc=1</t>
  </si>
  <si>
    <t>https://www.amazon.com/dp/B0B34XJ71L</t>
  </si>
  <si>
    <t>6 Bait Stations</t>
  </si>
  <si>
    <t>2 Bait Stations</t>
  </si>
  <si>
    <t>125 Fl Oz (Pack of 1)</t>
  </si>
  <si>
    <t>B074CB7Y6G</t>
  </si>
  <si>
    <t>B07FJXSZTS</t>
  </si>
  <si>
    <t>B07DQR4JC1</t>
  </si>
  <si>
    <t>B00AAZHNGE</t>
  </si>
  <si>
    <t>B07Q86VPBY</t>
  </si>
  <si>
    <t>B016TQMQZU</t>
  </si>
  <si>
    <t>B0C6BFH4LV</t>
  </si>
  <si>
    <t>B0CRN2VJMH</t>
  </si>
  <si>
    <t>B0BV3G1CWY</t>
  </si>
  <si>
    <t>B07Q8YZZ5M</t>
  </si>
  <si>
    <t>B0044UMMY4</t>
  </si>
  <si>
    <t>d-Con</t>
  </si>
  <si>
    <t>Reckitt Benckiser</t>
  </si>
  <si>
    <t>D-Con</t>
  </si>
  <si>
    <t>d-CON</t>
  </si>
  <si>
    <t>RECKITT BENCKISER</t>
  </si>
  <si>
    <t>https://m.media-amazon.com/images/I/41puNlGwJDL.jpg</t>
  </si>
  <si>
    <t>https://m.media-amazon.com/images/I/71wJPMQu6gL.jpg</t>
  </si>
  <si>
    <t>https://m.media-amazon.com/images/I/819PDXNnyFL.jpg</t>
  </si>
  <si>
    <t>https://m.media-amazon.com/images/I/71ywYVT3TaL.jpg</t>
  </si>
  <si>
    <t>https://m.media-amazon.com/images/I/71Eo+yye+6L.jpg</t>
  </si>
  <si>
    <t>https://m.media-amazon.com/images/I/81MbHTm2ZDL.jpg</t>
  </si>
  <si>
    <t>https://m.media-amazon.com/images/I/61A0BWcwQdL.jpg</t>
  </si>
  <si>
    <t>https://m.media-amazon.com/images/I/7183qHWPgjL.jpg</t>
  </si>
  <si>
    <t>https://m.media-amazon.com/images/I/71B30dqpyVL.jpg</t>
  </si>
  <si>
    <t>https://m.media-amazon.com/images/I/71YDTozIM-L.jpg</t>
  </si>
  <si>
    <t>https://m.media-amazon.com/images/I/818gloMPDGL.jpg</t>
  </si>
  <si>
    <t>d-Con Corner Fit Mouse Bait Station, Disposable 0.5 Oz, 3 Pack</t>
  </si>
  <si>
    <t>d-Con Refillable Mouse Bait Station, 1 Bait Station +18 Bait Refills</t>
  </si>
  <si>
    <t>d-Con Mouse Poison Bait Station Refills, Corner Fit, 10 Count</t>
  </si>
  <si>
    <t>d-CON No View, No Touch Covered Mouse Trap, 1 Trap (Pack of 6)</t>
  </si>
  <si>
    <t>D-Con No View, No Touch Covered Mouse Trap, 6 Pack (2 Traps Each) (Packaging May Vary)</t>
  </si>
  <si>
    <t>d-CON Refillable Corner Fit Mouse Poison Bait Station, 1 Trap + 20 Bait Refills</t>
  </si>
  <si>
    <t>d-Con Toxic Bait Tray Pellets for Mice and Rats 6 oz 1 pk</t>
  </si>
  <si>
    <t>d-CON® No View, No Touch™ Mouse Trap, 1ct</t>
  </si>
  <si>
    <t>d-CON Bait Pellet Bag, 8 Ounces (Pack of 2)</t>
  </si>
  <si>
    <t>D-Con Corner Fit Mouse Poison Bait Station 12 Bait Refills, Pack of 3</t>
  </si>
  <si>
    <t>D-Con d-CON No View, No Touch Covered Mouse Trap, 2 Traps (Pack of, 2 CT</t>
  </si>
  <si>
    <t>https://www.amazon.com/dp/B074CB7Y6G?psc=1</t>
  </si>
  <si>
    <t>https://www.amazon.com/dp/B07FJXSZTS?psc=1</t>
  </si>
  <si>
    <t>https://www.amazon.com/dp/B07DQR4JC1?psc=1</t>
  </si>
  <si>
    <t>https://www.amazon.com/dp/B00AAZHNGE</t>
  </si>
  <si>
    <t>https://www.amazon.com/dp/B07Q86VPBY</t>
  </si>
  <si>
    <t>https://www.amazon.com/dp/B016TQMQZU</t>
  </si>
  <si>
    <t>https://www.amazon.com/dp/B0C6BFH4LV</t>
  </si>
  <si>
    <t>https://www.amazon.com/dp/B0CRN2VJMH</t>
  </si>
  <si>
    <t>https://www.amazon.com/dp/B0BV3G1CWY</t>
  </si>
  <si>
    <t>https://www.amazon.com/dp/B07Q8YZZ5M</t>
  </si>
  <si>
    <t>https://www.amazon.com/dp/B0044UMMY4</t>
  </si>
  <si>
    <t>3 Count (1.5 oz)</t>
  </si>
  <si>
    <t>18 Count (Pack of 1)</t>
  </si>
  <si>
    <t>20 Count</t>
  </si>
  <si>
    <t>2 Count</t>
  </si>
  <si>
    <t>B00L236OMW</t>
  </si>
  <si>
    <t>B07CNR241T</t>
  </si>
  <si>
    <t>B016QJP0DU</t>
  </si>
  <si>
    <t>B01LWL8KZW</t>
  </si>
  <si>
    <t>B0119AY5FU</t>
  </si>
  <si>
    <t>B0B78355CP</t>
  </si>
  <si>
    <t>B0B782JLPW</t>
  </si>
  <si>
    <t>B01LYV88MS</t>
  </si>
  <si>
    <t>Fresh Cab</t>
  </si>
  <si>
    <t>Earth Kind Inc</t>
  </si>
  <si>
    <t>Earth Kind</t>
  </si>
  <si>
    <t>EcoSMART Technologies</t>
  </si>
  <si>
    <t>https://m.media-amazon.com/images/I/81j6vpz4F4L.jpg</t>
  </si>
  <si>
    <t>https://m.media-amazon.com/images/I/6157EHyrxHL.jpg</t>
  </si>
  <si>
    <t>https://m.media-amazon.com/images/I/61+PlpyvqSL.jpg</t>
  </si>
  <si>
    <t>https://m.media-amazon.com/images/I/71YamhRkenL.jpg</t>
  </si>
  <si>
    <t>https://m.media-amazon.com/images/I/71D1zuQxazL.jpg</t>
  </si>
  <si>
    <t>https://m.media-amazon.com/images/I/61z15vA585L.jpg</t>
  </si>
  <si>
    <t>https://m.media-amazon.com/images/I/61zDCXxcRNL.jpg</t>
  </si>
  <si>
    <t>https://m.media-amazon.com/images/I/81vzTDdXlEL.jpg</t>
  </si>
  <si>
    <t>Fresh Cab Botanical Rodent Repellent - Environmentally Friendly, Keeps Mice Out, 4 Scent Pouches</t>
  </si>
  <si>
    <t>Fresh Cab Botanical Rodent Repellent - Environmentally Friendly, Keeps Mice Out, 12 Scent Pouches</t>
  </si>
  <si>
    <t>Fresh Cab Rodent Repellent; Quickly Repelling Pests from Treated Areas; Preventing Re-Infestation for up To 3 Months; Safe for Children, Pets and the Environment; Non-Toxic; 8-Scent Pouches</t>
  </si>
  <si>
    <t>Fresh Cab FC6 Botanical Rodent Repellent Keeps Mice and Rats Out, Federal EPA Registered for Use Indoors and in Enclosed Spaces, 2.5 Ounce x 4 Scent Pouches x 4 Pack (Total 16 Pouches)</t>
  </si>
  <si>
    <t>EarthKind EMW7208598 Fresh Cab Rodent, Rats and Mice Repellent With Blend Of Plant Fiber and Botanical Extracts For Use On The Farm, Industrial Settings, Garage or RV, 2.5 Ounce x 4 Scent Pouches</t>
  </si>
  <si>
    <t>Fresh Cab Botanical Rodent Repellent - Environmentally Friendly, Keeps Mice Out, 24 Scent Pouches (6 Packs of 4)</t>
  </si>
  <si>
    <t>Fresh Cab Botanical Rodent Repellent - Environmentally Friendly, Keeps Mice Out, 16 Scent Pouches (4 Packs of 4)</t>
  </si>
  <si>
    <t>Fresh Cab Botanical Rodent Repellent 5 Scent Pouches - EPA Registered, Keeps Mice Out</t>
  </si>
  <si>
    <t>https://www.amazon.com/dp/B00L236OMW?psc=1</t>
  </si>
  <si>
    <t>https://www.amazon.com/dp/B07CNR241T?psc=1</t>
  </si>
  <si>
    <t>https://www.amazon.com/dp/B016QJP0DU?psc=1</t>
  </si>
  <si>
    <t>https://www.amazon.com/dp/B01LWL8KZW?psc=1</t>
  </si>
  <si>
    <t>https://www.amazon.com/dp/B0119AY5FU</t>
  </si>
  <si>
    <t>https://www.amazon.com/dp/B0B78355CP?psc=1</t>
  </si>
  <si>
    <t>https://www.amazon.com/dp/B0B782JLPW?psc=1</t>
  </si>
  <si>
    <t>https://www.amazon.com/dp/B01LYV88MS</t>
  </si>
  <si>
    <t>2.5 Ounce (Pack of 4)</t>
  </si>
  <si>
    <t>2.5 Ounce (Pack of 12)</t>
  </si>
  <si>
    <t>1.25 Ounce (Pack of 8)</t>
  </si>
  <si>
    <t>2.5 Ounce (Pack of 16)</t>
  </si>
  <si>
    <t>70.88 Ounce (Pack of 24)</t>
  </si>
  <si>
    <t>283.5 Ounce (Pack of 4)</t>
  </si>
  <si>
    <t>2.5 Fl Oz (Pack of 5)</t>
  </si>
  <si>
    <t>B0BVRQS4N9</t>
  </si>
  <si>
    <t>B0BJ7QCR8Y</t>
  </si>
  <si>
    <t>B09FQGSMPS</t>
  </si>
  <si>
    <t>B09FR1G48B</t>
  </si>
  <si>
    <t>Goodnature</t>
  </si>
  <si>
    <t>https://m.media-amazon.com/images/I/41kDEKM5MWL.jpg</t>
  </si>
  <si>
    <t>https://m.media-amazon.com/images/I/51MJj40EVfL.jpg</t>
  </si>
  <si>
    <t>https://m.media-amazon.com/images/I/714xGmgncNL.jpg</t>
  </si>
  <si>
    <t>https://m.media-amazon.com/images/I/71q9KPjJAjL.jpg</t>
  </si>
  <si>
    <t>Goodnature A18 Grey Squirrel Trap, Self-Resetting, CO₂ Powered</t>
  </si>
  <si>
    <t>Goodnature A24 Smart Trap for Rats &amp; Mice, Self-Resetting, CO₂ Powered</t>
  </si>
  <si>
    <t>Goodnature Top Up Pack for A24 Trap, Chocolate Paste Pump &amp; CO₂ Canister</t>
  </si>
  <si>
    <t>Goodnature Top Up Pack for A24 Trap, Nut Butter Paste Pump &amp; CO₂ Canister</t>
  </si>
  <si>
    <t>https://www.amazon.com/dp/B0BVRQS4N9</t>
  </si>
  <si>
    <t>https://www.amazon.com/dp/B0BJ7QCR8Y</t>
  </si>
  <si>
    <t>https://www.amazon.com/dp/B09FQGSMPS?psc=1</t>
  </si>
  <si>
    <t>https://www.amazon.com/dp/B09FR1G48B?psc=1</t>
  </si>
  <si>
    <t>Replenishment Pack</t>
  </si>
  <si>
    <t>B06XGL8R89</t>
  </si>
  <si>
    <t>B06XGMJGXN</t>
  </si>
  <si>
    <t>B00RC8KFB2</t>
  </si>
  <si>
    <t>B06XG5Y1L7</t>
  </si>
  <si>
    <t>Trapper Max</t>
  </si>
  <si>
    <t>https://m.media-amazon.com/images/I/51W0iUN6lBL.jpg</t>
  </si>
  <si>
    <t>https://m.media-amazon.com/images/I/51bXxNfsjeL.jpg</t>
  </si>
  <si>
    <t>https://m.media-amazon.com/images/I/51bQlMMPRCL.jpg</t>
  </si>
  <si>
    <t>Trapper Max Glue Traps 12 Glue Boards Trap Mouse Bugs Insects Bed Bugs Spiders Cockroaches Non-Toxic</t>
  </si>
  <si>
    <t>Trapper Max Glue Traps 72 Glue Boards Trap Mouse Bugs Insects Bed Bugs Spiders Cockroaches Non-Toxic, w</t>
  </si>
  <si>
    <t>Trapper Max 11 Catcher's Maximum 6 Glue Board Trap, White</t>
  </si>
  <si>
    <t>Trapper Max 11 Catcher's Maximum 36 Glue Board Trap, White</t>
  </si>
  <si>
    <t>https://www.amazon.com/dp/B06XGL8R89?psc=1</t>
  </si>
  <si>
    <t>https://www.amazon.com/dp/B06XGMJGXN?psc=1</t>
  </si>
  <si>
    <t>https://www.amazon.com/dp/B00RC8KFB2</t>
  </si>
  <si>
    <t>https://www.amazon.com/dp/B06XG5Y1L7</t>
  </si>
  <si>
    <t>12 Glue Boards</t>
  </si>
  <si>
    <t>B08N9LQNTR</t>
  </si>
  <si>
    <t>B005VZYCLM</t>
  </si>
  <si>
    <t>B005VZYCL2</t>
  </si>
  <si>
    <t>B005VZYCPS</t>
  </si>
  <si>
    <t>IIWEY</t>
  </si>
  <si>
    <t>Shake-Away</t>
  </si>
  <si>
    <t>iiwey</t>
  </si>
  <si>
    <t>https://m.media-amazon.com/images/I/61LZyE61ltS.jpg</t>
  </si>
  <si>
    <t>https://m.media-amazon.com/images/I/51gP6sPHmuL.jpg</t>
  </si>
  <si>
    <t>https://m.media-amazon.com/images/I/81DHzWRekFL.jpg</t>
  </si>
  <si>
    <t>https://m.media-amazon.com/images/I/81vmtz0QwAL.jpg</t>
  </si>
  <si>
    <t>Humane Mouse Traps, 12 inches Enlarged No Kill Rat Live Traps for Chipmunks, Reusable Catch and Release Mice, Pet and Children Friendly Mouse Trap that Work (Black 2Pack)</t>
  </si>
  <si>
    <t>Shake Away 2852228 Fox Urine Granules, 28-1/2-Ounce - Brown/A</t>
  </si>
  <si>
    <t>Shake-Away Coyote/Fox Urine Granules 28.5 oz. - 2854448</t>
  </si>
  <si>
    <t>Shake Away 5006458 Coyote/Fox Urine Granules – Repels Domestic Cats, 5 lb</t>
  </si>
  <si>
    <t>https://www.amazon.com/dp/B08N9LQNTR</t>
  </si>
  <si>
    <t>https://www.amazon.com/dp/B005VZYCLM</t>
  </si>
  <si>
    <t>https://www.amazon.com/dp/B005VZYCL2?psc=1</t>
  </si>
  <si>
    <t>28.5 oz.</t>
  </si>
  <si>
    <t>28.5 Ounce (Pack of 1)</t>
  </si>
  <si>
    <t>5 lb</t>
  </si>
  <si>
    <t>Jun</t>
  </si>
  <si>
    <t>Master Category_by_aish</t>
  </si>
  <si>
    <t>Master_Category_GP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</si>
</sst>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6" x14ac:knownFonts="1">
    <font>
      <sz val="11"/>
      <color theme="1"/>
      <name val="Aptos Narrow"/>
      <family val="2"/>
      <scheme val="minor"/>
    </font>
    <font>
      <sz val="12"/>
      <color theme="1"/>
      <name val="Aptos Narrow"/>
      <family val="2"/>
      <scheme val="minor"/>
    </font>
    <font>
      <sz val="12"/>
      <name val="Aptos Narrow"/>
      <family val="2"/>
      <scheme val="minor"/>
    </font>
    <font>
      <b/>
      <sz val="14"/>
      <color rgb="FF000000"/>
      <name val="Aptos Narrow"/>
      <family val="2"/>
      <scheme val="minor"/>
    </font>
    <font>
      <sz val="12"/>
      <color theme="1"/>
      <name val="Abadi"/>
      <family val="2"/>
    </font>
    <font>
      <sz val="8"/>
      <name val="Aptos Narrow"/>
      <family val="2"/>
      <scheme val="minor"/>
    </font>
  </fonts>
  <fills count="5">
    <fill>
      <patternFill patternType="none"/>
    </fill>
    <fill>
      <patternFill patternType="gray125"/>
    </fill>
    <fill>
      <patternFill patternType="solid">
        <fgColor rgb="FFC0E6F5"/>
        <bgColor rgb="FF000000"/>
      </patternFill>
    </fill>
    <fill>
      <patternFill patternType="solid">
        <fgColor rgb="FFFF0000"/>
        <bgColor rgb="FF000000"/>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1" xfId="0" applyFont="1" applyBorder="1"/>
    <xf numFmtId="0" fontId="2" fillId="0" borderId="1" xfId="0" applyFont="1" applyBorder="1" applyAlignment="1">
      <alignment horizontal="left"/>
    </xf>
    <xf numFmtId="0" fontId="0" fillId="0" borderId="1" xfId="0" applyBorder="1" applyAlignment="1">
      <alignment horizontal="left"/>
    </xf>
    <xf numFmtId="0" fontId="0" fillId="0" borderId="1" xfId="0" applyBorder="1"/>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1" fillId="4" borderId="1" xfId="0" applyFont="1" applyFill="1" applyBorder="1"/>
    <xf numFmtId="2" fontId="1" fillId="4" borderId="1" xfId="0" applyNumberFormat="1" applyFont="1" applyFill="1" applyBorder="1"/>
    <xf numFmtId="8" fontId="1" fillId="4" borderId="1" xfId="0" applyNumberFormat="1" applyFont="1" applyFill="1" applyBorder="1"/>
    <xf numFmtId="164" fontId="1" fillId="4" borderId="1" xfId="0" applyNumberFormat="1" applyFont="1" applyFill="1" applyBorder="1"/>
    <xf numFmtId="8" fontId="1" fillId="0" borderId="1" xfId="0" applyNumberFormat="1" applyFont="1" applyBorder="1"/>
    <xf numFmtId="8" fontId="4" fillId="0" borderId="1" xfId="0" applyNumberFormat="1" applyFont="1" applyBorder="1"/>
    <xf numFmtId="2" fontId="1" fillId="0" borderId="1" xfId="0" applyNumberFormat="1" applyFont="1" applyBorder="1"/>
    <xf numFmtId="164" fontId="1" fillId="0" borderId="1" xfId="0" applyNumberFormat="1" applyFont="1" applyBorder="1"/>
    <xf numFmtId="2" fontId="0" fillId="0" borderId="1" xfId="0" applyNumberFormat="1" applyBorder="1"/>
    <xf numFmtId="8" fontId="0" fillId="0" borderId="1" xfId="0" applyNumberFormat="1" applyBorder="1"/>
    <xf numFmtId="0" fontId="4" fillId="4" borderId="1" xfId="0" applyFont="1" applyFill="1" applyBorder="1"/>
    <xf numFmtId="0" fontId="0" fillId="4" borderId="1" xfId="0" applyFill="1" applyBorder="1"/>
    <xf numFmtId="2" fontId="0" fillId="4" borderId="1" xfId="0" applyNumberFormat="1" applyFill="1" applyBorder="1"/>
    <xf numFmtId="8" fontId="0" fillId="4" borderId="1" xfId="0" applyNumberFormat="1" applyFill="1" applyBorder="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heetMetadata" Target="metadata.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styles" Target="styles.xml"/><Relationship Id="rId8"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Master%20category%20file%20made%20by%20GP.xlsx" TargetMode="External"/><Relationship Id="rId1" Type="http://schemas.openxmlformats.org/officeDocument/2006/relationships/externalLinkPath" Target="Master%20category%20file%20made%20by%20GP.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Catchmaster\Outlife%20via%20claude.xlsx" TargetMode="External"/><Relationship Id="rId1" Type="http://schemas.openxmlformats.org/officeDocument/2006/relationships/externalLinkPath" Target="Catchmaster/Outlife%20via%20claud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Scotts\Outlife%20via%20claude.xlsx" TargetMode="External"/><Relationship Id="rId1" Type="http://schemas.openxmlformats.org/officeDocument/2006/relationships/externalLinkPath" Target="Scotts/Outlife%20via%20claude.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Victor\Outlife%20via%20claude.xlsx" TargetMode="External"/><Relationship Id="rId1" Type="http://schemas.openxmlformats.org/officeDocument/2006/relationships/externalLinkPath" Target="Victor/Outlife%20via%20claude.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Zevo\Outlife%20via%20claude.xlsx" TargetMode="External"/><Relationship Id="rId1" Type="http://schemas.openxmlformats.org/officeDocument/2006/relationships/externalLinkPath" Target="Zevo/Outlife%20via%20claude.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Downloads/ASIN_Monthly_Sold_91.xlsx" TargetMode="External"/><Relationship Id="rId2" Type="http://schemas.openxmlformats.org/officeDocument/2006/relationships/externalLinkPath" Target="file:///C:\Users\Aishwarya.Survase\Downloads\ASIN_Monthly_Sold_91.xlsx" TargetMode="External"/><Relationship Id="rId1" Type="http://schemas.openxmlformats.org/officeDocument/2006/relationships/externalLinkPath" Target="/Users/Aishwarya.Survase/Downloads/ASIN_Monthly_Sold_9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JT%20Eaton\Outlife%20via%20claude.xlsx" TargetMode="External"/><Relationship Id="rId1" Type="http://schemas.openxmlformats.org/officeDocument/2006/relationships/externalLinkPath" Target="JT%20Eaton/Outlife%20via%20claude.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Bell%20Laboratories\Outlife%20via%20claude.xlsx" TargetMode="External"/><Relationship Id="rId1" Type="http://schemas.openxmlformats.org/officeDocument/2006/relationships/externalLinkPath" Target="Bell%20Laboratories/Outlife%20via%20claude.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Kness\Outlife%20via%20claude.xlsx" TargetMode="External"/><Relationship Id="rId1" Type="http://schemas.openxmlformats.org/officeDocument/2006/relationships/externalLinkPath" Target="Kness/Outlife%20via%20claude.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Jahy2Tech\Outlife%20via%20claude.xlsx" TargetMode="External"/><Relationship Id="rId1" Type="http://schemas.openxmlformats.org/officeDocument/2006/relationships/externalLinkPath" Target="Jahy2Tech/Outlife%20via%20claud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HOY%20HOY\Outlife%20via%20claude.xlsx" TargetMode="External"/><Relationship Id="rId1" Type="http://schemas.openxmlformats.org/officeDocument/2006/relationships/externalLinkPath" Target="HOY%20HOY/Outlife%20via%20claude.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RinneTraps\Outlife%20via%20claude.xlsx" TargetMode="External"/><Relationship Id="rId1" Type="http://schemas.openxmlformats.org/officeDocument/2006/relationships/externalLinkPath" Target="RinneTraps/Outlife%20via%20claude.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Bonide\Outlife%20via%20claude.xlsx" TargetMode="External"/><Relationship Id="rId1" Type="http://schemas.openxmlformats.org/officeDocument/2006/relationships/externalLinkPath" Target="Bonide/Outlife%20via%20claud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Syngenta\Outlife%20via%20claude.xlsx" TargetMode="External"/><Relationship Id="rId1" Type="http://schemas.openxmlformats.org/officeDocument/2006/relationships/externalLinkPath" Target="Syngenta/Outlife%20via%20claude.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HARRIS\Outlife%20via%20claude.xlsx" TargetMode="External"/><Relationship Id="rId1" Type="http://schemas.openxmlformats.org/officeDocument/2006/relationships/externalLinkPath" Target="HARRIS/Outlife%20via%20claude.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WowCatch\Outlife%20via%20claude.xlsx" TargetMode="External"/><Relationship Id="rId1" Type="http://schemas.openxmlformats.org/officeDocument/2006/relationships/externalLinkPath" Target="WowCatch/Outlife%20via%20claude.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Grandpa%20Gus's\Outlife%20via%20claude.xlsx" TargetMode="External"/><Relationship Id="rId1" Type="http://schemas.openxmlformats.org/officeDocument/2006/relationships/externalLinkPath" Target="Grandpa%20Gus's/Outlife%20via%20claud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Neogen\Outlife%20via%20claude.xlsx" TargetMode="External"/><Relationship Id="rId1" Type="http://schemas.openxmlformats.org/officeDocument/2006/relationships/externalLinkPath" Target="Neogen/Outlife%20via%20claude.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Nature's%20MACE\Outlife%20via%20claude.xlsx" TargetMode="External"/><Relationship Id="rId1" Type="http://schemas.openxmlformats.org/officeDocument/2006/relationships/externalLinkPath" Target="Nature's%20MACE/Outlife%20via%20claude.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Mighty%20Mint\Outlife%20via%20claude.xlsx" TargetMode="External"/><Relationship Id="rId1" Type="http://schemas.openxmlformats.org/officeDocument/2006/relationships/externalLinkPath" Target="Mighty%20Mint/Outlife%20via%20claude.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Exterminators%20Choice\Outlife%20via%20claude.xlsx" TargetMode="External"/><Relationship Id="rId1" Type="http://schemas.openxmlformats.org/officeDocument/2006/relationships/externalLinkPath" Target="Exterminators%20Choice/Outlife%20via%20claude.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d-Con\Outlife%20via%20claude.xlsx" TargetMode="External"/><Relationship Id="rId1" Type="http://schemas.openxmlformats.org/officeDocument/2006/relationships/externalLinkPath" Target="d-Con/Outlife%20via%20claude.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Fresh%20Cab\Outlife%20via%20claude.xlsx" TargetMode="External"/><Relationship Id="rId1" Type="http://schemas.openxmlformats.org/officeDocument/2006/relationships/externalLinkPath" Target="Fresh%20Cab/Outlife%20via%20claude.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Goodnature\Outlife%20via%20claude.xlsx" TargetMode="External"/><Relationship Id="rId1" Type="http://schemas.openxmlformats.org/officeDocument/2006/relationships/externalLinkPath" Target="Goodnature/Outlife%20via%20claude.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Trapper%20Max\Outlife%20via%20claude.xlsx" TargetMode="External"/><Relationship Id="rId1" Type="http://schemas.openxmlformats.org/officeDocument/2006/relationships/externalLinkPath" Target="Trapper%20Max/Outlife%20via%20claude.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IIWEY\Outlife%20via%20claude.xlsx" TargetMode="External"/><Relationship Id="rId1" Type="http://schemas.openxmlformats.org/officeDocument/2006/relationships/externalLinkPath" Target="IIWEY/Outlife%20via%20claude.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C:\Users\Aishwarya.Survase\Desktop\Comp%20analysis%20dashboard%20files\Shake-Away\Outlife%20via%20claude.xlsx" TargetMode="External"/><Relationship Id="rId1" Type="http://schemas.openxmlformats.org/officeDocument/2006/relationships/externalLinkPath" Target="Shake-Away/Outlife%20via%20clau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ne"/>
    </sheetNames>
    <sheetDataSet>
      <sheetData sheetId="0">
        <row r="1">
          <cell r="A1" t="str">
            <v>ASIN</v>
          </cell>
          <cell r="B1" t="str">
            <v>Brand</v>
          </cell>
          <cell r="C1" t="str">
            <v>Manufacture</v>
          </cell>
          <cell r="D1" t="str">
            <v>Title</v>
          </cell>
          <cell r="E1" t="str">
            <v>URL</v>
          </cell>
          <cell r="F1" t="str">
            <v>Main Category</v>
          </cell>
          <cell r="G1" t="str">
            <v>Sub Category</v>
          </cell>
          <cell r="H1" t="str">
            <v>Category (Main + Subcategory)</v>
          </cell>
          <cell r="I1" t="str">
            <v>Master Category made by GP</v>
          </cell>
        </row>
        <row r="2">
          <cell r="A2" t="str">
            <v>B08PC92KXJ</v>
          </cell>
          <cell r="B2" t="str">
            <v>Catchmaster</v>
          </cell>
          <cell r="C2" t="str">
            <v>Catchmaster</v>
          </cell>
          <cell r="D2" t="str">
            <v>Catchmaster Roach Traps Indoor 6 Pack, Sticky Glue Board Cockroach Traps</v>
          </cell>
          <cell r="E2" t="str">
            <v>https://www.amazon.com/dp/B08PC92KXJ?psc=1</v>
          </cell>
          <cell r="F2" t="str">
            <v>Crawling Insect Control</v>
          </cell>
          <cell r="G2" t="str">
            <v>Glue Traps</v>
          </cell>
          <cell r="H2" t="str">
            <v>Crawling Insect Control - Glue Traps</v>
          </cell>
          <cell r="I2" t="str">
            <v>Cockroach</v>
          </cell>
        </row>
        <row r="3">
          <cell r="A3" t="str">
            <v>B0CFRN4CF3</v>
          </cell>
          <cell r="B3" t="str">
            <v>Catchmaster</v>
          </cell>
          <cell r="C3" t="str">
            <v>CatchMaster</v>
          </cell>
          <cell r="D3" t="str">
            <v>Catchmaster Roach Trap Glue Boards 10-Pk, Adhesive Bug Catcher, Scorpion, Spider, Cricket, &amp; Cockroach Traps for Home, Bulk Glue Traps for House &amp; Garage, Pest Control for Home</v>
          </cell>
          <cell r="E3" t="str">
            <v>https://www.amazon.com/dp/B0CFRN4CF3?psc=1</v>
          </cell>
          <cell r="F3" t="str">
            <v>Crawling Insect Control</v>
          </cell>
          <cell r="G3" t="str">
            <v>Glue Traps</v>
          </cell>
          <cell r="H3" t="str">
            <v>Crawling Insect Control - Glue Traps</v>
          </cell>
          <cell r="I3" t="str">
            <v>Cockroach</v>
          </cell>
        </row>
        <row r="4">
          <cell r="A4" t="str">
            <v>B0FJJF6TSY</v>
          </cell>
          <cell r="B4" t="str">
            <v>Catchmaster</v>
          </cell>
          <cell r="C4" t="str">
            <v>Catchmaster</v>
          </cell>
          <cell r="D4" t="str">
            <v>Catchmaster Cockroach Traps with Food-Based Bait, Roach Traps Indoor 10pk</v>
          </cell>
          <cell r="E4" t="str">
            <v>https://www.amazon.com/dp/B0FJJF6TSY?psc=1</v>
          </cell>
          <cell r="F4" t="str">
            <v>Crawling Insect Control</v>
          </cell>
          <cell r="G4" t="str">
            <v>Bait &amp; Poison</v>
          </cell>
          <cell r="H4" t="str">
            <v>Crawling Insect Control - Bait &amp; Poison</v>
          </cell>
          <cell r="I4" t="str">
            <v>Cockroach</v>
          </cell>
        </row>
        <row r="5">
          <cell r="A5" t="str">
            <v>B0B2C4DXW2</v>
          </cell>
          <cell r="B5" t="str">
            <v>Catchmaster</v>
          </cell>
          <cell r="C5" t="str">
            <v>Catchmaster</v>
          </cell>
          <cell r="D5" t="str">
            <v>Catchmaster Brown Recluse Spider Giant Glue Boards 6Pk, Adhesive Bug Catcher, Insect, Scorpion, Cricket, Cockroach &amp; Spider Killer for Home, Bulk Glue Boards for House &amp; Garage, Pest Control for Home</v>
          </cell>
          <cell r="E5" t="str">
            <v>https://www.amazon.com/dp/B0B2C4DXW2?psc=1</v>
          </cell>
          <cell r="F5" t="str">
            <v>Flying Insect Control</v>
          </cell>
          <cell r="G5" t="str">
            <v>Glue Traps</v>
          </cell>
          <cell r="H5" t="str">
            <v>Flying Insect Control - Glue Traps</v>
          </cell>
          <cell r="I5" t="str">
            <v>Cockroach</v>
          </cell>
        </row>
        <row r="6">
          <cell r="A6" t="str">
            <v>B08PC9R71X</v>
          </cell>
          <cell r="B6" t="str">
            <v>Catchmaster</v>
          </cell>
          <cell r="C6" t="str">
            <v>Catchmaster</v>
          </cell>
          <cell r="D6" t="str">
            <v>Catchmaster Spider Traps Glue Boards 6-Pack, Adhesive Bug Catcher, Insect, Scorpion, Cricket, Cockroach, &amp; Spider Killer for Home, Bulk Glue Traps for House &amp; Garage, Pest Control for Home</v>
          </cell>
          <cell r="E6" t="str">
            <v>https://www.amazon.com/dp/B08PC9R71X?psc=1</v>
          </cell>
          <cell r="F6" t="str">
            <v>Flying Insect Control</v>
          </cell>
          <cell r="G6" t="str">
            <v>Glue Traps</v>
          </cell>
          <cell r="H6" t="str">
            <v>Flying Insect Control - Glue Traps</v>
          </cell>
          <cell r="I6" t="str">
            <v>Cockroach</v>
          </cell>
        </row>
        <row r="7">
          <cell r="A7" t="str">
            <v>B002Y6JHES</v>
          </cell>
          <cell r="B7" t="str">
            <v>Bell Laboratories</v>
          </cell>
          <cell r="C7" t="str">
            <v>Bell</v>
          </cell>
          <cell r="D7" t="str">
            <v>Trapper Insect Trap (Great for Bed Bugs, Spiders, Cockroachs) - Includes 90 Traps</v>
          </cell>
          <cell r="E7" t="str">
            <v>https://www.amazon.com/dp/B002Y6JHES?psc=1</v>
          </cell>
          <cell r="F7" t="str">
            <v>Flying Insect Control</v>
          </cell>
          <cell r="G7" t="str">
            <v>Roach Traps</v>
          </cell>
          <cell r="H7" t="str">
            <v>Flying Insect Control - Roach Traps</v>
          </cell>
          <cell r="I7" t="str">
            <v>Cockroach</v>
          </cell>
        </row>
        <row r="8">
          <cell r="A8" t="str">
            <v>B0CSFDPTFS</v>
          </cell>
          <cell r="B8" t="str">
            <v>Jahy2Tech</v>
          </cell>
          <cell r="C8" t="str">
            <v>Jahy2Tech</v>
          </cell>
          <cell r="D8" t="str">
            <v>Bug Vacuum Catcher, Spider and Insect Catcher Traps, Rechargeable Bug Catcher Grabber with Brush Head &amp; Charging Cable &amp; Multifunctional Suction Nozzle for Stink Bug Moth Cockroach Spider Ant Black</v>
          </cell>
          <cell r="E8" t="str">
            <v>https://www.amazon.com/dp/B0CSFDPTFS?psc=1</v>
          </cell>
          <cell r="F8" t="str">
            <v>Flying Insect Control</v>
          </cell>
          <cell r="G8" t="str">
            <v>Roach Traps</v>
          </cell>
          <cell r="H8" t="str">
            <v>Flying Insect Control - Roach Traps</v>
          </cell>
          <cell r="I8" t="str">
            <v>Cockroach</v>
          </cell>
        </row>
        <row r="9">
          <cell r="A9" t="str">
            <v>B09WTV7KJH</v>
          </cell>
          <cell r="B9" t="str">
            <v>Bonide</v>
          </cell>
          <cell r="C9" t="str">
            <v>Bonide Products LLC</v>
          </cell>
          <cell r="D9" t="str">
            <v>Bonide Revenge Dual Action Bedbug &amp; Insect Room Fogger, Pack of 3 Long Lasting Protection Against Fleas, Ticks, Cockroachs, Ants</v>
          </cell>
          <cell r="E9" t="str">
            <v>https://www.amazon.com/dp/B09WTV7KJH</v>
          </cell>
          <cell r="F9" t="str">
            <v>Flying Insect Control</v>
          </cell>
          <cell r="G9" t="str">
            <v>Roach Traps</v>
          </cell>
          <cell r="H9" t="str">
            <v>Flying Insect Control - Roach Traps</v>
          </cell>
          <cell r="I9" t="str">
            <v>Cockroach</v>
          </cell>
        </row>
        <row r="10">
          <cell r="A10" t="str">
            <v>B00730QW70</v>
          </cell>
          <cell r="B10" t="str">
            <v>Syngenta</v>
          </cell>
          <cell r="C10" t="str">
            <v>SYNGENTA</v>
          </cell>
          <cell r="D10" t="str">
            <v>advion 383920 4 Tubes and 4 Plungers Cockroach German Roach Pest Control Inse, Brown</v>
          </cell>
          <cell r="E10" t="str">
            <v>https://www.amazon.com/dp/B00730QW70?psc=1</v>
          </cell>
          <cell r="F10" t="str">
            <v>Crawling Insect Control</v>
          </cell>
          <cell r="G10" t="str">
            <v>Roach Traps</v>
          </cell>
          <cell r="H10" t="str">
            <v>Crawling Insect Control - Roach Traps</v>
          </cell>
          <cell r="I10" t="str">
            <v>Cockroach</v>
          </cell>
        </row>
        <row r="11">
          <cell r="A11" t="str">
            <v>B0148W0WOE</v>
          </cell>
          <cell r="B11" t="str">
            <v>Syngenta</v>
          </cell>
          <cell r="C11" t="str">
            <v>Syngenta</v>
          </cell>
          <cell r="D11" t="str">
            <v>Syngenta 383920 Advion Cockroach Gel Bait 4 X 30 Gram Tubes Roach Control</v>
          </cell>
          <cell r="E11" t="str">
            <v>https://www.amazon.com/dp/B0148W0WOE?psc=1</v>
          </cell>
          <cell r="F11" t="str">
            <v>Crawling Insect Control</v>
          </cell>
          <cell r="G11" t="str">
            <v>Bait &amp; Poison</v>
          </cell>
          <cell r="H11" t="str">
            <v>Crawling Insect Control - Bait &amp; Poison</v>
          </cell>
          <cell r="I11" t="str">
            <v>Cockroach</v>
          </cell>
        </row>
        <row r="12">
          <cell r="A12" t="str">
            <v>B08HWHD58L</v>
          </cell>
          <cell r="B12" t="str">
            <v>Syngenta</v>
          </cell>
          <cell r="C12" t="str">
            <v>Syngenta</v>
          </cell>
          <cell r="D12" t="str">
            <v>advion 68663 Arena 12ct Bag Cockroach Bait Station, White</v>
          </cell>
          <cell r="E12" t="str">
            <v>https://www.amazon.com/dp/B08HWHD58L</v>
          </cell>
          <cell r="F12" t="str">
            <v>Crawling Insect Control</v>
          </cell>
          <cell r="G12" t="str">
            <v>Bait &amp; Poison</v>
          </cell>
          <cell r="H12" t="str">
            <v>Crawling Insect Control - Bait &amp; Poison</v>
          </cell>
          <cell r="I12" t="str">
            <v>Cockroach</v>
          </cell>
        </row>
        <row r="13">
          <cell r="A13" t="str">
            <v>B0DSM2NQ79</v>
          </cell>
          <cell r="B13" t="str">
            <v>Syngenta</v>
          </cell>
          <cell r="C13" t="str">
            <v>Syngenta</v>
          </cell>
          <cell r="D13" t="str">
            <v>Advion Cockroach Gel Bait, 4 Tubes x 30-Grams, 1 Plunger and 2 Tips, Indoor and Outdoor Use, Roach Killer Gel for American, German and Other Major Cockroach Species (2 Pack)</v>
          </cell>
          <cell r="E13" t="str">
            <v>https://www.amazon.com/dp/B0DSM2NQ79?psc=1</v>
          </cell>
          <cell r="F13" t="str">
            <v>Crawling Insect Control</v>
          </cell>
          <cell r="G13" t="str">
            <v>Bait &amp; Poison</v>
          </cell>
          <cell r="H13" t="str">
            <v>Crawling Insect Control - Bait &amp; Poison</v>
          </cell>
          <cell r="I13" t="str">
            <v>Cockroach</v>
          </cell>
        </row>
        <row r="14">
          <cell r="A14" t="str">
            <v>B0DSM5TLY3</v>
          </cell>
          <cell r="B14" t="str">
            <v>Syngenta</v>
          </cell>
          <cell r="C14" t="str">
            <v>SYNGENTA</v>
          </cell>
          <cell r="D14" t="str">
            <v>Advion Cockroach Gel Bait, 4 Tubes x 30-Grams, 4 Plunger and 4 Tips (Pack of 2)</v>
          </cell>
          <cell r="E14" t="str">
            <v>https://www.amazon.com/dp/B0DSM5TLY3?psc=1</v>
          </cell>
          <cell r="F14" t="str">
            <v>Crawling Insect Control</v>
          </cell>
          <cell r="G14" t="str">
            <v>Bait &amp; Poison</v>
          </cell>
          <cell r="H14" t="str">
            <v>Crawling Insect Control - Bait &amp; Poison</v>
          </cell>
          <cell r="I14" t="str">
            <v>Cockroach</v>
          </cell>
        </row>
        <row r="15">
          <cell r="A15" t="str">
            <v>B0CYJMJCQ9</v>
          </cell>
          <cell r="B15" t="str">
            <v>Syngenta</v>
          </cell>
          <cell r="C15" t="str">
            <v>Syngenta</v>
          </cell>
          <cell r="D15" t="str">
            <v>Advion Trio Cockroach Gel Bait, 4 Tubes x 30-Grams, 1 Plunger and 2 Tips, Formulated with 0.6% Indoxacarb, 0.1% Novaluron and 0.1% Pyriproxyfen, Ready-to-Use Roach Killer for Indoor and Outdoor Use</v>
          </cell>
          <cell r="E15" t="str">
            <v>https://www.amazon.com/dp/B0CYJMJCQ9</v>
          </cell>
          <cell r="F15" t="str">
            <v>Crawling Insect Control</v>
          </cell>
          <cell r="G15" t="str">
            <v>Bait &amp; Poison</v>
          </cell>
          <cell r="H15" t="str">
            <v>Crawling Insect Control - Bait &amp; Poison</v>
          </cell>
          <cell r="I15" t="str">
            <v>Cockroach</v>
          </cell>
        </row>
        <row r="16">
          <cell r="A16" t="str">
            <v>B074W94HBQ</v>
          </cell>
          <cell r="B16" t="str">
            <v>Syngenta</v>
          </cell>
          <cell r="C16" t="str">
            <v>Syngenta</v>
          </cell>
          <cell r="D16" t="str">
            <v>Syngenta - 61596 Evolution Cockroach Gel Bait, Size: 4 x 1.06 oz (30g), Various</v>
          </cell>
          <cell r="E16" t="str">
            <v>https://www.amazon.com/dp/B074W94HBQ</v>
          </cell>
          <cell r="F16" t="str">
            <v>Crawling Insect Control</v>
          </cell>
          <cell r="G16" t="str">
            <v>Bait &amp; Poison</v>
          </cell>
          <cell r="H16" t="str">
            <v>Crawling Insect Control - Bait &amp; Poison</v>
          </cell>
          <cell r="I16" t="str">
            <v>Cockroach</v>
          </cell>
        </row>
        <row r="17">
          <cell r="A17" t="str">
            <v>B0BZ3WVCVX</v>
          </cell>
          <cell r="B17" t="str">
            <v>Syngenta</v>
          </cell>
          <cell r="C17" t="str">
            <v>Syngenta</v>
          </cell>
          <cell r="D17" t="str">
            <v>61596 Evolution Cockroach Gel - 4 Tubes of Bait, Prevent Roach Infestations</v>
          </cell>
          <cell r="E17" t="str">
            <v>https://www.amazon.com/dp/B0BZ3WVCVX</v>
          </cell>
          <cell r="F17" t="str">
            <v>Crawling Insect Control</v>
          </cell>
          <cell r="G17" t="str">
            <v>Bait &amp; Poison</v>
          </cell>
          <cell r="H17" t="str">
            <v>Crawling Insect Control - Bait &amp; Poison</v>
          </cell>
          <cell r="I17" t="str">
            <v>Cockroach</v>
          </cell>
        </row>
        <row r="18">
          <cell r="A18" t="str">
            <v>B074W82TL6</v>
          </cell>
          <cell r="B18" t="str">
            <v>Syngenta</v>
          </cell>
          <cell r="C18" t="str">
            <v>Syngenta</v>
          </cell>
          <cell r="D18" t="str">
            <v>Syngenta 61597 Optigard Cockroach Gel</v>
          </cell>
          <cell r="E18" t="str">
            <v>https://www.amazon.com/dp/B074W82TL6?psc=1</v>
          </cell>
          <cell r="F18" t="str">
            <v>Crawling Insect Control</v>
          </cell>
          <cell r="G18" t="str">
            <v>Roach Traps</v>
          </cell>
          <cell r="H18" t="str">
            <v>Crawling Insect Control - Roach Traps</v>
          </cell>
          <cell r="I18" t="str">
            <v>Cockroach</v>
          </cell>
        </row>
        <row r="19">
          <cell r="A19" t="str">
            <v>B00HTE2IKK</v>
          </cell>
          <cell r="B19" t="str">
            <v>Syngenta</v>
          </cell>
          <cell r="C19" t="str">
            <v>Syngenta</v>
          </cell>
          <cell r="D19" t="str">
            <v>Advion Cockroach Gel Bait, 4 Tubes x 30-Grams, 1 Plunger and 2 Tips, German Roach Insect Pest Control, Indoor and Outdoor Use, Roach Killer Gel for American, German and Other Major Cockroach Species</v>
          </cell>
          <cell r="E19" t="str">
            <v>https://www.amazon.com/dp/B00HTE2IKK</v>
          </cell>
          <cell r="F19" t="str">
            <v>Flying Insect Control</v>
          </cell>
          <cell r="G19" t="str">
            <v>Bait &amp; Poison</v>
          </cell>
          <cell r="H19" t="str">
            <v>Flying Insect Control - Bait &amp; Poison</v>
          </cell>
          <cell r="I19" t="str">
            <v>Cockroach</v>
          </cell>
        </row>
        <row r="20">
          <cell r="A20" t="str">
            <v>B0GXGR6PP2</v>
          </cell>
          <cell r="B20" t="str">
            <v>Syngenta</v>
          </cell>
          <cell r="C20" t="str">
            <v>Syngenta</v>
          </cell>
          <cell r="D20" t="str">
            <v>Syngenta Vanecto Cockroach Gel Bait – Roach Gel with PLINAZOLIN® Technology (Group 30) – Roach Killer Indoor Infestation Control for German and American Cockroachs - 4 x 1.06 oz</v>
          </cell>
          <cell r="E20" t="str">
            <v>https://www.amazon.com/dp/B0GXGR6PP2</v>
          </cell>
          <cell r="F20" t="str">
            <v>Crawling Insect Control</v>
          </cell>
          <cell r="G20" t="str">
            <v>Bait &amp; Poison</v>
          </cell>
          <cell r="H20" t="str">
            <v>Crawling Insect Control - Bait &amp; Poison</v>
          </cell>
          <cell r="I20" t="str">
            <v>Cockroach</v>
          </cell>
        </row>
        <row r="21">
          <cell r="A21" t="str">
            <v>B00C4TS86I</v>
          </cell>
          <cell r="B21" t="str">
            <v>Ortho</v>
          </cell>
          <cell r="C21" t="str">
            <v>The Scotts Company LLC</v>
          </cell>
          <cell r="D21" t="str">
            <v>Ortho Home Defense MAX Insect Killer for Indoor &amp; Perimeter1 with Comfort Wand - Kills Ants, Cockroachs, Spiders, Fleas, Ticks &amp; Other Listed Bugs, Creates a Bug Barrier, 1.1 gal.</v>
          </cell>
          <cell r="E21" t="str">
            <v>https://www.amazon.com/dp/B00C4TS86I</v>
          </cell>
          <cell r="F21" t="str">
            <v>Flying Insect Control</v>
          </cell>
          <cell r="G21" t="str">
            <v>Roach Traps</v>
          </cell>
          <cell r="H21" t="str">
            <v>Flying Insect Control - Roach Traps</v>
          </cell>
          <cell r="I21" t="str">
            <v>Cockroach</v>
          </cell>
        </row>
        <row r="22">
          <cell r="A22" t="str">
            <v>B0B72GKJM5</v>
          </cell>
          <cell r="B22" t="str">
            <v>Scotts</v>
          </cell>
          <cell r="C22" t="str">
            <v>Scotts MiracleGro</v>
          </cell>
          <cell r="D22" t="str">
            <v>Scotts Turf Builder Grass Seed Sun &amp; Shade Mix, 5.6 lbs.</v>
          </cell>
          <cell r="E22" t="str">
            <v>https://www.amazon.com/dp/B0B72GKJM5?psc=1</v>
          </cell>
          <cell r="F22" t="str">
            <v>Grass Seed</v>
          </cell>
          <cell r="G22" t="str">
            <v>Sun &amp; Shade Mix</v>
          </cell>
          <cell r="H22" t="str">
            <v>Grass Seed - Sun &amp; Shade Mix</v>
          </cell>
          <cell r="I22" t="str">
            <v>Grass Seed</v>
          </cell>
        </row>
        <row r="23">
          <cell r="A23" t="str">
            <v>B0B9QBRDJF</v>
          </cell>
          <cell r="B23" t="str">
            <v>Scotts</v>
          </cell>
          <cell r="C23" t="str">
            <v>The Scotts Company LLC</v>
          </cell>
          <cell r="D23" t="str">
            <v>Scotts Turf Builder Grass Seed Kentucky Bluegrass Mix, 2.4 lbs.</v>
          </cell>
          <cell r="E23" t="str">
            <v>https://www.amazon.com/dp/B0B9QBRDJF?psc=1</v>
          </cell>
          <cell r="F23" t="str">
            <v>Grass Seed</v>
          </cell>
          <cell r="G23" t="str">
            <v>Kentucky Bluegrass</v>
          </cell>
          <cell r="H23" t="str">
            <v>Grass Seed - Kentucky Bluegrass</v>
          </cell>
          <cell r="I23" t="str">
            <v>Grass Seed</v>
          </cell>
        </row>
        <row r="24">
          <cell r="A24" t="str">
            <v>B0B72BDSCJ</v>
          </cell>
          <cell r="B24" t="str">
            <v>Scotts</v>
          </cell>
          <cell r="C24" t="str">
            <v>Scotts MiracleGro</v>
          </cell>
          <cell r="D24" t="str">
            <v>Scotts Turf Builder Grass Seed Sun &amp; Shade Mix, 2.4 lbs.</v>
          </cell>
          <cell r="E24" t="str">
            <v>https://www.amazon.com/dp/B0B72BDSCJ?psc=1</v>
          </cell>
          <cell r="F24" t="str">
            <v>Grass Seed</v>
          </cell>
          <cell r="G24" t="str">
            <v>Sun &amp; Shade Mix</v>
          </cell>
          <cell r="H24" t="str">
            <v>Grass Seed - Sun &amp; Shade Mix</v>
          </cell>
          <cell r="I24" t="str">
            <v>Grass Seed</v>
          </cell>
        </row>
        <row r="25">
          <cell r="A25" t="str">
            <v>B0B9PYL5CJ</v>
          </cell>
          <cell r="B25" t="str">
            <v>Scotts</v>
          </cell>
          <cell r="C25" t="str">
            <v>The Scotts Company LLC</v>
          </cell>
          <cell r="D25" t="str">
            <v>Scotts Turf Builder Grass Seed Tall Fescue Mix, 5.6 lbs.</v>
          </cell>
          <cell r="E25" t="str">
            <v>https://www.amazon.com/dp/B0B9PYL5CJ?psc=1</v>
          </cell>
          <cell r="F25" t="str">
            <v>Grass Seed</v>
          </cell>
          <cell r="G25" t="str">
            <v>Tall Fescue</v>
          </cell>
          <cell r="H25" t="str">
            <v>Grass Seed - Tall Fescue</v>
          </cell>
          <cell r="I25" t="str">
            <v>Grass Seed</v>
          </cell>
        </row>
        <row r="26">
          <cell r="A26" t="str">
            <v>B0B9Q1MXKW</v>
          </cell>
          <cell r="B26" t="str">
            <v>Scotts</v>
          </cell>
          <cell r="C26" t="str">
            <v>The Scotts Company LLC</v>
          </cell>
          <cell r="D26" t="str">
            <v>Scotts Turf Builder Grass Seed Kentucky Bluegrass Mix, 5.6 lbs.</v>
          </cell>
          <cell r="E26" t="str">
            <v>https://www.amazon.com/dp/B0B9Q1MXKW?psc=1</v>
          </cell>
          <cell r="F26" t="str">
            <v>Grass Seed</v>
          </cell>
          <cell r="G26" t="str">
            <v>Kentucky Bluegrass</v>
          </cell>
          <cell r="H26" t="str">
            <v>Grass Seed - Kentucky Bluegrass</v>
          </cell>
          <cell r="I26" t="str">
            <v>Grass Seed</v>
          </cell>
        </row>
        <row r="27">
          <cell r="A27" t="str">
            <v>B0DSGGP4B7</v>
          </cell>
          <cell r="B27" t="str">
            <v>Scotts</v>
          </cell>
          <cell r="C27" t="str">
            <v>The Scotts Company</v>
          </cell>
          <cell r="D27" t="str">
            <v>O.M. Scott &amp; Sons Tall Fescue Blend Grass Seed, 8 lbs.</v>
          </cell>
          <cell r="E27" t="str">
            <v>https://www.amazon.com/dp/B0DSGGP4B7?psc=1</v>
          </cell>
          <cell r="F27" t="str">
            <v>Grass Seed</v>
          </cell>
          <cell r="G27" t="str">
            <v>Tall Fescue</v>
          </cell>
          <cell r="H27" t="str">
            <v>Grass Seed - Tall Fescue</v>
          </cell>
          <cell r="I27" t="str">
            <v>Grass Seed</v>
          </cell>
        </row>
        <row r="28">
          <cell r="A28" t="str">
            <v>B0FNCM8V8S</v>
          </cell>
          <cell r="B28" t="str">
            <v>Scotts</v>
          </cell>
          <cell r="C28" t="str">
            <v>The Scotts Company LLC</v>
          </cell>
          <cell r="D28" t="str">
            <v>Scotts Kentucky 31 Grass Seed Mix, 20 lbs.</v>
          </cell>
          <cell r="E28" t="str">
            <v>https://www.amazon.com/dp/B0FNCM8V8S?psc=1</v>
          </cell>
          <cell r="F28" t="str">
            <v>Grass Seed</v>
          </cell>
          <cell r="G28" t="str">
            <v>Kentucky Bluegrass</v>
          </cell>
          <cell r="H28" t="str">
            <v>Grass Seed - Kentucky Bluegrass</v>
          </cell>
          <cell r="I28" t="str">
            <v>Grass Seed</v>
          </cell>
        </row>
        <row r="29">
          <cell r="A29" t="str">
            <v>B0CZSFGKMW</v>
          </cell>
          <cell r="B29" t="str">
            <v>Scotts</v>
          </cell>
          <cell r="C29" t="str">
            <v>Scotts</v>
          </cell>
          <cell r="D29" t="str">
            <v>Scotts Turf Builder Grass Seed Fall Mix, 2.4 lbs.</v>
          </cell>
          <cell r="E29" t="str">
            <v>https://www.amazon.com/dp/B0CZSFGKMW?psc=1</v>
          </cell>
          <cell r="F29" t="str">
            <v>Grass Seed</v>
          </cell>
          <cell r="G29" t="str">
            <v>Other</v>
          </cell>
          <cell r="H29" t="str">
            <v>Grass Seed - Other</v>
          </cell>
          <cell r="I29" t="str">
            <v>Grass Seed</v>
          </cell>
        </row>
        <row r="30">
          <cell r="A30" t="str">
            <v>B0DSGH48Y8</v>
          </cell>
          <cell r="B30" t="str">
            <v>Scotts</v>
          </cell>
          <cell r="C30" t="str">
            <v>The Scotts Company</v>
          </cell>
          <cell r="D30" t="str">
            <v>O.M. Scott &amp; Sons Bermudagrass Grass Seed, 5 lbs.</v>
          </cell>
          <cell r="E30" t="str">
            <v>https://www.amazon.com/dp/B0DSGH48Y8?psc=1</v>
          </cell>
          <cell r="F30" t="str">
            <v>Grass Seed</v>
          </cell>
          <cell r="G30" t="str">
            <v>Bermudagrass</v>
          </cell>
          <cell r="H30" t="str">
            <v>Grass Seed - Bermudagrass</v>
          </cell>
          <cell r="I30" t="str">
            <v>Grass Seed</v>
          </cell>
        </row>
        <row r="31">
          <cell r="A31" t="str">
            <v>B00ARYRY1W</v>
          </cell>
          <cell r="B31" t="str">
            <v>Scotts</v>
          </cell>
          <cell r="C31" t="str">
            <v>The Scotts Company LLC</v>
          </cell>
          <cell r="D31" t="str">
            <v>Scotts Turf Builder Grass Seed Zoysia Grass Seed and Mulch, 5 lb. - Full Sun and Light Shade - Thrives in Heat &amp; Drought - Grows a Tough, Durable, Low-Maintenance Lawn - Seeds up to 2,000 sq. ft.</v>
          </cell>
          <cell r="E31" t="str">
            <v>https://www.amazon.com/dp/B00ARYRY1W?psc=1</v>
          </cell>
          <cell r="F31" t="str">
            <v>Grass Seed</v>
          </cell>
          <cell r="G31" t="str">
            <v>Zoysia</v>
          </cell>
          <cell r="H31" t="str">
            <v>Grass Seed - Zoysia</v>
          </cell>
          <cell r="I31" t="str">
            <v>Grass Seed</v>
          </cell>
        </row>
        <row r="32">
          <cell r="A32" t="str">
            <v>B0B9Q8LW92</v>
          </cell>
          <cell r="B32" t="str">
            <v>Scotts</v>
          </cell>
          <cell r="C32" t="str">
            <v>The Scotts Company LLC</v>
          </cell>
          <cell r="D32" t="str">
            <v>Scotts Turf Builder Grass Seed Bermudagrass, 1 lb.</v>
          </cell>
          <cell r="E32" t="str">
            <v>https://www.amazon.com/dp/B0B9Q8LW92?psc=1</v>
          </cell>
          <cell r="F32" t="str">
            <v>Grass Seed</v>
          </cell>
          <cell r="G32" t="str">
            <v>Bermudagrass</v>
          </cell>
          <cell r="H32" t="str">
            <v>Grass Seed - Bermudagrass</v>
          </cell>
          <cell r="I32" t="str">
            <v>Grass Seed</v>
          </cell>
        </row>
        <row r="33">
          <cell r="A33" t="str">
            <v>B0D96VRSJB</v>
          </cell>
          <cell r="B33" t="str">
            <v>Scotts</v>
          </cell>
          <cell r="C33" t="str">
            <v>Scotts</v>
          </cell>
          <cell r="D33" t="str">
            <v>Scotts Professional Turfgrass Seed Sun &amp; Shade Mix, 50 lbs.</v>
          </cell>
          <cell r="E33" t="str">
            <v>https://www.amazon.com/dp/B0D96VRSJB?psc=1</v>
          </cell>
          <cell r="F33" t="str">
            <v>Grass Seed</v>
          </cell>
          <cell r="G33" t="str">
            <v>Sun &amp; Shade Mix</v>
          </cell>
          <cell r="H33" t="str">
            <v>Grass Seed - Sun &amp; Shade Mix</v>
          </cell>
          <cell r="I33" t="str">
            <v>Grass Seed</v>
          </cell>
        </row>
        <row r="34">
          <cell r="A34" t="str">
            <v>B0B728996W</v>
          </cell>
          <cell r="B34" t="str">
            <v>Scotts</v>
          </cell>
          <cell r="C34" t="str">
            <v>The Scotts Company LLC</v>
          </cell>
          <cell r="D34" t="str">
            <v>Scotts Turf Builder Grass Seed Tall Fescue Mix, 16 lbs.</v>
          </cell>
          <cell r="E34" t="str">
            <v>https://www.amazon.com/dp/B0B728996W?psc=1</v>
          </cell>
          <cell r="F34" t="str">
            <v>Grass Seed</v>
          </cell>
          <cell r="G34" t="str">
            <v>Tall Fescue</v>
          </cell>
          <cell r="H34" t="str">
            <v>Grass Seed - Tall Fescue</v>
          </cell>
          <cell r="I34" t="str">
            <v>Grass Seed</v>
          </cell>
        </row>
        <row r="35">
          <cell r="A35" t="str">
            <v>B0CZSD34RB</v>
          </cell>
          <cell r="B35" t="str">
            <v>Scotts</v>
          </cell>
          <cell r="C35" t="str">
            <v>Scotts</v>
          </cell>
          <cell r="D35" t="str">
            <v>Scotts Turf Builder Grass Seed Fall Mix, 5.6 lbs.</v>
          </cell>
          <cell r="E35" t="str">
            <v>https://www.amazon.com/dp/B0CZSD34RB?psc=1</v>
          </cell>
          <cell r="F35" t="str">
            <v>Grass Seed</v>
          </cell>
          <cell r="G35" t="str">
            <v>Other</v>
          </cell>
          <cell r="H35" t="str">
            <v>Grass Seed - Other</v>
          </cell>
          <cell r="I35" t="str">
            <v>Grass Seed</v>
          </cell>
        </row>
        <row r="36">
          <cell r="A36" t="str">
            <v>B0FNCJXFV3</v>
          </cell>
          <cell r="B36" t="str">
            <v>Scotts</v>
          </cell>
          <cell r="C36" t="str">
            <v>The Scotts Company LLC</v>
          </cell>
          <cell r="D36" t="str">
            <v>Scotts Kentucky 31 Grass Seed Mix, 40 lbs.</v>
          </cell>
          <cell r="E36" t="str">
            <v>https://www.amazon.com/dp/B0FNCJXFV3?psc=1</v>
          </cell>
          <cell r="F36" t="str">
            <v>Grass Seed</v>
          </cell>
          <cell r="G36" t="str">
            <v>Kentucky Bluegrass</v>
          </cell>
          <cell r="H36" t="str">
            <v>Grass Seed - Kentucky Bluegrass</v>
          </cell>
          <cell r="I36" t="str">
            <v>Grass Seed</v>
          </cell>
        </row>
        <row r="37">
          <cell r="A37" t="str">
            <v>B0DNRFWG7Q</v>
          </cell>
          <cell r="B37" t="str">
            <v>Scotts</v>
          </cell>
          <cell r="C37" t="str">
            <v>Scotts</v>
          </cell>
          <cell r="D37" t="str">
            <v>Scotts Grass Seed Drought Tolerant Mix, 4 lbs.</v>
          </cell>
          <cell r="E37" t="str">
            <v>https://www.amazon.com/dp/B0DNRFWG7Q?psc=1</v>
          </cell>
          <cell r="F37" t="str">
            <v>Crawling Insect Control</v>
          </cell>
          <cell r="G37" t="str">
            <v>Ant Traps</v>
          </cell>
          <cell r="H37" t="str">
            <v>Crawling Insect Control - Ant Traps</v>
          </cell>
          <cell r="I37" t="str">
            <v>Grass Seed</v>
          </cell>
        </row>
        <row r="38">
          <cell r="A38" t="str">
            <v>B0B72BDF86</v>
          </cell>
          <cell r="B38" t="str">
            <v>Scotts</v>
          </cell>
          <cell r="C38" t="str">
            <v>The Scotts Company LLC</v>
          </cell>
          <cell r="D38" t="str">
            <v>Scotts Turf Builder Grass Seed Bermudagrass, 4 lbs.</v>
          </cell>
          <cell r="E38" t="str">
            <v>https://www.amazon.com/dp/B0B72BDF86?psc=1</v>
          </cell>
          <cell r="F38" t="str">
            <v>Grass Seed</v>
          </cell>
          <cell r="G38" t="str">
            <v>Bermudagrass</v>
          </cell>
          <cell r="H38" t="str">
            <v>Grass Seed - Bermudagrass</v>
          </cell>
          <cell r="I38" t="str">
            <v>Grass Seed</v>
          </cell>
        </row>
        <row r="39">
          <cell r="A39" t="str">
            <v>B0D96VL94N</v>
          </cell>
          <cell r="B39" t="str">
            <v>Scotts</v>
          </cell>
          <cell r="C39" t="str">
            <v>Scotts</v>
          </cell>
          <cell r="D39" t="str">
            <v>Scotts Professional Turfgrass Seed Tall Fescue Mix, 50 lbs.</v>
          </cell>
          <cell r="E39" t="str">
            <v>https://www.amazon.com/dp/B0D96VL94N?psc=1</v>
          </cell>
          <cell r="F39" t="str">
            <v>Grass Seed</v>
          </cell>
          <cell r="G39" t="str">
            <v>Tall Fescue</v>
          </cell>
          <cell r="H39" t="str">
            <v>Grass Seed - Tall Fescue</v>
          </cell>
          <cell r="I39" t="str">
            <v>Grass Seed</v>
          </cell>
        </row>
        <row r="40">
          <cell r="A40" t="str">
            <v>B0B9PS6J6T</v>
          </cell>
          <cell r="B40" t="str">
            <v>Scotts</v>
          </cell>
          <cell r="C40" t="str">
            <v>The Scotts Company LLC</v>
          </cell>
          <cell r="D40" t="str">
            <v>Scotts Turf Builder Grass Seed Bermudagrass, 8 lbs.</v>
          </cell>
          <cell r="E40" t="str">
            <v>https://www.amazon.com/dp/B0B9PS6J6T?psc=1</v>
          </cell>
          <cell r="F40" t="str">
            <v>Grass Seed</v>
          </cell>
          <cell r="G40" t="str">
            <v>Bermudagrass</v>
          </cell>
          <cell r="H40" t="str">
            <v>Grass Seed - Bermudagrass</v>
          </cell>
          <cell r="I40" t="str">
            <v>Grass Seed</v>
          </cell>
        </row>
        <row r="41">
          <cell r="A41" t="str">
            <v>B0DNRGGDD9</v>
          </cell>
          <cell r="B41" t="str">
            <v>Scotts</v>
          </cell>
          <cell r="C41" t="str">
            <v>Scotts</v>
          </cell>
          <cell r="D41" t="str">
            <v>Scotts Grass Seed Drought Tolerant Mix, 10 lbs.</v>
          </cell>
          <cell r="E41" t="str">
            <v>https://www.amazon.com/dp/B0DNRGGDD9?psc=1</v>
          </cell>
          <cell r="F41" t="str">
            <v>Crawling Insect Control</v>
          </cell>
          <cell r="G41" t="str">
            <v>Ant Traps</v>
          </cell>
          <cell r="H41" t="str">
            <v>Crawling Insect Control - Ant Traps</v>
          </cell>
          <cell r="I41" t="str">
            <v>Grass Seed</v>
          </cell>
        </row>
        <row r="42">
          <cell r="A42" t="str">
            <v>B0B6CY8FLH</v>
          </cell>
          <cell r="B42" t="str">
            <v>Scotts</v>
          </cell>
          <cell r="C42" t="str">
            <v>The Scotts Company LLC</v>
          </cell>
          <cell r="D42" t="str">
            <v>Scotts Turf Builder Grass Seed Sunny Mix, 2.4 lbs.</v>
          </cell>
          <cell r="E42" t="str">
            <v>https://www.amazon.com/dp/B0B6CY8FLH?psc=1</v>
          </cell>
          <cell r="F42" t="str">
            <v>Grass Seed</v>
          </cell>
          <cell r="G42" t="str">
            <v>Other</v>
          </cell>
          <cell r="H42" t="str">
            <v>Grass Seed - Other</v>
          </cell>
          <cell r="I42" t="str">
            <v>Grass Seed</v>
          </cell>
        </row>
        <row r="43">
          <cell r="A43" t="str">
            <v>B0B72FGY27</v>
          </cell>
          <cell r="B43" t="str">
            <v>Scotts</v>
          </cell>
          <cell r="C43" t="str">
            <v>The Scotts Company LLC</v>
          </cell>
          <cell r="D43" t="str">
            <v>Scotts Turf Builder Grass Seed Tall Fescue Mix, 32 lbs.</v>
          </cell>
          <cell r="E43" t="str">
            <v>https://www.amazon.com/dp/B0B72FGY27?psc=1</v>
          </cell>
          <cell r="F43" t="str">
            <v>Grass Seed</v>
          </cell>
          <cell r="G43" t="str">
            <v>Tall Fescue</v>
          </cell>
          <cell r="H43" t="str">
            <v>Grass Seed - Tall Fescue</v>
          </cell>
          <cell r="I43" t="str">
            <v>Grass Seed</v>
          </cell>
        </row>
        <row r="44">
          <cell r="A44" t="str">
            <v>B0B9PWX1TN</v>
          </cell>
          <cell r="B44" t="str">
            <v>Scotts</v>
          </cell>
          <cell r="C44" t="str">
            <v>The Scotts Company LLC</v>
          </cell>
          <cell r="D44" t="str">
            <v>Scotts Turf Builder Grass Seed Tall Fescue Mix, 2.4 lbs.</v>
          </cell>
          <cell r="E44" t="str">
            <v>https://www.amazon.com/dp/B0B9PWX1TN?psc=1</v>
          </cell>
          <cell r="F44" t="str">
            <v>Grass Seed</v>
          </cell>
          <cell r="G44" t="str">
            <v>Tall Fescue</v>
          </cell>
          <cell r="H44" t="str">
            <v>Grass Seed - Tall Fescue</v>
          </cell>
          <cell r="I44" t="str">
            <v>Grass Seed</v>
          </cell>
        </row>
        <row r="45">
          <cell r="A45" t="str">
            <v>B0D2PCPZ7S</v>
          </cell>
          <cell r="B45" t="str">
            <v>Scotts</v>
          </cell>
          <cell r="C45" t="str">
            <v>Scotts</v>
          </cell>
          <cell r="D45" t="str">
            <v>Scotts Turf Builder Grass Seed Fall Mix, 16 lbs.</v>
          </cell>
          <cell r="E45" t="str">
            <v>https://www.amazon.com/dp/B0D2PCPZ7S?psc=1</v>
          </cell>
          <cell r="F45" t="str">
            <v>Grass Seed</v>
          </cell>
          <cell r="G45" t="str">
            <v>Other</v>
          </cell>
          <cell r="H45" t="str">
            <v>Grass Seed - Other</v>
          </cell>
          <cell r="I45" t="str">
            <v>Grass Seed</v>
          </cell>
        </row>
        <row r="46">
          <cell r="A46" t="str">
            <v>B0B9Q23CWX</v>
          </cell>
          <cell r="B46" t="str">
            <v>Scotts</v>
          </cell>
          <cell r="C46" t="str">
            <v>The Scotts Company LLC</v>
          </cell>
          <cell r="D46" t="str">
            <v>Scotts Turf Builder Grass Seed Perennial Ryegrass Mix, 5.6 lbs.</v>
          </cell>
          <cell r="E46" t="str">
            <v>https://www.amazon.com/dp/B0B9Q23CWX?psc=1</v>
          </cell>
          <cell r="F46" t="str">
            <v>Grass Seed</v>
          </cell>
          <cell r="G46" t="str">
            <v>Perennial Ryegrass</v>
          </cell>
          <cell r="H46" t="str">
            <v>Grass Seed - Perennial Ryegrass</v>
          </cell>
          <cell r="I46" t="str">
            <v>Grass Seed</v>
          </cell>
        </row>
        <row r="47">
          <cell r="A47" t="str">
            <v>B0BDJJY49Z</v>
          </cell>
          <cell r="B47" t="str">
            <v>Scotts</v>
          </cell>
          <cell r="C47" t="str">
            <v>The Scotts Company LLC</v>
          </cell>
          <cell r="D47" t="str">
            <v>Scotts Turf Builder Grass Seed Dense Shade Mix, 5.6 lbs.</v>
          </cell>
          <cell r="E47" t="str">
            <v>https://www.amazon.com/dp/B0BDJJY49Z?psc=1</v>
          </cell>
          <cell r="F47" t="str">
            <v>Grass Seed</v>
          </cell>
          <cell r="G47" t="str">
            <v>Dense Shade Mix</v>
          </cell>
          <cell r="H47" t="str">
            <v>Grass Seed - Dense Shade Mix</v>
          </cell>
          <cell r="I47" t="str">
            <v>Grass Seed</v>
          </cell>
        </row>
        <row r="48">
          <cell r="A48" t="str">
            <v>B0GFXY17XW</v>
          </cell>
          <cell r="B48" t="str">
            <v>Scotts</v>
          </cell>
          <cell r="C48" t="str">
            <v>The Scotts Company LLC</v>
          </cell>
          <cell r="D48" t="str">
            <v>Scotts Kentucky 31 Grass Seed Mix, 7 lbs.</v>
          </cell>
          <cell r="E48" t="str">
            <v>https://www.amazon.com/dp/B0GFXY17XW?psc=1</v>
          </cell>
          <cell r="F48" t="str">
            <v>Grass Seed</v>
          </cell>
          <cell r="G48" t="str">
            <v>Kentucky Bluegrass</v>
          </cell>
          <cell r="H48" t="str">
            <v>Grass Seed - Kentucky Bluegrass</v>
          </cell>
          <cell r="I48" t="str">
            <v>Grass Seed</v>
          </cell>
        </row>
        <row r="49">
          <cell r="A49" t="str">
            <v>B0GLJY3CWH</v>
          </cell>
          <cell r="B49" t="str">
            <v>Scotts</v>
          </cell>
          <cell r="C49" t="str">
            <v>The Scotts Company LLC</v>
          </cell>
          <cell r="D49" t="str">
            <v>Scotts Turf Builder Grass Seed Landscaper's Mix, 7 lbs.</v>
          </cell>
          <cell r="E49" t="str">
            <v>https://www.amazon.com/dp/B0GLJY3CWH?psc=1</v>
          </cell>
          <cell r="F49" t="str">
            <v>Grass Seed</v>
          </cell>
          <cell r="G49" t="str">
            <v>Other</v>
          </cell>
          <cell r="H49" t="str">
            <v>Grass Seed - Other</v>
          </cell>
          <cell r="I49" t="str">
            <v>Grass Seed</v>
          </cell>
        </row>
        <row r="50">
          <cell r="A50" t="str">
            <v>B08KGYRHG1</v>
          </cell>
          <cell r="B50" t="str">
            <v>Scotts</v>
          </cell>
          <cell r="C50" t="str">
            <v>The Scotts Company LLC</v>
          </cell>
          <cell r="D50" t="str">
            <v>Fundamentals by Scotts Grass Seed Perennial Ryegrass Mix, 3 lbs.</v>
          </cell>
          <cell r="E50" t="str">
            <v>https://www.amazon.com/dp/B08KGYRHG1?psc=1</v>
          </cell>
          <cell r="F50" t="str">
            <v>Grass Seed</v>
          </cell>
          <cell r="G50" t="str">
            <v>Perennial Ryegrass</v>
          </cell>
          <cell r="H50" t="str">
            <v>Grass Seed - Perennial Ryegrass</v>
          </cell>
          <cell r="I50" t="str">
            <v>Grass Seed</v>
          </cell>
        </row>
        <row r="51">
          <cell r="A51" t="str">
            <v>B0B9Q6SRZK</v>
          </cell>
          <cell r="B51" t="str">
            <v>Scotts</v>
          </cell>
          <cell r="C51" t="str">
            <v>The Scotts Company LLC</v>
          </cell>
          <cell r="D51" t="str">
            <v>Scotts Turf Builder Grass Seed Heat-Tolerant Blue Mix, 16 lbs.</v>
          </cell>
          <cell r="E51" t="str">
            <v>https://www.amazon.com/dp/B0B9Q6SRZK?psc=1</v>
          </cell>
          <cell r="F51" t="str">
            <v>Crawling Insect Control</v>
          </cell>
          <cell r="G51" t="str">
            <v>Ant Traps</v>
          </cell>
          <cell r="H51" t="str">
            <v>Crawling Insect Control - Ant Traps</v>
          </cell>
          <cell r="I51" t="str">
            <v>Grass Seed</v>
          </cell>
        </row>
        <row r="52">
          <cell r="A52" t="str">
            <v>B0B9PWMJFD</v>
          </cell>
          <cell r="B52" t="str">
            <v>Scotts</v>
          </cell>
          <cell r="C52" t="str">
            <v>The Scotts Company LLC</v>
          </cell>
          <cell r="D52" t="str">
            <v>Scotts Turf Builder Grass Seed Heat-Tolerant Blue Mix, 5.6 lbs.</v>
          </cell>
          <cell r="E52" t="str">
            <v>https://www.amazon.com/dp/B0B9PWMJFD?psc=1</v>
          </cell>
          <cell r="F52" t="str">
            <v>Crawling Insect Control</v>
          </cell>
          <cell r="G52" t="str">
            <v>Ant Traps</v>
          </cell>
          <cell r="H52" t="str">
            <v>Crawling Insect Control - Ant Traps</v>
          </cell>
          <cell r="I52" t="str">
            <v>Grass Seed</v>
          </cell>
        </row>
        <row r="53">
          <cell r="A53" t="str">
            <v>B00ARYORQC</v>
          </cell>
          <cell r="B53" t="str">
            <v>Scotts</v>
          </cell>
          <cell r="C53" t="str">
            <v>The Scotts Company LLC</v>
          </cell>
          <cell r="D53" t="str">
            <v>Scotts Turf Builder Grass Seed Centipede Grass Seed &amp; Mulch, 5 lbs.</v>
          </cell>
          <cell r="E53" t="str">
            <v>https://www.amazon.com/dp/B00ARYORQC?psc=1</v>
          </cell>
          <cell r="F53" t="str">
            <v>Crawling Insect Control</v>
          </cell>
          <cell r="G53" t="str">
            <v>Centipede Grass</v>
          </cell>
          <cell r="H53" t="str">
            <v>Crawling Insect Control - Centipede Grass</v>
          </cell>
          <cell r="I53" t="str">
            <v>Grass Seed</v>
          </cell>
        </row>
        <row r="54">
          <cell r="A54" t="str">
            <v>B002RBB0HC</v>
          </cell>
          <cell r="B54" t="str">
            <v>Scotts</v>
          </cell>
          <cell r="C54" t="str">
            <v>The Scotts Company LLC</v>
          </cell>
          <cell r="D54" t="str">
            <v>Scotts Turf Builder Grass Seed Quality All-Purpose Mix, 20 lbs.</v>
          </cell>
          <cell r="E54" t="str">
            <v>https://www.amazon.com/dp/B002RBB0HC</v>
          </cell>
          <cell r="F54" t="str">
            <v>Grass Seed</v>
          </cell>
          <cell r="G54" t="str">
            <v>Other</v>
          </cell>
          <cell r="H54" t="str">
            <v>Grass Seed - Other</v>
          </cell>
          <cell r="I54" t="str">
            <v>Grass Seed</v>
          </cell>
        </row>
        <row r="55">
          <cell r="A55" t="str">
            <v>B0B9PSR96K</v>
          </cell>
          <cell r="B55" t="str">
            <v>Scotts</v>
          </cell>
          <cell r="C55" t="str">
            <v>The Scotts Company LLC</v>
          </cell>
          <cell r="D55" t="str">
            <v>Scotts Turf Builder Grass Seed Southern Gold Mix, 2.4 lbs.</v>
          </cell>
          <cell r="E55" t="str">
            <v>https://www.amazon.com/dp/B0B9PSR96K?psc=1</v>
          </cell>
          <cell r="F55" t="str">
            <v>Grass Seed</v>
          </cell>
          <cell r="G55" t="str">
            <v>Southern Gold Mix</v>
          </cell>
          <cell r="H55" t="str">
            <v>Grass Seed - Southern Gold Mix</v>
          </cell>
          <cell r="I55" t="str">
            <v>Grass Seed</v>
          </cell>
        </row>
        <row r="56">
          <cell r="A56" t="str">
            <v>B0B9PNVDGZ</v>
          </cell>
          <cell r="B56" t="str">
            <v>Scotts</v>
          </cell>
          <cell r="C56" t="str">
            <v>The Scotts Company LLC</v>
          </cell>
          <cell r="D56" t="str">
            <v>Scotts Turf Builder Grass Seed Southern Gold Mix, 16 lbs.</v>
          </cell>
          <cell r="E56" t="str">
            <v>https://www.amazon.com/dp/B0B9PNVDGZ?psc=1</v>
          </cell>
          <cell r="F56" t="str">
            <v>Grass Seed</v>
          </cell>
          <cell r="G56" t="str">
            <v>Southern Gold Mix</v>
          </cell>
          <cell r="H56" t="str">
            <v>Grass Seed - Southern Gold Mix</v>
          </cell>
          <cell r="I56" t="str">
            <v>Grass Seed</v>
          </cell>
        </row>
        <row r="57">
          <cell r="A57" t="str">
            <v>B0B9Q6T778</v>
          </cell>
          <cell r="B57" t="str">
            <v>Scotts</v>
          </cell>
          <cell r="C57" t="str">
            <v>The Scotts Company LLC</v>
          </cell>
          <cell r="D57" t="str">
            <v>Scotts Turf Builder Grass Seed Perennial Ryegrass Mix, 2.4 lbs.</v>
          </cell>
          <cell r="E57" t="str">
            <v>https://www.amazon.com/dp/B0B9Q6T778?psc=1</v>
          </cell>
          <cell r="F57" t="str">
            <v>Grass Seed</v>
          </cell>
          <cell r="G57" t="str">
            <v>Perennial Ryegrass</v>
          </cell>
          <cell r="H57" t="str">
            <v>Grass Seed - Perennial Ryegrass</v>
          </cell>
          <cell r="I57" t="str">
            <v>Grass Seed</v>
          </cell>
        </row>
        <row r="58">
          <cell r="A58" t="str">
            <v>B0B9PS48W5</v>
          </cell>
          <cell r="B58" t="str">
            <v>Scotts</v>
          </cell>
          <cell r="C58" t="str">
            <v>The Scotts Company LLC</v>
          </cell>
          <cell r="D58" t="str">
            <v>Scotts Turf Builder Grass Seed Dense Shade Mix, 2.4 lbs.</v>
          </cell>
          <cell r="E58" t="str">
            <v>https://www.amazon.com/dp/B0B9PS48W5?psc=1</v>
          </cell>
          <cell r="F58" t="str">
            <v>Grass Seed</v>
          </cell>
          <cell r="G58" t="str">
            <v>Dense Shade Mix</v>
          </cell>
          <cell r="H58" t="str">
            <v>Grass Seed - Dense Shade Mix</v>
          </cell>
          <cell r="I58" t="str">
            <v>Grass Seed</v>
          </cell>
        </row>
        <row r="59">
          <cell r="A59" t="str">
            <v>B0B9Q58TYD</v>
          </cell>
          <cell r="B59" t="str">
            <v>Scotts</v>
          </cell>
          <cell r="C59" t="str">
            <v>The Scotts Company LLC</v>
          </cell>
          <cell r="D59" t="str">
            <v>Scotts Turf Builder Grass Seed Heat-Tolerant Blue Mix, 2.4 lbs.</v>
          </cell>
          <cell r="E59" t="str">
            <v>https://www.amazon.com/dp/B0B9Q58TYD?psc=1</v>
          </cell>
          <cell r="F59" t="str">
            <v>Crawling Insect Control</v>
          </cell>
          <cell r="G59" t="str">
            <v>Ant Traps</v>
          </cell>
          <cell r="H59" t="str">
            <v>Crawling Insect Control - Ant Traps</v>
          </cell>
          <cell r="I59" t="str">
            <v>Grass Seed</v>
          </cell>
        </row>
        <row r="60">
          <cell r="A60" t="str">
            <v>B0GLKLZHM9</v>
          </cell>
          <cell r="B60" t="str">
            <v>Scotts</v>
          </cell>
          <cell r="C60" t="str">
            <v>The Scotts Company LLC</v>
          </cell>
          <cell r="D60" t="str">
            <v>Scotts Turf Builder Grass Seed Landscaper's Mix for Tall Fescue Lawns, 7lb.</v>
          </cell>
          <cell r="E60" t="str">
            <v>https://www.amazon.com/dp/B0GLKLZHM9?psc=1</v>
          </cell>
          <cell r="F60" t="str">
            <v>Grass Seed</v>
          </cell>
          <cell r="G60" t="str">
            <v>Tall Fescue</v>
          </cell>
          <cell r="H60" t="str">
            <v>Grass Seed - Tall Fescue</v>
          </cell>
          <cell r="I60" t="str">
            <v>Grass Seed</v>
          </cell>
        </row>
        <row r="61">
          <cell r="A61" t="str">
            <v>B0B9PQLSH8</v>
          </cell>
          <cell r="B61" t="str">
            <v>Scotts</v>
          </cell>
          <cell r="C61" t="str">
            <v>The Scotts Company LLC</v>
          </cell>
          <cell r="D61" t="str">
            <v>Scotts Turf Builder Grass Seed Southern Gold Mix, 32 lbs.</v>
          </cell>
          <cell r="E61" t="str">
            <v>https://www.amazon.com/dp/B0B9PQLSH8?psc=1</v>
          </cell>
          <cell r="F61" t="str">
            <v>Grass Seed</v>
          </cell>
          <cell r="G61" t="str">
            <v>Southern Gold Mix</v>
          </cell>
          <cell r="H61" t="str">
            <v>Grass Seed - Southern Gold Mix</v>
          </cell>
          <cell r="I61" t="str">
            <v>Grass Seed</v>
          </cell>
        </row>
        <row r="62">
          <cell r="A62" t="str">
            <v>B0B72CRFRR</v>
          </cell>
          <cell r="B62" t="str">
            <v>Scotts</v>
          </cell>
          <cell r="C62" t="str">
            <v>The Scotts Company LLC</v>
          </cell>
          <cell r="D62" t="str">
            <v>Scotts Turf Builder Grass Seed High Traffic Mix, 5.6 lbs.</v>
          </cell>
          <cell r="E62" t="str">
            <v>https://www.amazon.com/dp/B0B72CRFRR?psc=1</v>
          </cell>
          <cell r="F62" t="str">
            <v>Grass Seed</v>
          </cell>
          <cell r="G62" t="str">
            <v>High Traffic Mix</v>
          </cell>
          <cell r="H62" t="str">
            <v>Grass Seed - High Traffic Mix</v>
          </cell>
          <cell r="I62" t="str">
            <v>Grass Seed</v>
          </cell>
        </row>
        <row r="63">
          <cell r="A63" t="str">
            <v>B00AUN6ZTW</v>
          </cell>
          <cell r="B63" t="str">
            <v>Scotts</v>
          </cell>
          <cell r="C63" t="str">
            <v>The Scotts Company LLC</v>
          </cell>
          <cell r="D63" t="str">
            <v>Scotts Turf Builder Grass Seed Quick Fix Mix, 3 lbs.</v>
          </cell>
          <cell r="E63" t="str">
            <v>https://www.amazon.com/dp/B00AUN6ZTW?psc=1</v>
          </cell>
          <cell r="F63" t="str">
            <v>Grass Seed</v>
          </cell>
          <cell r="G63" t="str">
            <v>Quick Fix Mix</v>
          </cell>
          <cell r="H63" t="str">
            <v>Grass Seed - Quick Fix Mix</v>
          </cell>
          <cell r="I63" t="str">
            <v>Grass Seed</v>
          </cell>
        </row>
        <row r="64">
          <cell r="A64" t="str">
            <v>B08YJ222S2</v>
          </cell>
          <cell r="B64" t="str">
            <v>Catchmaster</v>
          </cell>
          <cell r="C64" t="str">
            <v>Catchmaster</v>
          </cell>
          <cell r="D64" t="str">
            <v>Catchmaster Oasis Ovi-Mini Mosquito Trap 4Pk, Home Outdoor Mosquito Control, Backyard Flying Insect Killer, Glue Board Bug Catcher, Pool, Patio, Shed &amp; Garden Pest Control</v>
          </cell>
          <cell r="E64" t="str">
            <v>https://www.amazon.com/dp/B08YJ222S2?psc=1</v>
          </cell>
          <cell r="F64" t="str">
            <v>Flying Insect Control</v>
          </cell>
          <cell r="G64" t="str">
            <v>Glue Traps</v>
          </cell>
          <cell r="H64" t="str">
            <v>Flying Insect Control - Glue Traps</v>
          </cell>
          <cell r="I64" t="str">
            <v>Mosquito/Fly</v>
          </cell>
        </row>
        <row r="65">
          <cell r="A65" t="str">
            <v>B0CHLKG3PM</v>
          </cell>
          <cell r="B65" t="str">
            <v>Catchmaster</v>
          </cell>
          <cell r="C65" t="str">
            <v>Catchmaster</v>
          </cell>
          <cell r="D65" t="str">
            <v>Catchmaster Vector Discreet Black Glue Trap Refills, 12-Pk, UV Light Fly Traps for Home, Unscented Sticky Gnat Glue Boards for House, UV Lamp Insect &amp; Mosquito Killer, Adhesive Bug Light Boards</v>
          </cell>
          <cell r="E65" t="str">
            <v>https://www.amazon.com/dp/B0CHLKG3PM?psc=1</v>
          </cell>
          <cell r="F65" t="str">
            <v>Flying Insect Control</v>
          </cell>
          <cell r="G65" t="str">
            <v>Glue Traps</v>
          </cell>
          <cell r="H65" t="str">
            <v>Flying Insect Control - Glue Traps</v>
          </cell>
          <cell r="I65" t="str">
            <v>Mosquito/Fly</v>
          </cell>
        </row>
        <row r="66">
          <cell r="A66" t="str">
            <v>B0CHLHS4BT</v>
          </cell>
          <cell r="B66" t="str">
            <v>Catchmaster</v>
          </cell>
          <cell r="C66" t="str">
            <v>Catchmaster</v>
          </cell>
          <cell r="D66" t="str">
            <v>Catchmaster Vector Universal Replacement Glue Boards Black, UV Light Fly Trap for Home, Unscented Gnat Traps for House, UV Lamp Insect &amp; Mosquito Killer Refill, Adhesive Bug Light Boards, 12-Pack</v>
          </cell>
          <cell r="E66" t="str">
            <v>https://www.amazon.com/dp/B0CHLHS4BT?psc=1</v>
          </cell>
          <cell r="F66" t="str">
            <v>Flying Insect Control</v>
          </cell>
          <cell r="G66" t="str">
            <v>Glue Traps</v>
          </cell>
          <cell r="H66" t="str">
            <v>Flying Insect Control - Glue Traps</v>
          </cell>
          <cell r="I66" t="str">
            <v>Mosquito/Fly</v>
          </cell>
        </row>
        <row r="67">
          <cell r="A67" t="str">
            <v>B0DSY9SC3N</v>
          </cell>
          <cell r="B67" t="str">
            <v>Catchmaster</v>
          </cell>
          <cell r="C67" t="str">
            <v>Catchmaster</v>
          </cell>
          <cell r="D67" t="str">
            <v>Catchmaster Vector Universal Replacement Glue Boards White, UV Light Fly Trap For Home, Unscented Gnat Traps for House, UV Lamp Insect &amp; Mosquito Killer Refill, Adhesive Bug Light Boards, 12-Pack</v>
          </cell>
          <cell r="E67" t="str">
            <v>https://www.amazon.com/dp/B0DSY9SC3N?psc=1</v>
          </cell>
          <cell r="F67" t="str">
            <v>Flying Insect Control</v>
          </cell>
          <cell r="G67" t="str">
            <v>Glue Traps</v>
          </cell>
          <cell r="H67" t="str">
            <v>Flying Insect Control - Glue Traps</v>
          </cell>
          <cell r="I67" t="str">
            <v>Mosquito/Fly</v>
          </cell>
        </row>
        <row r="68">
          <cell r="A68" t="str">
            <v>B09KHJPC1X</v>
          </cell>
          <cell r="B68" t="str">
            <v>Catchmaster</v>
          </cell>
          <cell r="C68" t="str">
            <v>Catchmaster</v>
          </cell>
          <cell r="D68" t="str">
            <v>Catchmaster Pro Series Flying Insect Light Trap Replacement Board 5-PK, UV Light Fly Trap Refill, Adhesive Glue Boards, Bug Catcher, UV Lamp Mosquito Catcher, Home &amp; Garage Pest Control</v>
          </cell>
          <cell r="E68" t="str">
            <v>https://www.amazon.com/dp/B09KHJPC1X?psc=1</v>
          </cell>
          <cell r="F68" t="str">
            <v>Flying Insect Control</v>
          </cell>
          <cell r="G68" t="str">
            <v>Glue Traps</v>
          </cell>
          <cell r="H68" t="str">
            <v>Flying Insect Control - Glue Traps</v>
          </cell>
          <cell r="I68" t="str">
            <v>Mosquito/Fly</v>
          </cell>
        </row>
        <row r="69">
          <cell r="A69" t="str">
            <v>B000UJTBWE</v>
          </cell>
          <cell r="B69" t="str">
            <v>Bonide</v>
          </cell>
          <cell r="C69" t="str">
            <v>TV Non-Branded Items</v>
          </cell>
          <cell r="D69" t="str">
            <v>Bonide Mosquito Beater Granules, 1.3 lbs Ready-to-Use</v>
          </cell>
          <cell r="E69" t="str">
            <v>https://www.amazon.com/dp/B000UJTBWE?psc=1</v>
          </cell>
          <cell r="F69" t="str">
            <v>Flying Insect Control</v>
          </cell>
          <cell r="G69" t="str">
            <v>Mosquito Traps</v>
          </cell>
          <cell r="H69" t="str">
            <v>Flying Insect Control - Mosquito Traps</v>
          </cell>
          <cell r="I69" t="str">
            <v>Mosquito/Fly</v>
          </cell>
        </row>
        <row r="70">
          <cell r="A70" t="str">
            <v>B000RUD032</v>
          </cell>
          <cell r="B70" t="str">
            <v>Bonide</v>
          </cell>
          <cell r="C70" t="str">
            <v>TV Non-Branded Items</v>
          </cell>
          <cell r="D70" t="str">
            <v>Bonide Mosquito Beater Water Soluble Pouches, Pack of 24 Pouches</v>
          </cell>
          <cell r="E70" t="str">
            <v>https://www.amazon.com/dp/B000RUD032</v>
          </cell>
          <cell r="F70" t="str">
            <v>Flying Insect Control</v>
          </cell>
          <cell r="G70" t="str">
            <v>Mosquito Traps</v>
          </cell>
          <cell r="H70" t="str">
            <v>Flying Insect Control - Mosquito Traps</v>
          </cell>
          <cell r="I70" t="str">
            <v>Mosquito/Fly</v>
          </cell>
        </row>
        <row r="71">
          <cell r="A71" t="str">
            <v>B000OW92BC</v>
          </cell>
          <cell r="B71" t="str">
            <v>Bonide</v>
          </cell>
          <cell r="C71" t="str">
            <v>Bonide</v>
          </cell>
          <cell r="D71" t="str">
            <v>Bonide Mosquito Beater Flying Insect Fog, 32 oz Concentrate Kills Insects and Mosquitoes in Lawn and Garden</v>
          </cell>
          <cell r="E71" t="str">
            <v>https://www.amazon.com/dp/B000OW92BC?psc=1</v>
          </cell>
          <cell r="F71" t="str">
            <v>Rodent Control</v>
          </cell>
          <cell r="G71" t="str">
            <v>Mosquito Traps</v>
          </cell>
          <cell r="H71" t="str">
            <v>Rodent Control - Mosquito Traps</v>
          </cell>
          <cell r="I71" t="str">
            <v>Mosquito/Fly</v>
          </cell>
        </row>
        <row r="72">
          <cell r="A72" t="str">
            <v>B000WGTK62</v>
          </cell>
          <cell r="B72" t="str">
            <v>Bonide</v>
          </cell>
          <cell r="C72" t="str">
            <v>Bonide</v>
          </cell>
          <cell r="D72" t="str">
            <v>Bonide Mosquito Beater Flying Insect Fog, 128 oz Ready-To-Use Kills Insects and Mosquitoes in Lawn and Garden</v>
          </cell>
          <cell r="E72" t="str">
            <v>https://www.amazon.com/dp/B000WGTK62?psc=1</v>
          </cell>
          <cell r="F72" t="str">
            <v>Flying Insect Control</v>
          </cell>
          <cell r="G72" t="str">
            <v>Mosquito Traps</v>
          </cell>
          <cell r="H72" t="str">
            <v>Flying Insect Control - Mosquito Traps</v>
          </cell>
          <cell r="I72" t="str">
            <v>Mosquito/Fly</v>
          </cell>
        </row>
        <row r="73">
          <cell r="A73" t="str">
            <v>B00USMWZ58</v>
          </cell>
          <cell r="B73" t="str">
            <v>Bonide</v>
          </cell>
          <cell r="C73" t="str">
            <v>Bonide</v>
          </cell>
          <cell r="D73" t="str">
            <v>Mosquito Beater Granules, 1.5-Lbs.</v>
          </cell>
          <cell r="E73" t="str">
            <v>https://www.amazon.com/dp/B00USMWZ58</v>
          </cell>
          <cell r="F73" t="str">
            <v>Flying Insect Control</v>
          </cell>
          <cell r="G73" t="str">
            <v>Mosquito Traps</v>
          </cell>
          <cell r="H73" t="str">
            <v>Flying Insect Control - Mosquito Traps</v>
          </cell>
          <cell r="I73" t="str">
            <v>Mosquito/Fly</v>
          </cell>
        </row>
        <row r="74">
          <cell r="A74" t="str">
            <v>B000A0PZPA</v>
          </cell>
          <cell r="B74" t="str">
            <v>Bonide</v>
          </cell>
          <cell r="C74" t="str">
            <v>Arett Sales - LG</v>
          </cell>
          <cell r="D74" t="str">
            <v>Bonide Mosquito Beater, 32 oz Ready-to-Spray Insect Repellent</v>
          </cell>
          <cell r="E74" t="str">
            <v>https://www.amazon.com/dp/B000A0PZPA</v>
          </cell>
          <cell r="F74" t="str">
            <v>Flying Insect Control</v>
          </cell>
          <cell r="G74" t="str">
            <v>Repellents</v>
          </cell>
          <cell r="H74" t="str">
            <v>Flying Insect Control - Repellents</v>
          </cell>
          <cell r="I74" t="str">
            <v>Mosquito/Fly</v>
          </cell>
        </row>
        <row r="75">
          <cell r="A75" t="str">
            <v>B004I9MMGO</v>
          </cell>
          <cell r="B75" t="str">
            <v>HARRIS</v>
          </cell>
          <cell r="C75" t="str">
            <v>HARRIS FAMOUS ROACH TABLETS</v>
          </cell>
          <cell r="D75" t="str">
            <v>Harris Home Insect Killer, Liquid Gallon Spray with Odorless and Non Staining Residual Formula - Kills Stinkbugs, Ants, Roaches, Spiders, Fleas, Mosquitos, Moths, Scorpions, Flies and Silverfish</v>
          </cell>
          <cell r="E75" t="str">
            <v>https://www.amazon.com/dp/B004I9MMGO</v>
          </cell>
          <cell r="F75" t="str">
            <v>Flying Insect Control</v>
          </cell>
          <cell r="G75" t="str">
            <v>Roach Traps</v>
          </cell>
          <cell r="H75" t="str">
            <v>Flying Insect Control - Roach Traps</v>
          </cell>
          <cell r="I75" t="str">
            <v>Mosquito/Fly</v>
          </cell>
        </row>
        <row r="76">
          <cell r="A76" t="str">
            <v>B0GYXQJ8P8</v>
          </cell>
          <cell r="B76" t="str">
            <v>WowCatch</v>
          </cell>
          <cell r="C76" t="str">
            <v>WowCatch</v>
          </cell>
          <cell r="D76" t="str">
            <v>Solar Bug Zapper Outdoor, 3 UV Tubes 4500V Mosquito Zapper, Waterproof</v>
          </cell>
          <cell r="E76" t="str">
            <v>https://www.amazon.com/dp/B0GYXQJ8P8</v>
          </cell>
          <cell r="F76" t="str">
            <v>Flying Insect Control</v>
          </cell>
          <cell r="G76" t="str">
            <v>Electronic Traps</v>
          </cell>
          <cell r="H76" t="str">
            <v>Flying Insect Control - Electronic Traps</v>
          </cell>
          <cell r="I76" t="str">
            <v>Mosquito/Fly</v>
          </cell>
        </row>
        <row r="77">
          <cell r="A77" t="str">
            <v>B0C24QVX4Z</v>
          </cell>
          <cell r="B77" t="str">
            <v>Grandpa Gus's</v>
          </cell>
          <cell r="C77" t="str">
            <v>Grandpa Gus's</v>
          </cell>
          <cell r="D77" t="str">
            <v>Grandpa Gus's Mosquito Trap and Outdoor Bug Killer for Outdoors, 2 Pack</v>
          </cell>
          <cell r="E77" t="str">
            <v>https://www.amazon.com/dp/B0C24QVX4Z</v>
          </cell>
          <cell r="F77" t="str">
            <v>Flying Insect Control</v>
          </cell>
          <cell r="G77" t="str">
            <v>Mosquito Traps</v>
          </cell>
          <cell r="H77" t="str">
            <v>Flying Insect Control - Mosquito Traps</v>
          </cell>
          <cell r="I77" t="str">
            <v>Mosquito/Fly</v>
          </cell>
        </row>
        <row r="78">
          <cell r="A78" t="str">
            <v>B0GXXG9NDW</v>
          </cell>
          <cell r="B78" t="str">
            <v>Grandpa Gus's</v>
          </cell>
          <cell r="C78" t="str">
            <v>Grandpa Gus's</v>
          </cell>
          <cell r="D78" t="str">
            <v>Grandpa Gus's Natural Mosquito DEET-Free Repellent Spray, 4 oz</v>
          </cell>
          <cell r="E78" t="str">
            <v>https://www.amazon.com/dp/B0GXXG9NDW?psc=1</v>
          </cell>
          <cell r="F78" t="str">
            <v>Flying Insect Control</v>
          </cell>
          <cell r="G78" t="str">
            <v>Repellents</v>
          </cell>
          <cell r="H78" t="str">
            <v>Flying Insect Control - Repellents</v>
          </cell>
          <cell r="I78" t="str">
            <v>Mosquito/Fly</v>
          </cell>
        </row>
        <row r="79">
          <cell r="A79" t="str">
            <v>B0G4SBX5ZH</v>
          </cell>
          <cell r="B79" t="str">
            <v>Grandpa Gus's</v>
          </cell>
          <cell r="C79" t="str">
            <v>Grandpa Gus's</v>
          </cell>
          <cell r="D79" t="str">
            <v>Grandpa Gus’s Indoor Fly Trap Plug-In - UV Light Insect Catcher for Flies, Gnats, Fruit Flies, Mosquitoes &amp; Moths - No Insecticides, Sticky Glue Trap for Kitchen, Garage, Includes 3 Refill Glue Boards</v>
          </cell>
          <cell r="E79" t="str">
            <v>https://www.amazon.com/dp/B0G4SBX5ZH?psc=1</v>
          </cell>
          <cell r="F79" t="str">
            <v>Flying Insect Control</v>
          </cell>
          <cell r="G79" t="str">
            <v>Glue Traps</v>
          </cell>
          <cell r="H79" t="str">
            <v>Flying Insect Control - Glue Traps</v>
          </cell>
          <cell r="I79" t="str">
            <v>Mosquito/Fly</v>
          </cell>
        </row>
        <row r="80">
          <cell r="A80" t="str">
            <v>B0GWN1XXW3</v>
          </cell>
          <cell r="B80" t="str">
            <v>Grandpa Gus's</v>
          </cell>
          <cell r="C80" t="str">
            <v>Grandpa Gus's</v>
          </cell>
          <cell r="D80" t="str">
            <v>Grandpa Gus’s Indoor Fly Trap Plug-In 2 Pack - UV Light Insect Catcher for Flies, Gnats, Fruit Flies, Mosquitoes, Moths - No Insecticides, Sticky Glue Trap for Kitchen, Garage, w/ 4 Refill Glue Boards</v>
          </cell>
          <cell r="E80" t="str">
            <v>https://www.amazon.com/dp/B0GWN1XXW3?psc=1</v>
          </cell>
          <cell r="F80" t="str">
            <v>Flying Insect Control</v>
          </cell>
          <cell r="G80" t="str">
            <v>Glue Traps</v>
          </cell>
          <cell r="H80" t="str">
            <v>Flying Insect Control - Glue Traps</v>
          </cell>
          <cell r="I80" t="str">
            <v>Mosquito/Fly</v>
          </cell>
        </row>
        <row r="81">
          <cell r="A81" t="str">
            <v>B07GBMSW8J</v>
          </cell>
          <cell r="B81" t="str">
            <v>Ortho</v>
          </cell>
          <cell r="C81" t="str">
            <v>The Scotts Company LLC</v>
          </cell>
          <cell r="D81" t="str">
            <v>Ortho Home Defense Backyard Mosquito &amp; Bug Killer Ready-to-Spray, 32 oz.</v>
          </cell>
          <cell r="E81" t="str">
            <v>https://www.amazon.com/dp/B07GBMSW8J?psc=1</v>
          </cell>
          <cell r="F81" t="str">
            <v>Flying Insect Control</v>
          </cell>
          <cell r="G81" t="str">
            <v>Mosquito Traps</v>
          </cell>
          <cell r="H81" t="str">
            <v>Flying Insect Control - Mosquito Traps</v>
          </cell>
          <cell r="I81" t="str">
            <v>Mosquito/Fly</v>
          </cell>
        </row>
        <row r="82">
          <cell r="A82" t="str">
            <v>B0FDW5JJCZ</v>
          </cell>
          <cell r="B82" t="str">
            <v>Ortho</v>
          </cell>
          <cell r="C82" t="str">
            <v>The Scotts Company</v>
          </cell>
          <cell r="D82" t="str">
            <v>Ortho Home Defense Mosquito Kill &amp; Prevent, 1 Station &amp; 2 Bands</v>
          </cell>
          <cell r="E82" t="str">
            <v>https://www.amazon.com/dp/B0FDW5JJCZ?psc=1</v>
          </cell>
          <cell r="F82" t="str">
            <v>Flying Insect Control</v>
          </cell>
          <cell r="G82" t="str">
            <v>Mosquito Traps</v>
          </cell>
          <cell r="H82" t="str">
            <v>Flying Insect Control - Mosquito Traps</v>
          </cell>
          <cell r="I82" t="str">
            <v>Mosquito/Fly</v>
          </cell>
        </row>
        <row r="83">
          <cell r="A83" t="str">
            <v>B0FDW6DKQL</v>
          </cell>
          <cell r="B83" t="str">
            <v>Ortho</v>
          </cell>
          <cell r="C83" t="str">
            <v>The Scotts Company</v>
          </cell>
          <cell r="D83" t="str">
            <v>Ortho Home Defense Mosquito Kill &amp; Prevent Refill Kit, 2 Refill Bands</v>
          </cell>
          <cell r="E83" t="str">
            <v>https://www.amazon.com/dp/B0FDW6DKQL?psc=1</v>
          </cell>
          <cell r="F83" t="str">
            <v>Flying Insect Control</v>
          </cell>
          <cell r="G83" t="str">
            <v>Mosquito Traps</v>
          </cell>
          <cell r="H83" t="str">
            <v>Flying Insect Control - Mosquito Traps</v>
          </cell>
          <cell r="I83" t="str">
            <v>Mosquito/Fly</v>
          </cell>
        </row>
        <row r="84">
          <cell r="A84" t="str">
            <v>B07GBGSH69</v>
          </cell>
          <cell r="B84" t="str">
            <v>Ortho</v>
          </cell>
          <cell r="C84" t="str">
            <v>The Scotts Company LLC</v>
          </cell>
          <cell r="D84" t="str">
            <v>Ortho Home Defense Backyard Mosquito &amp; Bug Killer Area Fogger, 16 Oz.</v>
          </cell>
          <cell r="E84" t="str">
            <v>https://www.amazon.com/dp/B07GBGSH69?psc=1</v>
          </cell>
          <cell r="F84" t="str">
            <v>Flying Insect Control</v>
          </cell>
          <cell r="G84" t="str">
            <v>Mosquito Traps</v>
          </cell>
          <cell r="H84" t="str">
            <v>Flying Insect Control - Mosquito Traps</v>
          </cell>
          <cell r="I84" t="str">
            <v>Mosquito/Fly</v>
          </cell>
        </row>
        <row r="85">
          <cell r="A85" t="str">
            <v>B08M1WCMF8</v>
          </cell>
          <cell r="B85" t="str">
            <v>Catchmaster</v>
          </cell>
          <cell r="C85" t="str">
            <v>Catchmaster</v>
          </cell>
          <cell r="D85" t="str">
            <v>Catchmaster Tree Shield Lantern Fly &amp; Ant Traps Insect Barrier, 12 Rolls 30ft Each, Outdoor Adhesive Crawling Insect Trap to Protect Trees, Fruit &amp; Plants, Pest Control Lawn &amp; Garden</v>
          </cell>
          <cell r="E85" t="str">
            <v>https://www.amazon.com/dp/B08M1WCMF8?psc=1</v>
          </cell>
          <cell r="F85" t="str">
            <v>Flying Insect Control</v>
          </cell>
          <cell r="G85" t="str">
            <v>Ant Traps</v>
          </cell>
          <cell r="H85" t="str">
            <v>Flying Insect Control - Ant Traps</v>
          </cell>
          <cell r="I85" t="str">
            <v>Other crawling insects</v>
          </cell>
        </row>
        <row r="86">
          <cell r="A86" t="str">
            <v>B08LZXPDSH</v>
          </cell>
          <cell r="B86" t="str">
            <v>Catchmaster</v>
          </cell>
          <cell r="C86" t="str">
            <v>Catchmaster</v>
          </cell>
          <cell r="D86" t="str">
            <v>Catchmaster Tree Shield Lantern Fly &amp; Ant Traps Insect Barrier, 4 Rolls 30ft Each, Outdoor Adhesive Crawling Insect Trap to Protect Trees, Fruit &amp; Plants, Pest Control Lawn &amp; Garden</v>
          </cell>
          <cell r="E86" t="str">
            <v>https://www.amazon.com/dp/B08LZXPDSH?psc=1</v>
          </cell>
          <cell r="F86" t="str">
            <v>Flying Insect Control</v>
          </cell>
          <cell r="G86" t="str">
            <v>Ant Traps</v>
          </cell>
          <cell r="H86" t="str">
            <v>Flying Insect Control - Ant Traps</v>
          </cell>
          <cell r="I86" t="str">
            <v>Other crawling insects</v>
          </cell>
        </row>
        <row r="87">
          <cell r="A87" t="str">
            <v>B08563R81S</v>
          </cell>
          <cell r="B87" t="str">
            <v>Catchmaster</v>
          </cell>
          <cell r="C87" t="str">
            <v>Catchmaster</v>
          </cell>
          <cell r="D87" t="str">
            <v>Catchmaster Tree Banding Insect Barrier DIY 15oz Pail, Lanternfly &amp; Ant Traps, Outdoor Adhesive Crawling Insect Trap to Protect Trees, Fruit &amp; Plants</v>
          </cell>
          <cell r="E87" t="str">
            <v>https://www.amazon.com/dp/B08563R81S?psc=1</v>
          </cell>
          <cell r="F87" t="str">
            <v>Flying Insect Control</v>
          </cell>
          <cell r="G87" t="str">
            <v>Ant Traps</v>
          </cell>
          <cell r="H87" t="str">
            <v>Flying Insect Control - Ant Traps</v>
          </cell>
          <cell r="I87" t="str">
            <v>Other crawling insects</v>
          </cell>
        </row>
        <row r="88">
          <cell r="A88" t="str">
            <v>B089NZXLZ7</v>
          </cell>
          <cell r="B88" t="str">
            <v>Catchmaster</v>
          </cell>
          <cell r="C88" t="str">
            <v>Catchmaster</v>
          </cell>
          <cell r="D88" t="str">
            <v>Catchmaster Tree Banding Insect Barrier DIY Kit, 15oz Pail &amp; Spreader, Lanternfly &amp; Ant Traps, Outdoor Adhesive Crawling Insect Trap to Protect Trees, Fruit &amp; Plants</v>
          </cell>
          <cell r="E88" t="str">
            <v>https://www.amazon.com/dp/B089NZXLZ7?psc=1</v>
          </cell>
          <cell r="F88" t="str">
            <v>Flying Insect Control</v>
          </cell>
          <cell r="G88" t="str">
            <v>Ant Traps</v>
          </cell>
          <cell r="H88" t="str">
            <v>Flying Insect Control - Ant Traps</v>
          </cell>
          <cell r="I88" t="str">
            <v>Other crawling insects</v>
          </cell>
        </row>
        <row r="89">
          <cell r="A89" t="str">
            <v>B08WRSW1MC</v>
          </cell>
          <cell r="B89" t="str">
            <v>Catchmaster</v>
          </cell>
          <cell r="C89" t="str">
            <v>Catchmaster</v>
          </cell>
          <cell r="D89" t="str">
            <v>Catchmaster Tree Banding Insect Barrier DIY Kit 4Pk, 15oz., Spreader, 1Kft Roll Plastic Wrap, Lanternfly &amp; Ant Traps, Outdoor Adhesive Crawling Insect Trap to Protect Trees, Fruit &amp; Plants</v>
          </cell>
          <cell r="E89" t="str">
            <v>https://www.amazon.com/dp/B08WRSW1MC?psc=1</v>
          </cell>
          <cell r="F89" t="str">
            <v>Flying Insect Control</v>
          </cell>
          <cell r="G89" t="str">
            <v>Ant Traps</v>
          </cell>
          <cell r="H89" t="str">
            <v>Flying Insect Control - Ant Traps</v>
          </cell>
          <cell r="I89" t="str">
            <v>Other crawling insects</v>
          </cell>
        </row>
        <row r="90">
          <cell r="A90" t="str">
            <v>B000HMCAAO</v>
          </cell>
          <cell r="B90" t="str">
            <v>JT Eaton</v>
          </cell>
          <cell r="C90" t="str">
            <v>JT Eaton</v>
          </cell>
          <cell r="D90" t="str">
            <v>Crawling Insect Killer, Powder</v>
          </cell>
          <cell r="E90" t="str">
            <v>https://www.amazon.com/dp/B000HMCAAO?psc=1</v>
          </cell>
          <cell r="F90" t="str">
            <v>Flying Insect Control</v>
          </cell>
          <cell r="G90" t="str">
            <v>Other</v>
          </cell>
          <cell r="H90" t="str">
            <v>Flying Insect Control - Other</v>
          </cell>
          <cell r="I90" t="str">
            <v>Other crawling insects</v>
          </cell>
        </row>
        <row r="91">
          <cell r="A91" t="str">
            <v>B01LZ9LXR2</v>
          </cell>
          <cell r="B91" t="str">
            <v>Bonide</v>
          </cell>
          <cell r="C91" t="str">
            <v>Bonide Products LLC</v>
          </cell>
          <cell r="D91" t="str">
            <v>Bonide Diatomaceous Earth Crawling Insect Killer, 1.3 lbs. Fast Acting and Long Lasting Pesticide for Indoor or Outdoor Use</v>
          </cell>
          <cell r="E91" t="str">
            <v>https://www.amazon.com/dp/B01LZ9LXR2?psc=1</v>
          </cell>
          <cell r="F91" t="str">
            <v>Flying Insect Control</v>
          </cell>
          <cell r="G91" t="str">
            <v>Other</v>
          </cell>
          <cell r="H91" t="str">
            <v>Flying Insect Control - Other</v>
          </cell>
          <cell r="I91" t="str">
            <v>Other crawling insects</v>
          </cell>
        </row>
        <row r="92">
          <cell r="A92" t="str">
            <v>B084CVXYCJ</v>
          </cell>
          <cell r="B92" t="str">
            <v>HARRIS</v>
          </cell>
          <cell r="C92" t="str">
            <v>Harris</v>
          </cell>
          <cell r="D92" t="str">
            <v>Harris 8 oz Diatomaceous Earth Crawling Insect Killer — 100% Natural Dust for Ants, Roaches, Bed Bugs, Fleas — Indoor &amp; Outdoor Use</v>
          </cell>
          <cell r="E92" t="str">
            <v>https://www.amazon.com/dp/B084CVXYCJ?psc=1</v>
          </cell>
          <cell r="F92" t="str">
            <v>Flying Insect Control</v>
          </cell>
          <cell r="G92" t="str">
            <v>Roach Traps</v>
          </cell>
          <cell r="H92" t="str">
            <v>Flying Insect Control - Roach Traps</v>
          </cell>
          <cell r="I92" t="str">
            <v>Other crawling insects</v>
          </cell>
        </row>
        <row r="93">
          <cell r="A93" t="str">
            <v>B0FWM6SYSL</v>
          </cell>
          <cell r="B93" t="str">
            <v>HARRIS</v>
          </cell>
          <cell r="C93" t="str">
            <v>PF Harris</v>
          </cell>
          <cell r="D93" t="str">
            <v>Harris Diatomaceous Earth Crawling Insect Killer, 8oz for Roaches, Fleas, Ants, Bed Bugs, and More 2Pack</v>
          </cell>
          <cell r="E93" t="str">
            <v>https://www.amazon.com/dp/B0FWM6SYSL</v>
          </cell>
          <cell r="F93" t="str">
            <v>Flying Insect Control</v>
          </cell>
          <cell r="G93" t="str">
            <v>Roach Traps</v>
          </cell>
          <cell r="H93" t="str">
            <v>Flying Insect Control - Roach Traps</v>
          </cell>
          <cell r="I93" t="str">
            <v>Other crawling insects</v>
          </cell>
        </row>
        <row r="94">
          <cell r="A94" t="str">
            <v>B002Y6GAN4</v>
          </cell>
          <cell r="B94" t="str">
            <v>Catchmaster</v>
          </cell>
          <cell r="C94" t="str">
            <v>Catchmaster</v>
          </cell>
          <cell r="D94" t="str">
            <v>Catchmaster Super Glue Traps 30pk, Extra Strength Sticky Mouse &amp; Rat Traps</v>
          </cell>
          <cell r="E94" t="str">
            <v>https://www.amazon.com/dp/B002Y6GAN4?psc=1</v>
          </cell>
          <cell r="F94" t="str">
            <v>Rodent Control</v>
          </cell>
          <cell r="G94" t="str">
            <v>Glue Traps</v>
          </cell>
          <cell r="H94" t="str">
            <v>Rodent Control - Glue Traps</v>
          </cell>
          <cell r="I94" t="str">
            <v>Rodent</v>
          </cell>
        </row>
        <row r="95">
          <cell r="A95" t="str">
            <v>B007E83LUM</v>
          </cell>
          <cell r="B95" t="str">
            <v>Catchmaster</v>
          </cell>
          <cell r="C95" t="str">
            <v>Catchmaster</v>
          </cell>
          <cell r="D95" t="str">
            <v>Catchmaster Max-Catch Glue Traps 36pk, Sticky Mouse Traps Indoor for Home</v>
          </cell>
          <cell r="E95" t="str">
            <v>https://www.amazon.com/dp/B007E83LUM?psc=1</v>
          </cell>
          <cell r="F95" t="str">
            <v>Rodent Control</v>
          </cell>
          <cell r="G95" t="str">
            <v>Glue Traps</v>
          </cell>
          <cell r="H95" t="str">
            <v>Rodent Control - Glue Traps</v>
          </cell>
          <cell r="I95" t="str">
            <v>Rodent</v>
          </cell>
        </row>
        <row r="96">
          <cell r="A96" t="str">
            <v>B00CEFPWV6</v>
          </cell>
          <cell r="B96" t="str">
            <v>Catchmaster</v>
          </cell>
          <cell r="C96" t="str">
            <v>Catchmaster</v>
          </cell>
          <cell r="D96" t="str">
            <v>Catchmaster Rat &amp; Mouse Glue Traps 10 Pack, Large Heavy Duty Sticky Traps</v>
          </cell>
          <cell r="E96" t="str">
            <v>https://www.amazon.com/dp/B00CEFPWV6?psc=1</v>
          </cell>
          <cell r="F96" t="str">
            <v>Rodent Control</v>
          </cell>
          <cell r="G96" t="str">
            <v>Glue Traps</v>
          </cell>
          <cell r="H96" t="str">
            <v>Rodent Control - Glue Traps</v>
          </cell>
          <cell r="I96" t="str">
            <v>Rodent</v>
          </cell>
        </row>
        <row r="97">
          <cell r="A97" t="str">
            <v>B003ORTFH0</v>
          </cell>
          <cell r="B97" t="str">
            <v>Catchmaster</v>
          </cell>
          <cell r="C97" t="str">
            <v>atlantic paste</v>
          </cell>
          <cell r="D97" t="str">
            <v>Catchmaster Max-Catch Glue Traps 72pk, Sticky Mouse Traps Indoor for Home</v>
          </cell>
          <cell r="E97" t="str">
            <v>https://www.amazon.com/dp/B003ORTFH0?psc=1</v>
          </cell>
          <cell r="F97" t="str">
            <v>Rodent Control</v>
          </cell>
          <cell r="G97" t="str">
            <v>Glue Traps</v>
          </cell>
          <cell r="H97" t="str">
            <v>Rodent Control - Glue Traps</v>
          </cell>
          <cell r="I97" t="str">
            <v>Rodent</v>
          </cell>
        </row>
        <row r="98">
          <cell r="A98" t="str">
            <v>B07VQNWMN2</v>
          </cell>
          <cell r="B98" t="str">
            <v>Catchmaster</v>
          </cell>
          <cell r="C98" t="str">
            <v>Catchmaster</v>
          </cell>
          <cell r="D98" t="str">
            <v>Catchmaster 16pk Mouse Glue Traps Indoor for Home, Sticky Mouse &amp; Bug Traps</v>
          </cell>
          <cell r="E98" t="str">
            <v>https://www.amazon.com/dp/B07VQNWMN2?psc=1</v>
          </cell>
          <cell r="F98" t="str">
            <v>Rodent Control</v>
          </cell>
          <cell r="G98" t="str">
            <v>Glue Traps</v>
          </cell>
          <cell r="H98" t="str">
            <v>Rodent Control - Glue Traps</v>
          </cell>
          <cell r="I98" t="str">
            <v>Rodent</v>
          </cell>
        </row>
        <row r="99">
          <cell r="A99" t="str">
            <v>B078YD8YRD</v>
          </cell>
          <cell r="B99" t="str">
            <v>Catchmaster</v>
          </cell>
          <cell r="C99" t="str">
            <v>Catchmaster</v>
          </cell>
          <cell r="D99" t="str">
            <v>Catchmaster Rat &amp; Mouse Glue Traps 12 Pack, Large Heavy Duty Sticky Traps</v>
          </cell>
          <cell r="E99" t="str">
            <v>https://www.amazon.com/dp/B078YD8YRD?psc=1</v>
          </cell>
          <cell r="F99" t="str">
            <v>Rodent Control</v>
          </cell>
          <cell r="G99" t="str">
            <v>Glue Traps</v>
          </cell>
          <cell r="H99" t="str">
            <v>Rodent Control - Glue Traps</v>
          </cell>
          <cell r="I99" t="str">
            <v>Rodent</v>
          </cell>
        </row>
        <row r="100">
          <cell r="A100" t="str">
            <v>B00CEEDFS4</v>
          </cell>
          <cell r="B100" t="str">
            <v>Catchmaster</v>
          </cell>
          <cell r="C100" t="str">
            <v>Catchmaster</v>
          </cell>
          <cell r="D100" t="str">
            <v>Catchmaster Rat &amp; Mouse Glue Traps 6 Pack, Large Heavy Duty Sticky Traps</v>
          </cell>
          <cell r="E100" t="str">
            <v>https://www.amazon.com/dp/B00CEEDFS4?psc=1</v>
          </cell>
          <cell r="F100" t="str">
            <v>Rodent Control</v>
          </cell>
          <cell r="G100" t="str">
            <v>Glue Traps</v>
          </cell>
          <cell r="H100" t="str">
            <v>Rodent Control - Glue Traps</v>
          </cell>
          <cell r="I100" t="str">
            <v>Rodent</v>
          </cell>
        </row>
        <row r="101">
          <cell r="A101" t="str">
            <v>B005IMZ9TC</v>
          </cell>
          <cell r="B101" t="str">
            <v>Catchmaster</v>
          </cell>
          <cell r="C101" t="str">
            <v>Atlantic Paste and Glue Co. Inc.</v>
          </cell>
          <cell r="D101" t="str">
            <v>Catchmaster Compact Sticky Mouse &amp; Insect Traps 75pk, Bulk Glue Boards</v>
          </cell>
          <cell r="E101" t="str">
            <v>https://www.amazon.com/dp/B005IMZ9TC?psc=1</v>
          </cell>
          <cell r="F101" t="str">
            <v>Rodent Control</v>
          </cell>
          <cell r="G101" t="str">
            <v>Glue Traps</v>
          </cell>
          <cell r="H101" t="str">
            <v>Rodent Control - Glue Traps</v>
          </cell>
          <cell r="I101" t="str">
            <v>Rodent</v>
          </cell>
        </row>
        <row r="102">
          <cell r="A102" t="str">
            <v>B0BVD846CJ</v>
          </cell>
          <cell r="B102" t="str">
            <v>Catchmaster</v>
          </cell>
          <cell r="C102" t="str">
            <v>Catchmaster</v>
          </cell>
          <cell r="D102" t="str">
            <v>Catchmaster Max-Catch Unscented Glue Traps 72pk, Sticky Mouse Traps Indoor</v>
          </cell>
          <cell r="E102" t="str">
            <v>https://www.amazon.com/dp/B0BVD846CJ?psc=1</v>
          </cell>
          <cell r="F102" t="str">
            <v>Rodent Control</v>
          </cell>
          <cell r="G102" t="str">
            <v>Glue Traps</v>
          </cell>
          <cell r="H102" t="str">
            <v>Rodent Control - Glue Traps</v>
          </cell>
          <cell r="I102" t="str">
            <v>Rodent</v>
          </cell>
        </row>
        <row r="103">
          <cell r="A103" t="str">
            <v>B0BVDKTZNY</v>
          </cell>
          <cell r="B103" t="str">
            <v>Catchmaster</v>
          </cell>
          <cell r="C103" t="str">
            <v>Catchmaster</v>
          </cell>
          <cell r="D103" t="str">
            <v>Catchmaster Max-Catch Unscented Glue Traps 36pk, Sticky Mouse Traps Indoor</v>
          </cell>
          <cell r="E103" t="str">
            <v>https://www.amazon.com/dp/B0BVDKTZNY?psc=1</v>
          </cell>
          <cell r="F103" t="str">
            <v>Rodent Control</v>
          </cell>
          <cell r="G103" t="str">
            <v>Glue Traps</v>
          </cell>
          <cell r="H103" t="str">
            <v>Rodent Control - Glue Traps</v>
          </cell>
          <cell r="I103" t="str">
            <v>Rodent</v>
          </cell>
        </row>
        <row r="104">
          <cell r="A104" t="str">
            <v>B07YYN3RBG</v>
          </cell>
          <cell r="B104" t="str">
            <v>Catchmaster</v>
          </cell>
          <cell r="C104" t="str">
            <v>Catchmaster</v>
          </cell>
          <cell r="D104" t="str">
            <v>Catchmaster Rat &amp; Mouse Glue Traps with Sticky Putty 6 Pack, Large Trays</v>
          </cell>
          <cell r="E104" t="str">
            <v>https://www.amazon.com/dp/B07YYN3RBG?psc=1</v>
          </cell>
          <cell r="F104" t="str">
            <v>Rodent Control</v>
          </cell>
          <cell r="G104" t="str">
            <v>Glue Traps</v>
          </cell>
          <cell r="H104" t="str">
            <v>Rodent Control - Glue Traps</v>
          </cell>
          <cell r="I104" t="str">
            <v>Rodent</v>
          </cell>
        </row>
        <row r="105">
          <cell r="A105" t="str">
            <v>B07YQ8RGYL</v>
          </cell>
          <cell r="B105" t="str">
            <v>Catchmaster</v>
          </cell>
          <cell r="C105" t="str">
            <v>Catchmaster</v>
          </cell>
          <cell r="D105" t="str">
            <v>Catchmaster Jumbo Rat &amp; Mouse Glue Traps 6 Pack, XL Heavy Duty Sticky Traps</v>
          </cell>
          <cell r="E105" t="str">
            <v>https://www.amazon.com/dp/B07YQ8RGYL?psc=1</v>
          </cell>
          <cell r="F105" t="str">
            <v>Rodent Control</v>
          </cell>
          <cell r="G105" t="str">
            <v>Glue Traps</v>
          </cell>
          <cell r="H105" t="str">
            <v>Rodent Control - Glue Traps</v>
          </cell>
          <cell r="I105" t="str">
            <v>Rodent</v>
          </cell>
        </row>
        <row r="106">
          <cell r="A106" t="str">
            <v>B0BF8QWN3Q</v>
          </cell>
          <cell r="B106" t="str">
            <v>Catchmaster</v>
          </cell>
          <cell r="C106" t="str">
            <v>Catchmaster</v>
          </cell>
          <cell r="D106" t="str">
            <v>Catchmaster 40pk Bulk Mouse Glue Traps Indoor for Home, Sticky Bug Traps</v>
          </cell>
          <cell r="E106" t="str">
            <v>https://www.amazon.com/dp/B0BF8QWN3Q?psc=1</v>
          </cell>
          <cell r="F106" t="str">
            <v>Rodent Control</v>
          </cell>
          <cell r="G106" t="str">
            <v>Glue Traps</v>
          </cell>
          <cell r="H106" t="str">
            <v>Rodent Control - Glue Traps</v>
          </cell>
          <cell r="I106" t="str">
            <v>Rodent</v>
          </cell>
        </row>
        <row r="107">
          <cell r="A107" t="str">
            <v>B07VNH8RFP</v>
          </cell>
          <cell r="B107" t="str">
            <v>Catchmaster</v>
          </cell>
          <cell r="C107" t="str">
            <v>Catchmaster</v>
          </cell>
          <cell r="D107" t="str">
            <v>Catchmaster-8 Mouse &amp; Insect Glue Traps, Heavy-Duty Pesticide-Free Sticky Mouse Traps Indoor for Home, Used by the PROs, Adhesive Rodent &amp; Bug Catcher, Pest Control for House &amp; Garage</v>
          </cell>
          <cell r="E107" t="str">
            <v>https://www.amazon.com/dp/B07VNH8RFP?psc=1</v>
          </cell>
          <cell r="F107" t="str">
            <v>Rodent Control</v>
          </cell>
          <cell r="G107" t="str">
            <v>Glue Traps</v>
          </cell>
          <cell r="H107" t="str">
            <v>Rodent Control - Glue Traps</v>
          </cell>
          <cell r="I107" t="str">
            <v>Rodent</v>
          </cell>
        </row>
        <row r="108">
          <cell r="A108" t="str">
            <v>B07VFKPK3T</v>
          </cell>
          <cell r="B108" t="str">
            <v>Catchmaster</v>
          </cell>
          <cell r="C108" t="str">
            <v>Catchmaster</v>
          </cell>
          <cell r="D108" t="str">
            <v>Catchmaster Multi-Catch Mouse Trap 3pk, Live Catch Metal Mouse Trap Box</v>
          </cell>
          <cell r="E108" t="str">
            <v>https://www.amazon.com/dp/B07VFKPK3T?psc=1</v>
          </cell>
          <cell r="F108" t="str">
            <v>Rodent Control</v>
          </cell>
          <cell r="G108" t="str">
            <v>Live Catch Traps</v>
          </cell>
          <cell r="H108" t="str">
            <v>Rodent Control - Live Catch Traps</v>
          </cell>
          <cell r="I108" t="str">
            <v>Rodent</v>
          </cell>
        </row>
        <row r="109">
          <cell r="A109" t="str">
            <v>B08HPFR3FN</v>
          </cell>
          <cell r="B109" t="str">
            <v>Catchmaster</v>
          </cell>
          <cell r="C109" t="str">
            <v>CatchMaster</v>
          </cell>
          <cell r="D109" t="str">
            <v>Catchmaster Extra Sticky Insect &amp; Mouse Traps 12-Count, 5.3"x8" Glue Boards for Mice &amp; Insects, Ultra Sticky Rat &amp; MouseTraps Indoor for Home Use in Garages, Basements &amp; Attics, Pest Control for Home</v>
          </cell>
          <cell r="E109" t="str">
            <v>https://www.amazon.com/dp/B08HPFR3FN</v>
          </cell>
          <cell r="F109" t="str">
            <v>Rodent Control</v>
          </cell>
          <cell r="G109" t="str">
            <v>Glue Traps</v>
          </cell>
          <cell r="H109" t="str">
            <v>Rodent Control - Glue Traps</v>
          </cell>
          <cell r="I109" t="str">
            <v>Rodent</v>
          </cell>
        </row>
        <row r="110">
          <cell r="A110" t="str">
            <v>B00CEEF7PI</v>
          </cell>
          <cell r="B110" t="str">
            <v>Catchmaster</v>
          </cell>
          <cell r="C110" t="str">
            <v>CatchMaster</v>
          </cell>
          <cell r="D110" t="str">
            <v>Catchmaster Rat &amp; Mouse Glue Traps 8 Pack, Large Heavy Duty Sticky Traps</v>
          </cell>
          <cell r="E110" t="str">
            <v>https://www.amazon.com/dp/B00CEEF7PI?psc=1</v>
          </cell>
          <cell r="F110" t="str">
            <v>Rodent Control</v>
          </cell>
          <cell r="G110" t="str">
            <v>Glue Traps</v>
          </cell>
          <cell r="H110" t="str">
            <v>Rodent Control - Glue Traps</v>
          </cell>
          <cell r="I110" t="str">
            <v>Rodent</v>
          </cell>
        </row>
        <row r="111">
          <cell r="A111" t="str">
            <v>B0G7P1FNX4</v>
          </cell>
          <cell r="B111" t="str">
            <v>Catchmaster</v>
          </cell>
          <cell r="C111" t="str">
            <v>AP&amp;G</v>
          </cell>
          <cell r="D111" t="str">
            <v>Catchmaster Catch &amp; Toss No Touch Mouse &amp; Insect Glue Traps Indoor, 2 Pack</v>
          </cell>
          <cell r="E111" t="str">
            <v>https://www.amazon.com/dp/B0G7P1FNX4</v>
          </cell>
          <cell r="F111" t="str">
            <v>Rodent Control</v>
          </cell>
          <cell r="G111" t="str">
            <v>Glue Traps</v>
          </cell>
          <cell r="H111" t="str">
            <v>Rodent Control - Glue Traps</v>
          </cell>
          <cell r="I111" t="str">
            <v>Rodent</v>
          </cell>
        </row>
        <row r="112">
          <cell r="A112" t="str">
            <v>B0CFS1KTQ7</v>
          </cell>
          <cell r="B112" t="str">
            <v>Catchmaster</v>
          </cell>
          <cell r="C112" t="str">
            <v>Catchmaster</v>
          </cell>
          <cell r="D112" t="str">
            <v>Catchmaster 20pk Mouse Glue Traps Indoor for Home, Sticky Mouse &amp; Bug Traps</v>
          </cell>
          <cell r="E112" t="str">
            <v>https://www.amazon.com/dp/B0CFS1KTQ7?psc=1</v>
          </cell>
          <cell r="F112" t="str">
            <v>Rodent Control</v>
          </cell>
          <cell r="G112" t="str">
            <v>Glue Traps</v>
          </cell>
          <cell r="H112" t="str">
            <v>Rodent Control - Glue Traps</v>
          </cell>
          <cell r="I112" t="str">
            <v>Rodent</v>
          </cell>
        </row>
        <row r="113">
          <cell r="A113" t="str">
            <v>B005IMZ9SI</v>
          </cell>
          <cell r="B113" t="str">
            <v>Catchmaster</v>
          </cell>
          <cell r="C113" t="str">
            <v>Atlantic Paste and Glue Co. Inc.</v>
          </cell>
          <cell r="D113" t="str">
            <v>Catchmaster Gluee Louee XL Rat &amp; Mouse Glue Traps 30 Pack, Bulk Heavy Duty</v>
          </cell>
          <cell r="E113" t="str">
            <v>https://www.amazon.com/dp/B005IMZ9SI</v>
          </cell>
          <cell r="F113" t="str">
            <v>Rodent Control</v>
          </cell>
          <cell r="G113" t="str">
            <v>Glue Traps</v>
          </cell>
          <cell r="H113" t="str">
            <v>Rodent Control - Glue Traps</v>
          </cell>
          <cell r="I113" t="str">
            <v>Rodent</v>
          </cell>
        </row>
        <row r="114">
          <cell r="A114" t="str">
            <v>B0757F2D74</v>
          </cell>
          <cell r="B114" t="str">
            <v>Catchmaster</v>
          </cell>
          <cell r="C114" t="str">
            <v>Catchmaster</v>
          </cell>
          <cell r="D114" t="str">
            <v>Catchmaster Rat &amp; Mouse Glue Traps with Sticky Putty 2Pk, Large Bulk Glue Board, Rat &amp; Mouse Traps Indoor for Home, Adhesive Plastic Tray for Snakes, Mice &amp; Spiders, Pest Control for House &amp; Garage</v>
          </cell>
          <cell r="E114" t="str">
            <v>https://www.amazon.com/dp/B0757F2D74?psc=1</v>
          </cell>
          <cell r="F114" t="str">
            <v>Rodent Control</v>
          </cell>
          <cell r="G114" t="str">
            <v>Glue Traps</v>
          </cell>
          <cell r="H114" t="str">
            <v>Rodent Control - Glue Traps</v>
          </cell>
          <cell r="I114" t="str">
            <v>Rodent</v>
          </cell>
        </row>
        <row r="115">
          <cell r="A115" t="str">
            <v>B07VBB7LHD</v>
          </cell>
          <cell r="B115" t="str">
            <v>Catchmaster</v>
          </cell>
          <cell r="C115" t="str">
            <v>Catchmaster</v>
          </cell>
          <cell r="D115" t="str">
            <v>Catchmaster Multi-Catch Mouse Trap 6pk, Live Catch Metal Mouse Trap Box</v>
          </cell>
          <cell r="E115" t="str">
            <v>https://www.amazon.com/dp/B07VBB7LHD?psc=1</v>
          </cell>
          <cell r="F115" t="str">
            <v>Rodent Control</v>
          </cell>
          <cell r="G115" t="str">
            <v>Live Catch Traps</v>
          </cell>
          <cell r="H115" t="str">
            <v>Rodent Control - Live Catch Traps</v>
          </cell>
          <cell r="I115" t="str">
            <v>Rodent</v>
          </cell>
        </row>
        <row r="116">
          <cell r="A116" t="str">
            <v>B005968T1M</v>
          </cell>
          <cell r="B116" t="str">
            <v>Catchmaster</v>
          </cell>
          <cell r="C116">
            <v>0</v>
          </cell>
          <cell r="D116" t="str">
            <v>Pest Pro Mouse, Spider, Roach &amp; Insect Glue Boards - 75 Count - Peanut Butter Scented (Non-Allergenic)</v>
          </cell>
          <cell r="E116" t="str">
            <v>https://www.amazon.com/dp/B005968T1M</v>
          </cell>
          <cell r="F116" t="str">
            <v>Rodent Control</v>
          </cell>
          <cell r="G116" t="str">
            <v>Glue Traps</v>
          </cell>
          <cell r="H116" t="str">
            <v>Rodent Control - Glue Traps</v>
          </cell>
          <cell r="I116" t="str">
            <v>Rodent</v>
          </cell>
        </row>
        <row r="117">
          <cell r="A117" t="str">
            <v>B085LQ18MR</v>
          </cell>
          <cell r="B117" t="str">
            <v>Catchmaster</v>
          </cell>
          <cell r="C117" t="str">
            <v>Catchmaster</v>
          </cell>
          <cell r="D117" t="str">
            <v>Catchmaster Multi-Catch Mouse Trap 12-Pack Refill, Humane Mouse Traps Indoor for Home, Includes Replaceable Glue Boards, Live Catch Pest Control for Garage &amp; Shed</v>
          </cell>
          <cell r="E117" t="str">
            <v>https://www.amazon.com/dp/B085LQ18MR?psc=1</v>
          </cell>
          <cell r="F117" t="str">
            <v>Rodent Control</v>
          </cell>
          <cell r="G117" t="str">
            <v>Glue Traps</v>
          </cell>
          <cell r="H117" t="str">
            <v>Rodent Control - Glue Traps</v>
          </cell>
          <cell r="I117" t="str">
            <v>Rodent</v>
          </cell>
        </row>
        <row r="118">
          <cell r="A118" t="str">
            <v>B07YCVK6KJ</v>
          </cell>
          <cell r="B118" t="str">
            <v>Catchmaster</v>
          </cell>
          <cell r="C118" t="str">
            <v>Catchmaster</v>
          </cell>
          <cell r="D118" t="str">
            <v>Catchmaster Freeze Resistant Glue Traps 6PK Mouse Traps Indoor for Home, Pest Control Tray for Rodents, Bugs &amp; Crickets, Cold Weather Glue Board for House, Shed &amp; Garage</v>
          </cell>
          <cell r="E118" t="str">
            <v>https://www.amazon.com/dp/B07YCVK6KJ?psc=1</v>
          </cell>
          <cell r="F118" t="str">
            <v>Rodent Control</v>
          </cell>
          <cell r="G118" t="str">
            <v>Glue Traps</v>
          </cell>
          <cell r="H118" t="str">
            <v>Rodent Control - Glue Traps</v>
          </cell>
          <cell r="I118" t="str">
            <v>Rodent</v>
          </cell>
        </row>
        <row r="119">
          <cell r="A119" t="str">
            <v>B084H1TJ57</v>
          </cell>
          <cell r="B119" t="str">
            <v>Catchmaster</v>
          </cell>
          <cell r="C119" t="str">
            <v>Catchmaster</v>
          </cell>
          <cell r="D119" t="str">
            <v>Catchmaster-6 Freeze Resistant Mouse &amp; Insect Glue Traps, Indoor for Home, Pest Control Adhesive Tray, Catch Bugs, Crickets, Spiders, Rats, Pet Safe Glue Boards for Cold Weather, House, Shed &amp; Garage</v>
          </cell>
          <cell r="E119" t="str">
            <v>https://www.amazon.com/dp/B084H1TJ57?psc=1</v>
          </cell>
          <cell r="F119" t="str">
            <v>Rodent Control</v>
          </cell>
          <cell r="G119" t="str">
            <v>Glue Traps</v>
          </cell>
          <cell r="H119" t="str">
            <v>Rodent Control - Glue Traps</v>
          </cell>
          <cell r="I119" t="str">
            <v>Rodent</v>
          </cell>
        </row>
        <row r="120">
          <cell r="A120" t="str">
            <v>B0D3JDQKHC</v>
          </cell>
          <cell r="B120" t="str">
            <v>Catchmaster</v>
          </cell>
          <cell r="C120" t="str">
            <v>Catchmaster</v>
          </cell>
          <cell r="D120" t="str">
            <v>Catchmaster Multi-Catch Mouse Trap, Humane Mouse Trap Indoor for Home, Includes 1 Replaceable Glue Board, Live Catch Pest Control for Garage &amp; Shed</v>
          </cell>
          <cell r="E120" t="str">
            <v>https://www.amazon.com/dp/B0D3JDQKHC?psc=1</v>
          </cell>
          <cell r="F120" t="str">
            <v>Rodent Control</v>
          </cell>
          <cell r="G120" t="str">
            <v>Glue Traps</v>
          </cell>
          <cell r="H120" t="str">
            <v>Rodent Control - Glue Traps</v>
          </cell>
          <cell r="I120" t="str">
            <v>Rodent</v>
          </cell>
        </row>
        <row r="121">
          <cell r="A121" t="str">
            <v>B0FNFDDLVN</v>
          </cell>
          <cell r="B121" t="str">
            <v>Catchmaster</v>
          </cell>
          <cell r="C121" t="str">
            <v>Catchmaster</v>
          </cell>
          <cell r="D121" t="str">
            <v>Catchmaster Multi-Catch Mouse Trap, Humane Mouse Trap Indoor for Home, Includes 1 Replaceable Glue Board, Live Catch Pest Control for Garage &amp; Shed (Black)</v>
          </cell>
          <cell r="E121" t="str">
            <v>https://www.amazon.com/dp/B0FNFDDLVN?psc=1</v>
          </cell>
          <cell r="F121" t="str">
            <v>Rodent Control</v>
          </cell>
          <cell r="G121" t="str">
            <v>Glue Traps</v>
          </cell>
          <cell r="H121" t="str">
            <v>Rodent Control - Glue Traps</v>
          </cell>
          <cell r="I121" t="str">
            <v>Rodent</v>
          </cell>
        </row>
        <row r="122">
          <cell r="A122" t="str">
            <v>B015BSSHBY</v>
          </cell>
          <cell r="B122" t="str">
            <v>Catchmaster</v>
          </cell>
          <cell r="C122" t="str">
            <v>AP</v>
          </cell>
          <cell r="D122" t="str">
            <v>72 Catchmaster Mouse Insect Glue Boards 72mb Mice Roach Spider Flea Sticky Trap"</v>
          </cell>
          <cell r="E122" t="str">
            <v>https://www.amazon.com/dp/B015BSSHBY</v>
          </cell>
          <cell r="F122" t="str">
            <v>Rodent Control</v>
          </cell>
          <cell r="G122" t="str">
            <v>Glue Traps</v>
          </cell>
          <cell r="H122" t="str">
            <v>Rodent Control - Glue Traps</v>
          </cell>
          <cell r="I122" t="str">
            <v>Rodent</v>
          </cell>
        </row>
        <row r="123">
          <cell r="A123" t="str">
            <v>B08FBJPWWP</v>
          </cell>
          <cell r="B123" t="str">
            <v>Catchmaster</v>
          </cell>
          <cell r="C123" t="str">
            <v>Catchmaster</v>
          </cell>
          <cell r="D123" t="str">
            <v>Catchmaster Catch Zone Pest Boundary Roll 60ft, Glue Trap Roll, Rodent Tape</v>
          </cell>
          <cell r="E123" t="str">
            <v>https://www.amazon.com/dp/B08FBJPWWP</v>
          </cell>
          <cell r="F123" t="str">
            <v>Rodent Control</v>
          </cell>
          <cell r="G123" t="str">
            <v>Glue Traps</v>
          </cell>
          <cell r="H123" t="str">
            <v>Rodent Control - Glue Traps</v>
          </cell>
          <cell r="I123" t="str">
            <v>Rodent</v>
          </cell>
        </row>
        <row r="124">
          <cell r="A124" t="str">
            <v>B076QK3HXD</v>
          </cell>
          <cell r="B124" t="str">
            <v>Catchmaster</v>
          </cell>
          <cell r="C124" t="str">
            <v>Catchmaster</v>
          </cell>
          <cell r="D124" t="str">
            <v>Full Case of 72 Catchmaster Mouse/Spider/Insect/Scorpion Glue Board Sticky Traps Peanut Butter Scent</v>
          </cell>
          <cell r="E124" t="str">
            <v>https://www.amazon.com/dp/B076QK3HXD</v>
          </cell>
          <cell r="F124" t="str">
            <v>Rodent Control</v>
          </cell>
          <cell r="G124" t="str">
            <v>Glue Traps</v>
          </cell>
          <cell r="H124" t="str">
            <v>Rodent Control - Glue Traps</v>
          </cell>
          <cell r="I124" t="str">
            <v>Rodent</v>
          </cell>
        </row>
        <row r="125">
          <cell r="A125" t="str">
            <v>B0097BC26I</v>
          </cell>
          <cell r="B125" t="str">
            <v>Catchmaster</v>
          </cell>
          <cell r="C125" t="str">
            <v>Catchmaster</v>
          </cell>
          <cell r="D125" t="str">
            <v>Catchmaster TRTD11386 72TC Glue Board Rodent and Insect Trap, Original Version</v>
          </cell>
          <cell r="E125" t="str">
            <v>https://www.amazon.com/dp/B0097BC26I</v>
          </cell>
          <cell r="F125" t="str">
            <v>Rodent Control</v>
          </cell>
          <cell r="G125" t="str">
            <v>Glue Traps</v>
          </cell>
          <cell r="H125" t="str">
            <v>Rodent Control - Glue Traps</v>
          </cell>
          <cell r="I125" t="str">
            <v>Rodent</v>
          </cell>
        </row>
        <row r="126">
          <cell r="A126" t="str">
            <v>B07K6TVBSS</v>
          </cell>
          <cell r="B126" t="str">
            <v>Catchmaster</v>
          </cell>
          <cell r="C126" t="str">
            <v>Atlantic Paste &amp; Glue Co.</v>
          </cell>
          <cell r="D126" t="str">
            <v>Catchmaster 72TB Mouse Glue Boards, 72 ct</v>
          </cell>
          <cell r="E126" t="str">
            <v>https://www.amazon.com/dp/B07K6TVBSS</v>
          </cell>
          <cell r="F126" t="str">
            <v>Rodent Control</v>
          </cell>
          <cell r="G126" t="str">
            <v>Glue Traps</v>
          </cell>
          <cell r="H126" t="str">
            <v>Rodent Control - Glue Traps</v>
          </cell>
          <cell r="I126" t="str">
            <v>Rodent</v>
          </cell>
        </row>
        <row r="127">
          <cell r="A127" t="str">
            <v>B0CQ8RSTC9</v>
          </cell>
          <cell r="B127" t="str">
            <v>Victor</v>
          </cell>
          <cell r="C127" t="str">
            <v>Woodstream Corporation</v>
          </cell>
          <cell r="D127" t="str">
            <v>Victor Metal Pedal Mouse Traps, 12-Pack, Reusable Wooden Snap Traps</v>
          </cell>
          <cell r="E127" t="str">
            <v>https://www.amazon.com/dp/B0CQ8RSTC9?psc=1</v>
          </cell>
          <cell r="F127" t="str">
            <v>Rodent Control</v>
          </cell>
          <cell r="G127" t="str">
            <v>Snap Traps</v>
          </cell>
          <cell r="H127" t="str">
            <v>Rodent Control - Snap Traps</v>
          </cell>
          <cell r="I127" t="str">
            <v>Rodent</v>
          </cell>
        </row>
        <row r="128">
          <cell r="A128" t="str">
            <v>B0CQ8SQCP3</v>
          </cell>
          <cell r="B128" t="str">
            <v>Victor</v>
          </cell>
          <cell r="C128" t="str">
            <v>Woodstream Corporation</v>
          </cell>
          <cell r="D128" t="str">
            <v>Victor Wide Pedal Mouse Traps, 12-Pack, Plastic Pedal Snap Traps</v>
          </cell>
          <cell r="E128" t="str">
            <v>https://www.amazon.com/dp/B0CQ8SQCP3?psc=1</v>
          </cell>
          <cell r="F128" t="str">
            <v>Rodent Control</v>
          </cell>
          <cell r="G128" t="str">
            <v>Snap Traps</v>
          </cell>
          <cell r="H128" t="str">
            <v>Rodent Control - Snap Traps</v>
          </cell>
          <cell r="I128" t="str">
            <v>Rodent</v>
          </cell>
        </row>
        <row r="129">
          <cell r="A129" t="str">
            <v>B083WPSXPZ</v>
          </cell>
          <cell r="B129" t="str">
            <v>Victor</v>
          </cell>
          <cell r="C129" t="str">
            <v>Victor</v>
          </cell>
          <cell r="D129" t="str">
            <v>Victor Rodent Killer, 4 lb Fish-Flavored Bait Balls, Mouse Poisoning Bait</v>
          </cell>
          <cell r="E129" t="str">
            <v>https://www.amazon.com/dp/B083WPSXPZ</v>
          </cell>
          <cell r="F129" t="str">
            <v>Rodent Control</v>
          </cell>
          <cell r="G129" t="str">
            <v>Bait &amp; Poison</v>
          </cell>
          <cell r="H129" t="str">
            <v>Rodent Control - Bait &amp; Poison</v>
          </cell>
          <cell r="I129" t="str">
            <v>Rodent</v>
          </cell>
        </row>
        <row r="130">
          <cell r="A130" t="str">
            <v>B0CQ8S545V</v>
          </cell>
          <cell r="B130" t="str">
            <v>Victor</v>
          </cell>
          <cell r="C130" t="str">
            <v>Woodstream Corporation</v>
          </cell>
          <cell r="D130" t="str">
            <v>Victor Electronic Mouse Trap, 2-Pack, Indoor Electric Mouse Traps for Home</v>
          </cell>
          <cell r="E130" t="str">
            <v>https://www.amazon.com/dp/B0CQ8S545V?psc=1</v>
          </cell>
          <cell r="F130" t="str">
            <v>Rodent Control</v>
          </cell>
          <cell r="G130" t="str">
            <v>Electronic Traps</v>
          </cell>
          <cell r="H130" t="str">
            <v>Rodent Control - Electronic Traps</v>
          </cell>
          <cell r="I130" t="str">
            <v>Rodent</v>
          </cell>
        </row>
        <row r="131">
          <cell r="A131" t="str">
            <v>B09LDZKCN7</v>
          </cell>
          <cell r="B131" t="str">
            <v>Victor</v>
          </cell>
          <cell r="C131" t="str">
            <v>Woodstream Corporation</v>
          </cell>
          <cell r="D131" t="str">
            <v>Victor Power-Kill Mouse Traps, 6-Pack Humane Snap Traps</v>
          </cell>
          <cell r="E131" t="str">
            <v>https://www.amazon.com/dp/B09LDZKCN7</v>
          </cell>
          <cell r="F131" t="str">
            <v>Rodent Control</v>
          </cell>
          <cell r="G131" t="str">
            <v>Snap Traps</v>
          </cell>
          <cell r="H131" t="str">
            <v>Rodent Control - Snap Traps</v>
          </cell>
          <cell r="I131" t="str">
            <v>Rodent</v>
          </cell>
        </row>
        <row r="132">
          <cell r="A132" t="str">
            <v>B09R9DBWH6</v>
          </cell>
          <cell r="B132" t="str">
            <v>Victor</v>
          </cell>
          <cell r="C132" t="str">
            <v>Woodstream Corporation</v>
          </cell>
          <cell r="D132" t="str">
            <v>Victor Metal Pedal Sustainably Sourced FSC Wood Snap Mouse Trap - 20 Wooden Traps - M156-20 - Snap Traps for Mice - Reusable or Disposable Mouse Trap</v>
          </cell>
          <cell r="E132" t="str">
            <v>https://www.amazon.com/dp/B09R9DBWH6?psc=1</v>
          </cell>
          <cell r="F132" t="str">
            <v>Rodent Control</v>
          </cell>
          <cell r="G132" t="str">
            <v>Snap Traps</v>
          </cell>
          <cell r="H132" t="str">
            <v>Rodent Control - Snap Traps</v>
          </cell>
          <cell r="I132" t="str">
            <v>Rodent</v>
          </cell>
        </row>
        <row r="133">
          <cell r="A133" t="str">
            <v>B0CQ8QTXS9</v>
          </cell>
          <cell r="B133" t="str">
            <v>Victor</v>
          </cell>
          <cell r="C133" t="str">
            <v>Woodstream Corporation</v>
          </cell>
          <cell r="D133" t="str">
            <v>Victor Electronic Mouse Trap, Humane Indoor Electric Mouse Traps for Home</v>
          </cell>
          <cell r="E133" t="str">
            <v>https://www.amazon.com/dp/B0CQ8QTXS9?psc=1</v>
          </cell>
          <cell r="F133" t="str">
            <v>Rodent Control</v>
          </cell>
          <cell r="G133" t="str">
            <v>Electronic Traps</v>
          </cell>
          <cell r="H133" t="str">
            <v>Rodent Control - Electronic Traps</v>
          </cell>
          <cell r="I133" t="str">
            <v>Rodent</v>
          </cell>
        </row>
        <row r="134">
          <cell r="A134" t="str">
            <v>B09LDHP97G</v>
          </cell>
          <cell r="B134" t="str">
            <v>Victor</v>
          </cell>
          <cell r="C134" t="str">
            <v>Woodstream Corporation</v>
          </cell>
          <cell r="D134" t="str">
            <v>Victor Quick-Kill Mouse Traps, 6-Pack</v>
          </cell>
          <cell r="E134" t="str">
            <v>https://www.amazon.com/dp/B09LDHP97G?psc=1</v>
          </cell>
          <cell r="F134" t="str">
            <v>Rodent Control</v>
          </cell>
          <cell r="G134" t="str">
            <v>Other</v>
          </cell>
          <cell r="H134" t="str">
            <v>Rodent Control - Other</v>
          </cell>
          <cell r="I134" t="str">
            <v>Rodent</v>
          </cell>
        </row>
        <row r="135">
          <cell r="A135" t="str">
            <v>B0GTBL5T1G</v>
          </cell>
          <cell r="B135" t="str">
            <v>Victor</v>
          </cell>
          <cell r="C135" t="str">
            <v>Woodstream Corporation</v>
          </cell>
          <cell r="D135" t="str">
            <v>Victor Fast-Kill Bait Blocks II, 86-Count Rat and Mouse Poison Bait Blocks</v>
          </cell>
          <cell r="E135" t="str">
            <v>https://www.amazon.com/dp/B0GTBL5T1G</v>
          </cell>
          <cell r="F135" t="str">
            <v>Rodent Control</v>
          </cell>
          <cell r="G135" t="str">
            <v>Bait &amp; Poison</v>
          </cell>
          <cell r="H135" t="str">
            <v>Rodent Control - Bait &amp; Poison</v>
          </cell>
          <cell r="I135" t="str">
            <v>Rodent</v>
          </cell>
        </row>
        <row r="136">
          <cell r="A136" t="str">
            <v>B0CQ8RTXRT</v>
          </cell>
          <cell r="B136" t="str">
            <v>Victor</v>
          </cell>
          <cell r="C136" t="str">
            <v>Woodstream Corporation</v>
          </cell>
          <cell r="D136" t="str">
            <v>Victor Electronic Rat Trap 1-Pack, Indoor Humane Electric Rodent Killer</v>
          </cell>
          <cell r="E136" t="str">
            <v>https://www.amazon.com/dp/B0CQ8RTXRT</v>
          </cell>
          <cell r="F136" t="str">
            <v>Rodent Control</v>
          </cell>
          <cell r="G136" t="str">
            <v>Electronic Traps</v>
          </cell>
          <cell r="H136" t="str">
            <v>Rodent Control - Electronic Traps</v>
          </cell>
          <cell r="I136" t="str">
            <v>Rodent</v>
          </cell>
        </row>
        <row r="137">
          <cell r="A137" t="str">
            <v>B0DH58VZ26</v>
          </cell>
          <cell r="B137" t="str">
            <v>Victor</v>
          </cell>
          <cell r="C137" t="str">
            <v>Woodstream Corporation</v>
          </cell>
          <cell r="D137" t="str">
            <v>Victor Scent-Away Mouse Repellent Pouches 10-Pack, Natural Rodent Deterrent</v>
          </cell>
          <cell r="E137" t="str">
            <v>https://www.amazon.com/dp/B0DH58VZ26?psc=1</v>
          </cell>
          <cell r="F137" t="str">
            <v>Rodent Control</v>
          </cell>
          <cell r="G137" t="str">
            <v>Repellents</v>
          </cell>
          <cell r="H137" t="str">
            <v>Rodent Control - Repellents</v>
          </cell>
          <cell r="I137" t="str">
            <v>Rodent</v>
          </cell>
        </row>
        <row r="138">
          <cell r="A138" t="str">
            <v>B00Q71KSG2</v>
          </cell>
          <cell r="B138" t="str">
            <v>Victor</v>
          </cell>
          <cell r="C138" t="str">
            <v>Woodstream Corporation</v>
          </cell>
          <cell r="D138" t="str">
            <v>Victor M309 Professional Glue Boards for Insect and Rodent monitoring - 72 Glue Boards</v>
          </cell>
          <cell r="E138" t="str">
            <v>https://www.amazon.com/dp/B00Q71KSG2?psc=1</v>
          </cell>
          <cell r="F138" t="str">
            <v>Rodent Control</v>
          </cell>
          <cell r="G138" t="str">
            <v>Glue Traps</v>
          </cell>
          <cell r="H138" t="str">
            <v>Rodent Control - Glue Traps</v>
          </cell>
          <cell r="I138" t="str">
            <v>Rodent</v>
          </cell>
        </row>
        <row r="139">
          <cell r="A139" t="str">
            <v>B0BCMSRSNC</v>
          </cell>
          <cell r="B139" t="str">
            <v>Victor</v>
          </cell>
          <cell r="C139" t="str">
            <v>Woodstream Corporation</v>
          </cell>
          <cell r="D139" t="str">
            <v>Victor Refillable Rodent Bait Station - XL Rodenticide Bait Station - Also Holds Rat Traps - Indoor and Outdoor Use - M901RB - Poison and Kill Rats</v>
          </cell>
          <cell r="E139" t="str">
            <v>https://www.amazon.com/dp/B0BCMSRSNC</v>
          </cell>
          <cell r="F139" t="str">
            <v>Rodent Control</v>
          </cell>
          <cell r="G139" t="str">
            <v>Bait &amp; Poison</v>
          </cell>
          <cell r="H139" t="str">
            <v>Rodent Control - Bait &amp; Poison</v>
          </cell>
          <cell r="I139" t="str">
            <v>Rodent</v>
          </cell>
        </row>
        <row r="140">
          <cell r="A140" t="str">
            <v>B07VC9KSJ7</v>
          </cell>
          <cell r="B140" t="str">
            <v>Victor</v>
          </cell>
          <cell r="C140" t="str">
            <v>Woodstream Corporation</v>
          </cell>
          <cell r="D140" t="str">
            <v>Victor PestChaser Rodent Repellent with Nightlight, 6-Pack</v>
          </cell>
          <cell r="E140" t="str">
            <v>https://www.amazon.com/dp/B07VC9KSJ7?psc=1</v>
          </cell>
          <cell r="F140" t="str">
            <v>Rodent Control</v>
          </cell>
          <cell r="G140" t="str">
            <v>Repellents</v>
          </cell>
          <cell r="H140" t="str">
            <v>Rodent Control - Repellents</v>
          </cell>
          <cell r="I140" t="str">
            <v>Rodent</v>
          </cell>
        </row>
        <row r="141">
          <cell r="A141" t="str">
            <v>B000VYD0MA</v>
          </cell>
          <cell r="B141" t="str">
            <v>Victor</v>
          </cell>
          <cell r="C141" t="str">
            <v>Victor</v>
          </cell>
          <cell r="D141" t="str">
            <v>Victor Easy Set Gopher Trap, 2-Pack, Weather-Resistant Rodent Traps</v>
          </cell>
          <cell r="E141" t="str">
            <v>https://www.amazon.com/dp/B000VYD0MA?psc=1</v>
          </cell>
          <cell r="F141" t="str">
            <v>Rodent Control</v>
          </cell>
          <cell r="G141" t="str">
            <v>Ant Traps</v>
          </cell>
          <cell r="H141" t="str">
            <v>Rodent Control - Ant Traps</v>
          </cell>
          <cell r="I141" t="str">
            <v>Rodent</v>
          </cell>
        </row>
        <row r="142">
          <cell r="A142" t="str">
            <v>B002665ZTC</v>
          </cell>
          <cell r="B142" t="str">
            <v>Victor</v>
          </cell>
          <cell r="C142" t="str">
            <v>Woodstream Corporation</v>
          </cell>
          <cell r="D142" t="str">
            <v>Victor Rat Zapper Classic Indoor Electronic Mouse and Rat Trap - 1 Electric Trap - RZC001-4 - Kill Up To 20 Rats - Easy to Use - LED Light Catch Alerts - Humanely Kill Mice and Rats - No See, No Touch</v>
          </cell>
          <cell r="E142" t="str">
            <v>https://www.amazon.com/dp/B002665ZTC?psc=1</v>
          </cell>
          <cell r="F142" t="str">
            <v>Rodent Control</v>
          </cell>
          <cell r="G142" t="str">
            <v>Electronic Traps</v>
          </cell>
          <cell r="H142" t="str">
            <v>Rodent Control - Electronic Traps</v>
          </cell>
          <cell r="I142" t="str">
            <v>Rodent</v>
          </cell>
        </row>
        <row r="143">
          <cell r="A143" t="str">
            <v>B07Q7DN41N</v>
          </cell>
          <cell r="B143" t="str">
            <v>Victor</v>
          </cell>
          <cell r="C143" t="str">
            <v>Woodstream Corporation</v>
          </cell>
          <cell r="D143" t="str">
            <v>Victor Tin Cat Multi-Catch Live Mouse Traps, 2-Pack</v>
          </cell>
          <cell r="E143" t="str">
            <v>https://www.amazon.com/dp/B07Q7DN41N</v>
          </cell>
          <cell r="F143" t="str">
            <v>Rodent Control</v>
          </cell>
          <cell r="G143" t="str">
            <v>Live Catch Traps</v>
          </cell>
          <cell r="H143" t="str">
            <v>Rodent Control - Live Catch Traps</v>
          </cell>
          <cell r="I143" t="str">
            <v>Rodent</v>
          </cell>
        </row>
        <row r="144">
          <cell r="A144" t="str">
            <v>B0CQ8SGK6W</v>
          </cell>
          <cell r="B144" t="str">
            <v>Victor</v>
          </cell>
          <cell r="C144" t="str">
            <v>Woodstream Corporation</v>
          </cell>
          <cell r="D144" t="str">
            <v>Victor Electronic Mouse Trap, 3-Pack, Indoor Electric Mouse Traps for Home</v>
          </cell>
          <cell r="E144" t="str">
            <v>https://www.amazon.com/dp/B0CQ8SGK6W?psc=1</v>
          </cell>
          <cell r="F144" t="str">
            <v>Rodent Control</v>
          </cell>
          <cell r="G144" t="str">
            <v>Electronic Traps</v>
          </cell>
          <cell r="H144" t="str">
            <v>Rodent Control - Electronic Traps</v>
          </cell>
          <cell r="I144" t="str">
            <v>Rodent</v>
          </cell>
        </row>
        <row r="145">
          <cell r="A145" t="str">
            <v>B07CML1TM4</v>
          </cell>
          <cell r="B145" t="str">
            <v>Victor</v>
          </cell>
          <cell r="C145" t="str">
            <v>Woodstream Corporation</v>
          </cell>
          <cell r="D145" t="str">
            <v>Victor Rat-A-Way Rat &amp; Mouse Repellent - Repel Rodents Outdoors with Essential Oils - Biodegradable Pellets - Natural, Non-Toxic &amp; Poison-Free Rodent Repeller for Rats and Mice - M807 - 3 lb Bag</v>
          </cell>
          <cell r="E145" t="str">
            <v>https://www.amazon.com/dp/B07CML1TM4?psc=1</v>
          </cell>
          <cell r="F145" t="str">
            <v>Rodent Control</v>
          </cell>
          <cell r="G145" t="str">
            <v>Bait &amp; Poison</v>
          </cell>
          <cell r="H145" t="str">
            <v>Rodent Control - Bait &amp; Poison</v>
          </cell>
          <cell r="I145" t="str">
            <v>Rodent</v>
          </cell>
        </row>
        <row r="146">
          <cell r="A146" t="str">
            <v>B00SDTPS3E</v>
          </cell>
          <cell r="B146" t="str">
            <v>Victor</v>
          </cell>
          <cell r="C146" t="str">
            <v>Victor</v>
          </cell>
          <cell r="D146" t="str">
            <v>Victor m154 metal pedal mouse trap (8)</v>
          </cell>
          <cell r="E146" t="str">
            <v>https://www.amazon.com/dp/B00SDTPS3E?psc=1</v>
          </cell>
          <cell r="F146" t="str">
            <v>Rodent Control</v>
          </cell>
          <cell r="G146" t="str">
            <v>Snap Traps</v>
          </cell>
          <cell r="H146" t="str">
            <v>Rodent Control - Snap Traps</v>
          </cell>
          <cell r="I146" t="str">
            <v>Rodent</v>
          </cell>
        </row>
        <row r="147">
          <cell r="A147" t="str">
            <v>B01C3B82P8</v>
          </cell>
          <cell r="B147" t="str">
            <v>Victor</v>
          </cell>
          <cell r="C147" t="str">
            <v>Victor</v>
          </cell>
          <cell r="D147" t="str">
            <v>Victor Easy Set Mouse Trap (4 Pack)</v>
          </cell>
          <cell r="E147" t="str">
            <v>https://www.amazon.com/dp/B01C3B82P8</v>
          </cell>
          <cell r="F147" t="str">
            <v>Rodent Control</v>
          </cell>
          <cell r="G147" t="str">
            <v>Other</v>
          </cell>
          <cell r="H147" t="str">
            <v>Rodent Control - Other</v>
          </cell>
          <cell r="I147" t="str">
            <v>Rodent</v>
          </cell>
        </row>
        <row r="148">
          <cell r="A148" t="str">
            <v>B001B1OI0A</v>
          </cell>
          <cell r="B148" t="str">
            <v>Victor</v>
          </cell>
          <cell r="C148" t="str">
            <v>Victor</v>
          </cell>
          <cell r="D148" t="str">
            <v>Victor PestChaser Pro Heavy-Duty Ultrasonic Rodent Repeller</v>
          </cell>
          <cell r="E148" t="str">
            <v>https://www.amazon.com/dp/B001B1OI0A?psc=1</v>
          </cell>
          <cell r="F148" t="str">
            <v>Rodent Control</v>
          </cell>
          <cell r="G148" t="str">
            <v>Other</v>
          </cell>
          <cell r="H148" t="str">
            <v>Rodent Control - Other</v>
          </cell>
          <cell r="I148" t="str">
            <v>Rodent</v>
          </cell>
        </row>
        <row r="149">
          <cell r="A149" t="str">
            <v>B07RJTFX87</v>
          </cell>
          <cell r="B149" t="str">
            <v>Victor</v>
          </cell>
          <cell r="C149" t="str">
            <v>Woodstream Corporation</v>
          </cell>
          <cell r="D149" t="str">
            <v>Victor Fast-Kill Brand Refillable Mouse Poison Bait Station - 20 Baits - Dual Entry Design - M923</v>
          </cell>
          <cell r="E149" t="str">
            <v>https://www.amazon.com/dp/B07RJTFX87?psc=1</v>
          </cell>
          <cell r="F149" t="str">
            <v>Rodent Control</v>
          </cell>
          <cell r="G149" t="str">
            <v>Bait &amp; Poison</v>
          </cell>
          <cell r="H149" t="str">
            <v>Rodent Control - Bait &amp; Poison</v>
          </cell>
          <cell r="I149" t="str">
            <v>Rodent</v>
          </cell>
        </row>
        <row r="150">
          <cell r="A150" t="str">
            <v>B01MSJJKKA</v>
          </cell>
          <cell r="B150" t="str">
            <v>Victor</v>
          </cell>
          <cell r="C150" t="str">
            <v>Victor</v>
          </cell>
          <cell r="D150" t="str">
            <v>Victor M156 Metal Pedal Sustainably Sourced FSC Wood Snap Mouse Trap - 64 Traps</v>
          </cell>
          <cell r="E150" t="str">
            <v>https://www.amazon.com/dp/B01MSJJKKA?psc=1</v>
          </cell>
          <cell r="F150" t="str">
            <v>Rodent Control</v>
          </cell>
          <cell r="G150" t="str">
            <v>Snap Traps</v>
          </cell>
          <cell r="H150" t="str">
            <v>Rodent Control - Snap Traps</v>
          </cell>
          <cell r="I150" t="str">
            <v>Rodent</v>
          </cell>
        </row>
        <row r="151">
          <cell r="A151" t="str">
            <v>B00004RAN4</v>
          </cell>
          <cell r="B151" t="str">
            <v>Victor</v>
          </cell>
          <cell r="C151" t="str">
            <v>Victor</v>
          </cell>
          <cell r="D151" t="str">
            <v>VICTOR Easy Set Mouse Trap - 2Pk</v>
          </cell>
          <cell r="E151" t="str">
            <v>https://www.amazon.com/dp/B00004RAN4?psc=1</v>
          </cell>
          <cell r="F151" t="str">
            <v>Rodent Control</v>
          </cell>
          <cell r="G151" t="str">
            <v>Other</v>
          </cell>
          <cell r="H151" t="str">
            <v>Rodent Control - Other</v>
          </cell>
          <cell r="I151" t="str">
            <v>Rodent</v>
          </cell>
        </row>
        <row r="152">
          <cell r="A152" t="str">
            <v>B07H57FS1H</v>
          </cell>
          <cell r="B152" t="str">
            <v>Victor</v>
          </cell>
          <cell r="C152" t="str">
            <v>Woodstream Corporation</v>
          </cell>
          <cell r="D152" t="str">
            <v>Victor M158-4 Metal Pedal Mouse Trap, 32 Traps</v>
          </cell>
          <cell r="E152" t="str">
            <v>https://www.amazon.com/dp/B07H57FS1H?psc=1</v>
          </cell>
          <cell r="F152" t="str">
            <v>Rodent Control</v>
          </cell>
          <cell r="G152" t="str">
            <v>Snap Traps</v>
          </cell>
          <cell r="H152" t="str">
            <v>Rodent Control - Snap Traps</v>
          </cell>
          <cell r="I152" t="str">
            <v>Rodent</v>
          </cell>
        </row>
        <row r="153">
          <cell r="A153" t="str">
            <v>B0CQ8S7QH8</v>
          </cell>
          <cell r="B153" t="str">
            <v>Victor</v>
          </cell>
          <cell r="C153" t="str">
            <v>Woodstream Corporation</v>
          </cell>
          <cell r="D153" t="str">
            <v>Victor Catch &amp; Hold Mouse Traps, 3-Pack</v>
          </cell>
          <cell r="E153" t="str">
            <v>https://www.amazon.com/dp/B0CQ8S7QH8?psc=1</v>
          </cell>
          <cell r="F153" t="str">
            <v>Rodent Control</v>
          </cell>
          <cell r="G153" t="str">
            <v>Live Catch Traps</v>
          </cell>
          <cell r="H153" t="str">
            <v>Rodent Control - Live Catch Traps</v>
          </cell>
          <cell r="I153" t="str">
            <v>Rodent</v>
          </cell>
        </row>
        <row r="154">
          <cell r="A154" t="str">
            <v>B0C7XK7PW4</v>
          </cell>
          <cell r="B154" t="str">
            <v>Victor</v>
          </cell>
          <cell r="C154" t="str">
            <v>Woodstream Corporation</v>
          </cell>
          <cell r="D154" t="str">
            <v>Victor M142-3B Victor Power-Kill Mouse Trap - 3 Pack</v>
          </cell>
          <cell r="E154" t="str">
            <v>https://www.amazon.com/dp/B0C7XK7PW4?psc=1</v>
          </cell>
          <cell r="F154" t="str">
            <v>Rodent Control</v>
          </cell>
          <cell r="G154" t="str">
            <v>Snap Traps</v>
          </cell>
          <cell r="H154" t="str">
            <v>Rodent Control - Snap Traps</v>
          </cell>
          <cell r="I154" t="str">
            <v>Rodent</v>
          </cell>
        </row>
        <row r="155">
          <cell r="A155" t="str">
            <v>B07YNHYG8M</v>
          </cell>
          <cell r="B155" t="str">
            <v>Victor</v>
          </cell>
          <cell r="C155" t="str">
            <v>Woodstream Corporation</v>
          </cell>
          <cell r="D155" t="str">
            <v>Victor Mouse and Rat Repellent Spray, 32 oz Bottle</v>
          </cell>
          <cell r="E155" t="str">
            <v>https://www.amazon.com/dp/B07YNHYG8M?psc=1</v>
          </cell>
          <cell r="F155" t="str">
            <v>Rodent Control</v>
          </cell>
          <cell r="G155" t="str">
            <v>Repellents</v>
          </cell>
          <cell r="H155" t="str">
            <v>Rodent Control - Repellents</v>
          </cell>
          <cell r="I155" t="str">
            <v>Rodent</v>
          </cell>
        </row>
        <row r="156">
          <cell r="A156" t="str">
            <v>B00C1NN4B6</v>
          </cell>
          <cell r="B156" t="str">
            <v>Victor</v>
          </cell>
          <cell r="C156" t="str">
            <v>Woodstream Corporation</v>
          </cell>
          <cell r="D156" t="str">
            <v>Victor Metal Pedal Sustainably Sourced FSC Wood Snap Mouse Trap - 4 Wooden Traps - M156 - Snap Traps for Mice - Reusable or Disposable Mouse Trap</v>
          </cell>
          <cell r="E156" t="str">
            <v>https://www.amazon.com/dp/B00C1NN4B6?psc=1</v>
          </cell>
          <cell r="F156" t="str">
            <v>Rodent Control</v>
          </cell>
          <cell r="G156" t="str">
            <v>Snap Traps</v>
          </cell>
          <cell r="H156" t="str">
            <v>Rodent Control - Snap Traps</v>
          </cell>
          <cell r="I156" t="str">
            <v>Rodent</v>
          </cell>
        </row>
        <row r="157">
          <cell r="A157" t="str">
            <v>B075QRXRGH</v>
          </cell>
          <cell r="B157" t="str">
            <v>Victor</v>
          </cell>
          <cell r="C157" t="str">
            <v>WOPDD</v>
          </cell>
          <cell r="D157" t="str">
            <v>Victor Easy Set Mouse Trap - 18 Pack (72 Total Traps)</v>
          </cell>
          <cell r="E157" t="str">
            <v>https://www.amazon.com/dp/B075QRXRGH?psc=1</v>
          </cell>
          <cell r="F157" t="str">
            <v>Rodent Control</v>
          </cell>
          <cell r="G157" t="str">
            <v>Other</v>
          </cell>
          <cell r="H157" t="str">
            <v>Rodent Control - Other</v>
          </cell>
          <cell r="I157" t="str">
            <v>Rodent</v>
          </cell>
        </row>
        <row r="158">
          <cell r="A158" t="str">
            <v>B07QHPSJBP</v>
          </cell>
          <cell r="B158" t="str">
            <v>Victor</v>
          </cell>
          <cell r="C158" t="str">
            <v>Woodstream Corporation</v>
          </cell>
          <cell r="D158" t="str">
            <v>Victor M250SSR-3 Indoor Humane Electronic Mouse Trap - No Touch, No See Electric Instant Kill Mouse Trap - 3 Traps</v>
          </cell>
          <cell r="E158" t="str">
            <v>https://www.amazon.com/dp/B07QHPSJBP?psc=1</v>
          </cell>
          <cell r="F158" t="str">
            <v>Rodent Control</v>
          </cell>
          <cell r="G158" t="str">
            <v>Electronic Traps</v>
          </cell>
          <cell r="H158" t="str">
            <v>Rodent Control - Electronic Traps</v>
          </cell>
          <cell r="I158" t="str">
            <v>Rodent</v>
          </cell>
        </row>
        <row r="159">
          <cell r="A159" t="str">
            <v>B07BZVXJB4</v>
          </cell>
          <cell r="B159" t="str">
            <v>Victor</v>
          </cell>
          <cell r="C159" t="str">
            <v>Woodstream</v>
          </cell>
          <cell r="D159" t="str">
            <v>Victor M250S Indoor Humane Electronic Mouse Trap - No Touch, No See Electric Instant Kill Mouse Trap - 4 Traps</v>
          </cell>
          <cell r="E159" t="str">
            <v>https://www.amazon.com/dp/B07BZVXJB4?psc=1</v>
          </cell>
          <cell r="F159" t="str">
            <v>Rodent Control</v>
          </cell>
          <cell r="G159" t="str">
            <v>Electronic Traps</v>
          </cell>
          <cell r="H159" t="str">
            <v>Rodent Control - Electronic Traps</v>
          </cell>
          <cell r="I159" t="str">
            <v>Rodent</v>
          </cell>
        </row>
        <row r="160">
          <cell r="A160" t="str">
            <v>B0C7XVCDCW</v>
          </cell>
          <cell r="B160" t="str">
            <v>Victor</v>
          </cell>
          <cell r="C160" t="str">
            <v>Woodstream Corporation</v>
          </cell>
          <cell r="D160" t="str">
            <v>Victor M142B Power-Kill Mouse Trap - Snap Traps for Mice - Plastic Mouse Traps - Indoor, Outdoor Mousetraps</v>
          </cell>
          <cell r="E160" t="str">
            <v>https://www.amazon.com/dp/B0C7XVCDCW?psc=1</v>
          </cell>
          <cell r="F160" t="str">
            <v>Rodent Control</v>
          </cell>
          <cell r="G160" t="str">
            <v>Snap Traps</v>
          </cell>
          <cell r="H160" t="str">
            <v>Rodent Control - Snap Traps</v>
          </cell>
          <cell r="I160" t="str">
            <v>Rodent</v>
          </cell>
        </row>
        <row r="161">
          <cell r="A161" t="str">
            <v>B00004RAMU</v>
          </cell>
          <cell r="B161" t="str">
            <v>Victor</v>
          </cell>
          <cell r="C161" t="str">
            <v>Victor</v>
          </cell>
          <cell r="D161" t="str">
            <v>Victor M310S Tin Cat Multi-Catch Live Mouse Trap - Indoor and Outdoor Humane Catch and Release</v>
          </cell>
          <cell r="E161" t="str">
            <v>https://www.amazon.com/dp/B00004RAMU?psc=1</v>
          </cell>
          <cell r="F161" t="str">
            <v>Rodent Control</v>
          </cell>
          <cell r="G161" t="str">
            <v>Live Catch Traps</v>
          </cell>
          <cell r="H161" t="str">
            <v>Rodent Control - Live Catch Traps</v>
          </cell>
          <cell r="I161" t="str">
            <v>Rodent</v>
          </cell>
        </row>
        <row r="162">
          <cell r="A162" t="str">
            <v>B0815GYYZ8</v>
          </cell>
          <cell r="B162" t="str">
            <v>Victor</v>
          </cell>
          <cell r="C162" t="str">
            <v>Woodstream Corportation</v>
          </cell>
          <cell r="D162" t="str">
            <v>Victor M070 Easy and Safe-Set Power Kill Mouse Trap Quick and Clean Rodent Disposal - 2 Reusable Mouse Traps</v>
          </cell>
          <cell r="E162" t="str">
            <v>https://www.amazon.com/dp/B0815GYYZ8?psc=1</v>
          </cell>
          <cell r="F162" t="str">
            <v>Rodent Control</v>
          </cell>
          <cell r="G162" t="str">
            <v>Other</v>
          </cell>
          <cell r="H162" t="str">
            <v>Rodent Control - Other</v>
          </cell>
          <cell r="I162" t="str">
            <v>Rodent</v>
          </cell>
        </row>
        <row r="163">
          <cell r="A163" t="str">
            <v>B0CQ8KQ5HV</v>
          </cell>
          <cell r="B163" t="str">
            <v>Victor</v>
          </cell>
          <cell r="C163" t="str">
            <v>Woodstream Corporation</v>
          </cell>
          <cell r="D163" t="str">
            <v>Victor Live Catch Mouse Trap - 4 Traps - M337SR-4 - Live Catch and Release Trap for Mice - Humane Mouse Traps - Clear Design - Humane, Easy to Use - 4 Pack</v>
          </cell>
          <cell r="E163" t="str">
            <v>https://www.amazon.com/dp/B0CQ8KQ5HV?psc=1</v>
          </cell>
          <cell r="F163" t="str">
            <v>Rodent Control</v>
          </cell>
          <cell r="G163" t="str">
            <v>Live Catch Traps</v>
          </cell>
          <cell r="H163" t="str">
            <v>Rodent Control - Live Catch Traps</v>
          </cell>
          <cell r="I163" t="str">
            <v>Rodent</v>
          </cell>
        </row>
        <row r="164">
          <cell r="A164" t="str">
            <v>B001JJCW0M</v>
          </cell>
          <cell r="B164" t="str">
            <v>Victor</v>
          </cell>
          <cell r="C164" t="str">
            <v>Woodstream Corporation</v>
          </cell>
          <cell r="D164" t="str">
            <v>Victor Multi-Kill Electronic Mouse Trap</v>
          </cell>
          <cell r="E164" t="str">
            <v>https://www.amazon.com/dp/B001JJCW0M?psc=1</v>
          </cell>
          <cell r="F164" t="str">
            <v>Rodent Control</v>
          </cell>
          <cell r="G164" t="str">
            <v>Electronic Traps</v>
          </cell>
          <cell r="H164" t="str">
            <v>Rodent Control - Electronic Traps</v>
          </cell>
          <cell r="I164" t="str">
            <v>Rodent</v>
          </cell>
        </row>
        <row r="165">
          <cell r="A165" t="str">
            <v>B00OL1WVVK</v>
          </cell>
          <cell r="B165" t="str">
            <v>Victor</v>
          </cell>
          <cell r="C165" t="str">
            <v>Woodstream Corporatoin</v>
          </cell>
          <cell r="D165" t="str">
            <v>Victor M319 Professional Glue Boards for Insect and Rodent monitoring - 24 Glue Boards</v>
          </cell>
          <cell r="E165" t="str">
            <v>https://www.amazon.com/dp/B00OL1WVVK</v>
          </cell>
          <cell r="F165" t="str">
            <v>Rodent Control</v>
          </cell>
          <cell r="G165" t="str">
            <v>Glue Traps</v>
          </cell>
          <cell r="H165" t="str">
            <v>Rodent Control - Glue Traps</v>
          </cell>
          <cell r="I165" t="str">
            <v>Rodent</v>
          </cell>
        </row>
        <row r="166">
          <cell r="A166" t="str">
            <v>B07RGLY1BK</v>
          </cell>
          <cell r="B166" t="str">
            <v>Victor</v>
          </cell>
          <cell r="C166" t="str">
            <v>Woodstream Corporation</v>
          </cell>
          <cell r="D166" t="str">
            <v>Victor M922 Fast-Kill Disposable Mouse Poison Bait Station - Mouse Poisoning Bait - Mouse Poisoning Station - Mouse Bait Stations</v>
          </cell>
          <cell r="E166" t="str">
            <v>https://www.amazon.com/dp/B07RGLY1BK?psc=1</v>
          </cell>
          <cell r="F166" t="str">
            <v>Rodent Control</v>
          </cell>
          <cell r="G166" t="str">
            <v>Bait &amp; Poison</v>
          </cell>
          <cell r="H166" t="str">
            <v>Rodent Control - Bait &amp; Poison</v>
          </cell>
          <cell r="I166" t="str">
            <v>Rodent</v>
          </cell>
        </row>
        <row r="167">
          <cell r="A167" t="str">
            <v>B0C7XS9252</v>
          </cell>
          <cell r="B167" t="str">
            <v>Victor</v>
          </cell>
          <cell r="C167" t="str">
            <v>Woodstream Corporation</v>
          </cell>
          <cell r="D167" t="str">
            <v>Victor M070B Easy Safe-Set Power Kill Mouse Trap, 2-Pack Reusable Snap Trap</v>
          </cell>
          <cell r="E167" t="str">
            <v>https://www.amazon.com/dp/B0C7XS9252</v>
          </cell>
          <cell r="F167" t="str">
            <v>Rodent Control</v>
          </cell>
          <cell r="G167" t="str">
            <v>Snap Traps</v>
          </cell>
          <cell r="H167" t="str">
            <v>Rodent Control - Snap Traps</v>
          </cell>
          <cell r="I167" t="str">
            <v>Rodent</v>
          </cell>
        </row>
        <row r="168">
          <cell r="A168" t="str">
            <v>B00DV6LO0A</v>
          </cell>
          <cell r="B168" t="str">
            <v>Victor</v>
          </cell>
          <cell r="C168" t="str">
            <v>Victor</v>
          </cell>
          <cell r="D168" t="str">
            <v>Victor Ultra Pest Chaser Rodent Repeller</v>
          </cell>
          <cell r="E168" t="str">
            <v>https://www.amazon.com/dp/B00DV6LO0A</v>
          </cell>
          <cell r="F168" t="str">
            <v>Rodent Control</v>
          </cell>
          <cell r="G168" t="str">
            <v>Other</v>
          </cell>
          <cell r="H168" t="str">
            <v>Rodent Control - Other</v>
          </cell>
          <cell r="I168" t="str">
            <v>Rodent</v>
          </cell>
        </row>
        <row r="169">
          <cell r="A169" t="str">
            <v>B0CQ8SW3N1</v>
          </cell>
          <cell r="B169" t="str">
            <v>Victor</v>
          </cell>
          <cell r="C169" t="str">
            <v>Woodstream Corporation</v>
          </cell>
          <cell r="D169" t="str">
            <v>Victor Live Catch Mouse Trap, 1-Pack, Humane Catch &amp; Release Trap for Mice</v>
          </cell>
          <cell r="E169" t="str">
            <v>https://www.amazon.com/dp/B0CQ8SW3N1?psc=1</v>
          </cell>
          <cell r="F169" t="str">
            <v>Rodent Control</v>
          </cell>
          <cell r="G169" t="str">
            <v>Live Catch Traps</v>
          </cell>
          <cell r="H169" t="str">
            <v>Rodent Control - Live Catch Traps</v>
          </cell>
          <cell r="I169" t="str">
            <v>Rodent</v>
          </cell>
        </row>
        <row r="170">
          <cell r="A170" t="str">
            <v>B012VJLZOM</v>
          </cell>
          <cell r="B170" t="str">
            <v>Tomcat</v>
          </cell>
          <cell r="C170" t="str">
            <v>The Scotts Company LLC</v>
          </cell>
          <cell r="D170" t="str">
            <v>Tomcat Glue Traps Mouse Size with Eugenol for Enhanced Stickiness, 6 Traps</v>
          </cell>
          <cell r="E170" t="str">
            <v>https://www.amazon.com/dp/B012VJLZOM?psc=1</v>
          </cell>
          <cell r="F170" t="str">
            <v>Rodent Control</v>
          </cell>
          <cell r="G170" t="str">
            <v>Glue Traps</v>
          </cell>
          <cell r="H170" t="str">
            <v>Rodent Control - Glue Traps</v>
          </cell>
          <cell r="I170" t="str">
            <v>Rodent</v>
          </cell>
        </row>
        <row r="171">
          <cell r="A171" t="str">
            <v>B08129DYTH</v>
          </cell>
          <cell r="B171" t="str">
            <v>Tomcat</v>
          </cell>
          <cell r="C171" t="str">
            <v>The Scotts Company LLC</v>
          </cell>
          <cell r="D171" t="str">
            <v>Tomcat Rat &amp; Mouse Killer, Child &amp; Dog Resistant, Disposable Station, 8 oz.</v>
          </cell>
          <cell r="E171" t="str">
            <v>https://www.amazon.com/dp/B08129DYTH?psc=1</v>
          </cell>
          <cell r="F171" t="str">
            <v>Rodent Control</v>
          </cell>
          <cell r="G171" t="str">
            <v>Ant Traps</v>
          </cell>
          <cell r="H171" t="str">
            <v>Rodent Control - Ant Traps</v>
          </cell>
          <cell r="I171" t="str">
            <v>Rodent</v>
          </cell>
        </row>
        <row r="172">
          <cell r="A172" t="str">
            <v>B01MT6BOR0</v>
          </cell>
          <cell r="B172" t="str">
            <v>Tomcat</v>
          </cell>
          <cell r="C172" t="str">
            <v>The Scotts Company LLC</v>
          </cell>
          <cell r="D172" t="str">
            <v>Tomcat Mouse Killer, Child &amp; Dog Resistant, Refillable Station and 16 Baits</v>
          </cell>
          <cell r="E172" t="str">
            <v>https://www.amazon.com/dp/B01MT6BOR0?psc=1</v>
          </cell>
          <cell r="F172" t="str">
            <v>Rodent Control</v>
          </cell>
          <cell r="G172" t="str">
            <v>Bait &amp; Poison</v>
          </cell>
          <cell r="H172" t="str">
            <v>Rodent Control - Bait &amp; Poison</v>
          </cell>
          <cell r="I172" t="str">
            <v>Rodent</v>
          </cell>
        </row>
        <row r="173">
          <cell r="A173" t="str">
            <v>B01MT1XQZS</v>
          </cell>
          <cell r="B173" t="str">
            <v>Tomcat</v>
          </cell>
          <cell r="C173" t="str">
            <v>The Scotts Company LLC</v>
          </cell>
          <cell r="D173" t="str">
            <v>Tomcat Mouse Killer, Child &amp; Dog Resistant, Disposable Station, 2 Stations</v>
          </cell>
          <cell r="E173" t="str">
            <v>https://www.amazon.com/dp/B01MT1XQZS?psc=1</v>
          </cell>
          <cell r="F173" t="str">
            <v>Rodent Control</v>
          </cell>
          <cell r="G173" t="str">
            <v>Ant Traps</v>
          </cell>
          <cell r="H173" t="str">
            <v>Rodent Control - Ant Traps</v>
          </cell>
          <cell r="I173" t="str">
            <v>Rodent</v>
          </cell>
        </row>
        <row r="174">
          <cell r="A174" t="str">
            <v>B01N6O3IB3</v>
          </cell>
          <cell r="B174" t="str">
            <v>Tomcat</v>
          </cell>
          <cell r="C174" t="str">
            <v>The Scotts Company LLC</v>
          </cell>
          <cell r="D174" t="str">
            <v>Tomcat Rat &amp; Mouse Killer, Child &amp; Dog Resistant, Refillable Station</v>
          </cell>
          <cell r="E174" t="str">
            <v>https://www.amazon.com/dp/B01N6O3IB3?psc=1</v>
          </cell>
          <cell r="F174" t="str">
            <v>Rodent Control</v>
          </cell>
          <cell r="G174" t="str">
            <v>Ant Traps</v>
          </cell>
          <cell r="H174" t="str">
            <v>Rodent Control - Ant Traps</v>
          </cell>
          <cell r="I174" t="str">
            <v>Rodent</v>
          </cell>
        </row>
        <row r="175">
          <cell r="A175" t="str">
            <v>B012RDT44U</v>
          </cell>
          <cell r="B175" t="str">
            <v>Tomcat</v>
          </cell>
          <cell r="C175" t="str">
            <v>The Scotts Company LLC</v>
          </cell>
          <cell r="D175" t="str">
            <v>Tomcat Mouse Traps (Wooden), 4 Pack</v>
          </cell>
          <cell r="E175" t="str">
            <v>https://www.amazon.com/dp/B012RDT44U?psc=1</v>
          </cell>
          <cell r="F175" t="str">
            <v>Rodent Control</v>
          </cell>
          <cell r="G175" t="str">
            <v>Other</v>
          </cell>
          <cell r="H175" t="str">
            <v>Rodent Control - Other</v>
          </cell>
          <cell r="I175" t="str">
            <v>Rodent</v>
          </cell>
        </row>
        <row r="176">
          <cell r="A176" t="str">
            <v>B00N6XKV4I</v>
          </cell>
          <cell r="B176" t="str">
            <v>Tomcat</v>
          </cell>
          <cell r="C176" t="str">
            <v>The Scotts Company LLC</v>
          </cell>
          <cell r="D176" t="str">
            <v>Tomcat Kill &amp; Contain Mouse Trap, 2 Traps</v>
          </cell>
          <cell r="E176" t="str">
            <v>https://www.amazon.com/dp/B00N6XKV4I?psc=1</v>
          </cell>
          <cell r="F176" t="str">
            <v>Rodent Control</v>
          </cell>
          <cell r="G176" t="str">
            <v>Other</v>
          </cell>
          <cell r="H176" t="str">
            <v>Rodent Control - Other</v>
          </cell>
          <cell r="I176" t="str">
            <v>Rodent</v>
          </cell>
        </row>
        <row r="177">
          <cell r="A177" t="str">
            <v>B07YM5BY58</v>
          </cell>
          <cell r="B177" t="str">
            <v>Tomcat</v>
          </cell>
          <cell r="C177" t="str">
            <v>The Scotts Company LLC</v>
          </cell>
          <cell r="D177" t="str">
            <v>Tomcat Rodent Block Expanding Foam Barrier, 12 oz.</v>
          </cell>
          <cell r="E177" t="str">
            <v>https://www.amazon.com/dp/B07YM5BY58?psc=1</v>
          </cell>
          <cell r="F177" t="str">
            <v>Rodent Control</v>
          </cell>
          <cell r="G177" t="str">
            <v>Other</v>
          </cell>
          <cell r="H177" t="str">
            <v>Rodent Control - Other</v>
          </cell>
          <cell r="I177" t="str">
            <v>Rodent</v>
          </cell>
        </row>
        <row r="178">
          <cell r="A178" t="str">
            <v>B01N6JJ3QG</v>
          </cell>
          <cell r="B178" t="str">
            <v>Tomcat</v>
          </cell>
          <cell r="C178" t="str">
            <v>The Scotts Company LLC</v>
          </cell>
          <cell r="D178" t="str">
            <v>Tomcat Super Hold Glue Traps Mouse Size for Mice, Cockroachs, Spiders, and Scorpions, Ready-To-Use, 4 Traps</v>
          </cell>
          <cell r="E178" t="str">
            <v>https://www.amazon.com/dp/B01N6JJ3QG?psc=1</v>
          </cell>
          <cell r="F178" t="str">
            <v>Rodent Control</v>
          </cell>
          <cell r="G178" t="str">
            <v>Glue Traps</v>
          </cell>
          <cell r="H178" t="str">
            <v>Rodent Control - Glue Traps</v>
          </cell>
          <cell r="I178" t="str">
            <v>Rodent</v>
          </cell>
        </row>
        <row r="179">
          <cell r="A179" t="str">
            <v>B012VN2CHC</v>
          </cell>
          <cell r="B179" t="str">
            <v>Tomcat</v>
          </cell>
          <cell r="C179" t="str">
            <v>The Scotts Company LLC</v>
          </cell>
          <cell r="D179" t="str">
            <v>Tomcat Press 'N Set Mouse Trap, 8 Traps</v>
          </cell>
          <cell r="E179" t="str">
            <v>https://www.amazon.com/dp/B012VN2CHC?psc=1</v>
          </cell>
          <cell r="F179" t="str">
            <v>Rodent Control</v>
          </cell>
          <cell r="G179" t="str">
            <v>Other</v>
          </cell>
          <cell r="H179" t="str">
            <v>Rodent Control - Other</v>
          </cell>
          <cell r="I179" t="str">
            <v>Rodent</v>
          </cell>
        </row>
        <row r="180">
          <cell r="A180" t="str">
            <v>B012RE01U0</v>
          </cell>
          <cell r="B180" t="str">
            <v>Tomcat</v>
          </cell>
          <cell r="C180" t="str">
            <v>The Scotts Company LLC</v>
          </cell>
          <cell r="D180" t="str">
            <v>Tomcat Repellents Rodent Repellent Ready-to-Use with Comfort Wand, 1.33 Gal</v>
          </cell>
          <cell r="E180" t="str">
            <v>https://www.amazon.com/dp/B012RE01U0?psc=1</v>
          </cell>
          <cell r="F180" t="str">
            <v>Rodent Control</v>
          </cell>
          <cell r="G180" t="str">
            <v>Repellents</v>
          </cell>
          <cell r="H180" t="str">
            <v>Rodent Control - Repellents</v>
          </cell>
          <cell r="I180" t="str">
            <v>Rodent</v>
          </cell>
        </row>
        <row r="181">
          <cell r="A181" t="str">
            <v>B077VLKY68</v>
          </cell>
          <cell r="B181" t="str">
            <v>Tomcat</v>
          </cell>
          <cell r="C181" t="str">
            <v>The Scotts Company LLC</v>
          </cell>
          <cell r="D181" t="str">
            <v>Tomcat Repellents Rodent Repellent Granules, 2 lb.</v>
          </cell>
          <cell r="E181" t="str">
            <v>https://www.amazon.com/dp/B077VLKY68?psc=1</v>
          </cell>
          <cell r="F181" t="str">
            <v>Rodent Control</v>
          </cell>
          <cell r="G181" t="str">
            <v>Repellents</v>
          </cell>
          <cell r="H181" t="str">
            <v>Rodent Control - Repellents</v>
          </cell>
          <cell r="I181" t="str">
            <v>Rodent</v>
          </cell>
        </row>
        <row r="182">
          <cell r="A182" t="str">
            <v>B012VK606O</v>
          </cell>
          <cell r="B182" t="str">
            <v>Tomcat</v>
          </cell>
          <cell r="C182" t="str">
            <v>The Scotts Company LLC</v>
          </cell>
          <cell r="D182" t="str">
            <v>Tomcat Mouse Killer, Child Resistant, Disposable Station, 2 Stations</v>
          </cell>
          <cell r="E182" t="str">
            <v>https://www.amazon.com/dp/B012VK606O?psc=1</v>
          </cell>
          <cell r="F182" t="str">
            <v>Rodent Control</v>
          </cell>
          <cell r="G182" t="str">
            <v>Ant Traps</v>
          </cell>
          <cell r="H182" t="str">
            <v>Rodent Control - Ant Traps</v>
          </cell>
          <cell r="I182" t="str">
            <v>Rodent</v>
          </cell>
        </row>
        <row r="183">
          <cell r="A183" t="str">
            <v>B0BZDY37G9</v>
          </cell>
          <cell r="B183" t="str">
            <v>Tomcat</v>
          </cell>
          <cell r="C183" t="str">
            <v>The Scotts Company LLC</v>
          </cell>
          <cell r="D183" t="str">
            <v>Tomcat Rat &amp; Mouse Bait Station, 2 Packages Each with 1 Station &amp; 15 Baits</v>
          </cell>
          <cell r="E183" t="str">
            <v>https://www.amazon.com/dp/B0BZDY37G9?psc=1</v>
          </cell>
          <cell r="F183" t="str">
            <v>Rodent Control</v>
          </cell>
          <cell r="G183" t="str">
            <v>Bait &amp; Poison</v>
          </cell>
          <cell r="H183" t="str">
            <v>Rodent Control - Bait &amp; Poison</v>
          </cell>
          <cell r="I183" t="str">
            <v>Rodent</v>
          </cell>
        </row>
        <row r="184">
          <cell r="A184" t="str">
            <v>B01MT6BTQW</v>
          </cell>
          <cell r="B184" t="str">
            <v>Tomcat</v>
          </cell>
          <cell r="C184" t="str">
            <v>The Scotts Company LLC</v>
          </cell>
          <cell r="D184" t="str">
            <v>Tomcat Mouse Killer(e), Child Resistant, Refillable Station, 32 Bait Blocks</v>
          </cell>
          <cell r="E184" t="str">
            <v>https://www.amazon.com/dp/B01MT6BTQW?psc=1</v>
          </cell>
          <cell r="F184" t="str">
            <v>Rodent Control</v>
          </cell>
          <cell r="G184" t="str">
            <v>Bait &amp; Poison</v>
          </cell>
          <cell r="H184" t="str">
            <v>Rodent Control - Bait &amp; Poison</v>
          </cell>
          <cell r="I184" t="str">
            <v>Rodent</v>
          </cell>
        </row>
        <row r="185">
          <cell r="A185" t="str">
            <v>B0BZDW8JV1</v>
          </cell>
          <cell r="B185" t="str">
            <v>Tomcat</v>
          </cell>
          <cell r="C185" t="str">
            <v>The Scotts Company LLC</v>
          </cell>
          <cell r="D185" t="str">
            <v>Tomcat Glue Traps Mouse Size with Eugenol, 16 Sticky Traps</v>
          </cell>
          <cell r="E185" t="str">
            <v>https://www.amazon.com/dp/B0BZDW8JV1?psc=1</v>
          </cell>
          <cell r="F185" t="str">
            <v>Rodent Control</v>
          </cell>
          <cell r="G185" t="str">
            <v>Glue Traps</v>
          </cell>
          <cell r="H185" t="str">
            <v>Rodent Control - Glue Traps</v>
          </cell>
          <cell r="I185" t="str">
            <v>Rodent</v>
          </cell>
        </row>
        <row r="186">
          <cell r="A186" t="str">
            <v>B01MR39KH9</v>
          </cell>
          <cell r="B186" t="str">
            <v>Tomcat</v>
          </cell>
          <cell r="C186" t="str">
            <v>The Scotts Company LLC</v>
          </cell>
          <cell r="D186" t="str">
            <v>Tomcat Mouse Killer, Child Resistant, Refillable Station with 4 Bait Blocks</v>
          </cell>
          <cell r="E186" t="str">
            <v>https://www.amazon.com/dp/B01MR39KH9?psc=1</v>
          </cell>
          <cell r="F186" t="str">
            <v>Rodent Control</v>
          </cell>
          <cell r="G186" t="str">
            <v>Bait &amp; Poison</v>
          </cell>
          <cell r="H186" t="str">
            <v>Rodent Control - Bait &amp; Poison</v>
          </cell>
          <cell r="I186" t="str">
            <v>Rodent</v>
          </cell>
        </row>
        <row r="187">
          <cell r="A187" t="str">
            <v>B0132FQWLU</v>
          </cell>
          <cell r="B187" t="str">
            <v>Tomcat</v>
          </cell>
          <cell r="C187" t="str">
            <v>The Scotts Company LLC</v>
          </cell>
          <cell r="D187" t="str">
            <v>Tomcat Super Hold Glue Traps Mouse Size, 4 Traps</v>
          </cell>
          <cell r="E187" t="str">
            <v>https://www.amazon.com/dp/B0132FQWLU?psc=1</v>
          </cell>
          <cell r="F187" t="str">
            <v>Rodent Control</v>
          </cell>
          <cell r="G187" t="str">
            <v>Glue Traps</v>
          </cell>
          <cell r="H187" t="str">
            <v>Rodent Control - Glue Traps</v>
          </cell>
          <cell r="I187" t="str">
            <v>Rodent</v>
          </cell>
        </row>
        <row r="188">
          <cell r="A188" t="str">
            <v>B012RGQVM0</v>
          </cell>
          <cell r="B188" t="str">
            <v>Tomcat</v>
          </cell>
          <cell r="C188" t="str">
            <v>Tomcat</v>
          </cell>
          <cell r="D188" t="str">
            <v>Tomcat Repellents Rodent Repellent Continuous Spray, 14 oz.</v>
          </cell>
          <cell r="E188" t="str">
            <v>https://www.amazon.com/dp/B012RGQVM0?psc=1</v>
          </cell>
          <cell r="F188" t="str">
            <v>Rodent Control</v>
          </cell>
          <cell r="G188" t="str">
            <v>Repellents</v>
          </cell>
          <cell r="H188" t="str">
            <v>Rodent Control - Repellents</v>
          </cell>
          <cell r="I188" t="str">
            <v>Rodent</v>
          </cell>
        </row>
        <row r="189">
          <cell r="A189" t="str">
            <v>B01N0Y1I7T</v>
          </cell>
          <cell r="B189" t="str">
            <v>Tomcat</v>
          </cell>
          <cell r="C189" t="str">
            <v>The Scotts Company LLC</v>
          </cell>
          <cell r="D189" t="str">
            <v>Tomcat Mouse Traps (Wooden), 2 Traps</v>
          </cell>
          <cell r="E189" t="str">
            <v>https://www.amazon.com/dp/B01N0Y1I7T?psc=1</v>
          </cell>
          <cell r="F189" t="str">
            <v>Rodent Control</v>
          </cell>
          <cell r="G189" t="str">
            <v>Other</v>
          </cell>
          <cell r="H189" t="str">
            <v>Rodent Control - Other</v>
          </cell>
          <cell r="I189" t="str">
            <v>Rodent</v>
          </cell>
        </row>
        <row r="190">
          <cell r="A190" t="str">
            <v>B01N1ZL6RK</v>
          </cell>
          <cell r="B190" t="str">
            <v>Tomcat</v>
          </cell>
          <cell r="C190" t="str">
            <v>The Scotts Company LLC</v>
          </cell>
          <cell r="D190" t="str">
            <v>Tomcat Mouse Killer, Child &amp; Dog Resistant, Refillable Station and 8 Baits</v>
          </cell>
          <cell r="E190" t="str">
            <v>https://www.amazon.com/dp/B01N1ZL6RK?psc=1</v>
          </cell>
          <cell r="F190" t="str">
            <v>Rodent Control</v>
          </cell>
          <cell r="G190" t="str">
            <v>Bait &amp; Poison</v>
          </cell>
          <cell r="H190" t="str">
            <v>Rodent Control - Bait &amp; Poison</v>
          </cell>
          <cell r="I190" t="str">
            <v>Rodent</v>
          </cell>
        </row>
        <row r="191">
          <cell r="A191" t="str">
            <v>B01BUTD9D4</v>
          </cell>
          <cell r="B191" t="str">
            <v>Tomcat</v>
          </cell>
          <cell r="C191" t="str">
            <v>The Scotts Company LLC</v>
          </cell>
          <cell r="D191" t="str">
            <v>Tomcat Press 'N Set Mouse Trap, 14 Traps</v>
          </cell>
          <cell r="E191" t="str">
            <v>https://www.amazon.com/dp/B01BUTD9D4?psc=1</v>
          </cell>
          <cell r="F191" t="str">
            <v>Rodent Control</v>
          </cell>
          <cell r="G191" t="str">
            <v>Other</v>
          </cell>
          <cell r="H191" t="str">
            <v>Rodent Control - Other</v>
          </cell>
          <cell r="I191" t="str">
            <v>Rodent</v>
          </cell>
        </row>
        <row r="192">
          <cell r="A192" t="str">
            <v>B012REFL3C</v>
          </cell>
          <cell r="B192" t="str">
            <v>Tomcat</v>
          </cell>
          <cell r="C192" t="str">
            <v>The Scotts Company LLC</v>
          </cell>
          <cell r="D192" t="str">
            <v>Tomcat Mouse Killer, Child Resistant, Refillable Station with 8 Bait Blocks</v>
          </cell>
          <cell r="E192" t="str">
            <v>https://www.amazon.com/dp/B012REFL3C?psc=1</v>
          </cell>
          <cell r="F192" t="str">
            <v>Rodent Control</v>
          </cell>
          <cell r="G192" t="str">
            <v>Bait &amp; Poison</v>
          </cell>
          <cell r="H192" t="str">
            <v>Rodent Control - Bait &amp; Poison</v>
          </cell>
          <cell r="I192" t="str">
            <v>Rodent</v>
          </cell>
        </row>
        <row r="193">
          <cell r="A193" t="str">
            <v>B0CKLYKJH6</v>
          </cell>
          <cell r="B193" t="str">
            <v>Tomcat</v>
          </cell>
          <cell r="C193" t="str">
            <v>Scotts Miracle Gro</v>
          </cell>
          <cell r="D193" t="str">
            <v>Tomcat Press 'N Set Mouse Trap, 2 Traps</v>
          </cell>
          <cell r="E193" t="str">
            <v>https://www.amazon.com/dp/B0CKLYKJH6?psc=1</v>
          </cell>
          <cell r="F193" t="str">
            <v>Rodent Control</v>
          </cell>
          <cell r="G193" t="str">
            <v>Other</v>
          </cell>
          <cell r="H193" t="str">
            <v>Rodent Control - Other</v>
          </cell>
          <cell r="I193" t="str">
            <v>Rodent</v>
          </cell>
        </row>
        <row r="194">
          <cell r="A194" t="str">
            <v>B08SLP5MQ1</v>
          </cell>
          <cell r="B194" t="str">
            <v>Tomcat</v>
          </cell>
          <cell r="C194" t="str">
            <v>The Scotts Company LLC</v>
          </cell>
          <cell r="D194" t="str">
            <v>Tomcat Mouse Snap Trap, 4 Traps</v>
          </cell>
          <cell r="E194" t="str">
            <v>https://www.amazon.com/dp/B08SLP5MQ1?psc=1</v>
          </cell>
          <cell r="F194" t="str">
            <v>Rodent Control</v>
          </cell>
          <cell r="G194" t="str">
            <v>Snap Traps</v>
          </cell>
          <cell r="H194" t="str">
            <v>Rodent Control - Snap Traps</v>
          </cell>
          <cell r="I194" t="str">
            <v>Rodent</v>
          </cell>
        </row>
        <row r="195">
          <cell r="A195" t="str">
            <v>B08W28QJ5N</v>
          </cell>
          <cell r="B195" t="str">
            <v>Tomcat</v>
          </cell>
          <cell r="C195" t="str">
            <v>The Scotts Company LLC</v>
          </cell>
          <cell r="D195" t="str">
            <v>Tomcat Rodent Block Expanding Foam Barrier, 12 oz. (2-Pack)</v>
          </cell>
          <cell r="E195" t="str">
            <v>https://www.amazon.com/dp/B08W28QJ5N?psc=1</v>
          </cell>
          <cell r="F195" t="str">
            <v>Rodent Control</v>
          </cell>
          <cell r="G195" t="str">
            <v>Other</v>
          </cell>
          <cell r="H195" t="str">
            <v>Rodent Control - Other</v>
          </cell>
          <cell r="I195" t="str">
            <v>Rodent</v>
          </cell>
        </row>
        <row r="196">
          <cell r="A196" t="str">
            <v>B0DVH59VKD</v>
          </cell>
          <cell r="B196" t="str">
            <v>Tomcat</v>
          </cell>
          <cell r="C196" t="str">
            <v>The Scotts Company</v>
          </cell>
          <cell r="D196" t="str">
            <v>Tomcat Repellents Rodent Repellent Pouches, 4.23 oz. (4-Pack)</v>
          </cell>
          <cell r="E196" t="str">
            <v>https://www.amazon.com/dp/B0DVH59VKD?psc=1</v>
          </cell>
          <cell r="F196" t="str">
            <v>Rodent Control</v>
          </cell>
          <cell r="G196" t="str">
            <v>Repellents</v>
          </cell>
          <cell r="H196" t="str">
            <v>Rodent Control - Repellents</v>
          </cell>
          <cell r="I196" t="str">
            <v>Rodent</v>
          </cell>
        </row>
        <row r="197">
          <cell r="A197" t="str">
            <v>B0BZDY5G3R</v>
          </cell>
          <cell r="B197" t="str">
            <v>Tomcat</v>
          </cell>
          <cell r="C197" t="str">
            <v>The Scotts Company LLC</v>
          </cell>
          <cell r="D197" t="str">
            <v>Tomcat Repellents Rodent Repellent Ready-To-Use, 1 gal. (2-Pack)</v>
          </cell>
          <cell r="E197" t="str">
            <v>https://www.amazon.com/dp/B0BZDY5G3R</v>
          </cell>
          <cell r="F197" t="str">
            <v>Rodent Control</v>
          </cell>
          <cell r="G197" t="str">
            <v>Repellents</v>
          </cell>
          <cell r="H197" t="str">
            <v>Rodent Control - Repellents</v>
          </cell>
          <cell r="I197" t="str">
            <v>Rodent</v>
          </cell>
        </row>
        <row r="198">
          <cell r="A198" t="str">
            <v>B07YLDRZVX</v>
          </cell>
          <cell r="B198" t="str">
            <v>Tomcat</v>
          </cell>
          <cell r="C198" t="str">
            <v>Motomco</v>
          </cell>
          <cell r="D198" t="str">
            <v>Tomcat Titan Rodent Bait Station | Commercial Grade Pest Control | Run Traps and Bait in Tandem | No Additional Securing Required</v>
          </cell>
          <cell r="E198" t="str">
            <v>https://www.amazon.com/dp/B07YLDRZVX</v>
          </cell>
          <cell r="F198" t="str">
            <v>Rodent Control</v>
          </cell>
          <cell r="G198" t="str">
            <v>Bait &amp; Poison</v>
          </cell>
          <cell r="H198" t="str">
            <v>Rodent Control - Bait &amp; Poison</v>
          </cell>
          <cell r="I198" t="str">
            <v>Rodent</v>
          </cell>
        </row>
        <row r="199">
          <cell r="A199" t="str">
            <v>B012RDZ34A</v>
          </cell>
          <cell r="B199" t="str">
            <v>Tomcat</v>
          </cell>
          <cell r="C199" t="str">
            <v>The Scotts Company LLC</v>
          </cell>
          <cell r="D199" t="str">
            <v>Tomcat Super Hold Glue Traps Mouse Size, 3-Pack (12 Glue Traps)</v>
          </cell>
          <cell r="E199" t="str">
            <v>https://www.amazon.com/dp/B012RDZ34A?psc=1</v>
          </cell>
          <cell r="F199" t="str">
            <v>Rodent Control</v>
          </cell>
          <cell r="G199" t="str">
            <v>Glue Traps</v>
          </cell>
          <cell r="H199" t="str">
            <v>Rodent Control - Glue Traps</v>
          </cell>
          <cell r="I199" t="str">
            <v>Rodent</v>
          </cell>
        </row>
        <row r="200">
          <cell r="A200" t="str">
            <v>B0BZDTVQYC</v>
          </cell>
          <cell r="B200" t="str">
            <v>Tomcat</v>
          </cell>
          <cell r="C200" t="str">
            <v>The Scotts Company LLC</v>
          </cell>
          <cell r="D200" t="str">
            <v>Tomcat Super Hold Glue Traps Mouse Size, 32 Traps</v>
          </cell>
          <cell r="E200" t="str">
            <v>https://www.amazon.com/dp/B0BZDTVQYC?psc=1</v>
          </cell>
          <cell r="F200" t="str">
            <v>Rodent Control</v>
          </cell>
          <cell r="G200" t="str">
            <v>Glue Traps</v>
          </cell>
          <cell r="H200" t="str">
            <v>Rodent Control - Glue Traps</v>
          </cell>
          <cell r="I200" t="str">
            <v>Rodent</v>
          </cell>
        </row>
        <row r="201">
          <cell r="A201" t="str">
            <v>B012VN2PSS</v>
          </cell>
          <cell r="B201" t="str">
            <v>Tomcat</v>
          </cell>
          <cell r="C201" t="str">
            <v>The Scotts Company LLC</v>
          </cell>
          <cell r="D201" t="str">
            <v>Tomcat Kill &amp; Contain Mouse Trap, 4 traps</v>
          </cell>
          <cell r="E201" t="str">
            <v>https://www.amazon.com/dp/B012VN2PSS?psc=1</v>
          </cell>
          <cell r="F201" t="str">
            <v>Rodent Control</v>
          </cell>
          <cell r="G201" t="str">
            <v>Other</v>
          </cell>
          <cell r="H201" t="str">
            <v>Rodent Control - Other</v>
          </cell>
          <cell r="I201" t="str">
            <v>Rodent</v>
          </cell>
        </row>
        <row r="202">
          <cell r="A202" t="str">
            <v>B012REE9C6</v>
          </cell>
          <cell r="B202" t="str">
            <v>Tomcat</v>
          </cell>
          <cell r="C202" t="str">
            <v>The Scotts Company LLC</v>
          </cell>
          <cell r="D202" t="str">
            <v>Tomcat Repellents Rodent Repellent Continuous Spray, 2-Pack</v>
          </cell>
          <cell r="E202" t="str">
            <v>https://www.amazon.com/dp/B012REE9C6?psc=1</v>
          </cell>
          <cell r="F202" t="str">
            <v>Rodent Control</v>
          </cell>
          <cell r="G202" t="str">
            <v>Repellents</v>
          </cell>
          <cell r="H202" t="str">
            <v>Rodent Control - Repellents</v>
          </cell>
          <cell r="I202" t="str">
            <v>Rodent</v>
          </cell>
        </row>
        <row r="203">
          <cell r="A203" t="str">
            <v>B01N30Z11V</v>
          </cell>
          <cell r="B203" t="str">
            <v>Tomcat</v>
          </cell>
          <cell r="C203" t="str">
            <v>The Scotts Company LLC</v>
          </cell>
          <cell r="D203" t="str">
            <v>Tomcat Mouse Killer, Child Resistant, Disposable Station, 1 Station</v>
          </cell>
          <cell r="E203" t="str">
            <v>https://www.amazon.com/dp/B01N30Z11V?psc=1</v>
          </cell>
          <cell r="F203" t="str">
            <v>Rodent Control</v>
          </cell>
          <cell r="G203" t="str">
            <v>Ant Traps</v>
          </cell>
          <cell r="H203" t="str">
            <v>Rodent Control - Ant Traps</v>
          </cell>
          <cell r="I203" t="str">
            <v>Rodent</v>
          </cell>
        </row>
        <row r="204">
          <cell r="A204" t="str">
            <v>B012VN2HLI</v>
          </cell>
          <cell r="B204" t="str">
            <v>Tomcat</v>
          </cell>
          <cell r="C204" t="str">
            <v>The Scotts Company LLC</v>
          </cell>
          <cell r="D204" t="str">
            <v>Tomcat Mouse Bait Stations, 2 Packages Each with 4 Pre-Filled Stations</v>
          </cell>
          <cell r="E204" t="str">
            <v>https://www.amazon.com/dp/B012VN2HLI?psc=1</v>
          </cell>
          <cell r="F204" t="str">
            <v>Rodent Control</v>
          </cell>
          <cell r="G204" t="str">
            <v>Bait &amp; Poison</v>
          </cell>
          <cell r="H204" t="str">
            <v>Rodent Control - Bait &amp; Poison</v>
          </cell>
          <cell r="I204" t="str">
            <v>Rodent</v>
          </cell>
        </row>
        <row r="205">
          <cell r="A205" t="str">
            <v>B012VP1VPY</v>
          </cell>
          <cell r="B205" t="str">
            <v>Tomcat</v>
          </cell>
          <cell r="C205" t="str">
            <v>The Scotts Company LLC</v>
          </cell>
          <cell r="D205" t="str">
            <v>Tomcat Repellents Rodent Repeller Refill Pack, 2 Refills</v>
          </cell>
          <cell r="E205" t="str">
            <v>https://www.amazon.com/dp/B012VP1VPY?psc=1</v>
          </cell>
          <cell r="F205" t="str">
            <v>Rodent Control</v>
          </cell>
          <cell r="G205" t="str">
            <v>Repellents</v>
          </cell>
          <cell r="H205" t="str">
            <v>Rodent Control - Repellents</v>
          </cell>
          <cell r="I205" t="str">
            <v>Rodent</v>
          </cell>
        </row>
        <row r="206">
          <cell r="A206" t="str">
            <v>B01MT6BRO9</v>
          </cell>
          <cell r="B206" t="str">
            <v>Tomcat</v>
          </cell>
          <cell r="C206" t="str">
            <v>The Scotts Company LLC</v>
          </cell>
          <cell r="D206" t="str">
            <v>Tomcat Mouse Killer, Child Resistant, Refillable Station with 8 Bait Blocks</v>
          </cell>
          <cell r="E206" t="str">
            <v>https://www.amazon.com/dp/B01MT6BRO9?psc=1</v>
          </cell>
          <cell r="F206" t="str">
            <v>Rodent Control</v>
          </cell>
          <cell r="G206" t="str">
            <v>Bait &amp; Poison</v>
          </cell>
          <cell r="H206" t="str">
            <v>Rodent Control - Bait &amp; Poison</v>
          </cell>
          <cell r="I206" t="str">
            <v>Rodent</v>
          </cell>
        </row>
        <row r="207">
          <cell r="A207" t="str">
            <v>B09GGF2F71</v>
          </cell>
          <cell r="B207" t="str">
            <v>Tomcat</v>
          </cell>
          <cell r="C207" t="str">
            <v>The Scotts Company LLC</v>
          </cell>
          <cell r="D207" t="str">
            <v>Tomcat Rat &amp; Mouse Killer Refillable Rockscape Bait Station</v>
          </cell>
          <cell r="E207" t="str">
            <v>https://www.amazon.com/dp/B09GGF2F71</v>
          </cell>
          <cell r="F207" t="str">
            <v>Rodent Control</v>
          </cell>
          <cell r="G207" t="str">
            <v>Bait &amp; Poison</v>
          </cell>
          <cell r="H207" t="str">
            <v>Rodent Control - Bait &amp; Poison</v>
          </cell>
          <cell r="I207" t="str">
            <v>Rodent</v>
          </cell>
        </row>
        <row r="208">
          <cell r="A208" t="str">
            <v>B0CKLZ3HMN</v>
          </cell>
          <cell r="B208" t="str">
            <v>Tomcat</v>
          </cell>
          <cell r="C208" t="str">
            <v>Scotts Miracle Gro</v>
          </cell>
          <cell r="D208" t="str">
            <v>Tomcat Press 'N Set Mouse Trap, 16 Traps</v>
          </cell>
          <cell r="E208" t="str">
            <v>https://www.amazon.com/dp/B0CKLZ3HMN?psc=1</v>
          </cell>
          <cell r="F208" t="str">
            <v>Rodent Control</v>
          </cell>
          <cell r="G208" t="str">
            <v>Other</v>
          </cell>
          <cell r="H208" t="str">
            <v>Rodent Control - Other</v>
          </cell>
          <cell r="I208" t="str">
            <v>Rodent</v>
          </cell>
        </row>
        <row r="209">
          <cell r="A209" t="str">
            <v>B01N5MJFZK</v>
          </cell>
          <cell r="B209" t="str">
            <v>Tomcat</v>
          </cell>
          <cell r="C209" t="str">
            <v>The Scotts Company LLC</v>
          </cell>
          <cell r="D209" t="str">
            <v>Tomcat Rodent Station, 1 Station with Security Key</v>
          </cell>
          <cell r="E209" t="str">
            <v>https://www.amazon.com/dp/B01N5MJFZK?psc=1</v>
          </cell>
          <cell r="F209" t="str">
            <v>Rodent Control</v>
          </cell>
          <cell r="G209" t="str">
            <v>Other</v>
          </cell>
          <cell r="H209" t="str">
            <v>Rodent Control - Other</v>
          </cell>
          <cell r="I209" t="str">
            <v>Rodent</v>
          </cell>
        </row>
        <row r="210">
          <cell r="A210" t="str">
            <v>B012RGO4ZG</v>
          </cell>
          <cell r="B210" t="str">
            <v>Tomcat</v>
          </cell>
          <cell r="C210" t="str">
            <v>The Scotts Company LLC</v>
          </cell>
          <cell r="D210" t="str">
            <v>Tomcat Mouse Trap with Immediate Grip Glue for Mice, Cockroachs, Spiders, and Scorpions, Ready-To-Use, 4 Traps</v>
          </cell>
          <cell r="E210" t="str">
            <v>https://www.amazon.com/dp/B012RGO4ZG?psc=1</v>
          </cell>
          <cell r="F210" t="str">
            <v>Rodent Control</v>
          </cell>
          <cell r="G210" t="str">
            <v>Roach Traps</v>
          </cell>
          <cell r="H210" t="str">
            <v>Rodent Control - Roach Traps</v>
          </cell>
          <cell r="I210" t="str">
            <v>Rodent</v>
          </cell>
        </row>
        <row r="211">
          <cell r="A211" t="str">
            <v>B0132FYCP8</v>
          </cell>
          <cell r="B211" t="str">
            <v>Tomcat</v>
          </cell>
          <cell r="C211" t="str">
            <v>The Scotts Company LLC</v>
          </cell>
          <cell r="D211" t="str">
            <v>Tomcat Mouse Bait Station, 2 Packages Each with 1 Station &amp; 16 Bait Blocks</v>
          </cell>
          <cell r="E211" t="str">
            <v>https://www.amazon.com/dp/B0132FYCP8?psc=1</v>
          </cell>
          <cell r="F211" t="str">
            <v>Rodent Control</v>
          </cell>
          <cell r="G211" t="str">
            <v>Bait &amp; Poison</v>
          </cell>
          <cell r="H211" t="str">
            <v>Rodent Control - Bait &amp; Poison</v>
          </cell>
          <cell r="I211" t="str">
            <v>Rodent</v>
          </cell>
        </row>
        <row r="212">
          <cell r="A212" t="str">
            <v>B012VK688Y</v>
          </cell>
          <cell r="B212" t="str">
            <v>Tomcat</v>
          </cell>
          <cell r="C212" t="str">
            <v>Tomcat</v>
          </cell>
          <cell r="D212" t="str">
            <v>Tomcat Mouse Killer, Child &amp; Dog Resistant, Refillable Station and 4 Baits</v>
          </cell>
          <cell r="E212" t="str">
            <v>https://www.amazon.com/dp/B012VK688Y?psc=1</v>
          </cell>
          <cell r="F212" t="str">
            <v>Rodent Control</v>
          </cell>
          <cell r="G212" t="str">
            <v>Bait &amp; Poison</v>
          </cell>
          <cell r="H212" t="str">
            <v>Rodent Control - Bait &amp; Poison</v>
          </cell>
          <cell r="I212" t="str">
            <v>Rodent</v>
          </cell>
        </row>
        <row r="213">
          <cell r="A213" t="str">
            <v>B01MS07UDH</v>
          </cell>
          <cell r="B213" t="str">
            <v>Tomcat</v>
          </cell>
          <cell r="C213" t="str">
            <v>The Scotts Company LLC</v>
          </cell>
          <cell r="D213" t="str">
            <v>Tomcat Rat &amp; Mouse Bait Station, 4 Packages Each with 1 Station &amp; 15 Baits</v>
          </cell>
          <cell r="E213" t="str">
            <v>https://www.amazon.com/dp/B01MS07UDH?psc=1</v>
          </cell>
          <cell r="F213" t="str">
            <v>Rodent Control</v>
          </cell>
          <cell r="G213" t="str">
            <v>Bait &amp; Poison</v>
          </cell>
          <cell r="H213" t="str">
            <v>Rodent Control - Bait &amp; Poison</v>
          </cell>
          <cell r="I213" t="str">
            <v>Rodent</v>
          </cell>
        </row>
        <row r="214">
          <cell r="A214" t="str">
            <v>B01MY5HL4Y</v>
          </cell>
          <cell r="B214" t="str">
            <v>Tomcat</v>
          </cell>
          <cell r="C214" t="str">
            <v>The Scotts Company LLC</v>
          </cell>
          <cell r="D214" t="str">
            <v>Tomcat Rat &amp; Mouse Killer, Child &amp; Dog Resistant, Disposable Station</v>
          </cell>
          <cell r="E214" t="str">
            <v>https://www.amazon.com/dp/B01MY5HL4Y?psc=1</v>
          </cell>
          <cell r="F214" t="str">
            <v>Rodent Control</v>
          </cell>
          <cell r="G214" t="str">
            <v>Ant Traps</v>
          </cell>
          <cell r="H214" t="str">
            <v>Rodent Control - Ant Traps</v>
          </cell>
          <cell r="I214" t="str">
            <v>Rodent</v>
          </cell>
        </row>
        <row r="215">
          <cell r="A215" t="str">
            <v>B01N5MKVUS</v>
          </cell>
          <cell r="B215" t="str">
            <v>Tomcat</v>
          </cell>
          <cell r="C215" t="str">
            <v>The Scotts Company LLC</v>
          </cell>
          <cell r="D215" t="str">
            <v>Tomcat Mouse Bait Stations, 6 Packages Each with 2 Pre-Filled Stations</v>
          </cell>
          <cell r="E215" t="str">
            <v>https://www.amazon.com/dp/B01N5MKVUS?psc=1</v>
          </cell>
          <cell r="F215" t="str">
            <v>Rodent Control</v>
          </cell>
          <cell r="G215" t="str">
            <v>Bait &amp; Poison</v>
          </cell>
          <cell r="H215" t="str">
            <v>Rodent Control - Bait &amp; Poison</v>
          </cell>
          <cell r="I215" t="str">
            <v>Rodent</v>
          </cell>
        </row>
        <row r="216">
          <cell r="A216" t="str">
            <v>B01MQYUVLK</v>
          </cell>
          <cell r="B216" t="str">
            <v>Tomcat</v>
          </cell>
          <cell r="C216" t="str">
            <v>Tomcat</v>
          </cell>
          <cell r="D216" t="str">
            <v>Tomcat Mouse Traps (Wooden), 48 Traps</v>
          </cell>
          <cell r="E216" t="str">
            <v>https://www.amazon.com/dp/B01MQYUVLK?psc=1</v>
          </cell>
          <cell r="F216" t="str">
            <v>Rodent Control</v>
          </cell>
          <cell r="G216" t="str">
            <v>Other</v>
          </cell>
          <cell r="H216" t="str">
            <v>Rodent Control - Other</v>
          </cell>
          <cell r="I216" t="str">
            <v>Rodent</v>
          </cell>
        </row>
        <row r="217">
          <cell r="A217" t="str">
            <v>B012REEF2A</v>
          </cell>
          <cell r="B217" t="str">
            <v>Tomcat</v>
          </cell>
          <cell r="C217" t="str">
            <v>The Scotts Company LLC</v>
          </cell>
          <cell r="D217" t="str">
            <v>Tomcat Repellents Rodent Repellent Continuous Spray, 14 oz. (3-Pack)</v>
          </cell>
          <cell r="E217" t="str">
            <v>https://www.amazon.com/dp/B012REEF2A?psc=1</v>
          </cell>
          <cell r="F217" t="str">
            <v>Rodent Control</v>
          </cell>
          <cell r="G217" t="str">
            <v>Repellents</v>
          </cell>
          <cell r="H217" t="str">
            <v>Rodent Control - Repellents</v>
          </cell>
          <cell r="I217" t="str">
            <v>Rodent</v>
          </cell>
        </row>
        <row r="218">
          <cell r="A218" t="str">
            <v>B005BV0DD2</v>
          </cell>
          <cell r="B218" t="str">
            <v>Tomcat</v>
          </cell>
          <cell r="C218" t="str">
            <v>The Scotts Company LLC</v>
          </cell>
          <cell r="D218" t="str">
            <v>Tomcat Bromethalin Bait Chunx — Rat and Mouse Control Blocks for Agricultural Use, 4 lbs.</v>
          </cell>
          <cell r="E218" t="str">
            <v>https://www.amazon.com/dp/B005BV0DD2</v>
          </cell>
          <cell r="F218" t="str">
            <v>Rodent Control</v>
          </cell>
          <cell r="G218" t="str">
            <v>Bait &amp; Poison</v>
          </cell>
          <cell r="H218" t="str">
            <v>Rodent Control - Bait &amp; Poison</v>
          </cell>
          <cell r="I218" t="str">
            <v>Rodent</v>
          </cell>
        </row>
        <row r="219">
          <cell r="A219" t="str">
            <v>B012RDZN9A</v>
          </cell>
          <cell r="B219" t="str">
            <v>Tomcat</v>
          </cell>
          <cell r="C219" t="str">
            <v>The Scotts Company LLC</v>
          </cell>
          <cell r="D219" t="str">
            <v>Tomcat Mouse Bait Stations, 4 Packages Each with 4 Pre-Filled Stations</v>
          </cell>
          <cell r="E219" t="str">
            <v>https://www.amazon.com/dp/B012RDZN9A?psc=1</v>
          </cell>
          <cell r="F219" t="str">
            <v>Rodent Control</v>
          </cell>
          <cell r="G219" t="str">
            <v>Bait &amp; Poison</v>
          </cell>
          <cell r="H219" t="str">
            <v>Rodent Control - Bait &amp; Poison</v>
          </cell>
          <cell r="I219" t="str">
            <v>Rodent</v>
          </cell>
        </row>
        <row r="220">
          <cell r="A220" t="str">
            <v>B00N6XKVNY</v>
          </cell>
          <cell r="B220" t="str">
            <v>Tomcat</v>
          </cell>
          <cell r="C220" t="str">
            <v>The Scotts Company LLC</v>
          </cell>
          <cell r="D220" t="str">
            <v>Tomcat Press 'N Set Mouse Trap, Plastic, Spring-Loaded Mouse Killer with Grab-Tab, 2 Traps</v>
          </cell>
          <cell r="E220" t="str">
            <v>https://www.amazon.com/dp/B00N6XKVNY</v>
          </cell>
          <cell r="F220" t="str">
            <v>Rodent Control</v>
          </cell>
          <cell r="G220" t="str">
            <v>Other</v>
          </cell>
          <cell r="H220" t="str">
            <v>Rodent Control - Other</v>
          </cell>
          <cell r="I220" t="str">
            <v>Rodent</v>
          </cell>
        </row>
        <row r="221">
          <cell r="A221" t="str">
            <v>B01N2WKLR0</v>
          </cell>
          <cell r="B221" t="str">
            <v>Tomcat</v>
          </cell>
          <cell r="C221" t="str">
            <v>The Scotts Company LLC</v>
          </cell>
          <cell r="D221" t="str">
            <v>Tomcat Glue Traps Mouse Size with Eugenol for Enhanced Stickiness, 72 Traps</v>
          </cell>
          <cell r="E221" t="str">
            <v>https://www.amazon.com/dp/B01N2WKLR0?psc=1</v>
          </cell>
          <cell r="F221" t="str">
            <v>Rodent Control</v>
          </cell>
          <cell r="G221" t="str">
            <v>Glue Traps</v>
          </cell>
          <cell r="H221" t="str">
            <v>Rodent Control - Glue Traps</v>
          </cell>
          <cell r="I221" t="str">
            <v>Rodent</v>
          </cell>
        </row>
        <row r="222">
          <cell r="A222" t="str">
            <v>B01MZ2LOBP</v>
          </cell>
          <cell r="B222" t="str">
            <v>Tomcat</v>
          </cell>
          <cell r="C222" t="str">
            <v>The Scotts Company LLC</v>
          </cell>
          <cell r="D222" t="str">
            <v>Tomcat Rat &amp; Mouse Bait Stations, 4 Packages Each with 1 Prefilled Station</v>
          </cell>
          <cell r="E222" t="str">
            <v>https://www.amazon.com/dp/B01MZ2LOBP?psc=1</v>
          </cell>
          <cell r="F222" t="str">
            <v>Rodent Control</v>
          </cell>
          <cell r="G222" t="str">
            <v>Bait &amp; Poison</v>
          </cell>
          <cell r="H222" t="str">
            <v>Rodent Control - Bait &amp; Poison</v>
          </cell>
          <cell r="I222" t="str">
            <v>Rodent</v>
          </cell>
        </row>
        <row r="223">
          <cell r="A223" t="str">
            <v>B01MU3GZWX</v>
          </cell>
          <cell r="B223" t="str">
            <v>Tomcat</v>
          </cell>
          <cell r="C223" t="str">
            <v>Tomcat</v>
          </cell>
          <cell r="D223" t="str">
            <v>Tomcat Mouse Traps (Wooden), 24 Traps</v>
          </cell>
          <cell r="E223" t="str">
            <v>https://www.amazon.com/dp/B01MU3GZWX?psc=1</v>
          </cell>
          <cell r="F223" t="str">
            <v>Rodent Control</v>
          </cell>
          <cell r="G223" t="str">
            <v>Other</v>
          </cell>
          <cell r="H223" t="str">
            <v>Rodent Control - Other</v>
          </cell>
          <cell r="I223" t="str">
            <v>Rodent</v>
          </cell>
        </row>
        <row r="224">
          <cell r="A224" t="str">
            <v>B012RGQ936</v>
          </cell>
          <cell r="B224" t="str">
            <v>Tomcat</v>
          </cell>
          <cell r="C224" t="str">
            <v>The Scotts Company LLC</v>
          </cell>
          <cell r="D224" t="str">
            <v>Tomcat Repellents Rodent Repellent Ready-to-Use with Comfort Wand, 1 gal.</v>
          </cell>
          <cell r="E224" t="str">
            <v>https://www.amazon.com/dp/B012RGQ936?psc=1</v>
          </cell>
          <cell r="F224" t="str">
            <v>Rodent Control</v>
          </cell>
          <cell r="G224" t="str">
            <v>Repellents</v>
          </cell>
          <cell r="H224" t="str">
            <v>Rodent Control - Repellents</v>
          </cell>
          <cell r="I224" t="str">
            <v>Rodent</v>
          </cell>
        </row>
        <row r="225">
          <cell r="A225" t="str">
            <v>B012REF4D4</v>
          </cell>
          <cell r="B225" t="str">
            <v>Tomcat</v>
          </cell>
          <cell r="C225" t="str">
            <v>The Scotts Company LLC</v>
          </cell>
          <cell r="D225" t="str">
            <v>Tomcat Repellents Rodent Repeller, 1 Warmer with 1 Refill</v>
          </cell>
          <cell r="E225" t="str">
            <v>https://www.amazon.com/dp/B012REF4D4?psc=1</v>
          </cell>
          <cell r="F225" t="str">
            <v>Rodent Control</v>
          </cell>
          <cell r="G225" t="str">
            <v>Repellents</v>
          </cell>
          <cell r="H225" t="str">
            <v>Rodent Control - Repellents</v>
          </cell>
          <cell r="I225" t="str">
            <v>Rodent</v>
          </cell>
        </row>
        <row r="226">
          <cell r="A226" t="str">
            <v>B0CLSF5325</v>
          </cell>
          <cell r="B226" t="str">
            <v>Tomcat</v>
          </cell>
          <cell r="C226" t="str">
            <v>Scotts Miracle Gro</v>
          </cell>
          <cell r="D226" t="str">
            <v>Tomcat Advanced Brand Mouse Bait with Refillable Station, Indoor and Outdoor Use, 1 Station and 6 Bait Block Refills</v>
          </cell>
          <cell r="E226" t="str">
            <v>https://www.amazon.com/dp/B0CLSF5325?psc=1</v>
          </cell>
          <cell r="F226" t="str">
            <v>Rodent Control</v>
          </cell>
          <cell r="G226" t="str">
            <v>Bait &amp; Poison</v>
          </cell>
          <cell r="H226" t="str">
            <v>Rodent Control - Bait &amp; Poison</v>
          </cell>
          <cell r="I226" t="str">
            <v>Rodent</v>
          </cell>
        </row>
        <row r="227">
          <cell r="A227" t="str">
            <v>B012E3F87U</v>
          </cell>
          <cell r="B227" t="str">
            <v>Tomcat</v>
          </cell>
          <cell r="C227" t="str">
            <v>Scotts Miracle Gro</v>
          </cell>
          <cell r="D227" t="str">
            <v>Tomcat Advanced Brand Rat &amp; Mouse Bait with Refillable Station, 12 Baits</v>
          </cell>
          <cell r="E227" t="str">
            <v>https://www.amazon.com/dp/B012E3F87U?psc=1</v>
          </cell>
          <cell r="F227" t="str">
            <v>Rodent Control</v>
          </cell>
          <cell r="G227" t="str">
            <v>Bait &amp; Poison</v>
          </cell>
          <cell r="H227" t="str">
            <v>Rodent Control - Bait &amp; Poison</v>
          </cell>
          <cell r="I227" t="str">
            <v>Rodent</v>
          </cell>
        </row>
        <row r="228">
          <cell r="A228" t="str">
            <v>B005KF8PAM</v>
          </cell>
          <cell r="B228" t="str">
            <v>Tomcat</v>
          </cell>
          <cell r="C228" t="str">
            <v>The Scotts Company LLC</v>
          </cell>
          <cell r="D228" t="str">
            <v>Tomcat Mouse Bait Station, 6 Packages Each with 1 Station &amp; 4 Bait Blocks</v>
          </cell>
          <cell r="E228" t="str">
            <v>https://www.amazon.com/dp/B005KF8PAM?psc=1</v>
          </cell>
          <cell r="F228" t="str">
            <v>Rodent Control</v>
          </cell>
          <cell r="G228" t="str">
            <v>Bait &amp; Poison</v>
          </cell>
          <cell r="H228" t="str">
            <v>Rodent Control - Bait &amp; Poison</v>
          </cell>
          <cell r="I228" t="str">
            <v>Rodent</v>
          </cell>
        </row>
        <row r="229">
          <cell r="A229" t="str">
            <v>B012VJMDK2</v>
          </cell>
          <cell r="B229" t="str">
            <v>Tomcat</v>
          </cell>
          <cell r="C229" t="str">
            <v>The Scotts Company LLC</v>
          </cell>
          <cell r="D229" t="str">
            <v>Tomcat Mouse Killer Disposable Station for Indoor Use - Child Resistant, 3 Stations with 1 Bait Each</v>
          </cell>
          <cell r="E229" t="str">
            <v>https://www.amazon.com/dp/B012VJMDK2</v>
          </cell>
          <cell r="F229" t="str">
            <v>Rodent Control</v>
          </cell>
          <cell r="G229" t="str">
            <v>Bait &amp; Poison</v>
          </cell>
          <cell r="H229" t="str">
            <v>Rodent Control - Bait &amp; Poison</v>
          </cell>
          <cell r="I229" t="str">
            <v>Rodent</v>
          </cell>
        </row>
        <row r="230">
          <cell r="A230" t="str">
            <v>B0CLSG1DNG</v>
          </cell>
          <cell r="B230" t="str">
            <v>Tomcat</v>
          </cell>
          <cell r="C230" t="str">
            <v>Scotts Miracle Gro</v>
          </cell>
          <cell r="D230" t="str">
            <v>Tomcat Advanced Brand Rat &amp; Mouse Bait with Refillable Station, 12 Baits</v>
          </cell>
          <cell r="E230" t="str">
            <v>https://www.amazon.com/dp/B0CLSG1DNG</v>
          </cell>
          <cell r="F230" t="str">
            <v>Rodent Control</v>
          </cell>
          <cell r="G230" t="str">
            <v>Bait &amp; Poison</v>
          </cell>
          <cell r="H230" t="str">
            <v>Rodent Control - Bait &amp; Poison</v>
          </cell>
          <cell r="I230" t="str">
            <v>Rodent</v>
          </cell>
        </row>
        <row r="231">
          <cell r="A231" t="str">
            <v>B00270DAIU</v>
          </cell>
          <cell r="B231" t="str">
            <v>JT Eaton</v>
          </cell>
          <cell r="C231" t="str">
            <v>JT Eaton</v>
          </cell>
          <cell r="D231" t="str">
            <v>BIGFOOT Rat Size Snap Trap with Expanded Trigger – Heavy-Duty Wooden Rat Trap with Adjustable Sensitivity for Effective Rodent Control</v>
          </cell>
          <cell r="E231" t="str">
            <v>https://www.amazon.com/dp/B00270DAIU?psc=1</v>
          </cell>
          <cell r="F231" t="str">
            <v>Rodent Control</v>
          </cell>
          <cell r="G231" t="str">
            <v>Snap Traps</v>
          </cell>
          <cell r="H231" t="str">
            <v>Rodent Control - Snap Traps</v>
          </cell>
          <cell r="I231" t="str">
            <v>Rodent</v>
          </cell>
        </row>
        <row r="232">
          <cell r="A232" t="str">
            <v>B007A60AMA</v>
          </cell>
          <cell r="B232" t="str">
            <v>JT Eaton</v>
          </cell>
          <cell r="C232" t="str">
            <v>JT Eaton</v>
          </cell>
          <cell r="D232" t="str">
            <v>JT Eaton Anticoagulant Rodenticide Bait Block for Mice and Rats, Made in USA, Apple Flavor, 9 lb Pail of 144 Blocks</v>
          </cell>
          <cell r="E232" t="str">
            <v>https://www.amazon.com/dp/B007A60AMA</v>
          </cell>
          <cell r="F232" t="str">
            <v>Rodent Control</v>
          </cell>
          <cell r="G232" t="str">
            <v>Bait &amp; Poison</v>
          </cell>
          <cell r="H232" t="str">
            <v>Rodent Control - Bait &amp; Poison</v>
          </cell>
          <cell r="I232" t="str">
            <v>Rodent</v>
          </cell>
        </row>
        <row r="233">
          <cell r="A233" t="str">
            <v>B07GBQKLWZ</v>
          </cell>
          <cell r="B233" t="str">
            <v>JT Eaton</v>
          </cell>
          <cell r="C233" t="str">
            <v>J T Eaton</v>
          </cell>
          <cell r="D233" t="str">
            <v>Bait Block Apple Flavor Rodenticide – 4 lb. Pail – Effective Rodent Control Bait Blocks – Long-Lasting and Easy to Use</v>
          </cell>
          <cell r="E233" t="str">
            <v>https://www.amazon.com/dp/B07GBQKLWZ</v>
          </cell>
          <cell r="F233" t="str">
            <v>Rodent Control</v>
          </cell>
          <cell r="G233" t="str">
            <v>Bait &amp; Poison</v>
          </cell>
          <cell r="H233" t="str">
            <v>Rodent Control - Bait &amp; Poison</v>
          </cell>
          <cell r="I233" t="str">
            <v>Rodent</v>
          </cell>
        </row>
        <row r="234">
          <cell r="A234" t="str">
            <v>B0713S4D85</v>
          </cell>
          <cell r="B234" t="str">
            <v>JT Eaton</v>
          </cell>
          <cell r="C234" t="str">
            <v>JT Eaton</v>
          </cell>
          <cell r="D234" t="str">
            <v>JT Eaton 409 Jawz Indoor Plastic Mouse Trap for Solid or Liquid Bait, Instant Kill Mouse Traps, No-Touch Disposal with Trap Set Indicator 6-Pack</v>
          </cell>
          <cell r="E234" t="str">
            <v>https://www.amazon.com/dp/B0713S4D85</v>
          </cell>
          <cell r="F234" t="str">
            <v>Rodent Control</v>
          </cell>
          <cell r="G234" t="str">
            <v>Bait &amp; Poison</v>
          </cell>
          <cell r="H234" t="str">
            <v>Rodent Control - Bait &amp; Poison</v>
          </cell>
          <cell r="I234" t="str">
            <v>Rodent</v>
          </cell>
        </row>
        <row r="235">
          <cell r="A235" t="str">
            <v>B004ZXAPAS</v>
          </cell>
          <cell r="B235" t="str">
            <v>JT Eaton</v>
          </cell>
          <cell r="C235" t="str">
            <v>JT Eaton</v>
          </cell>
          <cell r="D235" t="str">
            <v>Stick-Em Mouse &amp; Insect Glue Trap – Effective Indoor Rodent &amp; Insect Control – Non-Toxic, Mess-Free Adhesive – Ideal for Mice, Spiders, and Crawling Insects – Easy to Use and Dispose</v>
          </cell>
          <cell r="E235" t="str">
            <v>https://www.amazon.com/dp/B004ZXAPAS</v>
          </cell>
          <cell r="F235" t="str">
            <v>Rodent Control</v>
          </cell>
          <cell r="G235" t="str">
            <v>Glue Traps</v>
          </cell>
          <cell r="H235" t="str">
            <v>Rodent Control - Glue Traps</v>
          </cell>
          <cell r="I235" t="str">
            <v>Rodent</v>
          </cell>
        </row>
        <row r="236">
          <cell r="A236" t="str">
            <v>B007ICK5RG</v>
          </cell>
          <cell r="B236" t="str">
            <v>JT Eaton</v>
          </cell>
          <cell r="C236" t="str">
            <v>JT Eaton Store</v>
          </cell>
          <cell r="D236" t="str">
            <v>JT Eaton Anticoagulant Rodenticide Bait Block for Mice and Rats, Made in USA, Peanut Butter Flavor, 9 Pound Pail, 144 Blocks</v>
          </cell>
          <cell r="E236" t="str">
            <v>https://www.amazon.com/dp/B007ICK5RG</v>
          </cell>
          <cell r="F236" t="str">
            <v>Rodent Control</v>
          </cell>
          <cell r="G236" t="str">
            <v>Bait &amp; Poison</v>
          </cell>
          <cell r="H236" t="str">
            <v>Rodent Control - Bait &amp; Poison</v>
          </cell>
          <cell r="I236" t="str">
            <v>Rodent</v>
          </cell>
        </row>
        <row r="237">
          <cell r="A237" t="str">
            <v>B075H1NMKJ</v>
          </cell>
          <cell r="B237" t="str">
            <v>JT Eaton</v>
          </cell>
          <cell r="C237" t="str">
            <v>J T Eaton</v>
          </cell>
          <cell r="D237" t="str">
            <v>JT Eaton 709-PN Bait Block Rodenticide Anticoagulant Bait, Peanut Butter Flavor, for Mice and Rats (Pail of 144) (2 Pails of 144)</v>
          </cell>
          <cell r="E237" t="str">
            <v>https://www.amazon.com/dp/B075H1NMKJ</v>
          </cell>
          <cell r="F237" t="str">
            <v>Rodent Control</v>
          </cell>
          <cell r="G237" t="str">
            <v>Bait &amp; Poison</v>
          </cell>
          <cell r="H237" t="str">
            <v>Rodent Control - Bait &amp; Poison</v>
          </cell>
          <cell r="I237" t="str">
            <v>Rodent</v>
          </cell>
        </row>
        <row r="238">
          <cell r="A238" t="str">
            <v>B07LH9QJFP</v>
          </cell>
          <cell r="B238" t="str">
            <v>JT Eaton</v>
          </cell>
          <cell r="C238" t="str">
            <v>JT Eaton</v>
          </cell>
          <cell r="D238" t="str">
            <v>JAWZTM Plastic Mouse Traps Packed Bulk, Packed 6 per Case</v>
          </cell>
          <cell r="E238" t="str">
            <v>https://www.amazon.com/dp/B07LH9QJFP</v>
          </cell>
          <cell r="F238" t="str">
            <v>Rodent Control</v>
          </cell>
          <cell r="G238" t="str">
            <v>Other</v>
          </cell>
          <cell r="H238" t="str">
            <v>Rodent Control - Other</v>
          </cell>
          <cell r="I238" t="str">
            <v>Rodent</v>
          </cell>
        </row>
        <row r="239">
          <cell r="A239" t="str">
            <v>B071Z52Z2Y</v>
          </cell>
          <cell r="B239" t="str">
            <v>JT Eaton</v>
          </cell>
          <cell r="C239" t="str">
            <v>JT Eaton</v>
          </cell>
          <cell r="D239" t="str">
            <v>JT Eaton Jawz 407 Depot Covered Mouse Traps</v>
          </cell>
          <cell r="E239" t="str">
            <v>https://www.amazon.com/dp/B071Z52Z2Y?psc=1</v>
          </cell>
          <cell r="F239" t="str">
            <v>Rodent Control</v>
          </cell>
          <cell r="G239" t="str">
            <v>Other</v>
          </cell>
          <cell r="H239" t="str">
            <v>Rodent Control - Other</v>
          </cell>
          <cell r="I239" t="str">
            <v>Rodent</v>
          </cell>
        </row>
        <row r="240">
          <cell r="A240" t="str">
            <v>B01BWA8U4Y</v>
          </cell>
          <cell r="B240" t="str">
            <v>JT Eaton</v>
          </cell>
          <cell r="C240" t="str">
            <v>JT Eaton</v>
          </cell>
          <cell r="D240" t="str">
            <v>JT Eaton Mouse Trap - No-Touch Disposal, Trap Set Indicator, Jawz Mousetraps - 12-Pack - Plastic</v>
          </cell>
          <cell r="E240" t="str">
            <v>https://www.amazon.com/dp/B01BWA8U4Y?psc=1</v>
          </cell>
          <cell r="F240" t="str">
            <v>Rodent Control</v>
          </cell>
          <cell r="G240" t="str">
            <v>Other</v>
          </cell>
          <cell r="H240" t="str">
            <v>Rodent Control - Other</v>
          </cell>
          <cell r="I240" t="str">
            <v>Rodent</v>
          </cell>
        </row>
        <row r="241">
          <cell r="A241" t="str">
            <v>B00DLKGIT8</v>
          </cell>
          <cell r="B241" t="str">
            <v>JT Eaton</v>
          </cell>
          <cell r="C241" t="str">
            <v>JT Eaton</v>
          </cell>
          <cell r="D241" t="str">
            <v>JT Eaton Top Gun All-Weather Rodenticide Bait Blocks, Rats &amp; Mice</v>
          </cell>
          <cell r="E241" t="str">
            <v>https://www.amazon.com/dp/B00DLKGIT8</v>
          </cell>
          <cell r="F241" t="str">
            <v>Rodent Control</v>
          </cell>
          <cell r="G241" t="str">
            <v>Bait &amp; Poison</v>
          </cell>
          <cell r="H241" t="str">
            <v>Rodent Control - Bait &amp; Poison</v>
          </cell>
          <cell r="I241" t="str">
            <v>Rodent</v>
          </cell>
        </row>
        <row r="242">
          <cell r="A242" t="str">
            <v>B00DLKKYRU</v>
          </cell>
          <cell r="B242" t="str">
            <v>JT Eaton</v>
          </cell>
          <cell r="C242" t="str">
            <v>JT Eaton</v>
          </cell>
          <cell r="D242" t="str">
            <v>JT Eaton 409 Jawz Indoor Plastic Mouse Trap for Solid or Liquid Bait, Instant Kill Mouse Traps, No-Touch Disposal with Trap Set Indicator 24-Pack</v>
          </cell>
          <cell r="E242" t="str">
            <v>https://www.amazon.com/dp/B00DLKKYRU</v>
          </cell>
          <cell r="F242" t="str">
            <v>Rodent Control</v>
          </cell>
          <cell r="G242" t="str">
            <v>Bait &amp; Poison</v>
          </cell>
          <cell r="H242" t="str">
            <v>Rodent Control - Bait &amp; Poison</v>
          </cell>
          <cell r="I242" t="str">
            <v>Rodent</v>
          </cell>
        </row>
        <row r="243">
          <cell r="A243" t="str">
            <v>B001KMYREM</v>
          </cell>
          <cell r="B243" t="str">
            <v>JT Eaton</v>
          </cell>
          <cell r="C243" t="str">
            <v>JT Eaton</v>
          </cell>
          <cell r="D243" t="str">
            <v>J T Eaton JT Eaton J T Eaton 155N Stick-Em Rat and Mouse Size, 2-Pack, Multi, 2 Glue Traps</v>
          </cell>
          <cell r="E243" t="str">
            <v>https://www.amazon.com/dp/B001KMYREM</v>
          </cell>
          <cell r="F243" t="str">
            <v>Rodent Control</v>
          </cell>
          <cell r="G243" t="str">
            <v>Glue Traps</v>
          </cell>
          <cell r="H243" t="str">
            <v>Rodent Control - Glue Traps</v>
          </cell>
          <cell r="I243" t="str">
            <v>Rodent</v>
          </cell>
        </row>
        <row r="244">
          <cell r="A244" t="str">
            <v>B000XDUPXQ</v>
          </cell>
          <cell r="B244" t="str">
            <v>JT Eaton</v>
          </cell>
          <cell r="C244" t="str">
            <v>JT Eaton</v>
          </cell>
          <cell r="D244" t="str">
            <v>JT Eaton Stick-Em Compact Mouse Glue Trap, Non-Toxic, Indoor Use</v>
          </cell>
          <cell r="E244" t="str">
            <v>https://www.amazon.com/dp/B000XDUPXQ</v>
          </cell>
          <cell r="F244" t="str">
            <v>Rodent Control</v>
          </cell>
          <cell r="G244" t="str">
            <v>Glue Traps</v>
          </cell>
          <cell r="H244" t="str">
            <v>Rodent Control - Glue Traps</v>
          </cell>
          <cell r="I244" t="str">
            <v>Rodent</v>
          </cell>
        </row>
        <row r="245">
          <cell r="A245" t="str">
            <v>B015L2J2DM</v>
          </cell>
          <cell r="B245" t="str">
            <v>JT Eaton</v>
          </cell>
          <cell r="C245" t="str">
            <v>JT Eaton</v>
          </cell>
          <cell r="D245" t="str">
            <v>JT Eaton Jawz Depot Covered Mouse Trap</v>
          </cell>
          <cell r="E245" t="str">
            <v>https://www.amazon.com/dp/B015L2J2DM</v>
          </cell>
          <cell r="F245" t="str">
            <v>Rodent Control</v>
          </cell>
          <cell r="G245" t="str">
            <v>Other</v>
          </cell>
          <cell r="H245" t="str">
            <v>Rodent Control - Other</v>
          </cell>
          <cell r="I245" t="str">
            <v>Rodent</v>
          </cell>
        </row>
        <row r="246">
          <cell r="A246" t="str">
            <v>B005FMKDXW</v>
          </cell>
          <cell r="B246" t="str">
            <v>JT Eaton</v>
          </cell>
          <cell r="C246" t="str">
            <v>JT Eaton</v>
          </cell>
          <cell r="D246" t="str">
            <v>J T Eaton JT Eaton 428CL Mouse Trap with Clear Inspection Window, Pack of 1, N</v>
          </cell>
          <cell r="E246" t="str">
            <v>https://www.amazon.com/dp/B005FMKDXW?psc=1</v>
          </cell>
          <cell r="F246" t="str">
            <v>Rodent Control</v>
          </cell>
          <cell r="G246" t="str">
            <v>Other</v>
          </cell>
          <cell r="H246" t="str">
            <v>Rodent Control - Other</v>
          </cell>
          <cell r="I246" t="str">
            <v>Rodent</v>
          </cell>
        </row>
        <row r="247">
          <cell r="A247" t="str">
            <v>B07MVKYC8Y</v>
          </cell>
          <cell r="B247" t="str">
            <v>JT Eaton</v>
          </cell>
          <cell r="C247" t="str">
            <v>JT Eaton</v>
          </cell>
          <cell r="D247" t="str">
            <v>JT Eaton 144N Stick-Em Covered Mouse Glue Trap, 3, Brown/A</v>
          </cell>
          <cell r="E247" t="str">
            <v>https://www.amazon.com/dp/B07MVKYC8Y?psc=1</v>
          </cell>
          <cell r="F247" t="str">
            <v>Rodent Control</v>
          </cell>
          <cell r="G247" t="str">
            <v>Glue Traps</v>
          </cell>
          <cell r="H247" t="str">
            <v>Rodent Control - Glue Traps</v>
          </cell>
          <cell r="I247" t="str">
            <v>Rodent</v>
          </cell>
        </row>
        <row r="248">
          <cell r="A248" t="str">
            <v>B07286FCZ3</v>
          </cell>
          <cell r="B248" t="str">
            <v>JT Eaton</v>
          </cell>
          <cell r="C248" t="str">
            <v>JT Eaton</v>
          </cell>
          <cell r="D248" t="str">
            <v>JT Eaton Rodent Rock 2G Tamper-Resistant Bait Station, Outdoor</v>
          </cell>
          <cell r="E248" t="str">
            <v>https://www.amazon.com/dp/B07286FCZ3</v>
          </cell>
          <cell r="F248" t="str">
            <v>Rodent Control</v>
          </cell>
          <cell r="G248" t="str">
            <v>Bait &amp; Poison</v>
          </cell>
          <cell r="H248" t="str">
            <v>Rodent Control - Bait &amp; Poison</v>
          </cell>
          <cell r="I248" t="str">
            <v>Rodent</v>
          </cell>
        </row>
        <row r="249">
          <cell r="A249" t="str">
            <v>B0BKH6DWPN</v>
          </cell>
          <cell r="B249" t="str">
            <v>JT Eaton</v>
          </cell>
          <cell r="C249" t="str">
            <v>JT Eaton</v>
          </cell>
          <cell r="D249" t="str">
            <v>JT Eaton Jawz Safe-Tee Rat and Mouse Bait Station, Black</v>
          </cell>
          <cell r="E249" t="str">
            <v>https://www.amazon.com/dp/B0BKH6DWPN</v>
          </cell>
          <cell r="F249" t="str">
            <v>Rodent Control</v>
          </cell>
          <cell r="G249" t="str">
            <v>Bait &amp; Poison</v>
          </cell>
          <cell r="H249" t="str">
            <v>Rodent Control - Bait &amp; Poison</v>
          </cell>
          <cell r="I249" t="str">
            <v>Rodent</v>
          </cell>
        </row>
        <row r="250">
          <cell r="A250" t="str">
            <v>B00DLKFYM0</v>
          </cell>
          <cell r="B250" t="str">
            <v>JT Eaton</v>
          </cell>
          <cell r="C250" t="str">
            <v>JT Eaton Store</v>
          </cell>
          <cell r="D250" t="str">
            <v>JT Eaton Double Jeopardy Glue Board for Rodents &amp; Insects, 72-Pack</v>
          </cell>
          <cell r="E250" t="str">
            <v>https://www.amazon.com/dp/B00DLKFYM0</v>
          </cell>
          <cell r="F250" t="str">
            <v>Rodent Control</v>
          </cell>
          <cell r="G250" t="str">
            <v>Glue Traps</v>
          </cell>
          <cell r="H250" t="str">
            <v>Rodent Control - Glue Traps</v>
          </cell>
          <cell r="I250" t="str">
            <v>Rodent</v>
          </cell>
        </row>
        <row r="251">
          <cell r="A251" t="str">
            <v>B0722P2QHQ</v>
          </cell>
          <cell r="B251" t="str">
            <v>JT Eaton</v>
          </cell>
          <cell r="C251" t="str">
            <v>JT Eaton</v>
          </cell>
          <cell r="D251" t="str">
            <v>JT Eaton 716-S Nectus Soft Bait 2G Second Generation Rodenticide, Bait for Rats and Mice, 16-Pound Pail</v>
          </cell>
          <cell r="E251" t="str">
            <v>https://www.amazon.com/dp/B0722P2QHQ</v>
          </cell>
          <cell r="F251" t="str">
            <v>Rodent Control</v>
          </cell>
          <cell r="G251" t="str">
            <v>Bait &amp; Poison</v>
          </cell>
          <cell r="H251" t="str">
            <v>Rodent Control - Bait &amp; Poison</v>
          </cell>
          <cell r="I251" t="str">
            <v>Rodent</v>
          </cell>
        </row>
        <row r="252">
          <cell r="A252" t="str">
            <v>B0084NVRQQ</v>
          </cell>
          <cell r="B252" t="str">
            <v>Bell Laboratories</v>
          </cell>
          <cell r="C252" t="str">
            <v>BELL LABS</v>
          </cell>
          <cell r="D252" t="str">
            <v>Final Blocks Rodenticide 18 lbs</v>
          </cell>
          <cell r="E252" t="str">
            <v>https://www.amazon.com/dp/B0084NVRQQ</v>
          </cell>
          <cell r="F252" t="str">
            <v>Rodent Control</v>
          </cell>
          <cell r="G252" t="str">
            <v>Other</v>
          </cell>
          <cell r="H252" t="str">
            <v>Rodent Control - Other</v>
          </cell>
          <cell r="I252" t="str">
            <v>Rodent</v>
          </cell>
        </row>
        <row r="253">
          <cell r="A253" t="str">
            <v>B003ORPOJ8</v>
          </cell>
          <cell r="B253" t="str">
            <v>Bell Laboratories</v>
          </cell>
          <cell r="C253" t="str">
            <v>Bell</v>
          </cell>
          <cell r="D253" t="str">
            <v>18 LB Contrac Blox Rodent Control Rodenticide Kills Mice &amp; Rats</v>
          </cell>
          <cell r="E253" t="str">
            <v>https://www.amazon.com/dp/B003ORPOJ8</v>
          </cell>
          <cell r="F253" t="str">
            <v>Rodent Control</v>
          </cell>
          <cell r="G253" t="str">
            <v>Other</v>
          </cell>
          <cell r="H253" t="str">
            <v>Rodent Control - Other</v>
          </cell>
          <cell r="I253" t="str">
            <v>Rodent</v>
          </cell>
        </row>
        <row r="254">
          <cell r="A254" t="str">
            <v>B002V0ZM4G</v>
          </cell>
          <cell r="B254" t="str">
            <v>Bell Laboratories</v>
          </cell>
          <cell r="C254" t="str">
            <v>Bell Labratories Inc.</v>
          </cell>
          <cell r="D254" t="str">
            <v>Provoke Professional Gel for Mouse Traps, 2 Oz</v>
          </cell>
          <cell r="E254" t="str">
            <v>https://www.amazon.com/dp/B002V0ZM4G</v>
          </cell>
          <cell r="F254" t="str">
            <v>Rodent Control</v>
          </cell>
          <cell r="G254" t="str">
            <v>Other</v>
          </cell>
          <cell r="H254" t="str">
            <v>Rodent Control - Other</v>
          </cell>
          <cell r="I254" t="str">
            <v>Rodent</v>
          </cell>
        </row>
        <row r="255">
          <cell r="A255" t="str">
            <v>B003K947Q6</v>
          </cell>
          <cell r="B255" t="str">
            <v>Bell Laboratories</v>
          </cell>
          <cell r="C255" t="str">
            <v>Bell Labs</v>
          </cell>
          <cell r="D255" t="str">
            <v>Trapper Mini T-rex Easy Set Mouse Snap Trap 6 Traps BELL-1044</v>
          </cell>
          <cell r="E255" t="str">
            <v>https://www.amazon.com/dp/B003K947Q6</v>
          </cell>
          <cell r="F255" t="str">
            <v>Rodent Control</v>
          </cell>
          <cell r="G255" t="str">
            <v>Snap Traps</v>
          </cell>
          <cell r="H255" t="str">
            <v>Rodent Control - Snap Traps</v>
          </cell>
          <cell r="I255" t="str">
            <v>Rodent</v>
          </cell>
        </row>
        <row r="256">
          <cell r="A256" t="str">
            <v>B07YCMW8KD</v>
          </cell>
          <cell r="B256" t="str">
            <v>Bell Laboratories</v>
          </cell>
          <cell r="D256" t="str">
            <v>Contrac Blox Rodenticide - 1 Pail (18 lb.)</v>
          </cell>
          <cell r="E256" t="str">
            <v>https://www.amazon.com/dp/B07YCMW8KD</v>
          </cell>
          <cell r="F256" t="str">
            <v>Rodent Control</v>
          </cell>
          <cell r="G256" t="str">
            <v>Other</v>
          </cell>
          <cell r="H256" t="str">
            <v>Rodent Control - Other</v>
          </cell>
          <cell r="I256" t="str">
            <v>Rodent</v>
          </cell>
        </row>
        <row r="257">
          <cell r="A257" t="str">
            <v>B00CLTOEX2</v>
          </cell>
          <cell r="B257" t="str">
            <v>Bell Laboratories</v>
          </cell>
          <cell r="C257" t="str">
            <v>Bell Laboratories</v>
          </cell>
          <cell r="D257" t="str">
            <v>Bell Final Blox Rodent Bait Poison 18#- Brodifacoum</v>
          </cell>
          <cell r="E257" t="str">
            <v>https://www.amazon.com/dp/B00CLTOEX2</v>
          </cell>
          <cell r="F257" t="str">
            <v>Rodent Control</v>
          </cell>
          <cell r="G257" t="str">
            <v>Bait &amp; Poison</v>
          </cell>
          <cell r="H257" t="str">
            <v>Rodent Control - Bait &amp; Poison</v>
          </cell>
          <cell r="I257" t="str">
            <v>Rodent</v>
          </cell>
        </row>
        <row r="258">
          <cell r="A258" t="str">
            <v>B00605F7TI</v>
          </cell>
          <cell r="B258" t="str">
            <v>Bell Laboratories</v>
          </cell>
          <cell r="C258" t="str">
            <v>self help pest control online</v>
          </cell>
          <cell r="D258" t="str">
            <v>Trapper Max Free Mouse Glue Boards-12 Boards</v>
          </cell>
          <cell r="E258" t="str">
            <v>https://www.amazon.com/dp/B00605F7TI</v>
          </cell>
          <cell r="F258" t="str">
            <v>Rodent Control</v>
          </cell>
          <cell r="G258" t="str">
            <v>Glue Traps</v>
          </cell>
          <cell r="H258" t="str">
            <v>Rodent Control - Glue Traps</v>
          </cell>
          <cell r="I258" t="str">
            <v>Rodent</v>
          </cell>
        </row>
        <row r="259">
          <cell r="A259" t="str">
            <v>B00004RA4D</v>
          </cell>
          <cell r="B259" t="str">
            <v>Kness</v>
          </cell>
          <cell r="C259" t="str">
            <v>Kness Mfg Company</v>
          </cell>
          <cell r="D259" t="str">
            <v>Kness 101-0-002 Ketch-All Mousetrap,Silver</v>
          </cell>
          <cell r="E259" t="str">
            <v>https://www.amazon.com/dp/B00004RA4D</v>
          </cell>
          <cell r="F259" t="str">
            <v>Rodent Control</v>
          </cell>
          <cell r="G259" t="str">
            <v>Other</v>
          </cell>
          <cell r="H259" t="str">
            <v>Rodent Control - Other</v>
          </cell>
          <cell r="I259" t="str">
            <v>Rodent</v>
          </cell>
        </row>
        <row r="260">
          <cell r="A260" t="str">
            <v>B0C9T97G4N</v>
          </cell>
          <cell r="B260" t="str">
            <v>Jahy2Tech</v>
          </cell>
          <cell r="C260" t="str">
            <v>Jahy2Tech</v>
          </cell>
          <cell r="D260" t="str">
            <v>2 Pcs Under Hood Rodent Repeller with Strobe Light &amp; 3 Power Supply Methods, Professional Ultrasonic Mouse Repellent Rat Squirrel Deterrent for 12V Cars Trucks RV Engine Bay Warehouse Attic</v>
          </cell>
          <cell r="E260" t="str">
            <v>https://www.amazon.com/dp/B0C9T97G4N?psc=1</v>
          </cell>
          <cell r="F260" t="str">
            <v>Rodent Control</v>
          </cell>
          <cell r="G260" t="str">
            <v>Repellents</v>
          </cell>
          <cell r="H260" t="str">
            <v>Rodent Control - Repellents</v>
          </cell>
          <cell r="I260" t="str">
            <v>Rodent</v>
          </cell>
        </row>
        <row r="261">
          <cell r="A261" t="str">
            <v>B0CD24D6PB</v>
          </cell>
          <cell r="B261" t="str">
            <v>Jahy2Tech</v>
          </cell>
          <cell r="C261" t="str">
            <v>Jahy2Tech</v>
          </cell>
          <cell r="D261" t="str">
            <v>Mouse Bait Station Outdoor Indoor with Keys, 8 Pack Reusable Rat Bait Stations, Mice Stations, Keep Children and Pets Safe, Bait Station Box for Kitchen Garage Patio(Bait is not Included)</v>
          </cell>
          <cell r="E261" t="str">
            <v>https://www.amazon.com/dp/B0CD24D6PB?psc=1</v>
          </cell>
          <cell r="F261" t="str">
            <v>Rodent Control</v>
          </cell>
          <cell r="G261" t="str">
            <v>Bait &amp; Poison</v>
          </cell>
          <cell r="H261" t="str">
            <v>Rodent Control - Bait &amp; Poison</v>
          </cell>
          <cell r="I261" t="str">
            <v>Rodent</v>
          </cell>
        </row>
        <row r="262">
          <cell r="A262" t="str">
            <v>B0FVDY8D4N</v>
          </cell>
          <cell r="B262" t="str">
            <v>HOY HOY</v>
          </cell>
          <cell r="C262" t="str">
            <v>Earth Corporation</v>
          </cell>
          <cell r="D262" t="str">
            <v>HOY HOY Rat &amp; Mouse Glue Transformable Trap with Lure – 5 Traps, Clever Foldable Design for Indoor Use, Super Sticky Wavy Glue with Food-Based Lure Bag, Made in Japan</v>
          </cell>
          <cell r="E262" t="str">
            <v>https://www.amazon.com/dp/B0FVDY8D4N</v>
          </cell>
          <cell r="F262" t="str">
            <v>Rodent Control</v>
          </cell>
          <cell r="G262" t="str">
            <v>Other</v>
          </cell>
          <cell r="H262" t="str">
            <v>Rodent Control - Other</v>
          </cell>
          <cell r="I262" t="str">
            <v>Rodent</v>
          </cell>
        </row>
        <row r="263">
          <cell r="A263" t="str">
            <v>B09DJD5NFQ</v>
          </cell>
          <cell r="B263" t="str">
            <v>RinneTraps</v>
          </cell>
          <cell r="C263" t="str">
            <v>RinneCorp</v>
          </cell>
          <cell r="D263" t="str">
            <v>RinneTraps - Flip N Slide Bucket Lid Mouse Trap |2 Pack| |Multi Catch| |Made in USA | US Pat D1,039,648s</v>
          </cell>
          <cell r="E263" t="str">
            <v>https://www.amazon.com/dp/B09DJD5NFQ?psc=1</v>
          </cell>
          <cell r="F263" t="str">
            <v>Rodent Control</v>
          </cell>
          <cell r="G263" t="str">
            <v>Other</v>
          </cell>
          <cell r="H263" t="str">
            <v>Rodent Control - Other</v>
          </cell>
          <cell r="I263" t="str">
            <v>Rodent</v>
          </cell>
        </row>
        <row r="264">
          <cell r="A264" t="str">
            <v>B08SL6KJ29</v>
          </cell>
          <cell r="B264" t="str">
            <v>RinneTraps</v>
          </cell>
          <cell r="C264" t="str">
            <v>RinneCorp</v>
          </cell>
          <cell r="D264" t="str">
            <v>RinneTraps - Flip N Slide Bucket Lid Mouse Trap | Original | Made in USA | US PAT D1,039,648s</v>
          </cell>
          <cell r="E264" t="str">
            <v>https://www.amazon.com/dp/B08SL6KJ29?psc=1</v>
          </cell>
          <cell r="F264" t="str">
            <v>Rodent Control</v>
          </cell>
          <cell r="G264" t="str">
            <v>Other</v>
          </cell>
          <cell r="H264" t="str">
            <v>Rodent Control - Other</v>
          </cell>
          <cell r="I264" t="str">
            <v>Rodent</v>
          </cell>
        </row>
        <row r="265">
          <cell r="A265" t="str">
            <v>B0C4XVQ71S</v>
          </cell>
          <cell r="B265" t="str">
            <v>RinneTraps</v>
          </cell>
          <cell r="C265" t="str">
            <v>RinneTraps</v>
          </cell>
          <cell r="D265" t="str">
            <v>RinneTraps | Dizzy Dunker Bucket Lid Mouse Trap | Made in USA | Multi Catch | Humane | Indoor/Outdoor | (1 Pack</v>
          </cell>
          <cell r="E265" t="str">
            <v>https://www.amazon.com/dp/B0C4XVQ71S</v>
          </cell>
          <cell r="F265" t="str">
            <v>Rodent Control</v>
          </cell>
          <cell r="G265" t="str">
            <v>Other</v>
          </cell>
          <cell r="H265" t="str">
            <v>Rodent Control - Other</v>
          </cell>
          <cell r="I265" t="str">
            <v>Rodent</v>
          </cell>
        </row>
        <row r="266">
          <cell r="A266" t="str">
            <v>B001VJ2DDG</v>
          </cell>
          <cell r="B266" t="str">
            <v>Bonide</v>
          </cell>
          <cell r="C266" t="str">
            <v>Monster Pets</v>
          </cell>
          <cell r="D266" t="str">
            <v>Bonide Mouse Magic Mouse Repellent Scent Packs, 12 Packs</v>
          </cell>
          <cell r="E266" t="str">
            <v>https://www.amazon.com/dp/B001VJ2DDG?psc=1</v>
          </cell>
          <cell r="F266" t="str">
            <v>Rodent Control</v>
          </cell>
          <cell r="G266" t="str">
            <v>Repellents</v>
          </cell>
          <cell r="H266" t="str">
            <v>Rodent Control - Repellents</v>
          </cell>
          <cell r="I266" t="str">
            <v>Rodent</v>
          </cell>
        </row>
        <row r="267">
          <cell r="A267" t="str">
            <v>B014POVYZG</v>
          </cell>
          <cell r="B267" t="str">
            <v>Bonide</v>
          </cell>
          <cell r="C267" t="str">
            <v>Bonide Products LLC</v>
          </cell>
          <cell r="D267" t="str">
            <v>Bonide Rat Magic Rodent Repellent, 5 lb. Ready-to-Use Granules</v>
          </cell>
          <cell r="E267" t="str">
            <v>https://www.amazon.com/dp/B014POVYZG</v>
          </cell>
          <cell r="F267" t="str">
            <v>Rodent Control</v>
          </cell>
          <cell r="G267" t="str">
            <v>Repellents</v>
          </cell>
          <cell r="H267" t="str">
            <v>Rodent Control - Repellents</v>
          </cell>
          <cell r="I267" t="str">
            <v>Rodent</v>
          </cell>
        </row>
        <row r="268">
          <cell r="A268" t="str">
            <v>B000HCRMIY</v>
          </cell>
          <cell r="B268" t="str">
            <v>Bonide</v>
          </cell>
          <cell r="C268" t="str">
            <v>Arett Sales - LG</v>
          </cell>
          <cell r="D268" t="str">
            <v>Bonide Mouse Magic Mouse Repellent Scent Packs, 4 Packs</v>
          </cell>
          <cell r="E268" t="str">
            <v>https://www.amazon.com/dp/B000HCRMIY?psc=1</v>
          </cell>
          <cell r="F268" t="str">
            <v>Rodent Control</v>
          </cell>
          <cell r="G268" t="str">
            <v>Repellents</v>
          </cell>
          <cell r="H268" t="str">
            <v>Rodent Control - Repellents</v>
          </cell>
          <cell r="I268" t="str">
            <v>Rodent</v>
          </cell>
        </row>
        <row r="269">
          <cell r="A269" t="str">
            <v>B01IDXDU98</v>
          </cell>
          <cell r="B269" t="str">
            <v>Bonide</v>
          </cell>
          <cell r="C269" t="str">
            <v>BONIDE PRODUCTS INC</v>
          </cell>
          <cell r="D269" t="str">
            <v>Bonide Mouse Magic Mouse Repellent</v>
          </cell>
          <cell r="E269" t="str">
            <v>https://www.amazon.com/dp/B01IDXDU98</v>
          </cell>
          <cell r="F269" t="str">
            <v>Rodent Control</v>
          </cell>
          <cell r="G269" t="str">
            <v>Repellents</v>
          </cell>
          <cell r="H269" t="str">
            <v>Rodent Control - Repellents</v>
          </cell>
          <cell r="I269" t="str">
            <v>Rodent</v>
          </cell>
        </row>
        <row r="270">
          <cell r="A270" t="str">
            <v>B07JYFFMV1</v>
          </cell>
          <cell r="B270" t="str">
            <v>Bonide</v>
          </cell>
          <cell r="C270" t="str">
            <v>Bonide Products LLC</v>
          </cell>
          <cell r="D270" t="str">
            <v>Bonide Chipmunk, Squirrel &amp; Rodent Repellent, 32 oz Ready-to-Spray</v>
          </cell>
          <cell r="E270" t="str">
            <v>https://www.amazon.com/dp/B07JYFFMV1?psc=1</v>
          </cell>
          <cell r="F270" t="str">
            <v>Rodent Control</v>
          </cell>
          <cell r="G270" t="str">
            <v>Repellents</v>
          </cell>
          <cell r="H270" t="str">
            <v>Rodent Control - Repellents</v>
          </cell>
          <cell r="I270" t="str">
            <v>Rodent</v>
          </cell>
        </row>
        <row r="271">
          <cell r="A271" t="str">
            <v>B0F6NG7RQW</v>
          </cell>
          <cell r="B271" t="str">
            <v>WowCatch</v>
          </cell>
          <cell r="C271" t="str">
            <v>WowCatch</v>
          </cell>
          <cell r="D271" t="str">
            <v>Wowcatch Rat, Snake and Mouse Traps 12 PK, Large Bulk Sticky Glue Traps</v>
          </cell>
          <cell r="E271" t="str">
            <v>https://www.amazon.com/dp/B0F6NG7RQW?psc=1</v>
          </cell>
          <cell r="F271" t="str">
            <v>Rodent Control</v>
          </cell>
          <cell r="G271" t="str">
            <v>Glue Traps</v>
          </cell>
          <cell r="H271" t="str">
            <v>Rodent Control - Glue Traps</v>
          </cell>
          <cell r="I271" t="str">
            <v>Rodent</v>
          </cell>
        </row>
        <row r="272">
          <cell r="A272" t="str">
            <v>B0F6NGMQ5Q</v>
          </cell>
          <cell r="B272" t="str">
            <v>WowCatch</v>
          </cell>
          <cell r="C272" t="str">
            <v>WowCatch</v>
          </cell>
          <cell r="D272" t="str">
            <v>Wowcatch Sticky Mouse Traps Indoor for Home, Sticky Glue Traps</v>
          </cell>
          <cell r="E272" t="str">
            <v>https://www.amazon.com/dp/B0F6NGMQ5Q?psc=1</v>
          </cell>
          <cell r="F272" t="str">
            <v>Rodent Control</v>
          </cell>
          <cell r="G272" t="str">
            <v>Glue Traps</v>
          </cell>
          <cell r="H272" t="str">
            <v>Rodent Control - Glue Traps</v>
          </cell>
          <cell r="I272" t="str">
            <v>Rodent</v>
          </cell>
        </row>
        <row r="273">
          <cell r="A273" t="str">
            <v>B0F6NGNP3Y</v>
          </cell>
          <cell r="B273" t="str">
            <v>WowCatch</v>
          </cell>
          <cell r="C273" t="str">
            <v>WowCatch</v>
          </cell>
          <cell r="D273" t="str">
            <v>Wowcatch Sticky Mouse Traps Indoor for Home, Sticky Glue Traps</v>
          </cell>
          <cell r="E273" t="str">
            <v>https://www.amazon.com/dp/B0F6NGNP3Y?psc=1</v>
          </cell>
          <cell r="F273" t="str">
            <v>Rodent Control</v>
          </cell>
          <cell r="G273" t="str">
            <v>Glue Traps</v>
          </cell>
          <cell r="H273" t="str">
            <v>Rodent Control - Glue Traps</v>
          </cell>
          <cell r="I273" t="str">
            <v>Rodent</v>
          </cell>
        </row>
        <row r="274">
          <cell r="A274" t="str">
            <v>B0FRSB1BCL</v>
          </cell>
          <cell r="B274" t="str">
            <v>WowCatch</v>
          </cell>
          <cell r="C274" t="str">
            <v>WowCatch</v>
          </cell>
          <cell r="D274" t="str">
            <v>Wowcatch Sticky Mouse Traps Indoor for Home, Sticky Glue Traps</v>
          </cell>
          <cell r="E274" t="str">
            <v>https://www.amazon.com/dp/B0FRSB1BCL?psc=1</v>
          </cell>
          <cell r="F274" t="str">
            <v>Rodent Control</v>
          </cell>
          <cell r="G274" t="str">
            <v>Glue Traps</v>
          </cell>
          <cell r="H274" t="str">
            <v>Rodent Control - Glue Traps</v>
          </cell>
          <cell r="I274" t="str">
            <v>Rodent</v>
          </cell>
        </row>
        <row r="275">
          <cell r="A275" t="str">
            <v>B0F6NLY3QX</v>
          </cell>
          <cell r="B275" t="str">
            <v>WowCatch</v>
          </cell>
          <cell r="C275" t="str">
            <v>WowCatch</v>
          </cell>
          <cell r="D275" t="str">
            <v>Wowcatch Rat, Snake and Mouse Traps 24 PK, Large Bulk Sticky Glue Traps</v>
          </cell>
          <cell r="E275" t="str">
            <v>https://www.amazon.com/dp/B0F6NLY3QX?psc=1</v>
          </cell>
          <cell r="F275" t="str">
            <v>Rodent Control</v>
          </cell>
          <cell r="G275" t="str">
            <v>Glue Traps</v>
          </cell>
          <cell r="H275" t="str">
            <v>Rodent Control - Glue Traps</v>
          </cell>
          <cell r="I275" t="str">
            <v>Rodent</v>
          </cell>
        </row>
        <row r="276">
          <cell r="A276" t="str">
            <v>B0F6NGS4Z6</v>
          </cell>
          <cell r="B276" t="str">
            <v>WowCatch</v>
          </cell>
          <cell r="C276" t="str">
            <v>WowCatch</v>
          </cell>
          <cell r="D276" t="str">
            <v>Wowcatch Jumbo Rat, Snake &amp; Mouse Glue Traps - 6 Pack Extra Large</v>
          </cell>
          <cell r="E276" t="str">
            <v>https://www.amazon.com/dp/B0F6NGS4Z6?psc=1</v>
          </cell>
          <cell r="F276" t="str">
            <v>Rodent Control</v>
          </cell>
          <cell r="G276" t="str">
            <v>Glue Traps</v>
          </cell>
          <cell r="H276" t="str">
            <v>Rodent Control - Glue Traps</v>
          </cell>
          <cell r="I276" t="str">
            <v>Rodent</v>
          </cell>
        </row>
        <row r="277">
          <cell r="A277" t="str">
            <v>B0F6NN4434</v>
          </cell>
          <cell r="B277" t="str">
            <v>WowCatch</v>
          </cell>
          <cell r="C277" t="str">
            <v>WowCatch</v>
          </cell>
          <cell r="D277" t="str">
            <v>Wowcatch Sticky Mouse Traps Indoor for Home -6 Pk Pre-baited Glue Traps</v>
          </cell>
          <cell r="E277" t="str">
            <v>https://www.amazon.com/dp/B0F6NN4434?psc=1</v>
          </cell>
          <cell r="F277" t="str">
            <v>Rodent Control</v>
          </cell>
          <cell r="G277" t="str">
            <v>Glue Traps</v>
          </cell>
          <cell r="H277" t="str">
            <v>Rodent Control - Glue Traps</v>
          </cell>
          <cell r="I277" t="str">
            <v>Rodent</v>
          </cell>
        </row>
        <row r="278">
          <cell r="A278" t="str">
            <v>B07JMDYDVJ</v>
          </cell>
          <cell r="B278" t="str">
            <v>Grandpa Gus's</v>
          </cell>
          <cell r="C278" t="str">
            <v>Grandpa Gus's</v>
          </cell>
          <cell r="D278" t="str">
            <v>Grandpa Gus's Mouse Repellent Pouches, Peppermint &amp; Cinnamon, Pack of 10</v>
          </cell>
          <cell r="E278" t="str">
            <v>https://www.amazon.com/dp/B07JMDYDVJ?psc=1</v>
          </cell>
          <cell r="F278" t="str">
            <v>Rodent Control</v>
          </cell>
          <cell r="G278" t="str">
            <v>Repellents</v>
          </cell>
          <cell r="H278" t="str">
            <v>Rodent Control - Repellents</v>
          </cell>
          <cell r="I278" t="str">
            <v>Rodent</v>
          </cell>
        </row>
        <row r="279">
          <cell r="A279" t="str">
            <v>B0B4KNJT14</v>
          </cell>
          <cell r="B279" t="str">
            <v>Grandpa Gus's</v>
          </cell>
          <cell r="C279" t="str">
            <v>Grandpa Gus's</v>
          </cell>
          <cell r="D279" t="str">
            <v>Grandpa Gus's Rodent Repellent Spray, Natural Peppermint Oil, 128 Fl Oz</v>
          </cell>
          <cell r="E279" t="str">
            <v>https://www.amazon.com/dp/B0B4KNJT14?psc=1</v>
          </cell>
          <cell r="F279" t="str">
            <v>Rodent Control</v>
          </cell>
          <cell r="G279" t="str">
            <v>Repellents</v>
          </cell>
          <cell r="H279" t="str">
            <v>Rodent Control - Repellents</v>
          </cell>
          <cell r="I279" t="str">
            <v>Rodent</v>
          </cell>
        </row>
        <row r="280">
          <cell r="A280" t="str">
            <v>B07SSDHLQ8</v>
          </cell>
          <cell r="B280" t="str">
            <v>Grandpa Gus's</v>
          </cell>
          <cell r="C280" t="str">
            <v>Grandpa Gus's</v>
          </cell>
          <cell r="D280" t="str">
            <v>Grandpa Gus's Mouse Repellent Pouches, Peppermint &amp; Cinnamon, Pack of 16</v>
          </cell>
          <cell r="E280" t="str">
            <v>https://www.amazon.com/dp/B07SSDHLQ8?psc=1</v>
          </cell>
          <cell r="F280" t="str">
            <v>Rodent Control</v>
          </cell>
          <cell r="G280" t="str">
            <v>Repellents</v>
          </cell>
          <cell r="H280" t="str">
            <v>Rodent Control - Repellents</v>
          </cell>
          <cell r="I280" t="str">
            <v>Rodent</v>
          </cell>
        </row>
        <row r="281">
          <cell r="A281" t="str">
            <v>B08GS7L34B</v>
          </cell>
          <cell r="B281" t="str">
            <v>Grandpa Gus's</v>
          </cell>
          <cell r="C281" t="str">
            <v>Grandpa Gus's</v>
          </cell>
          <cell r="D281" t="str">
            <v>Grandpa Gus's Rodent Repellent Spray, Natural Peppermint Oil, 16 Fl Oz</v>
          </cell>
          <cell r="E281" t="str">
            <v>https://www.amazon.com/dp/B08GS7L34B?psc=1</v>
          </cell>
          <cell r="F281" t="str">
            <v>Rodent Control</v>
          </cell>
          <cell r="G281" t="str">
            <v>Repellents</v>
          </cell>
          <cell r="H281" t="str">
            <v>Rodent Control - Repellents</v>
          </cell>
          <cell r="I281" t="str">
            <v>Rodent</v>
          </cell>
        </row>
        <row r="282">
          <cell r="A282" t="str">
            <v>B01HTZLAG6</v>
          </cell>
          <cell r="B282" t="str">
            <v>Grandpa Gus's</v>
          </cell>
          <cell r="C282" t="str">
            <v>Grandpa Gus's</v>
          </cell>
          <cell r="D282" t="str">
            <v>Grandpa Gus's Mouse Repellent Pouches, Peppermint &amp; Cinnamon, 4 Pouches</v>
          </cell>
          <cell r="E282" t="str">
            <v>https://www.amazon.com/dp/B01HTZLAG6?psc=1</v>
          </cell>
          <cell r="F282" t="str">
            <v>Rodent Control</v>
          </cell>
          <cell r="G282" t="str">
            <v>Repellents</v>
          </cell>
          <cell r="H282" t="str">
            <v>Rodent Control - Repellents</v>
          </cell>
          <cell r="I282" t="str">
            <v>Rodent</v>
          </cell>
        </row>
        <row r="283">
          <cell r="A283" t="str">
            <v>B0D4F8DN84</v>
          </cell>
          <cell r="B283" t="str">
            <v>Grandpa Gus's</v>
          </cell>
          <cell r="C283" t="str">
            <v>Grandpa Gus's</v>
          </cell>
          <cell r="D283" t="str">
            <v>Grandpa Gus's Mouse Repellent Pouches, Peppermint &amp; Cinnamon, 40 Pouches</v>
          </cell>
          <cell r="E283" t="str">
            <v>https://www.amazon.com/dp/B0D4F8DN84?psc=1</v>
          </cell>
          <cell r="F283" t="str">
            <v>Rodent Control</v>
          </cell>
          <cell r="G283" t="str">
            <v>Repellents</v>
          </cell>
          <cell r="H283" t="str">
            <v>Rodent Control - Repellents</v>
          </cell>
          <cell r="I283" t="str">
            <v>Rodent</v>
          </cell>
        </row>
        <row r="284">
          <cell r="A284" t="str">
            <v>B0GXWSFFR6</v>
          </cell>
          <cell r="B284" t="str">
            <v>Grandpa Gus's</v>
          </cell>
          <cell r="C284" t="str">
            <v>Grandpa Gus's</v>
          </cell>
          <cell r="D284" t="str">
            <v>Grandpa Gus's Rodent Vehicle Repellent Spray for Cars &amp; Engines, 16 Fl Oz</v>
          </cell>
          <cell r="E284" t="str">
            <v>https://www.amazon.com/dp/B0GXWSFFR6?psc=1</v>
          </cell>
          <cell r="F284" t="str">
            <v>Rodent Control</v>
          </cell>
          <cell r="G284" t="str">
            <v>Repellents</v>
          </cell>
          <cell r="H284" t="str">
            <v>Rodent Control - Repellents</v>
          </cell>
          <cell r="I284" t="str">
            <v>Rodent</v>
          </cell>
        </row>
        <row r="285">
          <cell r="A285" t="str">
            <v>B0C6B2JSKV</v>
          </cell>
          <cell r="B285" t="str">
            <v>Grandpa Gus's</v>
          </cell>
          <cell r="C285" t="str">
            <v>Grandpa Gus's</v>
          </cell>
          <cell r="D285" t="str">
            <v>Grandpa Gus's Mouse Repellent Pouches, Peppermint &amp; Cinnamon, 30 Pouches</v>
          </cell>
          <cell r="E285" t="str">
            <v>https://www.amazon.com/dp/B0C6B2JSKV?psc=1</v>
          </cell>
          <cell r="F285" t="str">
            <v>Rodent Control</v>
          </cell>
          <cell r="G285" t="str">
            <v>Repellents</v>
          </cell>
          <cell r="H285" t="str">
            <v>Rodent Control - Repellents</v>
          </cell>
          <cell r="I285" t="str">
            <v>Rodent</v>
          </cell>
        </row>
        <row r="286">
          <cell r="A286" t="str">
            <v>B0GWFR8Y79</v>
          </cell>
          <cell r="B286" t="str">
            <v>Grandpa Gus's</v>
          </cell>
          <cell r="C286" t="str">
            <v>Grandpa Gus's</v>
          </cell>
          <cell r="D286" t="str">
            <v>Grandpa Gus's MAX Rodent Repellent Spray, Natural Peppermint Oil, 16 Fl Oz</v>
          </cell>
          <cell r="E286" t="str">
            <v>https://www.amazon.com/dp/B0GWFR8Y79</v>
          </cell>
          <cell r="F286" t="str">
            <v>Rodent Control</v>
          </cell>
          <cell r="G286" t="str">
            <v>Repellents</v>
          </cell>
          <cell r="H286" t="str">
            <v>Rodent Control - Repellents</v>
          </cell>
          <cell r="I286" t="str">
            <v>Rodent</v>
          </cell>
        </row>
        <row r="287">
          <cell r="A287" t="str">
            <v>B0GXWVQVRY</v>
          </cell>
          <cell r="B287" t="str">
            <v>Grandpa Gus's</v>
          </cell>
          <cell r="C287" t="str">
            <v>Grandpa Gus's</v>
          </cell>
          <cell r="D287" t="str">
            <v>Grandpa Gus's Rodent Vehicle Repellent Spray for Cars &amp; Engines, 128 Fl Oz</v>
          </cell>
          <cell r="E287" t="str">
            <v>https://www.amazon.com/dp/B0GXWVQVRY?psc=1</v>
          </cell>
          <cell r="F287" t="str">
            <v>Rodent Control</v>
          </cell>
          <cell r="G287" t="str">
            <v>Repellents</v>
          </cell>
          <cell r="H287" t="str">
            <v>Rodent Control - Repellents</v>
          </cell>
          <cell r="I287" t="str">
            <v>Rodent</v>
          </cell>
        </row>
        <row r="288">
          <cell r="A288" t="str">
            <v>B0DDRM991N</v>
          </cell>
          <cell r="B288" t="str">
            <v>Grandpa Gus's</v>
          </cell>
          <cell r="C288" t="str">
            <v>Grandpa Gus's</v>
          </cell>
          <cell r="D288" t="str">
            <v>Grandpa Gus's Rodent Repellent Spray Super Concentrate, 4 Fl Oz</v>
          </cell>
          <cell r="E288" t="str">
            <v>https://www.amazon.com/dp/B0DDRM991N?psc=1</v>
          </cell>
          <cell r="F288" t="str">
            <v>Rodent Control</v>
          </cell>
          <cell r="G288" t="str">
            <v>Repellents</v>
          </cell>
          <cell r="H288" t="str">
            <v>Rodent Control - Repellents</v>
          </cell>
          <cell r="I288" t="str">
            <v>Rodent</v>
          </cell>
        </row>
        <row r="289">
          <cell r="A289" t="str">
            <v>B07SVHV8G7</v>
          </cell>
          <cell r="B289" t="str">
            <v>Grandpa Gus's</v>
          </cell>
          <cell r="C289" t="str">
            <v>Grandpa Gus's</v>
          </cell>
          <cell r="D289" t="str">
            <v>Grandpa Gus's Extra-Strength Mouse Repellent Pouches + Rodent Repellent Spray, Peppermint/Cinnamon, Home/RV, Boat/Car Storage &amp; Machinery, 4 x 1.75 oz Pouches + 1 x 8 oz Spray</v>
          </cell>
          <cell r="E289" t="str">
            <v>https://www.amazon.com/dp/B07SVHV8G7</v>
          </cell>
          <cell r="F289" t="str">
            <v>Rodent Control</v>
          </cell>
          <cell r="G289" t="str">
            <v>Repellents</v>
          </cell>
          <cell r="H289" t="str">
            <v>Rodent Control - Repellents</v>
          </cell>
          <cell r="I289" t="str">
            <v>Rodent</v>
          </cell>
        </row>
        <row r="290">
          <cell r="A290" t="str">
            <v>B0F5WQ88HJ</v>
          </cell>
          <cell r="B290" t="str">
            <v>Grandpa Gus's</v>
          </cell>
          <cell r="C290" t="str">
            <v>Grandpa Gus's</v>
          </cell>
          <cell r="D290" t="str">
            <v>Grandpa Gus's Rodent Lure Bait Syringe, Attractant Gel, 1.08 oz</v>
          </cell>
          <cell r="E290" t="str">
            <v>https://www.amazon.com/dp/B0F5WQ88HJ</v>
          </cell>
          <cell r="F290" t="str">
            <v>Rodent Control</v>
          </cell>
          <cell r="G290" t="str">
            <v>Bait &amp; Poison</v>
          </cell>
          <cell r="H290" t="str">
            <v>Rodent Control - Bait &amp; Poison</v>
          </cell>
          <cell r="I290" t="str">
            <v>Rodent</v>
          </cell>
        </row>
        <row r="291">
          <cell r="A291" t="str">
            <v>B005BUZL2Q</v>
          </cell>
          <cell r="B291" t="str">
            <v>Neogen</v>
          </cell>
          <cell r="C291" t="str">
            <v>Monster Pets</v>
          </cell>
          <cell r="D291" t="str">
            <v>Neogen Ramik Green Fish Flavored Weather Resistant Rodenticide Nuggets, 4 lb bag (00615)</v>
          </cell>
          <cell r="E291" t="str">
            <v>https://www.amazon.com/dp/B005BUZL2Q?psc=1</v>
          </cell>
          <cell r="F291" t="str">
            <v>Rodent Control</v>
          </cell>
          <cell r="G291" t="str">
            <v>Ant Traps</v>
          </cell>
          <cell r="H291" t="str">
            <v>Rodent Control - Ant Traps</v>
          </cell>
          <cell r="I291" t="str">
            <v>Rodent</v>
          </cell>
        </row>
        <row r="292">
          <cell r="A292" t="str">
            <v>B0051SVAMI</v>
          </cell>
          <cell r="B292" t="str">
            <v>Neogen</v>
          </cell>
          <cell r="C292" t="str">
            <v>Monster Pets</v>
          </cell>
          <cell r="D292" t="str">
            <v>Ramik Bars All-Weather Rodenticide Mold &amp; Moisture Resistant Bait for Control of Rats, Mice, and Meadow Voles, 4 lbs</v>
          </cell>
          <cell r="E292" t="str">
            <v>https://www.amazon.com/dp/B0051SVAMI?psc=1</v>
          </cell>
          <cell r="F292" t="str">
            <v>Rodent Control</v>
          </cell>
          <cell r="G292" t="str">
            <v>Bait &amp; Poison</v>
          </cell>
          <cell r="H292" t="str">
            <v>Rodent Control - Bait &amp; Poison</v>
          </cell>
          <cell r="I292" t="str">
            <v>Rodent</v>
          </cell>
        </row>
        <row r="293">
          <cell r="A293" t="str">
            <v>B00GYASHRS</v>
          </cell>
          <cell r="B293" t="str">
            <v>Neogen</v>
          </cell>
          <cell r="C293" t="str">
            <v>NEOGEN</v>
          </cell>
          <cell r="D293" t="str">
            <v>Neogen Ramik Fish Flavored Weather Resistant Rodenticide Mini Bait Bars, 4-pound pouch, multicolor (116331)</v>
          </cell>
          <cell r="E293" t="str">
            <v>https://www.amazon.com/dp/B00GYASHRS</v>
          </cell>
          <cell r="F293" t="str">
            <v>Rodent Control</v>
          </cell>
          <cell r="G293" t="str">
            <v>Bait &amp; Poison</v>
          </cell>
          <cell r="H293" t="str">
            <v>Rodent Control - Bait &amp; Poison</v>
          </cell>
          <cell r="I293" t="str">
            <v>Rodent</v>
          </cell>
        </row>
        <row r="294">
          <cell r="A294" t="str">
            <v>B007OWP4CG</v>
          </cell>
          <cell r="B294" t="str">
            <v>Neogen</v>
          </cell>
          <cell r="C294" t="str">
            <v>Ramik</v>
          </cell>
          <cell r="D294" t="str">
            <v>Neogen 000550 Rodent Bait Station, Black</v>
          </cell>
          <cell r="E294" t="str">
            <v>https://www.amazon.com/dp/B007OWP4CG?psc=1</v>
          </cell>
          <cell r="F294" t="str">
            <v>Rodent Control</v>
          </cell>
          <cell r="G294" t="str">
            <v>Bait &amp; Poison</v>
          </cell>
          <cell r="H294" t="str">
            <v>Rodent Control - Bait &amp; Poison</v>
          </cell>
          <cell r="I294" t="str">
            <v>Rodent</v>
          </cell>
        </row>
        <row r="295">
          <cell r="A295" t="str">
            <v>B004WUP03G</v>
          </cell>
          <cell r="B295" t="str">
            <v>Neogen</v>
          </cell>
          <cell r="C295" t="str">
            <v>Neogen</v>
          </cell>
          <cell r="D295" t="str">
            <v>Neogen Havoc Rodenticide Rat &amp; Mouse Bait Pellet Pack, 8 lb.Pail</v>
          </cell>
          <cell r="E295" t="str">
            <v>https://www.amazon.com/dp/B004WUP03G</v>
          </cell>
          <cell r="F295" t="str">
            <v>Rodent Control</v>
          </cell>
          <cell r="G295" t="str">
            <v>Bait &amp; Poison</v>
          </cell>
          <cell r="H295" t="str">
            <v>Rodent Control - Bait &amp; Poison</v>
          </cell>
          <cell r="I295" t="str">
            <v>Rodent</v>
          </cell>
        </row>
        <row r="296">
          <cell r="A296" t="str">
            <v>B075CNJDHJ</v>
          </cell>
          <cell r="B296" t="str">
            <v>Neogen</v>
          </cell>
          <cell r="C296" t="str">
            <v>Ramik</v>
          </cell>
          <cell r="D296" t="str">
            <v>Neogen Ramik Green Fish Flavored Weather Resistant Rodenticide Pellets, 20-Pound bucket</v>
          </cell>
          <cell r="E296" t="str">
            <v>https://www.amazon.com/dp/B075CNJDHJ?psc=1</v>
          </cell>
          <cell r="F296" t="str">
            <v>Rodent Control</v>
          </cell>
          <cell r="G296" t="str">
            <v>Ant Traps</v>
          </cell>
          <cell r="H296" t="str">
            <v>Rodent Control - Ant Traps</v>
          </cell>
          <cell r="I296" t="str">
            <v>Rodent</v>
          </cell>
        </row>
        <row r="297">
          <cell r="A297" t="str">
            <v>B075CQ2YVY</v>
          </cell>
          <cell r="B297" t="str">
            <v>Neogen</v>
          </cell>
          <cell r="C297" t="str">
            <v>Neogen</v>
          </cell>
          <cell r="D297" t="str">
            <v>Rodex Blox-1 Moisture Resistant Warfarin Rodenticide Bait for Rats and Mice, 4 lb</v>
          </cell>
          <cell r="E297" t="str">
            <v>https://www.amazon.com/dp/B075CQ2YVY?psc=1</v>
          </cell>
          <cell r="F297" t="str">
            <v>Rodent Control</v>
          </cell>
          <cell r="G297" t="str">
            <v>Bait &amp; Poison</v>
          </cell>
          <cell r="H297" t="str">
            <v>Rodent Control - Bait &amp; Poison</v>
          </cell>
          <cell r="I297" t="str">
            <v>Rodent</v>
          </cell>
        </row>
        <row r="298">
          <cell r="A298" t="str">
            <v>B0067TYD6A</v>
          </cell>
          <cell r="B298" t="str">
            <v>Neogen</v>
          </cell>
          <cell r="C298" t="str">
            <v>Monster Pets</v>
          </cell>
          <cell r="D298" t="str">
            <v>Neogen RODENTICIDE Havoc XT Rat Bait Block Pouch, 8-Pound (00595)</v>
          </cell>
          <cell r="E298" t="str">
            <v>https://www.amazon.com/dp/B0067TYD6A</v>
          </cell>
          <cell r="F298" t="str">
            <v>Rodent Control</v>
          </cell>
          <cell r="G298" t="str">
            <v>Bait &amp; Poison</v>
          </cell>
          <cell r="H298" t="str">
            <v>Rodent Control - Bait &amp; Poison</v>
          </cell>
          <cell r="I298" t="str">
            <v>Rodent</v>
          </cell>
        </row>
        <row r="299">
          <cell r="A299" t="str">
            <v>B00HVB3GH0</v>
          </cell>
          <cell r="B299" t="str">
            <v>Neogen</v>
          </cell>
          <cell r="C299" t="str">
            <v>Neogen Corp</v>
          </cell>
          <cell r="D299" t="str">
            <v>Neogen 000900 Ramik Refillable Mouse Bait Station 16 count</v>
          </cell>
          <cell r="E299" t="str">
            <v>https://www.amazon.com/dp/B00HVB3GH0?psc=1</v>
          </cell>
          <cell r="F299" t="str">
            <v>Rodent Control</v>
          </cell>
          <cell r="G299" t="str">
            <v>Bait &amp; Poison</v>
          </cell>
          <cell r="H299" t="str">
            <v>Rodent Control - Bait &amp; Poison</v>
          </cell>
          <cell r="I299" t="str">
            <v>Rodent</v>
          </cell>
        </row>
        <row r="300">
          <cell r="A300" t="str">
            <v>B01M4RDGFG</v>
          </cell>
          <cell r="B300" t="str">
            <v>Neogen</v>
          </cell>
          <cell r="C300" t="str">
            <v>Ramik</v>
          </cell>
          <cell r="D300" t="str">
            <v>Neogen 698857 Diphacinone Rodenticide Bait, 1</v>
          </cell>
          <cell r="E300" t="str">
            <v>https://www.amazon.com/dp/B01M4RDGFG?psc=1</v>
          </cell>
          <cell r="F300" t="str">
            <v>Rodent Control</v>
          </cell>
          <cell r="G300" t="str">
            <v>Bait &amp; Poison</v>
          </cell>
          <cell r="H300" t="str">
            <v>Rodent Control - Bait &amp; Poison</v>
          </cell>
          <cell r="I300" t="str">
            <v>Rodent</v>
          </cell>
        </row>
        <row r="301">
          <cell r="A301" t="str">
            <v>B0DK9Y2LTR</v>
          </cell>
          <cell r="B301" t="str">
            <v>Mighty Mint</v>
          </cell>
          <cell r="C301" t="str">
            <v>Pure Origin Products</v>
          </cell>
          <cell r="D301" t="str">
            <v>Mighty Mint Mouse Repellent Pouches with Glue Dots, 12 Count</v>
          </cell>
          <cell r="E301" t="str">
            <v>https://www.amazon.com/dp/B0DK9Y2LTR?psc=1</v>
          </cell>
          <cell r="F301" t="str">
            <v>Rodent Control</v>
          </cell>
          <cell r="G301" t="str">
            <v>Repellents</v>
          </cell>
          <cell r="H301" t="str">
            <v>Rodent Control - Repellents</v>
          </cell>
          <cell r="I301" t="str">
            <v>Rodent</v>
          </cell>
        </row>
        <row r="302">
          <cell r="A302" t="str">
            <v>B0H6XXRTSJ</v>
          </cell>
          <cell r="B302" t="str">
            <v>Mighty Mint</v>
          </cell>
          <cell r="C302" t="str">
            <v>Pure Origin Products</v>
          </cell>
          <cell r="D302" t="str">
            <v>Mighty Mint Rodent Repellent Pouches with Glue Dots, 10 Count</v>
          </cell>
          <cell r="E302" t="str">
            <v>https://www.amazon.com/dp/B0H6XXRTSJ?psc=1</v>
          </cell>
          <cell r="F302" t="str">
            <v>Rodent Control</v>
          </cell>
          <cell r="G302" t="str">
            <v>Repellents</v>
          </cell>
          <cell r="H302" t="str">
            <v>Rodent Control - Repellents</v>
          </cell>
          <cell r="I302" t="str">
            <v>Rodent</v>
          </cell>
        </row>
        <row r="303">
          <cell r="A303" t="str">
            <v>B0H6XXKPJH</v>
          </cell>
          <cell r="B303" t="str">
            <v>Mighty Mint</v>
          </cell>
          <cell r="C303" t="str">
            <v>Pure Origin Products</v>
          </cell>
          <cell r="D303" t="str">
            <v>Mighty Mint Rodent Repellent Pouches with Glue Dots, 10 Count Pack of 2</v>
          </cell>
          <cell r="E303" t="str">
            <v>https://www.amazon.com/dp/B0H6XXKPJH?psc=1</v>
          </cell>
          <cell r="F303" t="str">
            <v>Rodent Control</v>
          </cell>
          <cell r="G303" t="str">
            <v>Repellents</v>
          </cell>
          <cell r="H303" t="str">
            <v>Rodent Control - Repellents</v>
          </cell>
          <cell r="I303" t="str">
            <v>Rodent</v>
          </cell>
        </row>
        <row r="304">
          <cell r="A304" t="str">
            <v>B0F1DZ56Y5</v>
          </cell>
          <cell r="B304" t="str">
            <v>Mighty Mint</v>
          </cell>
          <cell r="C304" t="str">
            <v>Pure Origin Products</v>
          </cell>
          <cell r="D304" t="str">
            <v>Mighty Mint Mouse Repellent Pouches, 12 Count Pack of 2</v>
          </cell>
          <cell r="E304" t="str">
            <v>https://www.amazon.com/dp/B0F1DZ56Y5?psc=1</v>
          </cell>
          <cell r="F304" t="str">
            <v>Rodent Control</v>
          </cell>
          <cell r="G304" t="str">
            <v>Repellents</v>
          </cell>
          <cell r="H304" t="str">
            <v>Rodent Control - Repellents</v>
          </cell>
          <cell r="I304" t="str">
            <v>Rodent</v>
          </cell>
        </row>
        <row r="305">
          <cell r="A305" t="str">
            <v>B083JJRHH6</v>
          </cell>
          <cell r="B305" t="str">
            <v>Exterminators Choice</v>
          </cell>
          <cell r="C305" t="str">
            <v>Pinelake Companies</v>
          </cell>
          <cell r="D305" t="str">
            <v>Exterminators Choice - 6 Pack Rat Bait Station Boxes with 1 Key - Heavy Duty Mouse Trap Holder - Great for Catching Rats and Mice - Pest Control - Durable and Discreet</v>
          </cell>
          <cell r="E305" t="str">
            <v>https://www.amazon.com/dp/B083JJRHH6?psc=1</v>
          </cell>
          <cell r="F305" t="str">
            <v>Rodent Control</v>
          </cell>
          <cell r="G305" t="str">
            <v>Bait &amp; Poison</v>
          </cell>
          <cell r="H305" t="str">
            <v>Rodent Control - Bait &amp; Poison</v>
          </cell>
          <cell r="I305" t="str">
            <v>Rodent</v>
          </cell>
        </row>
        <row r="306">
          <cell r="A306" t="str">
            <v>B01KN3QTWQ</v>
          </cell>
          <cell r="B306" t="str">
            <v>Exterminators Choice</v>
          </cell>
          <cell r="C306" t="str">
            <v>Pinelake Industries</v>
          </cell>
          <cell r="D306" t="str">
            <v>Exterminators Choice Mice &amp; Rat Protection Spray - 128 Fl Oz Vehicle Protection &amp; Outdoor Mouse Control - Natural Peppermint Formula &amp; Peppermint Oil - Easy Application &amp; Gallon Spray</v>
          </cell>
          <cell r="E306" t="str">
            <v>https://www.amazon.com/dp/B01KN3QTWQ?psc=1</v>
          </cell>
          <cell r="F306" t="str">
            <v>Rodent Control</v>
          </cell>
          <cell r="G306" t="str">
            <v>Other</v>
          </cell>
          <cell r="H306" t="str">
            <v>Rodent Control - Other</v>
          </cell>
          <cell r="I306" t="str">
            <v>Rodent</v>
          </cell>
        </row>
        <row r="307">
          <cell r="A307" t="str">
            <v>B0B34XJ71L</v>
          </cell>
          <cell r="B307" t="str">
            <v>Exterminators Choice</v>
          </cell>
          <cell r="C307" t="str">
            <v>Exterminators Choice</v>
          </cell>
          <cell r="D307" t="str">
            <v>Exterminators Choice Replacement Bait Station Keys - Pack of 2 Compatible with Green &amp; Black Bait Boxes - Universal Mouse &amp; Rat Station Key</v>
          </cell>
          <cell r="E307" t="str">
            <v>https://www.amazon.com/dp/B0B34XJ71L</v>
          </cell>
          <cell r="F307" t="str">
            <v>Rodent Control</v>
          </cell>
          <cell r="G307" t="str">
            <v>Bait &amp; Poison</v>
          </cell>
          <cell r="H307" t="str">
            <v>Rodent Control - Bait &amp; Poison</v>
          </cell>
          <cell r="I307" t="str">
            <v>Rodent</v>
          </cell>
        </row>
        <row r="308">
          <cell r="A308" t="str">
            <v>B074CB7Y6G</v>
          </cell>
          <cell r="B308" t="str">
            <v>d-Con</v>
          </cell>
          <cell r="C308" t="str">
            <v>Reckitt Benckiser</v>
          </cell>
          <cell r="D308" t="str">
            <v>d-Con Corner Fit Mouse Bait Station, Disposable 0.5 Oz, 3 Pack</v>
          </cell>
          <cell r="E308" t="str">
            <v>https://www.amazon.com/dp/B074CB7Y6G?psc=1</v>
          </cell>
          <cell r="F308" t="str">
            <v>Rodent Control</v>
          </cell>
          <cell r="G308" t="str">
            <v>Bait &amp; Poison</v>
          </cell>
          <cell r="H308" t="str">
            <v>Rodent Control - Bait &amp; Poison</v>
          </cell>
          <cell r="I308" t="str">
            <v>Rodent</v>
          </cell>
        </row>
        <row r="309">
          <cell r="A309" t="str">
            <v>B07FJXSZTS</v>
          </cell>
          <cell r="B309" t="str">
            <v>d-Con</v>
          </cell>
          <cell r="C309" t="str">
            <v>d-Con</v>
          </cell>
          <cell r="D309" t="str">
            <v>d-Con Refillable Mouse Bait Station, 1 Bait Station +18 Bait Refills</v>
          </cell>
          <cell r="E309" t="str">
            <v>https://www.amazon.com/dp/B07FJXSZTS?psc=1</v>
          </cell>
          <cell r="F309" t="str">
            <v>Rodent Control</v>
          </cell>
          <cell r="G309" t="str">
            <v>Bait &amp; Poison</v>
          </cell>
          <cell r="H309" t="str">
            <v>Rodent Control - Bait &amp; Poison</v>
          </cell>
          <cell r="I309" t="str">
            <v>Rodent</v>
          </cell>
        </row>
        <row r="310">
          <cell r="A310" t="str">
            <v>B07DQR4JC1</v>
          </cell>
          <cell r="B310" t="str">
            <v>d-Con</v>
          </cell>
          <cell r="C310" t="str">
            <v>d-Con</v>
          </cell>
          <cell r="D310" t="str">
            <v>d-Con Mouse Poison Bait Station Refills, Corner Fit, 10 Count</v>
          </cell>
          <cell r="E310" t="str">
            <v>https://www.amazon.com/dp/B07DQR4JC1?psc=1</v>
          </cell>
          <cell r="F310" t="str">
            <v>Rodent Control</v>
          </cell>
          <cell r="G310" t="str">
            <v>Bait &amp; Poison</v>
          </cell>
          <cell r="H310" t="str">
            <v>Rodent Control - Bait &amp; Poison</v>
          </cell>
          <cell r="I310" t="str">
            <v>Rodent</v>
          </cell>
        </row>
        <row r="311">
          <cell r="A311" t="str">
            <v>B00AAZHNGE</v>
          </cell>
          <cell r="B311" t="str">
            <v>d-Con</v>
          </cell>
          <cell r="C311" t="str">
            <v>D-Con</v>
          </cell>
          <cell r="D311" t="str">
            <v>d-CON No View, No Touch Covered Mouse Trap, 1 Trap (Pack of 6)</v>
          </cell>
          <cell r="E311" t="str">
            <v>https://www.amazon.com/dp/B00AAZHNGE</v>
          </cell>
          <cell r="F311" t="str">
            <v>Rodent Control</v>
          </cell>
          <cell r="G311" t="str">
            <v>Other</v>
          </cell>
          <cell r="H311" t="str">
            <v>Rodent Control - Other</v>
          </cell>
          <cell r="I311" t="str">
            <v>Rodent</v>
          </cell>
        </row>
        <row r="312">
          <cell r="A312" t="str">
            <v>B07Q86VPBY</v>
          </cell>
          <cell r="B312" t="str">
            <v>d-Con</v>
          </cell>
          <cell r="D312" t="str">
            <v>D-Con No View, No Touch Covered Mouse Trap, 6 Pack (2 Traps Each) (Packaging May Vary)</v>
          </cell>
          <cell r="E312" t="str">
            <v>https://www.amazon.com/dp/B07Q86VPBY</v>
          </cell>
          <cell r="F312" t="str">
            <v>Rodent Control</v>
          </cell>
          <cell r="G312" t="str">
            <v>Other</v>
          </cell>
          <cell r="H312" t="str">
            <v>Rodent Control - Other</v>
          </cell>
          <cell r="I312" t="str">
            <v>Rodent</v>
          </cell>
        </row>
        <row r="313">
          <cell r="A313" t="str">
            <v>B016TQMQZU</v>
          </cell>
          <cell r="B313" t="str">
            <v>d-Con</v>
          </cell>
          <cell r="C313" t="str">
            <v>d-CON</v>
          </cell>
          <cell r="D313" t="str">
            <v>d-CON Refillable Corner Fit Mouse Poison Bait Station, 1 Trap + 20 Bait Refills</v>
          </cell>
          <cell r="E313" t="str">
            <v>https://www.amazon.com/dp/B016TQMQZU</v>
          </cell>
          <cell r="F313" t="str">
            <v>Rodent Control</v>
          </cell>
          <cell r="G313" t="str">
            <v>Bait &amp; Poison</v>
          </cell>
          <cell r="H313" t="str">
            <v>Rodent Control - Bait &amp; Poison</v>
          </cell>
          <cell r="I313" t="str">
            <v>Rodent</v>
          </cell>
        </row>
        <row r="314">
          <cell r="A314" t="str">
            <v>B0CRN2VJMH</v>
          </cell>
          <cell r="B314" t="str">
            <v>d-Con</v>
          </cell>
          <cell r="C314" t="str">
            <v>Reckitt Benckiser</v>
          </cell>
          <cell r="D314" t="str">
            <v>d-CON® No View, No Touch™ Mouse Trap, 1ct</v>
          </cell>
          <cell r="E314" t="str">
            <v>https://www.amazon.com/dp/B0CRN2VJMH</v>
          </cell>
          <cell r="F314" t="str">
            <v>Rodent Control</v>
          </cell>
          <cell r="G314" t="str">
            <v>Other</v>
          </cell>
          <cell r="H314" t="str">
            <v>Rodent Control - Other</v>
          </cell>
          <cell r="I314" t="str">
            <v>Rodent</v>
          </cell>
        </row>
        <row r="315">
          <cell r="A315" t="str">
            <v>B07Q8YZZ5M</v>
          </cell>
          <cell r="B315" t="str">
            <v>d-Con</v>
          </cell>
          <cell r="C315" t="str">
            <v>Reckitt Benckiser</v>
          </cell>
          <cell r="D315" t="str">
            <v>D-Con Corner Fit Mouse Poison Bait Station 12 Bait Refills, Pack of 3</v>
          </cell>
          <cell r="E315" t="str">
            <v>https://www.amazon.com/dp/B07Q8YZZ5M</v>
          </cell>
          <cell r="F315" t="str">
            <v>Rodent Control</v>
          </cell>
          <cell r="G315" t="str">
            <v>Bait &amp; Poison</v>
          </cell>
          <cell r="H315" t="str">
            <v>Rodent Control - Bait &amp; Poison</v>
          </cell>
          <cell r="I315" t="str">
            <v>Rodent</v>
          </cell>
        </row>
        <row r="316">
          <cell r="A316" t="str">
            <v>B0044UMMY4</v>
          </cell>
          <cell r="B316" t="str">
            <v>d-Con</v>
          </cell>
          <cell r="C316" t="str">
            <v>D-Con</v>
          </cell>
          <cell r="D316" t="str">
            <v>D-Con d-CON No View, No Touch Covered Mouse Trap, 2 Traps (Pack of, 2 CT</v>
          </cell>
          <cell r="E316" t="str">
            <v>https://www.amazon.com/dp/B0044UMMY4</v>
          </cell>
          <cell r="F316" t="str">
            <v>Rodent Control</v>
          </cell>
          <cell r="G316" t="str">
            <v>Other</v>
          </cell>
          <cell r="H316" t="str">
            <v>Rodent Control - Other</v>
          </cell>
          <cell r="I316" t="str">
            <v>Rodent</v>
          </cell>
        </row>
        <row r="317">
          <cell r="A317" t="str">
            <v>B00L236OMW</v>
          </cell>
          <cell r="B317" t="str">
            <v>Fresh Cab</v>
          </cell>
          <cell r="C317" t="str">
            <v>Fresh Cab</v>
          </cell>
          <cell r="D317" t="str">
            <v>Fresh Cab Botanical Rodent Repellent - Environmentally Friendly, Keeps Mice Out, 4 Scent Pouches</v>
          </cell>
          <cell r="E317" t="str">
            <v>https://www.amazon.com/dp/B00L236OMW?psc=1</v>
          </cell>
          <cell r="F317" t="str">
            <v>Rodent Control</v>
          </cell>
          <cell r="G317" t="str">
            <v>Repellents</v>
          </cell>
          <cell r="H317" t="str">
            <v>Rodent Control - Repellents</v>
          </cell>
          <cell r="I317" t="str">
            <v>Rodent</v>
          </cell>
        </row>
        <row r="318">
          <cell r="A318" t="str">
            <v>B07CNR241T</v>
          </cell>
          <cell r="B318" t="str">
            <v>Fresh Cab</v>
          </cell>
          <cell r="C318" t="str">
            <v>Fresh Cab</v>
          </cell>
          <cell r="D318" t="str">
            <v>Fresh Cab Botanical Rodent Repellent - Environmentally Friendly, Keeps Mice Out, 12 Scent Pouches</v>
          </cell>
          <cell r="E318" t="str">
            <v>https://www.amazon.com/dp/B07CNR241T?psc=1</v>
          </cell>
          <cell r="F318" t="str">
            <v>Rodent Control</v>
          </cell>
          <cell r="G318" t="str">
            <v>Repellents</v>
          </cell>
          <cell r="H318" t="str">
            <v>Rodent Control - Repellents</v>
          </cell>
          <cell r="I318" t="str">
            <v>Rodent</v>
          </cell>
        </row>
        <row r="319">
          <cell r="A319" t="str">
            <v>B016QJP0DU</v>
          </cell>
          <cell r="B319" t="str">
            <v>Fresh Cab</v>
          </cell>
          <cell r="C319" t="str">
            <v>Fresh Cab</v>
          </cell>
          <cell r="D319" t="str">
            <v>Fresh Cab Rodent Repellent; Quickly Repelling Pests from Treated Areas; Preventing Re-Infestation for up To 3 Months; Safe for Children, Pets and the Environment; Non-Toxic; 8-Scent Pouches</v>
          </cell>
          <cell r="E319" t="str">
            <v>https://www.amazon.com/dp/B016QJP0DU?psc=1</v>
          </cell>
          <cell r="F319" t="str">
            <v>Rodent Control</v>
          </cell>
          <cell r="G319" t="str">
            <v>Repellents</v>
          </cell>
          <cell r="H319" t="str">
            <v>Rodent Control - Repellents</v>
          </cell>
          <cell r="I319" t="str">
            <v>Rodent</v>
          </cell>
        </row>
        <row r="320">
          <cell r="A320" t="str">
            <v>B01LWL8KZW</v>
          </cell>
          <cell r="B320" t="str">
            <v>Fresh Cab</v>
          </cell>
          <cell r="C320" t="str">
            <v>Earth Kind Inc</v>
          </cell>
          <cell r="D320" t="str">
            <v>Fresh Cab FC6 Botanical Rodent Repellent Keeps Mice and Rats Out, Federal EPA Registered for Use Indoors and in Enclosed Spaces, 2.5 Ounce x 4 Scent Pouches x 4 Pack (Total 16 Pouches)</v>
          </cell>
          <cell r="E320" t="str">
            <v>https://www.amazon.com/dp/B01LWL8KZW?psc=1</v>
          </cell>
          <cell r="F320" t="str">
            <v>Rodent Control</v>
          </cell>
          <cell r="G320" t="str">
            <v>Repellents</v>
          </cell>
          <cell r="H320" t="str">
            <v>Rodent Control - Repellents</v>
          </cell>
          <cell r="I320" t="str">
            <v>Rodent</v>
          </cell>
        </row>
        <row r="321">
          <cell r="A321" t="str">
            <v>B0119AY5FU</v>
          </cell>
          <cell r="B321" t="str">
            <v>Fresh Cab</v>
          </cell>
          <cell r="C321" t="str">
            <v>Earth Kind</v>
          </cell>
          <cell r="D321" t="str">
            <v>EarthKind EMW7208598 Fresh Cab Rodent, Rats and Mice Repellent With Blend Of Plant Fiber and Botanical Extracts For Use On The Farm, Industrial Settings, Garage or RV, 2.5 Ounce x 4 Scent Pouches</v>
          </cell>
          <cell r="E321" t="str">
            <v>https://www.amazon.com/dp/B0119AY5FU</v>
          </cell>
          <cell r="F321" t="str">
            <v>Rodent Control</v>
          </cell>
          <cell r="G321" t="str">
            <v>Repellents</v>
          </cell>
          <cell r="H321" t="str">
            <v>Rodent Control - Repellents</v>
          </cell>
          <cell r="I321" t="str">
            <v>Rodent</v>
          </cell>
        </row>
        <row r="322">
          <cell r="A322" t="str">
            <v>B0B78355CP</v>
          </cell>
          <cell r="B322" t="str">
            <v>Fresh Cab</v>
          </cell>
          <cell r="C322" t="str">
            <v>Fresh Cab</v>
          </cell>
          <cell r="D322" t="str">
            <v>Fresh Cab Botanical Rodent Repellent - Environmentally Friendly, Keeps Mice Out, 24 Scent Pouches (6 Packs of 4)</v>
          </cell>
          <cell r="E322" t="str">
            <v>https://www.amazon.com/dp/B0B78355CP?psc=1</v>
          </cell>
          <cell r="F322" t="str">
            <v>Rodent Control</v>
          </cell>
          <cell r="G322" t="str">
            <v>Repellents</v>
          </cell>
          <cell r="H322" t="str">
            <v>Rodent Control - Repellents</v>
          </cell>
          <cell r="I322" t="str">
            <v>Rodent</v>
          </cell>
        </row>
        <row r="323">
          <cell r="A323" t="str">
            <v>B0B782JLPW</v>
          </cell>
          <cell r="B323" t="str">
            <v>Fresh Cab</v>
          </cell>
          <cell r="C323" t="str">
            <v>Fresh Cab</v>
          </cell>
          <cell r="D323" t="str">
            <v>Fresh Cab Botanical Rodent Repellent - Environmentally Friendly, Keeps Mice Out, 16 Scent Pouches (4 Packs of 4)</v>
          </cell>
          <cell r="E323" t="str">
            <v>https://www.amazon.com/dp/B0B782JLPW?psc=1</v>
          </cell>
          <cell r="F323" t="str">
            <v>Rodent Control</v>
          </cell>
          <cell r="G323" t="str">
            <v>Repellents</v>
          </cell>
          <cell r="H323" t="str">
            <v>Rodent Control - Repellents</v>
          </cell>
          <cell r="I323" t="str">
            <v>Rodent</v>
          </cell>
        </row>
        <row r="324">
          <cell r="A324" t="str">
            <v>B01LYV88MS</v>
          </cell>
          <cell r="B324" t="str">
            <v>Fresh Cab</v>
          </cell>
          <cell r="C324" t="str">
            <v>EcoSMART Technologies</v>
          </cell>
          <cell r="D324" t="str">
            <v>Fresh Cab Botanical Rodent Repellent 5 Scent Pouches - EPA Registered, Keeps Mice Out</v>
          </cell>
          <cell r="E324" t="str">
            <v>https://www.amazon.com/dp/B01LYV88MS</v>
          </cell>
          <cell r="F324" t="str">
            <v>Rodent Control</v>
          </cell>
          <cell r="G324" t="str">
            <v>Repellents</v>
          </cell>
          <cell r="H324" t="str">
            <v>Rodent Control - Repellents</v>
          </cell>
          <cell r="I324" t="str">
            <v>Rodent</v>
          </cell>
        </row>
        <row r="325">
          <cell r="A325" t="str">
            <v>B06XGL8R89</v>
          </cell>
          <cell r="B325" t="str">
            <v>Trapper Max</v>
          </cell>
          <cell r="C325" t="str">
            <v>Trapper Max</v>
          </cell>
          <cell r="D325" t="str">
            <v>Trapper Max Glue Traps 12 Glue Boards Trap Mouse Bugs Insects Bed Bugs Spiders Cockroachs Non-Toxic</v>
          </cell>
          <cell r="E325" t="str">
            <v>https://www.amazon.com/dp/B06XGL8R89?psc=1</v>
          </cell>
          <cell r="F325" t="str">
            <v>Rodent Control</v>
          </cell>
          <cell r="G325" t="str">
            <v>Glue Traps</v>
          </cell>
          <cell r="H325" t="str">
            <v>Rodent Control - Glue Traps</v>
          </cell>
          <cell r="I325" t="str">
            <v>Rodent</v>
          </cell>
        </row>
        <row r="326">
          <cell r="A326" t="str">
            <v>B06XGMJGXN</v>
          </cell>
          <cell r="B326" t="str">
            <v>Trapper Max</v>
          </cell>
          <cell r="C326" t="str">
            <v>Trapper Max</v>
          </cell>
          <cell r="D326" t="str">
            <v>Trapper Max Glue Traps 72 Glue Boards Trap Mouse Bugs Insects Bed Bugs Spiders Cockroachs Non-Toxic, w</v>
          </cell>
          <cell r="E326" t="str">
            <v>https://www.amazon.com/dp/B06XGMJGXN?psc=1</v>
          </cell>
          <cell r="F326" t="str">
            <v>Rodent Control</v>
          </cell>
          <cell r="G326" t="str">
            <v>Glue Traps</v>
          </cell>
          <cell r="H326" t="str">
            <v>Rodent Control - Glue Traps</v>
          </cell>
          <cell r="I326" t="str">
            <v>Rodent</v>
          </cell>
        </row>
        <row r="327">
          <cell r="A327" t="str">
            <v>B08N9LQNTR</v>
          </cell>
          <cell r="B327" t="str">
            <v>IIWEY</v>
          </cell>
          <cell r="C327" t="str">
            <v>iiwey</v>
          </cell>
          <cell r="D327" t="str">
            <v>Humane Mouse Traps, 12 inches Enlarged No Kill Rat Live Traps for Chipmunks, Reusable Catch and Release Mice, Pet and Children Friendly Mouse Trap that Work (Black 2Pack)</v>
          </cell>
          <cell r="F327" t="str">
            <v>Rodent Control</v>
          </cell>
          <cell r="G327" t="str">
            <v>Other</v>
          </cell>
          <cell r="H327" t="str">
            <v>Rodent Control - Other</v>
          </cell>
          <cell r="I327" t="str">
            <v>Rodent</v>
          </cell>
        </row>
        <row r="328">
          <cell r="A328" t="str">
            <v>B0CH3V9XYL</v>
          </cell>
          <cell r="B328" t="str">
            <v>Victor</v>
          </cell>
          <cell r="C328" t="str">
            <v>Woodstream Corporation</v>
          </cell>
          <cell r="D328" t="str">
            <v>Victor Wide Pedal Snap Rat Traps, 9-Pack, FSC Certified Wood</v>
          </cell>
          <cell r="E328" t="str">
            <v>https://www.amazon.com/dp/B0CH3V9XYL?psc=1</v>
          </cell>
          <cell r="F328" t="str">
            <v>Rodent Control</v>
          </cell>
          <cell r="G328" t="str">
            <v>Snap Traps</v>
          </cell>
          <cell r="H328" t="str">
            <v>Rodent Control - Snap Traps</v>
          </cell>
          <cell r="I328" t="str">
            <v>Rodent</v>
          </cell>
        </row>
        <row r="329">
          <cell r="A329" t="str">
            <v>B00CAO1RH4</v>
          </cell>
          <cell r="B329" t="str">
            <v>Victor</v>
          </cell>
          <cell r="C329" t="str">
            <v>TV Non-Branded Items</v>
          </cell>
          <cell r="D329" t="str">
            <v>Victor Wide Pedal Snap Rat Traps, 12-Pack, FSC Certified Wood</v>
          </cell>
          <cell r="E329" t="str">
            <v>https://www.amazon.com/dp/B00CAO1RH4?psc=1</v>
          </cell>
          <cell r="F329" t="str">
            <v>Rodent Control</v>
          </cell>
          <cell r="G329" t="str">
            <v>Snap Traps</v>
          </cell>
          <cell r="H329" t="str">
            <v>Rodent Control - Snap Traps</v>
          </cell>
          <cell r="I329" t="str">
            <v>Rodent</v>
          </cell>
        </row>
        <row r="330">
          <cell r="A330" t="str">
            <v>B0CCWRKQ56</v>
          </cell>
          <cell r="B330" t="str">
            <v>Victor</v>
          </cell>
          <cell r="C330" t="str">
            <v>Woodstream Corporation</v>
          </cell>
          <cell r="D330" t="str">
            <v>Victor Power Kill Rat Trap, 2-Pack of Easy Set Reusable Rat Traps</v>
          </cell>
          <cell r="E330" t="str">
            <v>https://www.amazon.com/dp/B0CCWRKQ56?psc=1</v>
          </cell>
          <cell r="F330" t="str">
            <v>Rodent Control</v>
          </cell>
          <cell r="G330" t="str">
            <v>Other</v>
          </cell>
          <cell r="H330" t="str">
            <v>Rodent Control - Other</v>
          </cell>
          <cell r="I330" t="str">
            <v>Rodent</v>
          </cell>
        </row>
        <row r="331">
          <cell r="A331" t="str">
            <v>B0CM51TLC5</v>
          </cell>
          <cell r="B331" t="str">
            <v>Victor</v>
          </cell>
          <cell r="C331" t="str">
            <v>Woodstream Corporation</v>
          </cell>
          <cell r="D331" t="str">
            <v>Victor M144B Instant Power-Kill Easy Set Reusable Rat Trap - 6 Traps</v>
          </cell>
          <cell r="E331" t="str">
            <v>https://www.amazon.com/dp/B0CM51TLC5?psc=1</v>
          </cell>
          <cell r="F331" t="str">
            <v>Rodent Control</v>
          </cell>
          <cell r="G331" t="str">
            <v>Snap Traps</v>
          </cell>
          <cell r="H331" t="str">
            <v>Rodent Control - Snap Traps</v>
          </cell>
          <cell r="I331" t="str">
            <v>Rodent</v>
          </cell>
        </row>
        <row r="332">
          <cell r="A332" t="str">
            <v>B01BDST9BS</v>
          </cell>
          <cell r="B332" t="str">
            <v>Victor</v>
          </cell>
          <cell r="C332">
            <v>0</v>
          </cell>
          <cell r="D332" t="str">
            <v>Victor M205 Easy Set Rat Trap (Pack of 2)</v>
          </cell>
          <cell r="E332" t="str">
            <v>https://www.amazon.com/dp/B01BDST9BS</v>
          </cell>
          <cell r="F332" t="str">
            <v>Rodent Control</v>
          </cell>
          <cell r="G332" t="str">
            <v>Other</v>
          </cell>
          <cell r="H332" t="str">
            <v>Rodent Control - Other</v>
          </cell>
          <cell r="I332" t="str">
            <v>Rodent</v>
          </cell>
        </row>
        <row r="333">
          <cell r="A333" t="str">
            <v>B0CCWPCCSM</v>
          </cell>
          <cell r="B333" t="str">
            <v>Victor</v>
          </cell>
          <cell r="C333" t="str">
            <v>Woodstream Corporation</v>
          </cell>
          <cell r="D333" t="str">
            <v>Victor M144B Power-Kill Rat Trap - Snap Traps for Rats - Rat Traps Indoor, Outdoor - Rat Traps for House</v>
          </cell>
          <cell r="E333" t="str">
            <v>https://www.amazon.com/dp/B0CCWPCCSM?psc=1</v>
          </cell>
          <cell r="F333" t="str">
            <v>Rodent Control</v>
          </cell>
          <cell r="G333" t="str">
            <v>Snap Traps</v>
          </cell>
          <cell r="H333" t="str">
            <v>Rodent Control - Snap Traps</v>
          </cell>
          <cell r="I333" t="str">
            <v>Rodent</v>
          </cell>
        </row>
        <row r="334">
          <cell r="A334" t="str">
            <v>B0CQ8S3BJT</v>
          </cell>
          <cell r="B334" t="str">
            <v>Victor</v>
          </cell>
          <cell r="C334" t="str">
            <v>Woodstream Corporation</v>
          </cell>
          <cell r="D334" t="str">
            <v>Victor Electronic Rat Trap, 2-Pack</v>
          </cell>
          <cell r="E334" t="str">
            <v>https://www.amazon.com/dp/B0CQ8S3BJT</v>
          </cell>
          <cell r="F334" t="str">
            <v>Rodent Control</v>
          </cell>
          <cell r="G334" t="str">
            <v>Electronic Traps</v>
          </cell>
          <cell r="H334" t="str">
            <v>Rodent Control - Electronic Traps</v>
          </cell>
          <cell r="I334" t="str">
            <v>Rodent</v>
          </cell>
        </row>
        <row r="335">
          <cell r="A335" t="str">
            <v>B010RJ7VPA</v>
          </cell>
          <cell r="B335" t="str">
            <v>Victor</v>
          </cell>
          <cell r="C335" t="str">
            <v>Woodstream Corporation</v>
          </cell>
          <cell r="D335" t="str">
            <v>Rat Zapper Classic Indoor Electronic Rat Trap, 4 Pack</v>
          </cell>
          <cell r="E335" t="str">
            <v>https://www.amazon.com/dp/B010RJ7VPA?psc=1</v>
          </cell>
          <cell r="F335" t="str">
            <v>Rodent Control</v>
          </cell>
          <cell r="G335" t="str">
            <v>Electronic Traps</v>
          </cell>
          <cell r="H335" t="str">
            <v>Rodent Control - Electronic Traps</v>
          </cell>
          <cell r="I335" t="str">
            <v>Rodent</v>
          </cell>
        </row>
        <row r="336">
          <cell r="A336" t="str">
            <v>B000NCTMCW</v>
          </cell>
          <cell r="B336" t="str">
            <v>Victor</v>
          </cell>
          <cell r="C336" t="str">
            <v>Woodstream Corporation</v>
          </cell>
          <cell r="D336" t="str">
            <v>Victor M205 Easy Set Plastic Pedal Sustainably Sourced FSC Wood Humane Snap Rat Trap</v>
          </cell>
          <cell r="E336" t="str">
            <v>https://www.amazon.com/dp/B000NCTMCW?psc=1</v>
          </cell>
          <cell r="F336" t="str">
            <v>Rodent Control</v>
          </cell>
          <cell r="G336" t="str">
            <v>Other</v>
          </cell>
          <cell r="H336" t="str">
            <v>Rodent Control - Other</v>
          </cell>
          <cell r="I336" t="str">
            <v>Rodent</v>
          </cell>
        </row>
        <row r="337">
          <cell r="A337" t="str">
            <v>B0CQ8T7T37</v>
          </cell>
          <cell r="B337" t="str">
            <v>Victor</v>
          </cell>
          <cell r="C337" t="str">
            <v>Woodstream Corporation</v>
          </cell>
          <cell r="D337" t="str">
            <v>Victor Electronic Rat Trap, 3-Pack</v>
          </cell>
          <cell r="E337" t="str">
            <v>https://www.amazon.com/dp/B0CQ8T7T37</v>
          </cell>
          <cell r="F337" t="str">
            <v>Rodent Control</v>
          </cell>
          <cell r="G337" t="str">
            <v>Electronic Traps</v>
          </cell>
          <cell r="H337" t="str">
            <v>Rodent Control - Electronic Traps</v>
          </cell>
          <cell r="I337" t="str">
            <v>Rodent</v>
          </cell>
        </row>
        <row r="338">
          <cell r="A338" t="str">
            <v>B0CTL12488</v>
          </cell>
          <cell r="B338" t="str">
            <v>Victor</v>
          </cell>
          <cell r="C338" t="str">
            <v>Victor</v>
          </cell>
          <cell r="D338" t="str">
            <v>Victor M205 Easy Set Plastic Pedal Sustainably Sourced FSC Wood Humane Snap Rat Trap (Pack of 3)</v>
          </cell>
          <cell r="E338" t="str">
            <v>https://www.amazon.com/dp/B0CTL12488?psc=1</v>
          </cell>
          <cell r="F338" t="str">
            <v>Rodent Control</v>
          </cell>
          <cell r="G338" t="str">
            <v>Other</v>
          </cell>
          <cell r="H338" t="str">
            <v>Rodent Control - Other</v>
          </cell>
          <cell r="I338" t="str">
            <v>Rodent</v>
          </cell>
        </row>
        <row r="339">
          <cell r="A339" t="str">
            <v>B0035AS5K4</v>
          </cell>
          <cell r="B339" t="str">
            <v>Victor</v>
          </cell>
          <cell r="C339" t="str">
            <v>woodstream</v>
          </cell>
          <cell r="D339" t="str">
            <v>Victor Rat Traps M326 (6 Traps)</v>
          </cell>
          <cell r="E339" t="str">
            <v>https://www.amazon.com/dp/B0035AS5K4</v>
          </cell>
          <cell r="F339" t="str">
            <v>Rodent Control</v>
          </cell>
          <cell r="G339" t="str">
            <v>Other</v>
          </cell>
          <cell r="H339" t="str">
            <v>Rodent Control - Other</v>
          </cell>
          <cell r="I339" t="str">
            <v>Rodent</v>
          </cell>
        </row>
        <row r="340">
          <cell r="A340" t="str">
            <v>B0G55YRFHP</v>
          </cell>
          <cell r="B340" t="str">
            <v>Victor</v>
          </cell>
          <cell r="C340" t="str">
            <v>Woodstream Corporation</v>
          </cell>
          <cell r="D340" t="str">
            <v>Victor Safe-Set Rat Trap, 4 Pack, Black, Easy to Set with One Click, Kills Rats Guaranteed, Safe Around Children and Pets, Reusable, Manual Power Source</v>
          </cell>
          <cell r="E340" t="str">
            <v>https://www.amazon.com/dp/B0G55YRFHP</v>
          </cell>
          <cell r="F340" t="str">
            <v>Rodent Control</v>
          </cell>
          <cell r="G340" t="str">
            <v>Ant Traps</v>
          </cell>
          <cell r="H340" t="str">
            <v>Rodent Control - Ant Traps</v>
          </cell>
          <cell r="I340" t="str">
            <v>Rodent</v>
          </cell>
        </row>
        <row r="341">
          <cell r="A341" t="str">
            <v>B07HR987YB</v>
          </cell>
          <cell r="B341" t="str">
            <v>Victor</v>
          </cell>
          <cell r="C341" t="str">
            <v>Woodstream Corporation</v>
          </cell>
          <cell r="D341" t="str">
            <v>Victor M2 Smart-Kill Humane Wi-Fi Enabled Electronic Rat Trap Killer - 2 Traps</v>
          </cell>
          <cell r="E341" t="str">
            <v>https://www.amazon.com/dp/B07HR987YB</v>
          </cell>
          <cell r="F341" t="str">
            <v>Rodent Control</v>
          </cell>
          <cell r="G341" t="str">
            <v>Electronic Traps</v>
          </cell>
          <cell r="H341" t="str">
            <v>Rodent Control - Electronic Traps</v>
          </cell>
          <cell r="I341" t="str">
            <v>Rodent</v>
          </cell>
        </row>
        <row r="342">
          <cell r="A342" t="str">
            <v>B076BVPL2M</v>
          </cell>
          <cell r="B342" t="str">
            <v>Victor</v>
          </cell>
          <cell r="C342">
            <v>0</v>
          </cell>
          <cell r="D342" t="str">
            <v>Victor WSL Rat Trap</v>
          </cell>
          <cell r="E342" t="str">
            <v>https://www.amazon.com/dp/B076BVPL2M</v>
          </cell>
          <cell r="F342" t="str">
            <v>Rodent Control</v>
          </cell>
          <cell r="G342" t="str">
            <v>Other</v>
          </cell>
          <cell r="H342" t="str">
            <v>Rodent Control - Other</v>
          </cell>
          <cell r="I342" t="str">
            <v>Rodent</v>
          </cell>
        </row>
        <row r="343">
          <cell r="A343" t="str">
            <v>B012VK4BYC</v>
          </cell>
          <cell r="B343" t="str">
            <v>Tomcat</v>
          </cell>
          <cell r="C343" t="str">
            <v>The Scotts Company LLC</v>
          </cell>
          <cell r="D343" t="str">
            <v>Tomcat Super Hold Glue Traps Rat Size, 24 Sticky Rat Traps</v>
          </cell>
          <cell r="E343" t="str">
            <v>https://www.amazon.com/dp/B012VK4BYC?psc=1</v>
          </cell>
          <cell r="F343" t="str">
            <v>Rodent Control</v>
          </cell>
          <cell r="G343" t="str">
            <v>Glue Traps</v>
          </cell>
          <cell r="H343" t="str">
            <v>Rodent Control - Glue Traps</v>
          </cell>
          <cell r="I343" t="str">
            <v>Rodent</v>
          </cell>
        </row>
        <row r="344">
          <cell r="A344" t="str">
            <v>B01MT6BRM7</v>
          </cell>
          <cell r="B344" t="str">
            <v>Tomcat</v>
          </cell>
          <cell r="C344" t="str">
            <v>The Scotts Company LLC</v>
          </cell>
          <cell r="D344" t="str">
            <v>Tomcat Rat Trap (Wooden), 1 Trap</v>
          </cell>
          <cell r="E344" t="str">
            <v>https://www.amazon.com/dp/B01MT6BRM7?psc=1</v>
          </cell>
          <cell r="F344" t="str">
            <v>Rodent Control</v>
          </cell>
          <cell r="G344" t="str">
            <v>Other</v>
          </cell>
          <cell r="H344" t="str">
            <v>Rodent Control - Other</v>
          </cell>
          <cell r="I344" t="str">
            <v>Rodent</v>
          </cell>
        </row>
        <row r="345">
          <cell r="A345" t="str">
            <v>B01N7KUOWN</v>
          </cell>
          <cell r="B345" t="str">
            <v>Tomcat</v>
          </cell>
          <cell r="C345" t="str">
            <v>The Scotts Company LLC</v>
          </cell>
          <cell r="D345" t="str">
            <v>Tomcat Super Hold Glue Traps Rat Size, 2 Sticky Rat Traps</v>
          </cell>
          <cell r="E345" t="str">
            <v>https://www.amazon.com/dp/B01N7KUOWN?psc=1</v>
          </cell>
          <cell r="F345" t="str">
            <v>Rodent Control</v>
          </cell>
          <cell r="G345" t="str">
            <v>Glue Traps</v>
          </cell>
          <cell r="H345" t="str">
            <v>Rodent Control - Glue Traps</v>
          </cell>
          <cell r="I345" t="str">
            <v>Rodent</v>
          </cell>
        </row>
        <row r="346">
          <cell r="A346" t="str">
            <v>B08R6F8FGY</v>
          </cell>
          <cell r="B346" t="str">
            <v>Tomcat</v>
          </cell>
          <cell r="C346" t="str">
            <v>The Scotts Company LLC</v>
          </cell>
          <cell r="D346" t="str">
            <v>Tomcat Secure-Kill Rat Trap, 2 Traps</v>
          </cell>
          <cell r="E346" t="str">
            <v>https://www.amazon.com/dp/B08R6F8FGY?psc=1</v>
          </cell>
          <cell r="F346" t="str">
            <v>Rodent Control</v>
          </cell>
          <cell r="G346" t="str">
            <v>Other</v>
          </cell>
          <cell r="H346" t="str">
            <v>Rodent Control - Other</v>
          </cell>
          <cell r="I346" t="str">
            <v>Rodent</v>
          </cell>
        </row>
        <row r="347">
          <cell r="A347" t="str">
            <v>B004ZXAQEI</v>
          </cell>
          <cell r="B347" t="str">
            <v>JT Eaton</v>
          </cell>
          <cell r="C347" t="str">
            <v>JT Eaton</v>
          </cell>
          <cell r="D347" t="str">
            <v>J T Eaton JT Eaton 410, 1 Pack Rat Trap, 3-1/2 in. L, 5-7/8 in. W, Black</v>
          </cell>
          <cell r="E347" t="str">
            <v>https://www.amazon.com/dp/B004ZXAQEI?psc=1</v>
          </cell>
          <cell r="F347" t="str">
            <v>Rodent Control</v>
          </cell>
          <cell r="G347" t="str">
            <v>Other</v>
          </cell>
          <cell r="H347" t="str">
            <v>Rodent Control - Other</v>
          </cell>
          <cell r="I347" t="str">
            <v>Rodent</v>
          </cell>
        </row>
        <row r="348">
          <cell r="A348" t="str">
            <v>B072DX31YY</v>
          </cell>
          <cell r="B348" t="str">
            <v>JT Eaton</v>
          </cell>
          <cell r="C348" t="str">
            <v>JT Eaton</v>
          </cell>
          <cell r="D348" t="str">
            <v>JAWZ Plastic Covered Rat Traps, Black, 6 Pack</v>
          </cell>
          <cell r="E348" t="str">
            <v>https://www.amazon.com/dp/B072DX31YY</v>
          </cell>
          <cell r="F348" t="str">
            <v>Rodent Control</v>
          </cell>
          <cell r="G348" t="str">
            <v>Other</v>
          </cell>
          <cell r="H348" t="str">
            <v>Rodent Control - Other</v>
          </cell>
          <cell r="I348" t="str">
            <v>Rodent</v>
          </cell>
        </row>
        <row r="349">
          <cell r="A349" t="str">
            <v>B0084X5ONI</v>
          </cell>
          <cell r="B349" t="str">
            <v>Bell Laboratories</v>
          </cell>
          <cell r="C349" t="str">
            <v>selfhelppestcontrolonline</v>
          </cell>
          <cell r="D349" t="str">
            <v>Bell Labs Trapper T-Rex Rat Trap (4 Traps)</v>
          </cell>
          <cell r="E349" t="str">
            <v>https://www.amazon.com/dp/B0084X5ONI</v>
          </cell>
          <cell r="F349" t="str">
            <v>Rodent Control</v>
          </cell>
          <cell r="G349" t="str">
            <v>Other</v>
          </cell>
          <cell r="H349" t="str">
            <v>Rodent Control - Other</v>
          </cell>
          <cell r="I349" t="str">
            <v>Rodent</v>
          </cell>
        </row>
        <row r="350">
          <cell r="A350" t="str">
            <v>B002Y5MVO2</v>
          </cell>
          <cell r="B350" t="str">
            <v>Bell Laboratories</v>
          </cell>
          <cell r="C350" t="str">
            <v>Bell Laboratories</v>
          </cell>
          <cell r="D350" t="str">
            <v>Trapper T Rex Rat Traps(1 Case-12 traps)</v>
          </cell>
          <cell r="E350" t="str">
            <v>https://www.amazon.com/dp/B002Y5MVO2</v>
          </cell>
          <cell r="F350" t="str">
            <v>Rodent Control</v>
          </cell>
          <cell r="G350" t="str">
            <v>Other</v>
          </cell>
          <cell r="H350" t="str">
            <v>Rodent Control - Other</v>
          </cell>
          <cell r="I350" t="str">
            <v>Rodent</v>
          </cell>
        </row>
        <row r="351">
          <cell r="A351" t="str">
            <v>B0007QKECG</v>
          </cell>
          <cell r="B351" t="str">
            <v>Kness</v>
          </cell>
          <cell r="C351" t="str">
            <v>Kness</v>
          </cell>
          <cell r="D351" t="str">
            <v>Big Snap E Rat Trap 6 Pack</v>
          </cell>
          <cell r="E351" t="str">
            <v>https://www.amazon.com/dp/B0007QKECG?psc=1</v>
          </cell>
          <cell r="F351" t="str">
            <v>Rodent Control</v>
          </cell>
          <cell r="G351" t="str">
            <v>Other</v>
          </cell>
          <cell r="H351" t="str">
            <v>Rodent Control - Other</v>
          </cell>
          <cell r="I351" t="str">
            <v>Rodent</v>
          </cell>
        </row>
        <row r="352">
          <cell r="A352" t="str">
            <v>B012RGM7BO</v>
          </cell>
          <cell r="B352" t="str">
            <v>Tomcat</v>
          </cell>
          <cell r="C352" t="str">
            <v>The Scotts Company LLC</v>
          </cell>
          <cell r="D352" t="str">
            <v>Tomcat Rat Snap Trap, 1 Rat Size Trap</v>
          </cell>
          <cell r="E352" t="str">
            <v>https://www.amazon.com/dp/B012RGM7BO?psc=1</v>
          </cell>
          <cell r="F352" t="str">
            <v>Rodent Control</v>
          </cell>
          <cell r="G352" t="str">
            <v>Snap Traps</v>
          </cell>
          <cell r="H352" t="str">
            <v>Rodent Control - Snap Traps</v>
          </cell>
          <cell r="I352" t="str">
            <v>Rodent</v>
          </cell>
        </row>
        <row r="353">
          <cell r="A353" t="str">
            <v>B07YL5BLK4</v>
          </cell>
          <cell r="B353" t="str">
            <v>Tomcat</v>
          </cell>
          <cell r="C353" t="str">
            <v>Tomcat</v>
          </cell>
          <cell r="D353" t="str">
            <v>Outpost Rat Bait Station | Single Station Targets Small Mice Up to Large Rats | Position Horizontal or Vertical | Made in USA</v>
          </cell>
          <cell r="E353" t="str">
            <v>https://www.amazon.com/dp/B07YL5BLK4</v>
          </cell>
          <cell r="F353" t="str">
            <v>Rodent Control</v>
          </cell>
          <cell r="G353" t="str">
            <v>Bait &amp; Poison</v>
          </cell>
          <cell r="H353" t="str">
            <v>Rodent Control - Bait &amp; Poison</v>
          </cell>
          <cell r="I353" t="str">
            <v>Rodent</v>
          </cell>
        </row>
        <row r="354">
          <cell r="A354" t="str">
            <v>B08GH3BQY1</v>
          </cell>
          <cell r="B354" t="str">
            <v>Tomcat</v>
          </cell>
          <cell r="C354" t="str">
            <v>TOMCAT</v>
          </cell>
          <cell r="D354" t="str">
            <v>Tomcat Outpost rat bait station, set of 6, lockable tamper-resistant, vertical or horizontal mount, black, 8.5" x 7" x 5"</v>
          </cell>
          <cell r="E354" t="str">
            <v>https://www.amazon.com/dp/B08GH3BQY1</v>
          </cell>
          <cell r="F354" t="str">
            <v>Rodent Control</v>
          </cell>
          <cell r="G354" t="str">
            <v>Bait &amp; Poison</v>
          </cell>
          <cell r="H354" t="str">
            <v>Rodent Control - Bait &amp; Poison</v>
          </cell>
          <cell r="I354" t="str">
            <v>Rodent</v>
          </cell>
        </row>
        <row r="355">
          <cell r="A355" t="str">
            <v>B012RDT5YE</v>
          </cell>
          <cell r="B355" t="str">
            <v>Tomcat</v>
          </cell>
          <cell r="C355" t="str">
            <v>The Scotts Company</v>
          </cell>
          <cell r="D355" t="str">
            <v>Tomcat Rat Snap Trap, 4 Rat Size Traps</v>
          </cell>
          <cell r="E355" t="str">
            <v>https://www.amazon.com/dp/B012RDT5YE?psc=1</v>
          </cell>
          <cell r="F355" t="str">
            <v>Rodent Control</v>
          </cell>
          <cell r="G355" t="str">
            <v>Snap Traps</v>
          </cell>
          <cell r="H355" t="str">
            <v>Rodent Control - Snap Traps</v>
          </cell>
          <cell r="I355" t="str">
            <v>Rodent</v>
          </cell>
        </row>
        <row r="356">
          <cell r="A356" t="str">
            <v>B073Z6T92D</v>
          </cell>
          <cell r="B356" t="str">
            <v>Tomcat</v>
          </cell>
          <cell r="C356" t="str">
            <v>Scott'S Formerly Motomco</v>
          </cell>
          <cell r="D356" t="str">
            <v>Tomcat Rat Snap Trap- Pack of 4</v>
          </cell>
          <cell r="E356" t="str">
            <v>https://www.amazon.com/dp/B073Z6T92D</v>
          </cell>
          <cell r="F356" t="str">
            <v>Rodent Control</v>
          </cell>
          <cell r="G356" t="str">
            <v>Snap Traps</v>
          </cell>
          <cell r="H356" t="str">
            <v>Rodent Control - Snap Traps</v>
          </cell>
          <cell r="I356" t="str">
            <v>Rodent</v>
          </cell>
        </row>
        <row r="357">
          <cell r="A357" t="str">
            <v>B01NBNAM0Y</v>
          </cell>
          <cell r="B357" t="str">
            <v>Tomcat</v>
          </cell>
          <cell r="C357" t="str">
            <v>The Scotts Company LLC</v>
          </cell>
          <cell r="D357" t="str">
            <v>Tomcat Glue Traps Rat Size with Eugenol for Enhanced Stickiness, 24 Traps</v>
          </cell>
          <cell r="E357" t="str">
            <v>https://www.amazon.com/dp/B01NBNAM0Y?psc=1</v>
          </cell>
          <cell r="F357" t="str">
            <v>Rodent Control</v>
          </cell>
          <cell r="G357" t="str">
            <v>Glue Traps</v>
          </cell>
          <cell r="H357" t="str">
            <v>Rodent Control - Glue Traps</v>
          </cell>
          <cell r="I357" t="str">
            <v>Rodent</v>
          </cell>
        </row>
        <row r="358">
          <cell r="A358" t="str">
            <v>B01N2WKMEE</v>
          </cell>
          <cell r="B358" t="str">
            <v>Tomcat</v>
          </cell>
          <cell r="C358" t="str">
            <v>The Scotts Company LLC</v>
          </cell>
          <cell r="D358" t="str">
            <v>Tomcat Rat Snap Trap, 8 Rat Size Traps</v>
          </cell>
          <cell r="E358" t="str">
            <v>https://www.amazon.com/dp/B01N2WKMEE</v>
          </cell>
          <cell r="F358" t="str">
            <v>Rodent Control</v>
          </cell>
          <cell r="G358" t="str">
            <v>Snap Traps</v>
          </cell>
          <cell r="H358" t="str">
            <v>Rodent Control - Snap Traps</v>
          </cell>
          <cell r="I358" t="str">
            <v>Rodent</v>
          </cell>
        </row>
        <row r="359">
          <cell r="A359" t="str">
            <v>B0BSRFNZQV</v>
          </cell>
          <cell r="B359" t="str">
            <v>Tomcat</v>
          </cell>
          <cell r="C359" t="str">
            <v>Scotts MiracleGro</v>
          </cell>
          <cell r="D359" t="str">
            <v>Tomcat with Bromethalin Bait Chunx Pail, Rat and Mice Control for Agricultural Use and Professional Applicators, 4 lbs. 2-Pack</v>
          </cell>
          <cell r="E359" t="str">
            <v>https://www.amazon.com/dp/B0BSRFNZQV</v>
          </cell>
          <cell r="F359" t="str">
            <v>Rodent Control</v>
          </cell>
          <cell r="G359" t="str">
            <v>Bait &amp; Poison</v>
          </cell>
          <cell r="H359" t="str">
            <v>Rodent Control - Bait &amp; Poison</v>
          </cell>
          <cell r="I359" t="str">
            <v>Rodent</v>
          </cell>
        </row>
        <row r="360">
          <cell r="A360" t="str">
            <v>B00CQDNBTG</v>
          </cell>
          <cell r="B360" t="str">
            <v>Tomcat</v>
          </cell>
          <cell r="C360" t="str">
            <v>The Scotts Company LLC</v>
          </cell>
          <cell r="D360" t="str">
            <v>Tomcat Rat Killer II Tier 1 Refillable Rat Bait Station</v>
          </cell>
          <cell r="E360" t="str">
            <v>https://www.amazon.com/dp/B00CQDNBTG</v>
          </cell>
          <cell r="F360" t="str">
            <v>Rodent Control</v>
          </cell>
          <cell r="G360" t="str">
            <v>Bait &amp; Poison</v>
          </cell>
          <cell r="H360" t="str">
            <v>Rodent Control - Bait &amp; Poison</v>
          </cell>
          <cell r="I360" t="str">
            <v>Rodent</v>
          </cell>
        </row>
        <row r="361">
          <cell r="A361" t="str">
            <v>B072HY83CL</v>
          </cell>
          <cell r="B361" t="str">
            <v>JT Eaton</v>
          </cell>
          <cell r="C361" t="str">
            <v>JT Eaton</v>
          </cell>
          <cell r="D361" t="str">
            <v>JT Eaton Stick-Em City Rat &amp; Snake Glue Trap, Extra Large Size</v>
          </cell>
          <cell r="E361" t="str">
            <v>https://www.amazon.com/dp/B072HY83CL?psc=1</v>
          </cell>
          <cell r="F361" t="str">
            <v>Rodent Control</v>
          </cell>
          <cell r="G361" t="str">
            <v>Glue Traps</v>
          </cell>
          <cell r="H361" t="str">
            <v>Rodent Control - Glue Traps</v>
          </cell>
          <cell r="I361" t="str">
            <v>Rodent</v>
          </cell>
        </row>
        <row r="362">
          <cell r="A362" t="str">
            <v>B00DLKKT1Q</v>
          </cell>
          <cell r="B362" t="str">
            <v>JT Eaton</v>
          </cell>
          <cell r="C362" t="str">
            <v>JT Eaton</v>
          </cell>
          <cell r="D362" t="str">
            <v>JT Eaton Bigfoot Rat Snap Trap with Expanded Trigger, 12-Pack</v>
          </cell>
          <cell r="E362" t="str">
            <v>https://www.amazon.com/dp/B00DLKKT1Q</v>
          </cell>
          <cell r="F362" t="str">
            <v>Rodent Control</v>
          </cell>
          <cell r="G362" t="str">
            <v>Snap Traps</v>
          </cell>
          <cell r="H362" t="str">
            <v>Rodent Control - Snap Traps</v>
          </cell>
          <cell r="I362" t="str">
            <v>Rodent</v>
          </cell>
        </row>
        <row r="363">
          <cell r="A363" t="str">
            <v>B006WTCYK2</v>
          </cell>
          <cell r="B363" t="str">
            <v>Bell Laboratories</v>
          </cell>
          <cell r="C363" t="str">
            <v>Control Solutions, Inc</v>
          </cell>
          <cell r="D363" t="str">
            <v>Ditrac All-Weather Blox Bell Labs Rat Poison/Bait</v>
          </cell>
          <cell r="E363" t="str">
            <v>https://www.amazon.com/dp/B006WTCYK2</v>
          </cell>
          <cell r="F363" t="str">
            <v>Rodent Control</v>
          </cell>
          <cell r="G363" t="str">
            <v>Bait &amp; Poison</v>
          </cell>
          <cell r="H363" t="str">
            <v>Rodent Control - Bait &amp; Poison</v>
          </cell>
          <cell r="I363" t="str">
            <v>Rodent</v>
          </cell>
        </row>
        <row r="364">
          <cell r="A364" t="str">
            <v>B002Y6NS48</v>
          </cell>
          <cell r="B364" t="str">
            <v>Bell Laboratories</v>
          </cell>
          <cell r="C364" t="str">
            <v>Bell Labs</v>
          </cell>
          <cell r="D364" t="str">
            <v>Trapper Rat Glue Boards 1Pack (2 Boards)</v>
          </cell>
          <cell r="E364" t="str">
            <v>https://www.amazon.com/dp/B002Y6NS48</v>
          </cell>
          <cell r="F364" t="str">
            <v>Rodent Control</v>
          </cell>
          <cell r="G364" t="str">
            <v>Glue Traps</v>
          </cell>
          <cell r="H364" t="str">
            <v>Rodent Control - Glue Traps</v>
          </cell>
          <cell r="I364" t="str">
            <v>Rodent</v>
          </cell>
        </row>
        <row r="365">
          <cell r="A365" t="str">
            <v>B01DTBOV06</v>
          </cell>
          <cell r="B365" t="str">
            <v>Exterminators Choice</v>
          </cell>
          <cell r="C365" t="str">
            <v>Pinelake Industries, LLC</v>
          </cell>
          <cell r="D365" t="str">
            <v>Exterminators Choice Vehicle Defense Spray - 32 Ounce Peppermint Car Spray for Mice &amp; Rats - Rat Protection for Car Engine - Anti Squirrel Solution for Vehicles &amp; Trucks</v>
          </cell>
          <cell r="E365" t="str">
            <v>https://www.amazon.com/dp/B01DTBOV06?psc=1</v>
          </cell>
          <cell r="F365" t="str">
            <v>Rodent Control</v>
          </cell>
          <cell r="G365" t="str">
            <v>Ant Traps</v>
          </cell>
          <cell r="H365" t="str">
            <v>Rodent Control - Ant Traps</v>
          </cell>
          <cell r="I365" t="str">
            <v>Rodent</v>
          </cell>
        </row>
        <row r="366">
          <cell r="A366" t="str">
            <v>B083JKN2LX</v>
          </cell>
          <cell r="B366" t="str">
            <v>Exterminators Choice</v>
          </cell>
          <cell r="C366" t="str">
            <v>Pinelake Companies</v>
          </cell>
          <cell r="D366" t="str">
            <v>Exterminators Choice Rat Bait Stations - 2-Pack Large Green Bait Boxes - Heavy-Duty with Secure Lock &amp; Key - Outdoor Use for Rats &amp; Mice</v>
          </cell>
          <cell r="E366" t="str">
            <v>https://www.amazon.com/dp/B083JKN2LX?psc=1</v>
          </cell>
          <cell r="F366" t="str">
            <v>Rodent Control</v>
          </cell>
          <cell r="G366" t="str">
            <v>Bait &amp; Poison</v>
          </cell>
          <cell r="H366" t="str">
            <v>Rodent Control - Bait &amp; Poison</v>
          </cell>
          <cell r="I366" t="str">
            <v>Rodent</v>
          </cell>
        </row>
        <row r="367">
          <cell r="A367" t="str">
            <v>B00LW21RNY</v>
          </cell>
          <cell r="B367" t="str">
            <v>Catchmaster</v>
          </cell>
          <cell r="C367" t="str">
            <v>Catchmaster</v>
          </cell>
          <cell r="D367" t="str">
            <v>Catchmaster Spider &amp; Insect Glue Traps, 30 Sticky Traps Indoor for Home</v>
          </cell>
          <cell r="E367" t="str">
            <v>https://www.amazon.com/dp/B00LW21RNY?psc=1</v>
          </cell>
          <cell r="F367" t="str">
            <v>Flying Insect Control</v>
          </cell>
          <cell r="G367" t="str">
            <v>Glue Traps</v>
          </cell>
          <cell r="H367" t="str">
            <v>Flying Insect Control - Glue Traps</v>
          </cell>
          <cell r="I367" t="str">
            <v>Other crawling insects</v>
          </cell>
        </row>
        <row r="368">
          <cell r="A368" t="str">
            <v>B0CFRVPBD4</v>
          </cell>
          <cell r="B368" t="str">
            <v>Catchmaster</v>
          </cell>
          <cell r="C368" t="str">
            <v>Catchmaster</v>
          </cell>
          <cell r="D368" t="str">
            <v>Catchmaster Spider, Roach &amp; Insect Glue Traps, 45 Sticky Traps Indoor</v>
          </cell>
          <cell r="E368" t="str">
            <v>https://www.amazon.com/dp/B0CFRVPBD4?psc=1</v>
          </cell>
          <cell r="F368" t="str">
            <v>Flying Insect Control</v>
          </cell>
          <cell r="G368" t="str">
            <v>Glue Traps</v>
          </cell>
          <cell r="H368" t="str">
            <v>Flying Insect Control - Glue Traps</v>
          </cell>
          <cell r="I368" t="str">
            <v>Other crawling insects</v>
          </cell>
        </row>
        <row r="369">
          <cell r="A369" t="str">
            <v>B00CQ561GY</v>
          </cell>
          <cell r="B369" t="str">
            <v>Catchmaster</v>
          </cell>
          <cell r="C369" t="str">
            <v>Catchmaster</v>
          </cell>
          <cell r="D369" t="str">
            <v>Catchmaster Spider &amp; Insect Traps Indoor, Sticky Glue Boards 12 Pack</v>
          </cell>
          <cell r="E369" t="str">
            <v>https://www.amazon.com/dp/B00CQ561GY</v>
          </cell>
          <cell r="F369" t="str">
            <v>Flying Insect Control</v>
          </cell>
          <cell r="G369" t="str">
            <v>Glue Traps</v>
          </cell>
          <cell r="H369" t="str">
            <v>Flying Insect Control - Glue Traps</v>
          </cell>
          <cell r="I369" t="str">
            <v>Other crawling insects</v>
          </cell>
        </row>
        <row r="370">
          <cell r="A370" t="str">
            <v>B0DJ1MCHDP</v>
          </cell>
          <cell r="B370" t="str">
            <v>Catchmaster</v>
          </cell>
          <cell r="C370" t="str">
            <v>Catchmaster</v>
          </cell>
          <cell r="D370" t="str">
            <v>Catchmaster XL Extra-Strength Centipede &amp; Spider Glue Traps 20-PK, Adhesive Bug Catcher, Spider, Cricket, Ant &amp; Roach Traps for Home, Bulk Insect Glue Boards for House &amp; Garage, Pest Control for Home</v>
          </cell>
          <cell r="E370" t="str">
            <v>https://www.amazon.com/dp/B0DJ1MCHDP?psc=1</v>
          </cell>
          <cell r="F370" t="str">
            <v>Flying Insect Control</v>
          </cell>
          <cell r="G370" t="str">
            <v>Glue Traps</v>
          </cell>
          <cell r="H370" t="str">
            <v>Flying Insect Control - Glue Traps</v>
          </cell>
          <cell r="I370" t="str">
            <v>Other crawling insects</v>
          </cell>
        </row>
        <row r="371">
          <cell r="A371" t="str">
            <v>B08PC92Y69</v>
          </cell>
          <cell r="B371" t="str">
            <v>Catchmaster</v>
          </cell>
          <cell r="C371" t="str">
            <v>Catchmaster</v>
          </cell>
          <cell r="D371" t="str">
            <v>Catchmaster Centipede XL Giant Glue Boards 6-PK, Adhesive Bug Catcher, Cricket, Roach, Scorpion &amp; Spider Traps for Home, Centipede Killer, Insect Glue Traps for House &amp; Garage, Pest Control for Home</v>
          </cell>
          <cell r="E371" t="str">
            <v>https://www.amazon.com/dp/B08PC92Y69?psc=1</v>
          </cell>
          <cell r="F371" t="str">
            <v>Flying Insect Control</v>
          </cell>
          <cell r="G371" t="str">
            <v>Glue Traps</v>
          </cell>
          <cell r="H371" t="str">
            <v>Flying Insect Control - Glue Traps</v>
          </cell>
          <cell r="I371" t="str">
            <v>Other crawling insects</v>
          </cell>
        </row>
        <row r="372">
          <cell r="A372" t="str">
            <v>B008EO80K6</v>
          </cell>
          <cell r="B372" t="str">
            <v>Catchmaster</v>
          </cell>
          <cell r="C372" t="str">
            <v>Catchmaster</v>
          </cell>
          <cell r="D372" t="str">
            <v>Catchmaster 288i Insect &amp; Spider Trap - 36 Glue Boards (108 Monitor Traps)</v>
          </cell>
          <cell r="E372" t="str">
            <v>https://www.amazon.com/dp/B008EO80K6?psc=1</v>
          </cell>
          <cell r="F372" t="str">
            <v>Flying Insect Control</v>
          </cell>
          <cell r="G372" t="str">
            <v>Glue Traps</v>
          </cell>
          <cell r="H372" t="str">
            <v>Flying Insect Control - Glue Traps</v>
          </cell>
          <cell r="I372" t="str">
            <v>Other crawling insects</v>
          </cell>
        </row>
        <row r="373">
          <cell r="A373" t="str">
            <v>B0D3FNQKN6</v>
          </cell>
          <cell r="B373" t="str">
            <v>ZEVO</v>
          </cell>
          <cell r="C373" t="str">
            <v>ZEVO</v>
          </cell>
          <cell r="D373" t="str">
            <v>Zevo Multi-Insect Bug Killer Spray, for Ant, Fly, Spider &amp; Roach, 3 Bottles</v>
          </cell>
          <cell r="E373" t="str">
            <v>https://www.amazon.com/dp/B0D3FNQKN6?psc=1</v>
          </cell>
          <cell r="F373" t="str">
            <v>Flying Insect Control</v>
          </cell>
          <cell r="G373" t="str">
            <v>Roach Traps</v>
          </cell>
          <cell r="H373" t="str">
            <v>Flying Insect Control - Roach Traps</v>
          </cell>
          <cell r="I373" t="str">
            <v>Other crawling insects</v>
          </cell>
        </row>
        <row r="374">
          <cell r="A374" t="str">
            <v>B089QTC1QN</v>
          </cell>
          <cell r="B374" t="str">
            <v>ZEVO</v>
          </cell>
          <cell r="C374" t="str">
            <v>Zevo</v>
          </cell>
          <cell r="D374" t="str">
            <v>Zevo Ant, Roach, Spider Insect Killer</v>
          </cell>
          <cell r="E374" t="str">
            <v>https://www.amazon.com/dp/B089QTC1QN</v>
          </cell>
          <cell r="F374" t="str">
            <v>Flying Insect Control</v>
          </cell>
          <cell r="G374" t="str">
            <v>Roach Traps</v>
          </cell>
          <cell r="H374" t="str">
            <v>Flying Insect Control - Roach Traps</v>
          </cell>
          <cell r="I374" t="str">
            <v>Other crawling insects</v>
          </cell>
        </row>
        <row r="375">
          <cell r="A375" t="str">
            <v>B0G8S8Y88F</v>
          </cell>
          <cell r="B375" t="str">
            <v>ZEVO</v>
          </cell>
          <cell r="C375" t="str">
            <v>ZEVO</v>
          </cell>
          <cell r="D375" t="str">
            <v>Zevo Trap &amp; Kill Foam Insect Killer for Roaches &amp; Spiders 12 fl oz</v>
          </cell>
          <cell r="E375" t="str">
            <v>https://www.amazon.com/dp/B0G8S8Y88F</v>
          </cell>
          <cell r="F375" t="str">
            <v>Flying Insect Control</v>
          </cell>
          <cell r="G375" t="str">
            <v>Roach Traps</v>
          </cell>
          <cell r="H375" t="str">
            <v>Flying Insect Control - Roach Traps</v>
          </cell>
          <cell r="I375" t="str">
            <v>Other crawling insects</v>
          </cell>
        </row>
        <row r="376">
          <cell r="A376" t="str">
            <v>B00D8NL29O</v>
          </cell>
          <cell r="B376" t="str">
            <v>JT Eaton</v>
          </cell>
          <cell r="C376" t="str">
            <v>JT Eaton</v>
          </cell>
          <cell r="D376" t="str">
            <v>JT Eaton Glue Trap - for Crickets and Spiders, Home Pest Control - 4 Pack - Multi Material</v>
          </cell>
          <cell r="E376" t="str">
            <v>https://www.amazon.com/dp/B00D8NL29O?psc=1</v>
          </cell>
          <cell r="F376" t="str">
            <v>Crawling Insect Control</v>
          </cell>
          <cell r="G376" t="str">
            <v>Glue Traps</v>
          </cell>
          <cell r="H376" t="str">
            <v>Crawling Insect Control - Glue Traps</v>
          </cell>
          <cell r="I376" t="str">
            <v>Other crawling insects</v>
          </cell>
        </row>
        <row r="377">
          <cell r="A377" t="str">
            <v>B00YZHVB2A</v>
          </cell>
          <cell r="B377" t="str">
            <v>JT Eaton</v>
          </cell>
          <cell r="C377" t="str">
            <v>JT Eaton</v>
          </cell>
          <cell r="D377" t="str">
            <v>J T Eaton 076706844002 Spider and Cricket Glue Trap (Pack of 5), White Box</v>
          </cell>
          <cell r="E377" t="str">
            <v>https://www.amazon.com/dp/B00YZHVB2A</v>
          </cell>
          <cell r="F377" t="str">
            <v>Crawling Insect Control</v>
          </cell>
          <cell r="G377" t="str">
            <v>Glue Traps</v>
          </cell>
          <cell r="H377" t="str">
            <v>Crawling Insect Control - Glue Traps</v>
          </cell>
          <cell r="I377" t="str">
            <v>Other crawling insects</v>
          </cell>
        </row>
        <row r="378">
          <cell r="A378" t="str">
            <v>B00PUOW4QO</v>
          </cell>
          <cell r="B378" t="str">
            <v>JT Eaton</v>
          </cell>
          <cell r="C378" t="str">
            <v>Eaton J T</v>
          </cell>
          <cell r="D378" t="str">
            <v>J T Eaton 844 Pest Catchers Large Spider and Cricket Size Attractant Scented Glue Trap, 8 Traps</v>
          </cell>
          <cell r="E378" t="str">
            <v>https://www.amazon.com/dp/B00PUOW4QO</v>
          </cell>
          <cell r="F378" t="str">
            <v>Crawling Insect Control</v>
          </cell>
          <cell r="G378" t="str">
            <v>Glue Traps</v>
          </cell>
          <cell r="H378" t="str">
            <v>Crawling Insect Control - Glue Traps</v>
          </cell>
          <cell r="I378" t="str">
            <v>Other crawling insects</v>
          </cell>
        </row>
        <row r="379">
          <cell r="A379" t="str">
            <v>B015LDUJ5G</v>
          </cell>
          <cell r="B379" t="str">
            <v>JT Eaton</v>
          </cell>
          <cell r="C379" t="str">
            <v>Eaton J T</v>
          </cell>
          <cell r="D379" t="str">
            <v>J T Eaton 844 Pest Catchers Large Spider and Cricket Size Attractant Scented Glue Trap, 12 Traps</v>
          </cell>
          <cell r="E379" t="str">
            <v>https://www.amazon.com/dp/B015LDUJ5G</v>
          </cell>
          <cell r="F379" t="str">
            <v>Crawling Insect Control</v>
          </cell>
          <cell r="G379" t="str">
            <v>Glue Traps</v>
          </cell>
          <cell r="H379" t="str">
            <v>Crawling Insect Control - Glue Traps</v>
          </cell>
          <cell r="I379" t="str">
            <v>Other crawling insects</v>
          </cell>
        </row>
        <row r="380">
          <cell r="A380" t="str">
            <v>B0BQ922LQM</v>
          </cell>
          <cell r="B380" t="str">
            <v>Bonide</v>
          </cell>
          <cell r="C380" t="str">
            <v>Bonide Products LLC</v>
          </cell>
          <cell r="D380" t="str">
            <v>Revenge Spider &amp; Ground Bee Killer, 10 oz Ready-to-Use Dust Treatment</v>
          </cell>
          <cell r="E380" t="str">
            <v>https://www.amazon.com/dp/B0BQ922LQM</v>
          </cell>
          <cell r="F380" t="str">
            <v>Crawling Insect Control</v>
          </cell>
          <cell r="G380" t="str">
            <v>Spider Traps</v>
          </cell>
          <cell r="H380" t="str">
            <v>Crawling Insect Control - Spider Traps</v>
          </cell>
          <cell r="I380" t="str">
            <v>Other crawling insects</v>
          </cell>
        </row>
        <row r="381">
          <cell r="A381" t="str">
            <v>B001VJ492Y</v>
          </cell>
          <cell r="B381" t="str">
            <v>Bonide</v>
          </cell>
          <cell r="C381" t="str">
            <v>Bradley Caldwell</v>
          </cell>
          <cell r="D381" t="str">
            <v>Bonide 363 Spider And Ground Bee Killer - 10 oz.</v>
          </cell>
          <cell r="E381" t="str">
            <v>https://www.amazon.com/dp/B001VJ492Y</v>
          </cell>
          <cell r="F381" t="str">
            <v>Crawling Insect Control</v>
          </cell>
          <cell r="G381" t="str">
            <v>Spider Traps</v>
          </cell>
          <cell r="H381" t="str">
            <v>Crawling Insect Control - Spider Traps</v>
          </cell>
          <cell r="I381" t="str">
            <v>Other crawling insects</v>
          </cell>
        </row>
        <row r="382">
          <cell r="A382" t="str">
            <v>B011TBDZG4</v>
          </cell>
          <cell r="B382" t="str">
            <v>Bonide</v>
          </cell>
          <cell r="C382" t="str">
            <v>Bonide</v>
          </cell>
          <cell r="D382" t="str">
            <v>Bonide 363 Spider and Ground Bee Killer, 2 Pack of 10 oz</v>
          </cell>
          <cell r="E382" t="str">
            <v>https://www.amazon.com/dp/B011TBDZG4</v>
          </cell>
          <cell r="F382" t="str">
            <v>Crawling Insect Control</v>
          </cell>
          <cell r="G382" t="str">
            <v>Spider Traps</v>
          </cell>
          <cell r="H382" t="str">
            <v>Crawling Insect Control - Spider Traps</v>
          </cell>
          <cell r="I382" t="str">
            <v>Other crawling insects</v>
          </cell>
        </row>
        <row r="383">
          <cell r="A383" t="str">
            <v>B09WTTNNNL</v>
          </cell>
          <cell r="B383" t="str">
            <v>Bonide</v>
          </cell>
          <cell r="C383" t="str">
            <v>Bonide Products LLC</v>
          </cell>
          <cell r="D383" t="str">
            <v>Bonide Revenge Spider Killer, 128 oz Ready-to-Use Spray, Long Lasting Odorless for Formula for Indoors and Outdoors</v>
          </cell>
          <cell r="E383" t="str">
            <v>https://www.amazon.com/dp/B09WTTNNNL</v>
          </cell>
          <cell r="F383" t="str">
            <v>Crawling Insect Control</v>
          </cell>
          <cell r="G383" t="str">
            <v>Spider Traps</v>
          </cell>
          <cell r="H383" t="str">
            <v>Crawling Insect Control - Spider Traps</v>
          </cell>
          <cell r="I383" t="str">
            <v>Other crawling insects</v>
          </cell>
        </row>
        <row r="384">
          <cell r="A384" t="str">
            <v>B000OW94Y2</v>
          </cell>
          <cell r="B384" t="str">
            <v>Bonide</v>
          </cell>
          <cell r="C384" t="str">
            <v>TV Non-Branded Items</v>
          </cell>
          <cell r="D384" t="str">
            <v>Bonide Malathion Insect Control, 16 oz Ready-to-Mix Concentrate Bug &amp; Spider Mite Killer for Outdoor Garden Use</v>
          </cell>
          <cell r="E384" t="str">
            <v>https://www.amazon.com/dp/B000OW94Y2</v>
          </cell>
          <cell r="F384" t="str">
            <v>Rodent Control</v>
          </cell>
          <cell r="G384" t="str">
            <v>Spider Traps</v>
          </cell>
          <cell r="H384" t="str">
            <v>Rodent Control - Spider Traps</v>
          </cell>
          <cell r="I384" t="str">
            <v>Other crawling insects</v>
          </cell>
        </row>
        <row r="385">
          <cell r="A385" t="str">
            <v>B004D4V5VM</v>
          </cell>
          <cell r="B385" t="str">
            <v>HARRIS</v>
          </cell>
          <cell r="C385" t="str">
            <v>P F HARRIS</v>
          </cell>
          <cell r="D385" t="str">
            <v>Harris Spider Killer, Liquid Spray with Odorless and Non-Staining Formula (32oz)</v>
          </cell>
          <cell r="E385" t="str">
            <v>https://www.amazon.com/dp/B004D4V5VM?psc=1</v>
          </cell>
          <cell r="F385" t="str">
            <v>Crawling Insect Control</v>
          </cell>
          <cell r="G385" t="str">
            <v>Spider Traps</v>
          </cell>
          <cell r="H385" t="str">
            <v>Crawling Insect Control - Spider Traps</v>
          </cell>
          <cell r="I385" t="str">
            <v>Other crawling insects</v>
          </cell>
        </row>
        <row r="386">
          <cell r="A386" t="str">
            <v>B0081GOX5S</v>
          </cell>
          <cell r="B386" t="str">
            <v>HARRIS</v>
          </cell>
          <cell r="C386" t="str">
            <v>P F HARRIS</v>
          </cell>
          <cell r="D386" t="str">
            <v>Harris Spider Glue Traps, Pesticide Free (2-Pack), Kills Brown Recluse, Hobo Spider, Black Widow and More</v>
          </cell>
          <cell r="E386" t="str">
            <v>https://www.amazon.com/dp/B0081GOX5S</v>
          </cell>
          <cell r="F386" t="str">
            <v>Crawling Insect Control</v>
          </cell>
          <cell r="G386" t="str">
            <v>Glue Traps</v>
          </cell>
          <cell r="H386" t="str">
            <v>Crawling Insect Control - Glue Traps</v>
          </cell>
          <cell r="I386" t="str">
            <v>Other crawling insects</v>
          </cell>
        </row>
        <row r="387">
          <cell r="A387" t="str">
            <v>B084VSMY2B</v>
          </cell>
          <cell r="B387" t="str">
            <v>Grandpa Gus's</v>
          </cell>
          <cell r="C387" t="str">
            <v>Grandpa Gus's</v>
          </cell>
          <cell r="D387" t="str">
            <v>Grandpa Gus's Natural Spider Repellent Pouches, Indoor Deterrent, 10 Pack</v>
          </cell>
          <cell r="E387" t="str">
            <v>https://www.amazon.com/dp/B084VSMY2B</v>
          </cell>
          <cell r="F387" t="str">
            <v>Crawling Insect Control</v>
          </cell>
          <cell r="G387" t="str">
            <v>Repellents</v>
          </cell>
          <cell r="H387" t="str">
            <v>Crawling Insect Control - Repellents</v>
          </cell>
          <cell r="I387" t="str">
            <v>Other crawling insects</v>
          </cell>
        </row>
        <row r="388">
          <cell r="A388" t="str">
            <v>B0BZDR26NQ</v>
          </cell>
          <cell r="B388" t="str">
            <v>Grandpa Gus's</v>
          </cell>
          <cell r="C388" t="str">
            <v>Grandpa Gus's</v>
          </cell>
          <cell r="D388" t="str">
            <v>Grandpa Gus's Ant, Roach, and Spider Bug Pest Killer Spray, 16 Fl Oz</v>
          </cell>
          <cell r="E388" t="str">
            <v>https://www.amazon.com/dp/B0BZDR26NQ?psc=1</v>
          </cell>
          <cell r="F388" t="str">
            <v>Crawling Insect Control</v>
          </cell>
          <cell r="G388" t="str">
            <v>Roach Traps</v>
          </cell>
          <cell r="H388" t="str">
            <v>Crawling Insect Control - Roach Traps</v>
          </cell>
          <cell r="I388" t="str">
            <v>Other crawling insects</v>
          </cell>
        </row>
        <row r="389">
          <cell r="A389" t="str">
            <v>B07XL6B8S8</v>
          </cell>
          <cell r="B389" t="str">
            <v>Mighty Mint</v>
          </cell>
          <cell r="C389" t="str">
            <v>Pure Origin Products</v>
          </cell>
          <cell r="D389" t="str">
            <v>Mighty Mint Peppermint Oil Spider Repellent Spray, 16 oz</v>
          </cell>
          <cell r="E389" t="str">
            <v>https://www.amazon.com/dp/B07XL6B8S8</v>
          </cell>
          <cell r="F389" t="str">
            <v>Crawling Insect Control</v>
          </cell>
          <cell r="G389" t="str">
            <v>Repellents</v>
          </cell>
          <cell r="H389" t="str">
            <v>Crawling Insect Control - Repellents</v>
          </cell>
          <cell r="I389" t="str">
            <v>Other crawling insects</v>
          </cell>
        </row>
        <row r="390">
          <cell r="A390" t="str">
            <v>B01N7KSXHX</v>
          </cell>
          <cell r="B390" t="str">
            <v>Ortho</v>
          </cell>
          <cell r="C390" t="str">
            <v>The Scotts Company LLC</v>
          </cell>
          <cell r="D390" t="str">
            <v>Ortho Home Defense Insect Killer for Indoor &amp; Perimeter2 with Comfort Wand, Controls Ants, Roaches, and Spiders, 1.1 gal</v>
          </cell>
          <cell r="E390" t="str">
            <v>https://www.amazon.com/dp/B01N7KSXHX?psc=1</v>
          </cell>
          <cell r="F390" t="str">
            <v>Flying Insect Control</v>
          </cell>
          <cell r="G390" t="str">
            <v>Roach Traps</v>
          </cell>
          <cell r="H390" t="str">
            <v>Flying Insect Control - Roach Traps</v>
          </cell>
          <cell r="I390" t="str">
            <v>Other crawling insects</v>
          </cell>
        </row>
        <row r="391">
          <cell r="A391" t="str">
            <v>B00EE4E1RQ</v>
          </cell>
          <cell r="B391" t="str">
            <v>Ortho</v>
          </cell>
          <cell r="C391" t="str">
            <v>Ortho</v>
          </cell>
          <cell r="D391" t="str">
            <v>Ortho 0196410 Home Defense MAX Insect Killer Spray for Indoor and Home Perimeter, 24-Ounce (Ant, Roach, Spider, Stinkbug &amp; Centipede Killer)(2Pack)</v>
          </cell>
          <cell r="E391" t="str">
            <v>https://www.amazon.com/dp/B00EE4E1RQ</v>
          </cell>
          <cell r="F391" t="str">
            <v>Flying Insect Control</v>
          </cell>
          <cell r="G391" t="str">
            <v>Roach Traps</v>
          </cell>
          <cell r="H391" t="str">
            <v>Flying Insect Control - Roach Traps</v>
          </cell>
          <cell r="I391" t="str">
            <v>Other crawling insects</v>
          </cell>
        </row>
        <row r="392">
          <cell r="A392" t="str">
            <v>B0BNR1NW9V</v>
          </cell>
          <cell r="B392" t="str">
            <v>Ortho</v>
          </cell>
          <cell r="C392" t="str">
            <v>The Scotts Miracle-Gro Company</v>
          </cell>
          <cell r="D392" t="str">
            <v>Ortho Lawn Insect Killer Granules: Treats up to 10,000 sq. ft, for Yard, Garden &amp; Landscapes, Works on Listed Ants, Spiders, Fleas &amp; Ticks, 10 lbs.</v>
          </cell>
          <cell r="E392" t="str">
            <v>https://www.amazon.com/dp/B0BNR1NW9V</v>
          </cell>
          <cell r="F392" t="str">
            <v>Flying Insect Control</v>
          </cell>
          <cell r="G392" t="str">
            <v>Ant Traps</v>
          </cell>
          <cell r="H392" t="str">
            <v>Flying Insect Control - Ant Traps</v>
          </cell>
          <cell r="I392" t="str">
            <v>Other crawling insects</v>
          </cell>
        </row>
        <row r="393">
          <cell r="A393" t="str">
            <v>B0CCGY2RWP</v>
          </cell>
          <cell r="B393" t="str">
            <v>Catchmaster</v>
          </cell>
          <cell r="C393" t="str">
            <v>Catchmaster</v>
          </cell>
          <cell r="D393" t="str">
            <v>Catchmaster GRO Blue Regular Double Sided Sticky Traps 72PK, Adhesive Bug &amp; Fruit Fly Trap, Pest Control for Home, Farm, Garden, Hydroponics &amp; Greenhouse, Protect Live Plants Indoor &amp; Outdoor</v>
          </cell>
          <cell r="E393" t="str">
            <v>https://www.amazon.com/dp/B0CCGY2RWP?psc=1</v>
          </cell>
          <cell r="F393" t="str">
            <v>Flying Insect Control</v>
          </cell>
          <cell r="G393" t="str">
            <v>Fly Traps</v>
          </cell>
          <cell r="H393" t="str">
            <v>Flying Insect Control - Fly Traps</v>
          </cell>
          <cell r="I393" t="str">
            <v>Mosquito/Fly</v>
          </cell>
        </row>
        <row r="394">
          <cell r="A394" t="str">
            <v>B07V6HBYHK</v>
          </cell>
          <cell r="B394" t="str">
            <v>Catchmaster</v>
          </cell>
          <cell r="C394" t="str">
            <v>Catchmaster</v>
          </cell>
          <cell r="D394" t="str">
            <v>Catchmaster Fly Ribbon 20 Pack, Fly Strips Indoor Sticky Hanging Fly Tape</v>
          </cell>
          <cell r="E394" t="str">
            <v>https://www.amazon.com/dp/B07V6HBYHK?psc=1</v>
          </cell>
          <cell r="F394" t="str">
            <v>Flying Insect Control</v>
          </cell>
          <cell r="G394" t="str">
            <v>Fly Traps</v>
          </cell>
          <cell r="H394" t="str">
            <v>Flying Insect Control - Fly Traps</v>
          </cell>
          <cell r="I394" t="str">
            <v>Mosquito/Fly</v>
          </cell>
        </row>
        <row r="395">
          <cell r="A395" t="str">
            <v>B001QBPP66</v>
          </cell>
          <cell r="B395" t="str">
            <v>Catchmaster</v>
          </cell>
          <cell r="C395" t="str">
            <v>Catchmaster</v>
          </cell>
          <cell r="D395" t="str">
            <v>Catchmaster Window Fly Traps 12 Pack, Clear Sticky Indoor Fly Trap Strips</v>
          </cell>
          <cell r="E395" t="str">
            <v>https://www.amazon.com/dp/B001QBPP66?psc=1</v>
          </cell>
          <cell r="F395" t="str">
            <v>Flying Insect Control</v>
          </cell>
          <cell r="G395" t="str">
            <v>Fly Traps</v>
          </cell>
          <cell r="H395" t="str">
            <v>Flying Insect Control - Fly Traps</v>
          </cell>
          <cell r="I395" t="str">
            <v>Mosquito/Fly</v>
          </cell>
        </row>
        <row r="396">
          <cell r="A396" t="str">
            <v>B001QFDESS</v>
          </cell>
          <cell r="B396" t="str">
            <v>Catchmaster</v>
          </cell>
          <cell r="C396" t="str">
            <v>Catchmaster Store</v>
          </cell>
          <cell r="D396" t="str">
            <v>Catchmaster Giant Fly Glue Trap 1pk, 30ft Sticky Fly Paper Roll Outdoor</v>
          </cell>
          <cell r="E396" t="str">
            <v>https://www.amazon.com/dp/B001QFDESS?psc=1</v>
          </cell>
          <cell r="F396" t="str">
            <v>Flying Insect Control</v>
          </cell>
          <cell r="G396" t="str">
            <v>Glue Traps</v>
          </cell>
          <cell r="H396" t="str">
            <v>Flying Insect Control - Glue Traps</v>
          </cell>
          <cell r="I396" t="str">
            <v>Mosquito/Fly</v>
          </cell>
        </row>
        <row r="397">
          <cell r="A397" t="str">
            <v>B07XKDM8LG</v>
          </cell>
          <cell r="B397" t="str">
            <v>Catchmaster</v>
          </cell>
          <cell r="C397" t="str">
            <v>Catchmaster</v>
          </cell>
          <cell r="D397" t="str">
            <v>Catchmaster Giant Fly Glue Trap 3pk, 30ft Sticky Fly Paper Roll Outdoor</v>
          </cell>
          <cell r="E397" t="str">
            <v>https://www.amazon.com/dp/B07XKDM8LG?psc=1</v>
          </cell>
          <cell r="F397" t="str">
            <v>Flying Insect Control</v>
          </cell>
          <cell r="G397" t="str">
            <v>Glue Traps</v>
          </cell>
          <cell r="H397" t="str">
            <v>Flying Insect Control - Glue Traps</v>
          </cell>
          <cell r="I397" t="str">
            <v>Mosquito/Fly</v>
          </cell>
        </row>
        <row r="398">
          <cell r="A398" t="str">
            <v>B083ZGVJ28</v>
          </cell>
          <cell r="B398" t="str">
            <v>Catchmaster</v>
          </cell>
          <cell r="C398" t="str">
            <v>Catchmaster</v>
          </cell>
          <cell r="D398" t="str">
            <v>Catchmaster Gold Stick 4-Pack, Sticky Hanging Fly Traps Indoor &amp; Outdoor</v>
          </cell>
          <cell r="E398" t="str">
            <v>https://www.amazon.com/dp/B083ZGVJ28</v>
          </cell>
          <cell r="F398" t="str">
            <v>Flying Insect Control</v>
          </cell>
          <cell r="G398" t="str">
            <v>Fly Traps</v>
          </cell>
          <cell r="H398" t="str">
            <v>Flying Insect Control - Fly Traps</v>
          </cell>
          <cell r="I398" t="str">
            <v>Mosquito/Fly</v>
          </cell>
        </row>
        <row r="399">
          <cell r="A399" t="str">
            <v>B008JVIHDO</v>
          </cell>
          <cell r="B399" t="str">
            <v>Catchmaster</v>
          </cell>
          <cell r="C399" t="str">
            <v>Atlantic Paste and Glue Co. Inc.</v>
          </cell>
          <cell r="D399" t="str">
            <v>Catchmaster Window Fly Traps 48 Pack Bulk, Clear Sticky Indoor Fly Strips</v>
          </cell>
          <cell r="E399" t="str">
            <v>https://www.amazon.com/dp/B008JVIHDO?psc=1</v>
          </cell>
          <cell r="F399" t="str">
            <v>Flying Insect Control</v>
          </cell>
          <cell r="G399" t="str">
            <v>Fly Traps</v>
          </cell>
          <cell r="H399" t="str">
            <v>Flying Insect Control - Fly Traps</v>
          </cell>
          <cell r="I399" t="str">
            <v>Mosquito/Fly</v>
          </cell>
        </row>
        <row r="400">
          <cell r="A400" t="str">
            <v>B0GFGNMJN4</v>
          </cell>
          <cell r="B400" t="str">
            <v>Catchmaster</v>
          </cell>
          <cell r="C400" t="str">
            <v>AP&amp;G</v>
          </cell>
          <cell r="D400" t="str">
            <v>Catchmaster Vector 9 Plug in Fly Trap for House &amp; Fruit Flies, Gnats, White</v>
          </cell>
          <cell r="E400" t="str">
            <v>https://www.amazon.com/dp/B0GFGNMJN4?psc=1</v>
          </cell>
          <cell r="F400" t="str">
            <v>Flying Insect Control</v>
          </cell>
          <cell r="G400" t="str">
            <v>Fly Traps</v>
          </cell>
          <cell r="H400" t="str">
            <v>Flying Insect Control - Fly Traps</v>
          </cell>
          <cell r="I400" t="str">
            <v>Mosquito/Fly</v>
          </cell>
        </row>
        <row r="401">
          <cell r="A401" t="str">
            <v>B01N02XQ2U</v>
          </cell>
          <cell r="B401" t="str">
            <v>Catchmaster</v>
          </cell>
          <cell r="C401" t="str">
            <v>Catchmaster</v>
          </cell>
          <cell r="D401" t="str">
            <v>Catchmaster Window Fly Traps 96-Pack, Fruit Fly Traps for Indoors, Disposable Bulk Bug Catcher, Waterproof Insect Glue Trap, Adhesive Strips, Pest Control for Home, Kitchen, &amp; Garage</v>
          </cell>
          <cell r="E401" t="str">
            <v>https://www.amazon.com/dp/B01N02XQ2U?psc=1</v>
          </cell>
          <cell r="F401" t="str">
            <v>Flying Insect Control</v>
          </cell>
          <cell r="G401" t="str">
            <v>Glue Traps</v>
          </cell>
          <cell r="H401" t="str">
            <v>Flying Insect Control - Glue Traps</v>
          </cell>
          <cell r="I401" t="str">
            <v>Mosquito/Fly</v>
          </cell>
        </row>
        <row r="402">
          <cell r="A402" t="str">
            <v>B07RCVJXCV</v>
          </cell>
          <cell r="B402" t="str">
            <v>Catchmaster</v>
          </cell>
          <cell r="C402" t="str">
            <v>Catchmaster</v>
          </cell>
          <cell r="D402" t="str">
            <v>Catchmaster Disposable Outdoor Fly Trap, 2 Hanging Bags with Lure</v>
          </cell>
          <cell r="E402" t="str">
            <v>https://www.amazon.com/dp/B07RCVJXCV?psc=1</v>
          </cell>
          <cell r="F402" t="str">
            <v>Flying Insect Control</v>
          </cell>
          <cell r="G402" t="str">
            <v>Fly Traps</v>
          </cell>
          <cell r="H402" t="str">
            <v>Flying Insect Control - Fly Traps</v>
          </cell>
          <cell r="I402" t="str">
            <v>Mosquito/Fly</v>
          </cell>
        </row>
        <row r="403">
          <cell r="A403" t="str">
            <v>B0987ZW7SV</v>
          </cell>
          <cell r="B403" t="str">
            <v>Catchmaster</v>
          </cell>
          <cell r="C403" t="str">
            <v>Catchmaster</v>
          </cell>
          <cell r="D403" t="str">
            <v>Catchmaster Disposable Outdoor Fly Trap, 8 Hanging Bags with Bait</v>
          </cell>
          <cell r="E403" t="str">
            <v>https://www.amazon.com/dp/B0987ZW7SV?psc=1</v>
          </cell>
          <cell r="F403" t="str">
            <v>Flying Insect Control</v>
          </cell>
          <cell r="G403" t="str">
            <v>Bait &amp; Poison</v>
          </cell>
          <cell r="H403" t="str">
            <v>Flying Insect Control - Bait &amp; Poison</v>
          </cell>
          <cell r="I403" t="str">
            <v>Mosquito/Fly</v>
          </cell>
        </row>
        <row r="404">
          <cell r="A404" t="str">
            <v>B0839P1DQ8</v>
          </cell>
          <cell r="B404" t="str">
            <v>Catchmaster</v>
          </cell>
          <cell r="C404">
            <v>0</v>
          </cell>
          <cell r="D404" t="str">
            <v>Catchmaster GRO Yellow Regular Double Sided Sticky Traps 72PK, Adhesive Bug &amp; Fruit Fly Trap, Pest Control for Home, Farm, Garden, Hydroponics &amp; Greenhouse, Protect Live Plants Indoor &amp; Outdoor</v>
          </cell>
          <cell r="E404" t="str">
            <v>https://www.amazon.com/dp/B0839P1DQ8?psc=1</v>
          </cell>
          <cell r="F404" t="str">
            <v>Flying Insect Control</v>
          </cell>
          <cell r="G404" t="str">
            <v>Fly Traps</v>
          </cell>
          <cell r="H404" t="str">
            <v>Flying Insect Control - Fly Traps</v>
          </cell>
          <cell r="I404" t="str">
            <v>Mosquito/Fly</v>
          </cell>
        </row>
        <row r="405">
          <cell r="A405" t="str">
            <v>B0H2C3H4NX</v>
          </cell>
          <cell r="B405" t="str">
            <v>Catchmaster</v>
          </cell>
          <cell r="C405" t="str">
            <v>AP&amp;G</v>
          </cell>
          <cell r="D405" t="str">
            <v>Catchmaster Fly Stick 4-Pack, Sticky Hanging Fly Traps Indoor &amp; Outdoor</v>
          </cell>
          <cell r="E405" t="str">
            <v>https://www.amazon.com/dp/B0H2C3H4NX</v>
          </cell>
          <cell r="F405" t="str">
            <v>Flying Insect Control</v>
          </cell>
          <cell r="G405" t="str">
            <v>Fly Traps</v>
          </cell>
          <cell r="H405" t="str">
            <v>Flying Insect Control - Fly Traps</v>
          </cell>
          <cell r="I405" t="str">
            <v>Mosquito/Fly</v>
          </cell>
        </row>
        <row r="406">
          <cell r="A406" t="str">
            <v>B0CFRN76MY</v>
          </cell>
          <cell r="B406" t="str">
            <v>Catchmaster</v>
          </cell>
          <cell r="C406" t="str">
            <v>Catchmaster</v>
          </cell>
          <cell r="D406" t="str">
            <v>Catchmaster Fly Ribbon 96-Pack, Bug &amp; Fly Traps Outdoor and Indoor, Premium Adhesive Sticky Fly Strips &amp; Gnat Hanging Strips, Bulk Flying Insect Paper Rolls, Pesticide-Free Home Pest Control</v>
          </cell>
          <cell r="E406" t="str">
            <v>https://www.amazon.com/dp/B0CFRN76MY?psc=1</v>
          </cell>
          <cell r="F406" t="str">
            <v>Flying Insect Control</v>
          </cell>
          <cell r="G406" t="str">
            <v>Fly Traps</v>
          </cell>
          <cell r="H406" t="str">
            <v>Flying Insect Control - Fly Traps</v>
          </cell>
          <cell r="I406" t="str">
            <v>Mosquito/Fly</v>
          </cell>
        </row>
        <row r="407">
          <cell r="A407" t="str">
            <v>B09KMGP3KC</v>
          </cell>
          <cell r="B407" t="str">
            <v>Catchmaster</v>
          </cell>
          <cell r="C407" t="str">
            <v>Catchmaster</v>
          </cell>
          <cell r="D407" t="str">
            <v>Catchmaster Window Fly Traps 12-Pack XL, Fruit Fly Traps for Indoors, Disposable Bulk Bug Catcher, Waterproof Insect Glue Trap, Adhesive Fly Strips, Pest Control for Home, Kitchen, &amp; Garage</v>
          </cell>
          <cell r="E407" t="str">
            <v>https://www.amazon.com/dp/B09KMGP3KC?psc=1</v>
          </cell>
          <cell r="F407" t="str">
            <v>Flying Insect Control</v>
          </cell>
          <cell r="G407" t="str">
            <v>Glue Traps</v>
          </cell>
          <cell r="H407" t="str">
            <v>Flying Insect Control - Glue Traps</v>
          </cell>
          <cell r="I407" t="str">
            <v>Mosquito/Fly</v>
          </cell>
        </row>
        <row r="408">
          <cell r="A408" t="str">
            <v>B0GLKPKZWH</v>
          </cell>
          <cell r="B408" t="str">
            <v>Catchmaster</v>
          </cell>
          <cell r="C408" t="str">
            <v>APG</v>
          </cell>
          <cell r="D408" t="str">
            <v>Catchmaster Window Fly Traps 12-Pack, Designed to Disguise House &amp; Fruit Fly, Gnats, Adhesive Strips for Indoor, Disposable Bug Catcher, Insect Sticky Glue Traps, Pest Control for Home &amp; Kitchen</v>
          </cell>
          <cell r="E408" t="str">
            <v>https://www.amazon.com/dp/B0GLKPKZWH?psc=1</v>
          </cell>
          <cell r="F408" t="str">
            <v>Flying Insect Control</v>
          </cell>
          <cell r="G408" t="str">
            <v>Glue Traps</v>
          </cell>
          <cell r="H408" t="str">
            <v>Flying Insect Control - Glue Traps</v>
          </cell>
          <cell r="I408" t="str">
            <v>Mosquito/Fly</v>
          </cell>
        </row>
        <row r="409">
          <cell r="A409" t="str">
            <v>B0GRWPG7R2</v>
          </cell>
          <cell r="B409" t="str">
            <v>Catchmaster</v>
          </cell>
          <cell r="C409" t="str">
            <v>APG</v>
          </cell>
          <cell r="D409" t="str">
            <v>Catchmaster Fly Traps for Window Corners Lemon Yellow 12PK, Gnat and Fruit Fly Strips for Indoor, Disposable Sticky Traps Designed to Disguise Trapped Flies, Adhesive Pest Control for Home &amp; Kitchen</v>
          </cell>
          <cell r="E409" t="str">
            <v>https://www.amazon.com/dp/B0GRWPG7R2?psc=1</v>
          </cell>
          <cell r="F409" t="str">
            <v>Flying Insect Control</v>
          </cell>
          <cell r="G409" t="str">
            <v>Fly Traps</v>
          </cell>
          <cell r="H409" t="str">
            <v>Flying Insect Control - Fly Traps</v>
          </cell>
          <cell r="I409" t="str">
            <v>Mosquito/Fly</v>
          </cell>
        </row>
        <row r="410">
          <cell r="A410" t="str">
            <v>B0C44G48FP</v>
          </cell>
          <cell r="B410" t="str">
            <v>Catchmaster</v>
          </cell>
          <cell r="C410" t="str">
            <v>Catchmaster</v>
          </cell>
          <cell r="D410" t="str">
            <v>Catchmaster Vector 30 Silver Commercial UV Fly Light Trap, 1,500 Sq Ft</v>
          </cell>
          <cell r="E410" t="str">
            <v>https://www.amazon.com/dp/B0C44G48FP?psc=1</v>
          </cell>
          <cell r="F410" t="str">
            <v>Flying Insect Control</v>
          </cell>
          <cell r="G410" t="str">
            <v>UV Fly Traps</v>
          </cell>
          <cell r="H410" t="str">
            <v>Flying Insect Control - UV Fly Traps</v>
          </cell>
          <cell r="I410" t="str">
            <v>Mosquito/Fly</v>
          </cell>
        </row>
        <row r="411">
          <cell r="A411" t="str">
            <v>B0DKH2JKVK</v>
          </cell>
          <cell r="B411" t="str">
            <v>Catchmaster</v>
          </cell>
          <cell r="C411" t="str">
            <v>Catchmaster</v>
          </cell>
          <cell r="D411" t="str">
            <v>Catchmaster Dual Action Plant Labels 100 PK, Sticky Insect Trap Plant Stakes, for Live Plants Indoor Outdoor, Fruit Fly Trap, Glue Traps for Home, Farm, Garden, Hydroponics &amp; Greenhouse, Pest Control</v>
          </cell>
          <cell r="E411" t="str">
            <v>https://www.amazon.com/dp/B0DKH2JKVK</v>
          </cell>
          <cell r="F411" t="str">
            <v>Flying Insect Control</v>
          </cell>
          <cell r="G411" t="str">
            <v>Glue Traps</v>
          </cell>
          <cell r="H411" t="str">
            <v>Flying Insect Control - Glue Traps</v>
          </cell>
          <cell r="I411" t="str">
            <v>Mosquito/Fly</v>
          </cell>
        </row>
        <row r="412">
          <cell r="A412" t="str">
            <v>B0GX7N33Q3</v>
          </cell>
          <cell r="B412" t="str">
            <v>Catchmaster</v>
          </cell>
          <cell r="C412" t="str">
            <v>APG</v>
          </cell>
          <cell r="D412" t="str">
            <v>Catchmaster Window Fly Traps Decorative Linen 3 Count + 6 Refills, Gnat and Fruit Fly Strips for Indoor, Disposable Discreet Bug Catcher, Insect Sticky Glue Traps, Adhesive Pest Control for Home</v>
          </cell>
          <cell r="E412" t="str">
            <v>https://www.amazon.com/dp/B0GX7N33Q3?psc=1</v>
          </cell>
          <cell r="F412" t="str">
            <v>Rodent Control</v>
          </cell>
          <cell r="G412" t="str">
            <v>Glue Traps</v>
          </cell>
          <cell r="H412" t="str">
            <v>Rodent Control - Glue Traps</v>
          </cell>
          <cell r="I412" t="str">
            <v>Mosquito/Fly</v>
          </cell>
        </row>
        <row r="413">
          <cell r="A413" t="str">
            <v>B07V6J6MGC</v>
          </cell>
          <cell r="B413" t="str">
            <v>Catchmaster</v>
          </cell>
          <cell r="C413" t="str">
            <v>Catchmaster</v>
          </cell>
          <cell r="D413" t="str">
            <v>Catchmaster Disposable Outdoor Fly Trap, 4 Hanging Bags with Bait</v>
          </cell>
          <cell r="E413" t="str">
            <v>https://www.amazon.com/dp/B07V6J6MGC?psc=1</v>
          </cell>
          <cell r="F413" t="str">
            <v>Flying Insect Control</v>
          </cell>
          <cell r="G413" t="str">
            <v>Bait &amp; Poison</v>
          </cell>
          <cell r="H413" t="str">
            <v>Flying Insect Control - Bait &amp; Poison</v>
          </cell>
          <cell r="I413" t="str">
            <v>Mosquito/Fly</v>
          </cell>
        </row>
        <row r="414">
          <cell r="A414" t="str">
            <v>B0839QH3G8</v>
          </cell>
          <cell r="B414" t="str">
            <v>Catchmaster</v>
          </cell>
          <cell r="C414" t="str">
            <v>Catchmaster</v>
          </cell>
          <cell r="D414" t="str">
            <v>Catchmaster GRO Yellow Regular Double Sided Sticky Traps 36PK, Adhesive Bug &amp; Fruit Fly Trap, Pest Control for Home, Farm, Garden, Hydroponics &amp; Greenhouse, Protect Live Plants Indoor &amp; Outdoor</v>
          </cell>
          <cell r="E414" t="str">
            <v>https://www.amazon.com/dp/B0839QH3G8?psc=1</v>
          </cell>
          <cell r="F414" t="str">
            <v>Flying Insect Control</v>
          </cell>
          <cell r="G414" t="str">
            <v>Fly Traps</v>
          </cell>
          <cell r="H414" t="str">
            <v>Flying Insect Control - Fly Traps</v>
          </cell>
          <cell r="I414" t="str">
            <v>Mosquito/Fly</v>
          </cell>
        </row>
        <row r="415">
          <cell r="A415" t="str">
            <v>B0C44B6YMK</v>
          </cell>
          <cell r="B415" t="str">
            <v>Catchmaster</v>
          </cell>
          <cell r="C415" t="str">
            <v>Catchmaster</v>
          </cell>
          <cell r="D415" t="str">
            <v>Catchmaster Vector 15 Commercial UV Fly Light Trap, Wall Mount, 800 Sq Ft</v>
          </cell>
          <cell r="E415" t="str">
            <v>https://www.amazon.com/dp/B0C44B6YMK?psc=1</v>
          </cell>
          <cell r="F415" t="str">
            <v>Flying Insect Control</v>
          </cell>
          <cell r="G415" t="str">
            <v>UV Fly Traps</v>
          </cell>
          <cell r="H415" t="str">
            <v>Flying Insect Control - UV Fly Traps</v>
          </cell>
          <cell r="I415" t="str">
            <v>Mosquito/Fly</v>
          </cell>
        </row>
        <row r="416">
          <cell r="A416" t="str">
            <v>B0DT7XQCBT</v>
          </cell>
          <cell r="B416" t="str">
            <v>Catchmaster</v>
          </cell>
          <cell r="C416" t="str">
            <v>APG</v>
          </cell>
          <cell r="D416" t="str">
            <v>Catchmaster Vector 30 Black Commercial UV Fly Light Trap, 1,500 Sq Ft</v>
          </cell>
          <cell r="E416" t="str">
            <v>https://www.amazon.com/dp/B0DT7XQCBT?psc=1</v>
          </cell>
          <cell r="F416" t="str">
            <v>Flying Insect Control</v>
          </cell>
          <cell r="G416" t="str">
            <v>UV Fly Traps</v>
          </cell>
          <cell r="H416" t="str">
            <v>Flying Insect Control - UV Fly Traps</v>
          </cell>
          <cell r="I416" t="str">
            <v>Mosquito/Fly</v>
          </cell>
        </row>
        <row r="417">
          <cell r="A417" t="str">
            <v>B0CHKZJWHY</v>
          </cell>
          <cell r="B417" t="str">
            <v>Catchmaster</v>
          </cell>
          <cell r="C417" t="str">
            <v>Catchmaster</v>
          </cell>
          <cell r="D417" t="str">
            <v>Catchmaster Vector Optima Black Wall-Mounted UV Fly Light Trap, Fly Trap for Restaurant Dining Areas, Bakery, Deli &amp; Meat Cases, and Office Spaces, UV Lamp Insect Killer</v>
          </cell>
          <cell r="E417" t="str">
            <v>https://www.amazon.com/dp/B0CHKZJWHY?psc=1</v>
          </cell>
          <cell r="F417" t="str">
            <v>Flying Insect Control</v>
          </cell>
          <cell r="G417" t="str">
            <v>Fly Traps</v>
          </cell>
          <cell r="H417" t="str">
            <v>Flying Insect Control - Fly Traps</v>
          </cell>
          <cell r="I417" t="str">
            <v>Mosquito/Fly</v>
          </cell>
        </row>
        <row r="418">
          <cell r="A418" t="str">
            <v>B01H9234G8</v>
          </cell>
          <cell r="B418" t="str">
            <v>Catchmaster</v>
          </cell>
          <cell r="C418" t="str">
            <v>Catchmaster</v>
          </cell>
          <cell r="D418" t="str">
            <v>Catchmaster Gold Stick 962 Large 24" Fly Trap - Box of 12</v>
          </cell>
          <cell r="E418" t="str">
            <v>https://www.amazon.com/dp/B01H9234G8</v>
          </cell>
          <cell r="F418" t="str">
            <v>Flying Insect Control</v>
          </cell>
          <cell r="G418" t="str">
            <v>Fly Traps</v>
          </cell>
          <cell r="H418" t="str">
            <v>Flying Insect Control - Fly Traps</v>
          </cell>
          <cell r="I418" t="str">
            <v>Mosquito/Fly</v>
          </cell>
        </row>
        <row r="419">
          <cell r="A419" t="str">
            <v>B087YYJ41X</v>
          </cell>
          <cell r="B419" t="str">
            <v>Catchmaster</v>
          </cell>
          <cell r="C419" t="str">
            <v>Catchmaster</v>
          </cell>
          <cell r="D419" t="str">
            <v>Catchmaster Fly Bait Refills, 3 Pack, for Outdoor Reusable Fly Trap Jars" New size: "Fly Jar Bait Refill 3-Count</v>
          </cell>
          <cell r="E419" t="str">
            <v>https://www.amazon.com/dp/B087YYJ41X?psc=1</v>
          </cell>
          <cell r="F419" t="str">
            <v>Flying Insect Control</v>
          </cell>
          <cell r="G419" t="str">
            <v>Bait &amp; Poison</v>
          </cell>
          <cell r="H419" t="str">
            <v>Flying Insect Control - Bait &amp; Poison</v>
          </cell>
          <cell r="I419" t="str">
            <v>Mosquito/Fly</v>
          </cell>
        </row>
        <row r="420">
          <cell r="A420" t="str">
            <v>B0BDPJBL9H</v>
          </cell>
          <cell r="B420" t="str">
            <v>Catchmaster</v>
          </cell>
          <cell r="C420" t="str">
            <v>Catchmaster</v>
          </cell>
          <cell r="D420" t="str">
            <v>Catchmaster Reusable Outdoor Fly Trap, 2 Hanging Blue Jars with Bait</v>
          </cell>
          <cell r="E420" t="str">
            <v>https://www.amazon.com/dp/B0BDPJBL9H?psc=1</v>
          </cell>
          <cell r="F420" t="str">
            <v>Flying Insect Control</v>
          </cell>
          <cell r="G420" t="str">
            <v>Bait &amp; Poison</v>
          </cell>
          <cell r="H420" t="str">
            <v>Flying Insect Control - Bait &amp; Poison</v>
          </cell>
          <cell r="I420" t="str">
            <v>Mosquito/Fly</v>
          </cell>
        </row>
        <row r="421">
          <cell r="A421" t="str">
            <v>B0BDPG7B74</v>
          </cell>
          <cell r="B421" t="str">
            <v>Catchmaster</v>
          </cell>
          <cell r="C421" t="str">
            <v>Catchmaster</v>
          </cell>
          <cell r="D421" t="str">
            <v>Catchmaster Reusable Outdoor Fly Trap, 3 Hanging Blue Jars with Bait</v>
          </cell>
          <cell r="E421" t="str">
            <v>https://www.amazon.com/dp/B0BDPG7B74?psc=1</v>
          </cell>
          <cell r="F421" t="str">
            <v>Flying Insect Control</v>
          </cell>
          <cell r="G421" t="str">
            <v>Bait &amp; Poison</v>
          </cell>
          <cell r="H421" t="str">
            <v>Flying Insect Control - Bait &amp; Poison</v>
          </cell>
          <cell r="I421" t="str">
            <v>Mosquito/Fly</v>
          </cell>
        </row>
        <row r="422">
          <cell r="A422" t="str">
            <v>B085HML2M2</v>
          </cell>
          <cell r="B422" t="str">
            <v>Catchmaster</v>
          </cell>
          <cell r="C422" t="str">
            <v>Catchmaster</v>
          </cell>
          <cell r="D422" t="str">
            <v>Catchmaster Reusable Outdoor Fly Trap, 6 Hanging Blue Jars with Bait</v>
          </cell>
          <cell r="E422" t="str">
            <v>https://www.amazon.com/dp/B085HML2M2?psc=1</v>
          </cell>
          <cell r="F422" t="str">
            <v>Flying Insect Control</v>
          </cell>
          <cell r="G422" t="str">
            <v>Bait &amp; Poison</v>
          </cell>
          <cell r="H422" t="str">
            <v>Flying Insect Control - Bait &amp; Poison</v>
          </cell>
          <cell r="I422" t="str">
            <v>Mosquito/Fly</v>
          </cell>
        </row>
        <row r="423">
          <cell r="A423" t="str">
            <v>B085HNLLNZ</v>
          </cell>
          <cell r="B423" t="str">
            <v>Catchmaster</v>
          </cell>
          <cell r="C423" t="str">
            <v>Catchmaster</v>
          </cell>
          <cell r="D423" t="str">
            <v>Catchmaster Reusable Outdoor Fly Trap, 1 Hanging Blue Jar with Bait</v>
          </cell>
          <cell r="E423" t="str">
            <v>https://www.amazon.com/dp/B085HNLLNZ?psc=1</v>
          </cell>
          <cell r="F423" t="str">
            <v>Flying Insect Control</v>
          </cell>
          <cell r="G423" t="str">
            <v>Bait &amp; Poison</v>
          </cell>
          <cell r="H423" t="str">
            <v>Flying Insect Control - Bait &amp; Poison</v>
          </cell>
          <cell r="I423" t="str">
            <v>Mosquito/Fly</v>
          </cell>
        </row>
        <row r="424">
          <cell r="A424" t="str">
            <v>B0CHLM66LF</v>
          </cell>
          <cell r="B424" t="str">
            <v>Catchmaster</v>
          </cell>
          <cell r="C424" t="str">
            <v>Catchmaster</v>
          </cell>
          <cell r="D424" t="str">
            <v>Catchmaster Vector Optima White Wall-Mounted UV Fly Light Trap, Fly Trap for Restaurant Dining Areas, Bakery, Deli &amp; Meat Cases, and Office Spaces, UV Lamp Insect Killer</v>
          </cell>
          <cell r="E424" t="str">
            <v>https://www.amazon.com/dp/B0CHLM66LF?psc=1</v>
          </cell>
          <cell r="F424" t="str">
            <v>Flying Insect Control</v>
          </cell>
          <cell r="G424" t="str">
            <v>Fly Traps</v>
          </cell>
          <cell r="H424" t="str">
            <v>Flying Insect Control - Fly Traps</v>
          </cell>
          <cell r="I424" t="str">
            <v>Mosquito/Fly</v>
          </cell>
        </row>
        <row r="425">
          <cell r="A425" t="str">
            <v>B0CS7PTJ7F</v>
          </cell>
          <cell r="B425" t="str">
            <v>Catchmaster</v>
          </cell>
          <cell r="C425" t="str">
            <v>Catchmaster</v>
          </cell>
          <cell r="D425" t="str">
            <v>Catchmaster GRO Yellow Large Double Sided Sticky Traps 50PK, Adhesive Bug &amp; Fruit Fly Trap, Pest Control for Home, Farm, Garden, Hydroponics &amp; Greenhouse, Protect Live Plants Indoor &amp; Outdoor</v>
          </cell>
          <cell r="E425" t="str">
            <v>https://www.amazon.com/dp/B0CS7PTJ7F</v>
          </cell>
          <cell r="F425" t="str">
            <v>Flying Insect Control</v>
          </cell>
          <cell r="G425" t="str">
            <v>Fly Traps</v>
          </cell>
          <cell r="H425" t="str">
            <v>Flying Insect Control - Fly Traps</v>
          </cell>
          <cell r="I425" t="str">
            <v>Mosquito/Fly</v>
          </cell>
        </row>
        <row r="426">
          <cell r="A426" t="str">
            <v>B01DL410JQ</v>
          </cell>
          <cell r="B426" t="str">
            <v>Victor</v>
          </cell>
          <cell r="C426" t="str">
            <v>Victor</v>
          </cell>
          <cell r="D426" t="str">
            <v>Victor M380 Fly Magnet 1-Quart Reusable Trap With Bait (3 Pack)</v>
          </cell>
          <cell r="E426" t="str">
            <v>https://www.amazon.com/dp/B01DL410JQ</v>
          </cell>
          <cell r="F426" t="str">
            <v>Flying Insect Control</v>
          </cell>
          <cell r="G426" t="str">
            <v>Bait &amp; Poison</v>
          </cell>
          <cell r="H426" t="str">
            <v>Flying Insect Control - Bait &amp; Poison</v>
          </cell>
          <cell r="I426" t="str">
            <v>Mosquito/Fly</v>
          </cell>
        </row>
        <row r="427">
          <cell r="A427" t="str">
            <v>B0CPKZLV35</v>
          </cell>
          <cell r="B427" t="str">
            <v>ZEVO</v>
          </cell>
          <cell r="C427" t="str">
            <v>ZEVO</v>
          </cell>
          <cell r="D427" t="str">
            <v>Zevo MAX Bug Catcher, Gnat &amp; Fruit Fly Trap Indoors, 1 Base &amp; 2 Refills</v>
          </cell>
          <cell r="E427" t="str">
            <v>https://www.amazon.com/dp/B0CPKZLV35?psc=1</v>
          </cell>
          <cell r="F427" t="str">
            <v>Flying Insect Control</v>
          </cell>
          <cell r="G427" t="str">
            <v>Fly Traps</v>
          </cell>
          <cell r="H427" t="str">
            <v>Flying Insect Control - Fly Traps</v>
          </cell>
          <cell r="I427" t="str">
            <v>Mosquito/Fly</v>
          </cell>
        </row>
        <row r="428">
          <cell r="A428" t="str">
            <v>B0CTQH1Q83</v>
          </cell>
          <cell r="B428" t="str">
            <v>ZEVO</v>
          </cell>
          <cell r="C428" t="str">
            <v>ZEVO</v>
          </cell>
          <cell r="D428" t="str">
            <v>Zevo MAX Bug Catcher, Gnat &amp; Fruit Fly Trap Indoors, 1 Base &amp; 6 Refills</v>
          </cell>
          <cell r="E428" t="str">
            <v>https://www.amazon.com/dp/B0CTQH1Q83?psc=1</v>
          </cell>
          <cell r="F428" t="str">
            <v>Flying Insect Control</v>
          </cell>
          <cell r="G428" t="str">
            <v>Fly Traps</v>
          </cell>
          <cell r="H428" t="str">
            <v>Flying Insect Control - Fly Traps</v>
          </cell>
          <cell r="I428" t="str">
            <v>Mosquito/Fly</v>
          </cell>
        </row>
        <row r="429">
          <cell r="A429" t="str">
            <v>B0CTQDRPJN</v>
          </cell>
          <cell r="B429" t="str">
            <v>ZEVO</v>
          </cell>
          <cell r="C429" t="str">
            <v>ZEVO</v>
          </cell>
          <cell r="D429" t="str">
            <v>Zevo MAX Bug Catcher &amp; Fruit Fly Trap, 2 Bases &amp; 3 Refill Cartridges</v>
          </cell>
          <cell r="E429" t="str">
            <v>https://www.amazon.com/dp/B0CTQDRPJN?psc=1</v>
          </cell>
          <cell r="F429" t="str">
            <v>Flying Insect Control</v>
          </cell>
          <cell r="G429" t="str">
            <v>Fly Traps</v>
          </cell>
          <cell r="H429" t="str">
            <v>Flying Insect Control - Fly Traps</v>
          </cell>
          <cell r="I429" t="str">
            <v>Mosquito/Fly</v>
          </cell>
        </row>
        <row r="430">
          <cell r="A430" t="str">
            <v>B0CX9YYD3Q</v>
          </cell>
          <cell r="B430" t="str">
            <v>ZEVO</v>
          </cell>
          <cell r="C430" t="str">
            <v>Zevo</v>
          </cell>
          <cell r="D430" t="str">
            <v>Zevo MAX Bug Catcher &amp; Fly Trap for Indoor- Flying Insect Trap for Gnat, House &amp; Fruit Flies - Use in Any Room - No-Mess Disposal (2 Device &amp; 6 Cartridges)</v>
          </cell>
          <cell r="E430" t="str">
            <v>https://www.amazon.com/dp/B0CX9YYD3Q</v>
          </cell>
          <cell r="F430" t="str">
            <v>Flying Insect Control</v>
          </cell>
          <cell r="G430" t="str">
            <v>Fly Traps</v>
          </cell>
          <cell r="H430" t="str">
            <v>Flying Insect Control - Fly Traps</v>
          </cell>
          <cell r="I430" t="str">
            <v>Mosquito/Fly</v>
          </cell>
        </row>
        <row r="431">
          <cell r="A431" t="str">
            <v>B0CTQ5TSYB</v>
          </cell>
          <cell r="B431" t="str">
            <v>ZEVO</v>
          </cell>
          <cell r="C431" t="str">
            <v>ZEVO</v>
          </cell>
          <cell r="D431" t="str">
            <v>Zevo MAX Bug Catcher &amp; Fruit Fly Trap, 2 Bases &amp; 4 Refill Cartridges</v>
          </cell>
          <cell r="E431" t="str">
            <v>https://www.amazon.com/dp/B0CTQ5TSYB?psc=1</v>
          </cell>
          <cell r="F431" t="str">
            <v>Flying Insect Control</v>
          </cell>
          <cell r="G431" t="str">
            <v>Fly Traps</v>
          </cell>
          <cell r="H431" t="str">
            <v>Flying Insect Control - Fly Traps</v>
          </cell>
          <cell r="I431" t="str">
            <v>Mosquito/Fly</v>
          </cell>
        </row>
        <row r="432">
          <cell r="A432" t="str">
            <v>B0D8M2TDM5</v>
          </cell>
          <cell r="B432" t="str">
            <v>ZEVO</v>
          </cell>
          <cell r="C432" t="str">
            <v>Zevo</v>
          </cell>
          <cell r="D432" t="str">
            <v>Zevo Flying Insect Trap, Fly Trap, Fruit Fly Trap (4 Refill Cartridges (New)</v>
          </cell>
          <cell r="E432" t="str">
            <v>https://www.amazon.com/dp/B0D8M2TDM5?psc=1</v>
          </cell>
          <cell r="F432" t="str">
            <v>Flying Insect Control</v>
          </cell>
          <cell r="G432" t="str">
            <v>Fly Traps</v>
          </cell>
          <cell r="H432" t="str">
            <v>Flying Insect Control - Fly Traps</v>
          </cell>
          <cell r="I432" t="str">
            <v>Mosquito/Fly</v>
          </cell>
        </row>
        <row r="433">
          <cell r="A433" t="str">
            <v>B0D4KGPY79</v>
          </cell>
          <cell r="B433" t="str">
            <v>ZEVO</v>
          </cell>
          <cell r="C433">
            <v>0</v>
          </cell>
          <cell r="D433" t="str">
            <v>Zevo Flying Insect Trap, Fly Trap Captures Houseflies, Fruit Flies, and Gnats (2 Device &amp; 6 Cartridge)</v>
          </cell>
          <cell r="E433" t="str">
            <v>https://www.amazon.com/dp/B0D4KGPY79</v>
          </cell>
          <cell r="F433" t="str">
            <v>Flying Insect Control</v>
          </cell>
          <cell r="G433" t="str">
            <v>Fly Traps</v>
          </cell>
          <cell r="H433" t="str">
            <v>Flying Insect Control - Fly Traps</v>
          </cell>
          <cell r="I433" t="str">
            <v>Mosquito/Fly</v>
          </cell>
        </row>
        <row r="434">
          <cell r="A434" t="str">
            <v>B0BKH9GQG8</v>
          </cell>
          <cell r="B434" t="str">
            <v>JT Eaton</v>
          </cell>
          <cell r="C434" t="str">
            <v>JT Eaton</v>
          </cell>
          <cell r="D434" t="str">
            <v>ZendoZones Succulent Fruit Fly Trap – Dark Green Design with White Base – Eco-Friendly Indoor Fruit Fly Control – Easy-to-Use Decorative Trap</v>
          </cell>
          <cell r="E434" t="str">
            <v>https://www.amazon.com/dp/B0BKH9GQG8?psc=1</v>
          </cell>
          <cell r="F434" t="str">
            <v>Rodent Control</v>
          </cell>
          <cell r="G434" t="str">
            <v>Fly Traps</v>
          </cell>
          <cell r="H434" t="str">
            <v>Rodent Control - Fly Traps</v>
          </cell>
          <cell r="I434" t="str">
            <v>Mosquito/Fly</v>
          </cell>
        </row>
        <row r="435">
          <cell r="A435" t="str">
            <v>B0BKHB35LQ</v>
          </cell>
          <cell r="B435" t="str">
            <v>JT Eaton</v>
          </cell>
          <cell r="C435" t="str">
            <v>JT Eaton</v>
          </cell>
          <cell r="D435" t="str">
            <v>ZendoZones Succulent Fruit Fly Trap – Dark Green Design with Terracotta Base – Eco-Friendly Indoor Fruit Fly Control – Easy-to-Use Decorative Trap</v>
          </cell>
          <cell r="E435" t="str">
            <v>https://www.amazon.com/dp/B0BKHB35LQ?psc=1</v>
          </cell>
          <cell r="F435" t="str">
            <v>Rodent Control</v>
          </cell>
          <cell r="G435" t="str">
            <v>Fly Traps</v>
          </cell>
          <cell r="H435" t="str">
            <v>Rodent Control - Fly Traps</v>
          </cell>
          <cell r="I435" t="str">
            <v>Mosquito/Fly</v>
          </cell>
        </row>
        <row r="436">
          <cell r="A436" t="str">
            <v>B002ITSNAK</v>
          </cell>
          <cell r="B436" t="str">
            <v>JT Eaton</v>
          </cell>
          <cell r="C436" t="str">
            <v>J T Eaton</v>
          </cell>
          <cell r="D436" t="str">
            <v>J T Eaton Stick-A-Fly Fly Trap for Windows</v>
          </cell>
          <cell r="E436" t="str">
            <v>https://www.amazon.com/dp/B002ITSNAK</v>
          </cell>
          <cell r="F436" t="str">
            <v>Flying Insect Control</v>
          </cell>
          <cell r="G436" t="str">
            <v>Fly Traps</v>
          </cell>
          <cell r="H436" t="str">
            <v>Flying Insect Control - Fly Traps</v>
          </cell>
          <cell r="I436" t="str">
            <v>Mosquito/Fly</v>
          </cell>
        </row>
        <row r="437">
          <cell r="A437" t="str">
            <v>B0BKH945MP</v>
          </cell>
          <cell r="B437" t="str">
            <v>JT Eaton</v>
          </cell>
          <cell r="C437" t="str">
            <v>JT Eaton</v>
          </cell>
          <cell r="D437" t="str">
            <v>ZendoZones Fruit Fly Trap for Indoors, Light Green Succulent, White</v>
          </cell>
          <cell r="E437" t="str">
            <v>https://www.amazon.com/dp/B0BKH945MP?psc=1</v>
          </cell>
          <cell r="F437" t="str">
            <v>Flying Insect Control</v>
          </cell>
          <cell r="G437" t="str">
            <v>Fly Traps</v>
          </cell>
          <cell r="H437" t="str">
            <v>Flying Insect Control - Fly Traps</v>
          </cell>
          <cell r="I437" t="str">
            <v>Mosquito/Fly</v>
          </cell>
        </row>
        <row r="438">
          <cell r="A438" t="str">
            <v>B000T7J9TM</v>
          </cell>
          <cell r="B438" t="str">
            <v>JT Eaton</v>
          </cell>
          <cell r="C438" t="str">
            <v>JT Eaton</v>
          </cell>
          <cell r="D438" t="str">
            <v>J T Eaton 444 Fly Glue Trap</v>
          </cell>
          <cell r="E438" t="str">
            <v>https://www.amazon.com/dp/B000T7J9TM</v>
          </cell>
          <cell r="F438" t="str">
            <v>Flying Insect Control</v>
          </cell>
          <cell r="G438" t="str">
            <v>Glue Traps</v>
          </cell>
          <cell r="H438" t="str">
            <v>Flying Insect Control - Glue Traps</v>
          </cell>
          <cell r="I438" t="str">
            <v>Mosquito/Fly</v>
          </cell>
        </row>
        <row r="439">
          <cell r="A439" t="str">
            <v>B000NCWOM2</v>
          </cell>
          <cell r="B439" t="str">
            <v>JT Eaton</v>
          </cell>
          <cell r="C439" t="str">
            <v>JT Eaton</v>
          </cell>
          <cell r="D439" t="str">
            <v>JT Eaton Stick-A-Fly Window Fly Trap, Clear</v>
          </cell>
          <cell r="E439" t="str">
            <v>https://www.amazon.com/dp/B000NCWOM2</v>
          </cell>
          <cell r="F439" t="str">
            <v>Flying Insect Control</v>
          </cell>
          <cell r="G439" t="str">
            <v>Fly Traps</v>
          </cell>
          <cell r="H439" t="str">
            <v>Flying Insect Control - Fly Traps</v>
          </cell>
          <cell r="I439" t="str">
            <v>Mosquito/Fly</v>
          </cell>
        </row>
        <row r="440">
          <cell r="A440" t="str">
            <v>B0GPMNX1WS</v>
          </cell>
          <cell r="B440" t="str">
            <v>HOY HOY</v>
          </cell>
          <cell r="C440" t="str">
            <v>Earth Corporation</v>
          </cell>
          <cell r="D440" t="str">
            <v>HOY HOY Fruit Fly Trap – 2 Traps (1 Pack) – Attracts &amp; Traps Fruit Flies, Up to 120-Day Supply, Food-Based Lure, Indoor Use for Kitchen, Sink &amp; Trash Areas</v>
          </cell>
          <cell r="E440" t="str">
            <v>https://www.amazon.com/dp/B0GPMNX1WS</v>
          </cell>
          <cell r="F440" t="str">
            <v>Flying Insect Control</v>
          </cell>
          <cell r="G440" t="str">
            <v>Fly Traps</v>
          </cell>
          <cell r="H440" t="str">
            <v>Flying Insect Control - Fly Traps</v>
          </cell>
          <cell r="I440" t="str">
            <v>Mosquito/Fly</v>
          </cell>
        </row>
        <row r="441">
          <cell r="A441" t="str">
            <v>B0DGFJQ6F8</v>
          </cell>
          <cell r="B441" t="str">
            <v>HOY HOY</v>
          </cell>
          <cell r="C441" t="str">
            <v>Earth Corporation</v>
          </cell>
          <cell r="D441" t="str">
            <v>HOY HOY Fly Ribbon 4 Traps (1 Pack) - Multi-Insect Catcher for Home &amp; Garden, Super Sticky, Long Lasting</v>
          </cell>
          <cell r="E441" t="str">
            <v>https://www.amazon.com/dp/B0DGFJQ6F8?psc=1</v>
          </cell>
          <cell r="F441" t="str">
            <v>Flying Insect Control</v>
          </cell>
          <cell r="G441" t="str">
            <v>Fly Traps</v>
          </cell>
          <cell r="H441" t="str">
            <v>Flying Insect Control - Fly Traps</v>
          </cell>
          <cell r="I441" t="str">
            <v>Mosquito/Fly</v>
          </cell>
        </row>
        <row r="442">
          <cell r="A442" t="str">
            <v>B0H7FW1TR6</v>
          </cell>
          <cell r="B442" t="str">
            <v>Bonide</v>
          </cell>
          <cell r="C442" t="str">
            <v>Bonide Products LLC</v>
          </cell>
          <cell r="D442" t="str">
            <v>Bonide Captain Jack's Spotted Lanternfly Eliminator, 16 oz Ready-to-Spray</v>
          </cell>
          <cell r="E442" t="str">
            <v>https://www.amazon.com/dp/B0H7FW1TR6</v>
          </cell>
          <cell r="F442" t="str">
            <v>Flying Insect Control</v>
          </cell>
          <cell r="G442" t="str">
            <v>Ant Traps</v>
          </cell>
          <cell r="H442" t="str">
            <v>Flying Insect Control - Ant Traps</v>
          </cell>
          <cell r="I442" t="str">
            <v>Mosquito/Fly</v>
          </cell>
        </row>
        <row r="443">
          <cell r="A443" t="str">
            <v>B00FGIJOAI</v>
          </cell>
          <cell r="B443" t="str">
            <v>Bonide</v>
          </cell>
          <cell r="C443" t="str">
            <v>Bonide Products LLC</v>
          </cell>
          <cell r="D443" t="str">
            <v>Bonide Revenge Horse &amp; Stable Fly Spray, 32 oz Ready-to-Use</v>
          </cell>
          <cell r="E443" t="str">
            <v>https://www.amazon.com/dp/B00FGIJOAI?psc=1</v>
          </cell>
          <cell r="F443" t="str">
            <v>Flying Insect Control</v>
          </cell>
          <cell r="G443" t="str">
            <v>Other</v>
          </cell>
          <cell r="H443" t="str">
            <v>Flying Insect Control - Other</v>
          </cell>
          <cell r="I443" t="str">
            <v>Mosquito/Fly</v>
          </cell>
        </row>
        <row r="444">
          <cell r="A444" t="str">
            <v>B0H7FKXMRZ</v>
          </cell>
          <cell r="B444" t="str">
            <v>Bonide</v>
          </cell>
          <cell r="C444" t="str">
            <v>Bonide Products LLC</v>
          </cell>
          <cell r="D444" t="str">
            <v>Bonide Captain Jack's Spotted Lanternfly Eliminator, 16 oz Concentrate</v>
          </cell>
          <cell r="E444" t="str">
            <v>https://www.amazon.com/dp/B0H7FKXMRZ</v>
          </cell>
          <cell r="F444" t="str">
            <v>Rodent Control</v>
          </cell>
          <cell r="G444" t="str">
            <v>Ant Traps</v>
          </cell>
          <cell r="H444" t="str">
            <v>Rodent Control - Ant Traps</v>
          </cell>
          <cell r="I444" t="str">
            <v>Mosquito/Fly</v>
          </cell>
        </row>
        <row r="445">
          <cell r="A445" t="str">
            <v>B0H7FTR8VL</v>
          </cell>
          <cell r="B445" t="str">
            <v>Bonide</v>
          </cell>
          <cell r="C445" t="str">
            <v>Bonide Products LLC</v>
          </cell>
          <cell r="D445" t="str">
            <v>Bonide Captain Jack's Spotted Lanternfly Eliminator, 32 oz Concentrate</v>
          </cell>
          <cell r="E445" t="str">
            <v>https://www.amazon.com/dp/B0H7FTR8VL</v>
          </cell>
          <cell r="F445" t="str">
            <v>Rodent Control</v>
          </cell>
          <cell r="G445" t="str">
            <v>Ant Traps</v>
          </cell>
          <cell r="H445" t="str">
            <v>Rodent Control - Ant Traps</v>
          </cell>
          <cell r="I445" t="str">
            <v>Mosquito/Fly</v>
          </cell>
        </row>
        <row r="446">
          <cell r="A446" t="str">
            <v>B0B3243XHH</v>
          </cell>
          <cell r="B446" t="str">
            <v>HARRIS</v>
          </cell>
          <cell r="C446" t="str">
            <v>HARRIS</v>
          </cell>
          <cell r="D446" t="str">
            <v>Harris Spotted Lantern Fly Killer, Odorless and Non Staining Ready to Use Spray, 128oz</v>
          </cell>
          <cell r="E446" t="str">
            <v>https://www.amazon.com/dp/B0B3243XHH</v>
          </cell>
          <cell r="F446" t="str">
            <v>Flying Insect Control</v>
          </cell>
          <cell r="G446" t="str">
            <v>Ant Traps</v>
          </cell>
          <cell r="H446" t="str">
            <v>Flying Insect Control - Ant Traps</v>
          </cell>
          <cell r="I446" t="str">
            <v>Mosquito/Fly</v>
          </cell>
        </row>
        <row r="447">
          <cell r="A447" t="str">
            <v>B0GCQTKDPR</v>
          </cell>
          <cell r="B447" t="str">
            <v>WowCatch</v>
          </cell>
          <cell r="C447" t="str">
            <v>WowCatch</v>
          </cell>
          <cell r="D447" t="str">
            <v>Advanced Double-Sided Indoor Fly Trap for Home, Plug-in 5-Way UV Light</v>
          </cell>
          <cell r="E447" t="str">
            <v>https://www.amazon.com/dp/B0GCQTKDPR?psc=1</v>
          </cell>
          <cell r="F447" t="str">
            <v>Flying Insect Control</v>
          </cell>
          <cell r="G447" t="str">
            <v>Fly Traps</v>
          </cell>
          <cell r="H447" t="str">
            <v>Flying Insect Control - Fly Traps</v>
          </cell>
          <cell r="I447" t="str">
            <v>Mosquito/Fly</v>
          </cell>
        </row>
        <row r="448">
          <cell r="A448" t="str">
            <v>B0GCR638LZ</v>
          </cell>
          <cell r="B448" t="str">
            <v>WowCatch</v>
          </cell>
          <cell r="C448" t="str">
            <v>WowCatch</v>
          </cell>
          <cell r="D448" t="str">
            <v>Advanced Double-Sided Indoor Fly Trap for Home, Plug-in 5-Way UV Light</v>
          </cell>
          <cell r="E448" t="str">
            <v>https://www.amazon.com/dp/B0GCR638LZ?psc=1</v>
          </cell>
          <cell r="F448" t="str">
            <v>Flying Insect Control</v>
          </cell>
          <cell r="G448" t="str">
            <v>Fly Traps</v>
          </cell>
          <cell r="H448" t="str">
            <v>Flying Insect Control - Fly Traps</v>
          </cell>
          <cell r="I448" t="str">
            <v>Mosquito/Fly</v>
          </cell>
        </row>
        <row r="449">
          <cell r="A449" t="str">
            <v>B0H4FVRJQ7</v>
          </cell>
          <cell r="B449" t="str">
            <v>WowCatch</v>
          </cell>
          <cell r="C449" t="str">
            <v>WowCatch</v>
          </cell>
          <cell r="D449" t="str">
            <v>Advanced Double-Sided Indoor Fly Trap for Home, Plug-in 5-Way UV Light</v>
          </cell>
          <cell r="E449" t="str">
            <v>https://www.amazon.com/dp/B0H4FVRJQ7?psc=1</v>
          </cell>
          <cell r="F449" t="str">
            <v>Flying Insect Control</v>
          </cell>
          <cell r="G449" t="str">
            <v>Fly Traps</v>
          </cell>
          <cell r="H449" t="str">
            <v>Flying Insect Control - Fly Traps</v>
          </cell>
          <cell r="I449" t="str">
            <v>Mosquito/Fly</v>
          </cell>
        </row>
        <row r="450">
          <cell r="A450" t="str">
            <v>B0GGQPZ1Y7</v>
          </cell>
          <cell r="B450" t="str">
            <v>WowCatch</v>
          </cell>
          <cell r="C450" t="str">
            <v>WowCatch</v>
          </cell>
          <cell r="D450" t="str">
            <v>Rotating Head Electric Fly Swatter with 16–40" Telescopic Handle, 4000V</v>
          </cell>
          <cell r="E450" t="str">
            <v>https://www.amazon.com/dp/B0GGQPZ1Y7</v>
          </cell>
          <cell r="F450" t="str">
            <v>Flying Insect Control</v>
          </cell>
          <cell r="G450" t="str">
            <v>Other</v>
          </cell>
          <cell r="H450" t="str">
            <v>Flying Insect Control - Other</v>
          </cell>
          <cell r="I450" t="str">
            <v>Mosquito/Fly</v>
          </cell>
        </row>
        <row r="451">
          <cell r="A451" t="str">
            <v>B0GJBT1127</v>
          </cell>
          <cell r="B451" t="str">
            <v>WowCatch</v>
          </cell>
          <cell r="C451" t="str">
            <v>WowCatch</v>
          </cell>
          <cell r="D451" t="str">
            <v>WowCatch LED Bug Zapper Outdoor, IPX4 Weatherproof, 4200V Fly Zapper</v>
          </cell>
          <cell r="E451" t="str">
            <v>https://www.amazon.com/dp/B0GJBT1127</v>
          </cell>
          <cell r="F451" t="str">
            <v>Flying Insect Control</v>
          </cell>
          <cell r="G451" t="str">
            <v>Electronic Traps</v>
          </cell>
          <cell r="H451" t="str">
            <v>Flying Insect Control - Electronic Traps</v>
          </cell>
          <cell r="I451" t="str">
            <v>Mosquito/Fly</v>
          </cell>
        </row>
        <row r="452">
          <cell r="A452" t="str">
            <v>B0H4FT347P</v>
          </cell>
          <cell r="B452" t="str">
            <v>WowCatch</v>
          </cell>
          <cell r="C452" t="str">
            <v>WowCatch</v>
          </cell>
          <cell r="D452" t="str">
            <v>Advanced Double-Sided Indoor Fly Trap for Home, Plug-in 5-Way UV Light</v>
          </cell>
          <cell r="E452" t="str">
            <v>https://www.amazon.com/dp/B0H4FT347P?psc=1</v>
          </cell>
          <cell r="F452" t="str">
            <v>Flying Insect Control</v>
          </cell>
          <cell r="G452" t="str">
            <v>Fly Traps</v>
          </cell>
          <cell r="H452" t="str">
            <v>Flying Insect Control - Fly Traps</v>
          </cell>
          <cell r="I452" t="str">
            <v>Mosquito/Fly</v>
          </cell>
        </row>
        <row r="453">
          <cell r="A453" t="str">
            <v>B0GH6N1X3X</v>
          </cell>
          <cell r="B453" t="str">
            <v>WowCatch</v>
          </cell>
          <cell r="C453" t="str">
            <v>WowCatch</v>
          </cell>
          <cell r="D453" t="str">
            <v>10PCS Refills for Wowcatch N386E Indoor Fly Trap</v>
          </cell>
          <cell r="E453" t="str">
            <v>https://www.amazon.com/dp/B0GH6N1X3X?psc=1</v>
          </cell>
          <cell r="F453" t="str">
            <v>Flying Insect Control</v>
          </cell>
          <cell r="G453" t="str">
            <v>Fly Traps</v>
          </cell>
          <cell r="H453" t="str">
            <v>Flying Insect Control - Fly Traps</v>
          </cell>
          <cell r="I453" t="str">
            <v>Mosquito/Fly</v>
          </cell>
        </row>
        <row r="454">
          <cell r="A454" t="str">
            <v>B0GH74FPG6</v>
          </cell>
          <cell r="B454" t="str">
            <v>WowCatch</v>
          </cell>
          <cell r="C454" t="str">
            <v>WowCatch</v>
          </cell>
          <cell r="D454" t="str">
            <v>Flying Insect Trap for Indoors, Plug-in Fly Trap Bug Catcher for Gnats, Fruit Flies &amp; House Flies, Upgraded Blue UV Light Trap with Sticky Cards, Silent &amp; Mess-Free, 1 Device + 5 Refill</v>
          </cell>
          <cell r="E454" t="str">
            <v>https://www.amazon.com/dp/B0GH74FPG6?psc=1</v>
          </cell>
          <cell r="F454" t="str">
            <v>Flying Insect Control</v>
          </cell>
          <cell r="G454" t="str">
            <v>Fly Traps</v>
          </cell>
          <cell r="H454" t="str">
            <v>Flying Insect Control - Fly Traps</v>
          </cell>
          <cell r="I454" t="str">
            <v>Mosquito/Fly</v>
          </cell>
        </row>
        <row r="455">
          <cell r="A455" t="str">
            <v>B0C3FTCYZL</v>
          </cell>
          <cell r="B455" t="str">
            <v>ZEVO</v>
          </cell>
          <cell r="C455" t="str">
            <v>ZEVO</v>
          </cell>
          <cell r="D455" t="str">
            <v>Zevo Flying Insect Trap Refill Cartridges for Fruit Flies &amp; Gnats, 4 Count</v>
          </cell>
          <cell r="E455" t="str">
            <v>https://www.amazon.com/dp/B0C3FTCYZL?psc=1</v>
          </cell>
          <cell r="F455" t="str">
            <v>Flying Insect Control</v>
          </cell>
          <cell r="G455" t="str">
            <v>Other</v>
          </cell>
          <cell r="H455" t="str">
            <v>Flying Insect Control - Other</v>
          </cell>
          <cell r="I455" t="str">
            <v>Mosquito/Fly</v>
          </cell>
        </row>
        <row r="456">
          <cell r="A456" t="str">
            <v>B07T869RNY</v>
          </cell>
          <cell r="B456" t="str">
            <v>ZEVO</v>
          </cell>
          <cell r="C456" t="str">
            <v>ZEVO</v>
          </cell>
          <cell r="D456" t="str">
            <v>Zevo Flying Insect Trap for Fruit Flies &amp; Gnats, 1 Plug-in Base &amp; 1 Refills</v>
          </cell>
          <cell r="E456" t="str">
            <v>https://www.amazon.com/dp/B07T869RNY?psc=1</v>
          </cell>
          <cell r="F456" t="str">
            <v>Flying Insect Control</v>
          </cell>
          <cell r="G456" t="str">
            <v>UV Fly Traps</v>
          </cell>
          <cell r="H456" t="str">
            <v>Flying Insect Control - UV Fly Traps</v>
          </cell>
          <cell r="I456" t="str">
            <v>Mosquito/Fly</v>
          </cell>
        </row>
        <row r="457">
          <cell r="A457" t="str">
            <v>B0CTQDTF1V</v>
          </cell>
          <cell r="B457" t="str">
            <v>ZEVO</v>
          </cell>
          <cell r="C457" t="str">
            <v>ZEVO</v>
          </cell>
          <cell r="D457" t="str">
            <v>Zevo Flying Insect Trap Refill Cartridges for Fruit Flies &amp; Gnats, 6 Count</v>
          </cell>
          <cell r="E457" t="str">
            <v>https://www.amazon.com/dp/B0CTQDTF1V?psc=1</v>
          </cell>
          <cell r="F457" t="str">
            <v>Flying Insect Control</v>
          </cell>
          <cell r="G457" t="str">
            <v>Other</v>
          </cell>
          <cell r="H457" t="str">
            <v>Flying Insect Control - Other</v>
          </cell>
          <cell r="I457" t="str">
            <v>Mosquito/Fly</v>
          </cell>
        </row>
        <row r="458">
          <cell r="A458" t="str">
            <v>B0CKY689WQ</v>
          </cell>
          <cell r="B458" t="str">
            <v>ZEVO</v>
          </cell>
          <cell r="C458" t="str">
            <v>ZEVO</v>
          </cell>
          <cell r="D458" t="str">
            <v>Zevo Flying Insect Trap for Fruit Flies &amp; Gnats, 1 Plug-in Base &amp; 3 Refills</v>
          </cell>
          <cell r="E458" t="str">
            <v>https://www.amazon.com/dp/B0CKY689WQ?psc=1</v>
          </cell>
          <cell r="F458" t="str">
            <v>Flying Insect Control</v>
          </cell>
          <cell r="G458" t="str">
            <v>UV Fly Traps</v>
          </cell>
          <cell r="H458" t="str">
            <v>Flying Insect Control - UV Fly Traps</v>
          </cell>
          <cell r="I458" t="str">
            <v>Mosquito/Fly</v>
          </cell>
        </row>
        <row r="459">
          <cell r="A459" t="str">
            <v>B0C3PDTYYX</v>
          </cell>
          <cell r="B459" t="str">
            <v>ZEVO</v>
          </cell>
          <cell r="C459" t="str">
            <v>ZEVO</v>
          </cell>
          <cell r="D459" t="str">
            <v>Zevo Flying Insect Trap for Fruit Flies &amp; Gnats, 2 Plug-in Bases, 2 Refills</v>
          </cell>
          <cell r="E459" t="str">
            <v>https://www.amazon.com/dp/B0C3PDTYYX?psc=1</v>
          </cell>
          <cell r="F459" t="str">
            <v>Flying Insect Control</v>
          </cell>
          <cell r="G459" t="str">
            <v>UV Fly Traps</v>
          </cell>
          <cell r="H459" t="str">
            <v>Flying Insect Control - UV Fly Traps</v>
          </cell>
          <cell r="I459" t="str">
            <v>Mosquito/Fly</v>
          </cell>
        </row>
        <row r="460">
          <cell r="A460" t="str">
            <v>B0CYVVT3LC</v>
          </cell>
          <cell r="B460" t="str">
            <v>ZEVO</v>
          </cell>
          <cell r="C460" t="str">
            <v>ZEVO</v>
          </cell>
          <cell r="D460" t="str">
            <v>Zevo Flying Insect Trap Refill Cartridges for Fruit Flies &amp; Gnats, 8 Count</v>
          </cell>
          <cell r="E460" t="str">
            <v>https://www.amazon.com/dp/B0CYVVT3LC?psc=1</v>
          </cell>
          <cell r="F460" t="str">
            <v>Flying Insect Control</v>
          </cell>
          <cell r="G460" t="str">
            <v>Other</v>
          </cell>
          <cell r="H460" t="str">
            <v>Flying Insect Control - Other</v>
          </cell>
          <cell r="I460" t="str">
            <v>Mosquito/Fly</v>
          </cell>
        </row>
        <row r="461">
          <cell r="A461" t="str">
            <v>B0CKY5N63H</v>
          </cell>
          <cell r="B461" t="str">
            <v>ZEVO</v>
          </cell>
          <cell r="C461" t="str">
            <v>ZEVO</v>
          </cell>
          <cell r="D461" t="str">
            <v>Zevo Flying Insect Trap for Fruit Flies &amp; Gnats, 2 Plug-in Bases, 4 Refills</v>
          </cell>
          <cell r="E461" t="str">
            <v>https://www.amazon.com/dp/B0CKY5N63H?psc=1</v>
          </cell>
          <cell r="F461" t="str">
            <v>Flying Insect Control</v>
          </cell>
          <cell r="G461" t="str">
            <v>UV Fly Traps</v>
          </cell>
          <cell r="H461" t="str">
            <v>Flying Insect Control - UV Fly Traps</v>
          </cell>
          <cell r="I461" t="str">
            <v>Mosquito/Fly</v>
          </cell>
        </row>
        <row r="462">
          <cell r="A462" t="str">
            <v>B0GJRLN3WS</v>
          </cell>
          <cell r="B462" t="str">
            <v>ZEVO</v>
          </cell>
          <cell r="C462" t="str">
            <v>ZEVO</v>
          </cell>
          <cell r="D462" t="str">
            <v>Zevo Compact Flying Insect Trap for Gnats &amp; Fruit Flies, 1 Base &amp; 3 Refills</v>
          </cell>
          <cell r="E462" t="str">
            <v>https://www.amazon.com/dp/B0GJRLN3WS?psc=1</v>
          </cell>
          <cell r="F462" t="str">
            <v>Flying Insect Control</v>
          </cell>
          <cell r="G462" t="str">
            <v>Other</v>
          </cell>
          <cell r="H462" t="str">
            <v>Flying Insect Control - Other</v>
          </cell>
          <cell r="I462" t="str">
            <v>Mosquito/Fly</v>
          </cell>
        </row>
        <row r="463">
          <cell r="A463" t="str">
            <v>B0CWJGGSXT</v>
          </cell>
          <cell r="B463" t="str">
            <v>ZEVO</v>
          </cell>
          <cell r="C463" t="str">
            <v>ZEVO</v>
          </cell>
          <cell r="D463" t="str">
            <v>Zevo Flying Insect Bug Aerosol Spray, Kills Flies &amp; Fruit Flies, 3 Bottles</v>
          </cell>
          <cell r="E463" t="str">
            <v>https://www.amazon.com/dp/B0CWJGGSXT?psc=1</v>
          </cell>
          <cell r="F463" t="str">
            <v>Flying Insect Control</v>
          </cell>
          <cell r="G463" t="str">
            <v>Other</v>
          </cell>
          <cell r="H463" t="str">
            <v>Flying Insect Control - Other</v>
          </cell>
          <cell r="I463" t="str">
            <v>Mosquito/Fly</v>
          </cell>
        </row>
        <row r="464">
          <cell r="A464" t="str">
            <v>B0GJRKLHSY</v>
          </cell>
          <cell r="B464" t="str">
            <v>ZEVO</v>
          </cell>
          <cell r="C464" t="str">
            <v>ZEVO</v>
          </cell>
          <cell r="D464" t="str">
            <v>Zevo Compact Flying Insect Trap Refills for Gnats &amp; Fruit Flies, 6 Count</v>
          </cell>
          <cell r="E464" t="str">
            <v>https://www.amazon.com/dp/B0GJRKLHSY?psc=1</v>
          </cell>
          <cell r="F464" t="str">
            <v>Flying Insect Control</v>
          </cell>
          <cell r="G464" t="str">
            <v>Other</v>
          </cell>
          <cell r="H464" t="str">
            <v>Flying Insect Control - Other</v>
          </cell>
          <cell r="I464" t="str">
            <v>Mosquito/Fly</v>
          </cell>
        </row>
        <row r="465">
          <cell r="A465" t="str">
            <v>B0CRPHSQCQ</v>
          </cell>
          <cell r="B465" t="str">
            <v>ZEVO</v>
          </cell>
          <cell r="C465" t="str">
            <v>ZEVO</v>
          </cell>
          <cell r="D465" t="str">
            <v>Zevo Flying Insect Trap for Fruit Flies &amp; Gnats, 4 Plug-in Bases, 4 Refills</v>
          </cell>
          <cell r="E465" t="str">
            <v>https://www.amazon.com/dp/B0CRPHSQCQ?psc=1</v>
          </cell>
          <cell r="F465" t="str">
            <v>Flying Insect Control</v>
          </cell>
          <cell r="G465" t="str">
            <v>UV Fly Traps</v>
          </cell>
          <cell r="H465" t="str">
            <v>Flying Insect Control - UV Fly Traps</v>
          </cell>
          <cell r="I465" t="str">
            <v>Mosquito/Fly</v>
          </cell>
        </row>
        <row r="466">
          <cell r="A466" t="str">
            <v>B08JL4V71X</v>
          </cell>
          <cell r="B466" t="str">
            <v>ZEVO</v>
          </cell>
          <cell r="C466" t="str">
            <v>ZEVO</v>
          </cell>
          <cell r="D466" t="str">
            <v>Zevo Flying Insect Bug Aerosol Spray, Kills Flies &amp; Fruit Flies, 2 Bottles</v>
          </cell>
          <cell r="E466" t="str">
            <v>https://www.amazon.com/dp/B08JL4V71X?psc=1</v>
          </cell>
          <cell r="F466" t="str">
            <v>Flying Insect Control</v>
          </cell>
          <cell r="G466" t="str">
            <v>Other</v>
          </cell>
          <cell r="H466" t="str">
            <v>Flying Insect Control - Other</v>
          </cell>
          <cell r="I466" t="str">
            <v>Mosquito/Fly</v>
          </cell>
        </row>
        <row r="467">
          <cell r="A467" t="str">
            <v>B0CTQ1TQ45</v>
          </cell>
          <cell r="B467" t="str">
            <v>ZEVO</v>
          </cell>
          <cell r="C467" t="str">
            <v>ZEVO</v>
          </cell>
          <cell r="D467" t="str">
            <v>Zevo Flying Insect Trap Refill Cartridges for Fruit Flies &amp; Gnats, 12 Count</v>
          </cell>
          <cell r="E467" t="str">
            <v>https://www.amazon.com/dp/B0CTQ1TQ45?psc=1</v>
          </cell>
          <cell r="F467" t="str">
            <v>Flying Insect Control</v>
          </cell>
          <cell r="G467" t="str">
            <v>Other</v>
          </cell>
          <cell r="H467" t="str">
            <v>Flying Insect Control - Other</v>
          </cell>
          <cell r="I467" t="str">
            <v>Mosquito/Fly</v>
          </cell>
        </row>
        <row r="468">
          <cell r="A468" t="str">
            <v>B0CTQ3B8JD</v>
          </cell>
          <cell r="B468" t="str">
            <v>ZEVO</v>
          </cell>
          <cell r="C468" t="str">
            <v>ZEVO</v>
          </cell>
          <cell r="D468" t="str">
            <v>Zevo Flying Insect Trap Refill Cartridges for Fruit Flies &amp; Gnats, 10 Count</v>
          </cell>
          <cell r="E468" t="str">
            <v>https://www.amazon.com/dp/B0CTQ3B8JD?psc=1</v>
          </cell>
          <cell r="F468" t="str">
            <v>Flying Insect Control</v>
          </cell>
          <cell r="G468" t="str">
            <v>Other</v>
          </cell>
          <cell r="H468" t="str">
            <v>Flying Insect Control - Other</v>
          </cell>
          <cell r="I468" t="str">
            <v>Mosquito/Fly</v>
          </cell>
        </row>
        <row r="469">
          <cell r="A469" t="str">
            <v>B0GJRMVM7W</v>
          </cell>
          <cell r="B469" t="str">
            <v>ZEVO</v>
          </cell>
          <cell r="C469" t="str">
            <v>ZEVO</v>
          </cell>
          <cell r="D469" t="str">
            <v>Zevo Compact Flying Insect Trap Refills for Gnats &amp; Fruit Flies, 8 Count</v>
          </cell>
          <cell r="E469" t="str">
            <v>https://www.amazon.com/dp/B0GJRMVM7W?psc=1</v>
          </cell>
          <cell r="F469" t="str">
            <v>Flying Insect Control</v>
          </cell>
          <cell r="G469" t="str">
            <v>Other</v>
          </cell>
          <cell r="H469" t="str">
            <v>Flying Insect Control - Other</v>
          </cell>
          <cell r="I469" t="str">
            <v>Mosquito/Fly</v>
          </cell>
        </row>
        <row r="470">
          <cell r="A470" t="str">
            <v>B0DGF6DM7B</v>
          </cell>
          <cell r="B470" t="str">
            <v>ZEVO</v>
          </cell>
          <cell r="C470">
            <v>0</v>
          </cell>
          <cell r="D470" t="str">
            <v>Zevo Flying Insect Trap Refill Cartridges (1 Device &amp; 3 Refill Cartridges Pack)</v>
          </cell>
          <cell r="E470" t="str">
            <v>https://www.amazon.com/dp/B0DGF6DM7B</v>
          </cell>
          <cell r="F470" t="str">
            <v>Flying Insect Control</v>
          </cell>
          <cell r="G470" t="str">
            <v>Other</v>
          </cell>
          <cell r="H470" t="str">
            <v>Flying Insect Control - Other</v>
          </cell>
          <cell r="I470" t="str">
            <v>Mosquito/Fly</v>
          </cell>
        </row>
        <row r="471">
          <cell r="A471" t="str">
            <v>B0FB2KR45J</v>
          </cell>
          <cell r="B471" t="str">
            <v>ZEVO</v>
          </cell>
          <cell r="C471">
            <v>0</v>
          </cell>
          <cell r="D471" t="str">
            <v>Zevo Flying Insect Refills for Indoor Light Trap: Light Trap Refill Cartridges Capture Fruit Flies, Gnats and Houseflies (2 Refill Cartridge)</v>
          </cell>
          <cell r="E471" t="str">
            <v>https://www.amazon.com/dp/B0FB2KR45J</v>
          </cell>
          <cell r="F471" t="str">
            <v>Flying Insect Control</v>
          </cell>
          <cell r="G471" t="str">
            <v>Other</v>
          </cell>
          <cell r="H471" t="str">
            <v>Flying Insect Control - Other</v>
          </cell>
          <cell r="I471" t="str">
            <v>Mosquito/Fly</v>
          </cell>
        </row>
        <row r="472">
          <cell r="A472" t="str">
            <v>B0GTZTSR32</v>
          </cell>
          <cell r="B472" t="str">
            <v>ZEVO</v>
          </cell>
          <cell r="C472">
            <v>0</v>
          </cell>
          <cell r="D472" t="str">
            <v>Zevo Plug-in Flying Insect Trap Refill Pack, 8 Authentic Cartridges for Indoor Spaces</v>
          </cell>
          <cell r="E472" t="str">
            <v>https://www.amazon.com/dp/B0GTZTSR32</v>
          </cell>
          <cell r="F472" t="str">
            <v>Flying Insect Control</v>
          </cell>
          <cell r="G472" t="str">
            <v>UV Fly Traps</v>
          </cell>
          <cell r="H472" t="str">
            <v>Flying Insect Control - UV Fly Traps</v>
          </cell>
          <cell r="I472" t="str">
            <v>Mosquito/Fly</v>
          </cell>
        </row>
        <row r="473">
          <cell r="A473" t="str">
            <v>B0H8NNWBQB</v>
          </cell>
          <cell r="B473" t="str">
            <v>WowCatch</v>
          </cell>
          <cell r="C473" t="str">
            <v>WowCatch</v>
          </cell>
          <cell r="D473" t="str">
            <v>WOWCATCH Flying Insect Trap for Indoors, Plug-in Bug Catcher, 1+5 Combo</v>
          </cell>
          <cell r="E473" t="str">
            <v>https://www.amazon.com/dp/B0H8NNWBQB?psc=1</v>
          </cell>
          <cell r="F473" t="str">
            <v>Flying Insect Control</v>
          </cell>
          <cell r="G473" t="str">
            <v>UV Fly Traps</v>
          </cell>
          <cell r="H473" t="str">
            <v>Flying Insect Control - UV Fly Traps</v>
          </cell>
          <cell r="I473" t="str">
            <v>Mosquito/Fly</v>
          </cell>
        </row>
        <row r="474">
          <cell r="A474" t="str">
            <v>B0GKPZRMNV</v>
          </cell>
          <cell r="B474" t="str">
            <v>WowCatch</v>
          </cell>
          <cell r="C474" t="str">
            <v>WowCatch</v>
          </cell>
          <cell r="D474" t="str">
            <v>WowCatch Plug-in UV Light Flying Insect Trap for Indoors</v>
          </cell>
          <cell r="E474" t="str">
            <v>https://www.amazon.com/dp/B0GKPZRMNV?psc=1</v>
          </cell>
          <cell r="F474" t="str">
            <v>Flying Insect Control</v>
          </cell>
          <cell r="G474" t="str">
            <v>UV Fly Traps</v>
          </cell>
          <cell r="H474" t="str">
            <v>Flying Insect Control - UV Fly Traps</v>
          </cell>
          <cell r="I474" t="str">
            <v>Mosquito/Fly</v>
          </cell>
        </row>
        <row r="475">
          <cell r="A475" t="str">
            <v>B0H97M3BX6</v>
          </cell>
          <cell r="B475" t="str">
            <v>WowCatch</v>
          </cell>
          <cell r="C475" t="str">
            <v>WowCatch</v>
          </cell>
          <cell r="D475" t="str">
            <v>WOWCATCH Flying Insect Trap for Indoors, Plug-in Bug Catcher, 2+10 Combo</v>
          </cell>
          <cell r="E475" t="str">
            <v>https://www.amazon.com/dp/B0H97M3BX6?psc=1</v>
          </cell>
          <cell r="F475" t="str">
            <v>Flying Insect Control</v>
          </cell>
          <cell r="G475" t="str">
            <v>UV Fly Traps</v>
          </cell>
          <cell r="H475" t="str">
            <v>Flying Insect Control - UV Fly Traps</v>
          </cell>
          <cell r="I475" t="str">
            <v>Mosquito/Fly</v>
          </cell>
        </row>
        <row r="476">
          <cell r="A476" t="str">
            <v>B0H4L87B7M</v>
          </cell>
          <cell r="B476" t="str">
            <v>WowCatch</v>
          </cell>
          <cell r="C476" t="str">
            <v>WowCatch</v>
          </cell>
          <cell r="D476" t="str">
            <v>Flying Insect Trap for Indoors, Plug-in Bug Catcher for Gnats, Fruit Flies</v>
          </cell>
          <cell r="E476" t="str">
            <v>https://www.amazon.com/dp/B0H4L87B7M?psc=1</v>
          </cell>
          <cell r="F476" t="str">
            <v>Flying Insect Control</v>
          </cell>
          <cell r="G476" t="str">
            <v>UV Fly Traps</v>
          </cell>
          <cell r="H476" t="str">
            <v>Flying Insect Control - UV Fly Traps</v>
          </cell>
          <cell r="I476" t="str">
            <v>Mosquito/Fly</v>
          </cell>
        </row>
        <row r="477">
          <cell r="A477" t="str">
            <v>B0GR8XLNFL</v>
          </cell>
          <cell r="B477" t="str">
            <v>WowCatch</v>
          </cell>
          <cell r="C477" t="str">
            <v>WowCatch</v>
          </cell>
          <cell r="D477" t="str">
            <v>WowCatch Flying Insect Trap for Indoors (2 Devices &amp; 4 Refill Cartridges)</v>
          </cell>
          <cell r="E477" t="str">
            <v>https://www.amazon.com/dp/B0GR8XLNFL?psc=1</v>
          </cell>
          <cell r="F477" t="str">
            <v>Flying Insect Control</v>
          </cell>
          <cell r="G477" t="str">
            <v>Other</v>
          </cell>
          <cell r="H477" t="str">
            <v>Flying Insect Control - Other</v>
          </cell>
          <cell r="I477" t="str">
            <v>Mosquito/Fly</v>
          </cell>
        </row>
        <row r="478">
          <cell r="A478" t="str">
            <v>B0GKPLZCM1</v>
          </cell>
          <cell r="B478" t="str">
            <v>WowCatch</v>
          </cell>
          <cell r="C478" t="str">
            <v>WowCatch</v>
          </cell>
          <cell r="D478" t="str">
            <v>10-Pack Official Flying Insect Trap Refills for N386D</v>
          </cell>
          <cell r="E478" t="str">
            <v>https://www.amazon.com/dp/B0GKPLZCM1?psc=1</v>
          </cell>
          <cell r="F478" t="str">
            <v>Flying Insect Control</v>
          </cell>
          <cell r="G478" t="str">
            <v>Other</v>
          </cell>
          <cell r="H478" t="str">
            <v>Flying Insect Control - Other</v>
          </cell>
          <cell r="I478" t="str">
            <v>Mosquito/Fly</v>
          </cell>
        </row>
        <row r="479">
          <cell r="A479" t="str">
            <v>B0H4LDF69Y</v>
          </cell>
          <cell r="B479" t="str">
            <v>WowCatch</v>
          </cell>
          <cell r="C479" t="str">
            <v>WowCatch</v>
          </cell>
          <cell r="D479" t="str">
            <v>Flying Insect Trap for Indoors, Plug-in Bug Catcher for Gnats, Fruit Flies</v>
          </cell>
          <cell r="E479" t="str">
            <v>https://www.amazon.com/dp/B0H4LDF69Y?psc=1</v>
          </cell>
          <cell r="F479" t="str">
            <v>Flying Insect Control</v>
          </cell>
          <cell r="G479" t="str">
            <v>UV Fly Traps</v>
          </cell>
          <cell r="H479" t="str">
            <v>Flying Insect Control - UV Fly Traps</v>
          </cell>
          <cell r="I479" t="str">
            <v>Mosquito/Fly</v>
          </cell>
        </row>
        <row r="480">
          <cell r="A480" t="str">
            <v>B0H4GF8T52</v>
          </cell>
          <cell r="B480" t="str">
            <v>WowCatch</v>
          </cell>
          <cell r="C480" t="str">
            <v>WowCatch</v>
          </cell>
          <cell r="D480" t="str">
            <v>WOWCATCH Flying Insect Trap for Indoors, Plug-in Bug Catcher, 2+6 Combo</v>
          </cell>
          <cell r="E480" t="str">
            <v>https://www.amazon.com/dp/B0H4GF8T52?psc=1</v>
          </cell>
          <cell r="F480" t="str">
            <v>Flying Insect Control</v>
          </cell>
          <cell r="G480" t="str">
            <v>UV Fly Traps</v>
          </cell>
          <cell r="H480" t="str">
            <v>Flying Insect Control - UV Fly Traps</v>
          </cell>
          <cell r="I480" t="str">
            <v>Mosquito/Fly</v>
          </cell>
        </row>
        <row r="481">
          <cell r="A481" t="str">
            <v>B0H4GBXQNC</v>
          </cell>
          <cell r="B481" t="str">
            <v>WowCatch</v>
          </cell>
          <cell r="C481" t="str">
            <v>WowCatch</v>
          </cell>
          <cell r="D481" t="str">
            <v>WOWCATCH Flying Insect Trap for Indoors, Plug-in Bug Catcher, 1+3 Combo</v>
          </cell>
          <cell r="E481" t="str">
            <v>https://www.amazon.com/dp/B0H4GBXQNC?psc=1</v>
          </cell>
          <cell r="F481" t="str">
            <v>Flying Insect Control</v>
          </cell>
          <cell r="G481" t="str">
            <v>UV Fly Traps</v>
          </cell>
          <cell r="H481" t="str">
            <v>Flying Insect Control - UV Fly Traps</v>
          </cell>
          <cell r="I481" t="str">
            <v>Mosquito/Fly</v>
          </cell>
        </row>
        <row r="482">
          <cell r="A482" t="str">
            <v>B0FQ8HRFC1</v>
          </cell>
          <cell r="B482" t="str">
            <v>Ortho</v>
          </cell>
          <cell r="C482" t="str">
            <v>The Scotts Company LLC</v>
          </cell>
          <cell r="D482" t="str">
            <v>Ortho Home Defense Max Indoor Flying Insect Trap, 1 Plug-in and 4 Refills</v>
          </cell>
          <cell r="E482" t="str">
            <v>https://www.amazon.com/dp/B0FQ8HRFC1?psc=1</v>
          </cell>
          <cell r="F482" t="str">
            <v>Flying Insect Control</v>
          </cell>
          <cell r="G482" t="str">
            <v>UV Fly Traps</v>
          </cell>
          <cell r="H482" t="str">
            <v>Flying Insect Control - UV Fly Traps</v>
          </cell>
          <cell r="I482" t="str">
            <v>Mosquito/Fly</v>
          </cell>
        </row>
        <row r="483">
          <cell r="A483" t="str">
            <v>B0FQ866L82</v>
          </cell>
          <cell r="B483" t="str">
            <v>Ortho</v>
          </cell>
          <cell r="C483" t="str">
            <v>The Scotts Company LLC</v>
          </cell>
          <cell r="D483" t="str">
            <v>Ortho Home Defense Max Indoor Flying Insect Trap Refills, 3 Catridges</v>
          </cell>
          <cell r="E483" t="str">
            <v>https://www.amazon.com/dp/B0FQ866L82?psc=1</v>
          </cell>
          <cell r="F483" t="str">
            <v>Flying Insect Control</v>
          </cell>
          <cell r="G483" t="str">
            <v>Other</v>
          </cell>
          <cell r="H483" t="str">
            <v>Flying Insect Control - Other</v>
          </cell>
          <cell r="I483" t="str">
            <v>Mosquito/Fly</v>
          </cell>
        </row>
        <row r="484">
          <cell r="A484" t="str">
            <v>B07SHHS33Z</v>
          </cell>
          <cell r="B484" t="str">
            <v>Catchmaster</v>
          </cell>
          <cell r="C484" t="str">
            <v>Catchmaster</v>
          </cell>
          <cell r="D484" t="str">
            <v>Catchmaster Cricket XL Giant Glue Boards 6-Pk, Adhesive Bug Catcher Cricket Traps Indoor, Sticky Trap for Inside Your Home, Bulk Insect Killer, Insect Traps for House &amp; Garage, Pest Control for Home</v>
          </cell>
          <cell r="E484" t="str">
            <v>https://www.amazon.com/dp/B07SHHS33Z?psc=1</v>
          </cell>
          <cell r="F484" t="str">
            <v>Flying Insect Control</v>
          </cell>
          <cell r="G484" t="str">
            <v>Glue Traps</v>
          </cell>
          <cell r="H484" t="str">
            <v>Flying Insect Control - Glue Traps</v>
          </cell>
          <cell r="I484" t="str">
            <v>Other crawling insects</v>
          </cell>
        </row>
        <row r="485">
          <cell r="A485" t="str">
            <v>B0D9MTJK6W</v>
          </cell>
          <cell r="B485" t="str">
            <v>Catchmaster</v>
          </cell>
          <cell r="C485" t="str">
            <v>Catchmaster</v>
          </cell>
          <cell r="D485" t="str">
            <v>Catchmaster Defiant Liquid Ant Baits &amp; Killer, Sugar Ant Traps Indoor</v>
          </cell>
          <cell r="E485" t="str">
            <v>https://www.amazon.com/dp/B0D9MTJK6W?psc=1</v>
          </cell>
          <cell r="F485" t="str">
            <v>Crawling Insect Control</v>
          </cell>
          <cell r="G485" t="str">
            <v>Bait &amp; Poison</v>
          </cell>
          <cell r="H485" t="str">
            <v>Crawling Insect Control - Bait &amp; Poison</v>
          </cell>
          <cell r="I485" t="str">
            <v>Other crawling insects</v>
          </cell>
        </row>
        <row r="486">
          <cell r="A486" t="str">
            <v>B0CR5QRJWV</v>
          </cell>
          <cell r="B486" t="str">
            <v>Catchmaster</v>
          </cell>
          <cell r="C486" t="str">
            <v>Catchmaster</v>
          </cell>
          <cell r="D486" t="str">
            <v>Catchmaster Defiant Reusable Ant Traps Indoor Refill (16 Pack), Bait NOT Included – Bait Stations that Hold Liquid Ant Killer – Stackable, No Mess, Discreet Bait Stations for Pest Control</v>
          </cell>
          <cell r="E486" t="str">
            <v>https://www.amazon.com/dp/B0CR5QRJWV?psc=1</v>
          </cell>
          <cell r="F486" t="str">
            <v>Crawling Insect Control</v>
          </cell>
          <cell r="G486" t="str">
            <v>Bait &amp; Poison</v>
          </cell>
          <cell r="H486" t="str">
            <v>Crawling Insect Control - Bait &amp; Poison</v>
          </cell>
          <cell r="I486" t="str">
            <v>Other crawling insects</v>
          </cell>
        </row>
        <row r="487">
          <cell r="A487" t="str">
            <v>B0FN5G476R</v>
          </cell>
          <cell r="B487" t="str">
            <v>Catchmaster</v>
          </cell>
          <cell r="C487" t="str">
            <v>Catchmaster</v>
          </cell>
          <cell r="D487" t="str">
            <v>Catchmaster Defiant Heavy Duty Indoor &amp; Outdoor Ant Traps (8 Pack), Bait NOT Included – Reusable Bait Stations that Hold Liquid Ant Killer – No Mess, Discreet Bait Stations for Pest Control</v>
          </cell>
          <cell r="E487" t="str">
            <v>https://www.amazon.com/dp/B0FN5G476R?psc=1</v>
          </cell>
          <cell r="F487" t="str">
            <v>Crawling Insect Control</v>
          </cell>
          <cell r="G487" t="str">
            <v>Bait &amp; Poison</v>
          </cell>
          <cell r="H487" t="str">
            <v>Crawling Insect Control - Bait &amp; Poison</v>
          </cell>
          <cell r="I487" t="str">
            <v>Other crawling insects</v>
          </cell>
        </row>
        <row r="488">
          <cell r="A488" t="str">
            <v>B0FWNCK26N</v>
          </cell>
          <cell r="B488" t="str">
            <v>Catchmaster</v>
          </cell>
          <cell r="C488" t="str">
            <v>Catchmaster</v>
          </cell>
          <cell r="D488" t="str">
            <v>Catchmaster DEFIANT Reusable Outdoor Garden Stake Ant Traps (5 Pack), Bait NOT Included – Bait Stations That Hold Liquid Ant Killer - For Garden, Soil &amp; Mulch – Discreet Bait Stations for Pest Control</v>
          </cell>
          <cell r="E488" t="str">
            <v>https://www.amazon.com/dp/B0FWNCK26N?psc=1</v>
          </cell>
          <cell r="F488" t="str">
            <v>Crawling Insect Control</v>
          </cell>
          <cell r="G488" t="str">
            <v>Bait &amp; Poison</v>
          </cell>
          <cell r="H488" t="str">
            <v>Crawling Insect Control - Bait &amp; Poison</v>
          </cell>
          <cell r="I488" t="str">
            <v>Other crawling insects</v>
          </cell>
        </row>
        <row r="489">
          <cell r="A489" t="str">
            <v>B0DZF2HY12</v>
          </cell>
          <cell r="B489" t="str">
            <v>Catchmaster</v>
          </cell>
          <cell r="C489" t="str">
            <v>Catchmaster</v>
          </cell>
          <cell r="D489" t="str">
            <v>Catchmaster Defiant Extra Long Reusable Ant Traps Indoor (8 Pack), Bait NOT Included – Stackable, Narrow Bait Stations that Hold Liquid Ant Killer – 28 Entry Points for Maximum Access</v>
          </cell>
          <cell r="E489" t="str">
            <v>https://www.amazon.com/dp/B0DZF2HY12?psc=1</v>
          </cell>
          <cell r="F489" t="str">
            <v>Crawling Insect Control</v>
          </cell>
          <cell r="G489" t="str">
            <v>Bait &amp; Poison</v>
          </cell>
          <cell r="H489" t="str">
            <v>Crawling Insect Control - Bait &amp; Poison</v>
          </cell>
          <cell r="I489" t="str">
            <v>Other crawling insects</v>
          </cell>
        </row>
        <row r="490">
          <cell r="A490" t="str">
            <v>B0G36CY3L8</v>
          </cell>
          <cell r="B490" t="str">
            <v>Catchmaster</v>
          </cell>
          <cell r="C490" t="str">
            <v>AP&amp;G</v>
          </cell>
          <cell r="D490" t="str">
            <v>Catchmaster Defiant XL Outdoor Ant Traps for Yard (2 Pack), Bait NOT Included - Reusable Ant Bait Stations that Hold Liquid Ant Killer, – XL Size Speeds Up Ant Elimination</v>
          </cell>
          <cell r="E490" t="str">
            <v>https://www.amazon.com/dp/B0G36CY3L8?psc=1</v>
          </cell>
          <cell r="F490" t="str">
            <v>Crawling Insect Control</v>
          </cell>
          <cell r="G490" t="str">
            <v>Bait &amp; Poison</v>
          </cell>
          <cell r="H490" t="str">
            <v>Crawling Insect Control - Bait &amp; Poison</v>
          </cell>
          <cell r="I490" t="str">
            <v>Other crawling insects</v>
          </cell>
        </row>
        <row r="491">
          <cell r="A491" t="str">
            <v>B0CLSXKZ96</v>
          </cell>
          <cell r="B491" t="str">
            <v>Catchmaster</v>
          </cell>
          <cell r="C491" t="str">
            <v>Catchmaster</v>
          </cell>
          <cell r="D491" t="str">
            <v>Catchmaster Cricket XL Giant Glue Boards 48Pk, Cricket Traps Indoor with Adhesive Attractant Design, Bug Catcher Traps for Inside Your Home, Insect Killer for House &amp; Garage, Pest Control for Home</v>
          </cell>
          <cell r="E491" t="str">
            <v>https://www.amazon.com/dp/B0CLSXKZ96?psc=1</v>
          </cell>
          <cell r="F491" t="str">
            <v>Flying Insect Control</v>
          </cell>
          <cell r="G491" t="str">
            <v>Glue Traps</v>
          </cell>
          <cell r="H491" t="str">
            <v>Flying Insect Control - Glue Traps</v>
          </cell>
          <cell r="I491" t="str">
            <v>Other crawling insects</v>
          </cell>
        </row>
        <row r="492">
          <cell r="A492" t="str">
            <v>B000M2X2QU</v>
          </cell>
          <cell r="B492" t="str">
            <v>Scotts</v>
          </cell>
          <cell r="C492" t="str">
            <v>Scotts - Mixing Warehouse Items</v>
          </cell>
          <cell r="D492" t="str">
            <v>Scotts Rose and Bloom Continuous Release Plant Food, 3 lbs.</v>
          </cell>
          <cell r="E492" t="str">
            <v>https://www.amazon.com/dp/B000M2X2QU?psc=1</v>
          </cell>
          <cell r="F492" t="str">
            <v>Crawling Insect Control</v>
          </cell>
          <cell r="G492" t="str">
            <v>Ant Traps</v>
          </cell>
          <cell r="H492" t="str">
            <v>Crawling Insect Control - Ant Traps</v>
          </cell>
          <cell r="I492" t="str">
            <v>Other crawling insects</v>
          </cell>
        </row>
        <row r="493">
          <cell r="A493" t="str">
            <v>B00GTDGWAY</v>
          </cell>
          <cell r="B493" t="str">
            <v>Scotts</v>
          </cell>
          <cell r="C493" t="str">
            <v>The Scotts Company LLC</v>
          </cell>
          <cell r="D493" t="str">
            <v>Scotts Super Bloom Water Soluble Plant Food, 2 lbs.</v>
          </cell>
          <cell r="E493" t="str">
            <v>https://www.amazon.com/dp/B00GTDGWAY?psc=1</v>
          </cell>
          <cell r="F493" t="str">
            <v>Crawling Insect Control</v>
          </cell>
          <cell r="G493" t="str">
            <v>Ant Traps</v>
          </cell>
          <cell r="H493" t="str">
            <v>Crawling Insect Control - Ant Traps</v>
          </cell>
          <cell r="I493" t="str">
            <v>Other crawling insects</v>
          </cell>
        </row>
        <row r="494">
          <cell r="A494" t="str">
            <v>B000HAAOXQ</v>
          </cell>
          <cell r="B494" t="str">
            <v>Scotts</v>
          </cell>
          <cell r="C494" t="str">
            <v>The Scotts Company LLC</v>
          </cell>
          <cell r="D494" t="str">
            <v>Scotts Evergreen, Flowering Tree &amp; Shrub Continuous Release Plant Food</v>
          </cell>
          <cell r="E494" t="str">
            <v>https://www.amazon.com/dp/B000HAAOXQ?psc=1</v>
          </cell>
          <cell r="F494" t="str">
            <v>Crawling Insect Control</v>
          </cell>
          <cell r="G494" t="str">
            <v>Ant Traps</v>
          </cell>
          <cell r="H494" t="str">
            <v>Crawling Insect Control - Ant Traps</v>
          </cell>
          <cell r="I494" t="str">
            <v>Other crawling insects</v>
          </cell>
        </row>
        <row r="495">
          <cell r="A495" t="str">
            <v>B001PCUU70</v>
          </cell>
          <cell r="B495" t="str">
            <v>Scotts</v>
          </cell>
          <cell r="C495" t="str">
            <v>The Scotts Company LLC</v>
          </cell>
          <cell r="D495" t="str">
            <v>Scotts All Purpose Flower &amp; Vegetable Continuous Release Plant Food, 3 lbs.</v>
          </cell>
          <cell r="E495" t="str">
            <v>https://www.amazon.com/dp/B001PCUU70?psc=1</v>
          </cell>
          <cell r="F495" t="str">
            <v>Crawling Insect Control</v>
          </cell>
          <cell r="G495" t="str">
            <v>Ant Traps</v>
          </cell>
          <cell r="H495" t="str">
            <v>Crawling Insect Control - Ant Traps</v>
          </cell>
          <cell r="I495" t="str">
            <v>Other crawling insects</v>
          </cell>
        </row>
        <row r="496">
          <cell r="A496" t="str">
            <v>B0CS8MBLGW</v>
          </cell>
          <cell r="B496" t="str">
            <v>Scotts</v>
          </cell>
          <cell r="C496" t="str">
            <v>Scotts Miracle Gro</v>
          </cell>
          <cell r="D496" t="str">
            <v>Miracle-Gro Perlite - Enriched with Plant Food, Improves Drainage and Aeration in Potting Soil Mixes, For Container Plants, 8 qt. (3-Pack)</v>
          </cell>
          <cell r="E496" t="str">
            <v>https://www.amazon.com/dp/B0CS8MBLGW?psc=1</v>
          </cell>
          <cell r="F496" t="str">
            <v>Rodent Control</v>
          </cell>
          <cell r="G496" t="str">
            <v>Ant Traps</v>
          </cell>
          <cell r="H496" t="str">
            <v>Rodent Control - Ant Traps</v>
          </cell>
          <cell r="I496" t="str">
            <v>Other crawling insects</v>
          </cell>
        </row>
        <row r="497">
          <cell r="A497" t="str">
            <v>B0077AQ6FY</v>
          </cell>
          <cell r="B497" t="str">
            <v>Scotts</v>
          </cell>
          <cell r="C497" t="str">
            <v>The Scotts Company</v>
          </cell>
          <cell r="D497" t="str">
            <v>Scotts Company Miracle-Gro 1750011 Water Soluble Miracid Acid-Loving Plant Food, 1-Pound</v>
          </cell>
          <cell r="E497" t="str">
            <v>https://www.amazon.com/dp/B0077AQ6FY</v>
          </cell>
          <cell r="F497" t="str">
            <v>Crawling Insect Control</v>
          </cell>
          <cell r="G497" t="str">
            <v>Ant Traps</v>
          </cell>
          <cell r="H497" t="str">
            <v>Crawling Insect Control - Ant Traps</v>
          </cell>
          <cell r="I497" t="str">
            <v>Other crawling insects</v>
          </cell>
        </row>
        <row r="498">
          <cell r="A498" t="str">
            <v>B000BZ1HWO</v>
          </cell>
          <cell r="B498" t="str">
            <v>JT Eaton</v>
          </cell>
          <cell r="C498" t="str">
            <v>JT Eaton</v>
          </cell>
          <cell r="D498" t="str">
            <v>JT Eaton Anticoagulant Block Bait for Pocket Gophers, Moisture Resistant, 1 lb Box of 4</v>
          </cell>
          <cell r="E498" t="str">
            <v>https://www.amazon.com/dp/B000BZ1HWO?psc=1</v>
          </cell>
          <cell r="F498" t="str">
            <v>Crawling Insect Control</v>
          </cell>
          <cell r="G498" t="str">
            <v>Bait &amp; Poison</v>
          </cell>
          <cell r="H498" t="str">
            <v>Crawling Insect Control - Bait &amp; Poison</v>
          </cell>
          <cell r="I498" t="str">
            <v>Other crawling insects</v>
          </cell>
        </row>
        <row r="499">
          <cell r="A499" t="str">
            <v>B00B9IK0IE</v>
          </cell>
          <cell r="B499" t="str">
            <v>Kness</v>
          </cell>
          <cell r="C499" t="str">
            <v>Kness Mfg Co Inc</v>
          </cell>
          <cell r="D499" t="str">
            <v>Kness 107-0-012 Green Ants-No-More Ant Bait Station, 1 Count (Pack of 1)</v>
          </cell>
          <cell r="E499" t="str">
            <v>https://www.amazon.com/dp/B00B9IK0IE</v>
          </cell>
          <cell r="F499" t="str">
            <v>Crawling Insect Control</v>
          </cell>
          <cell r="G499" t="str">
            <v>Bait &amp; Poison</v>
          </cell>
          <cell r="H499" t="str">
            <v>Crawling Insect Control - Bait &amp; Poison</v>
          </cell>
          <cell r="I499" t="str">
            <v>Other crawling insects</v>
          </cell>
        </row>
        <row r="500">
          <cell r="A500" t="str">
            <v>B000BX1HKI</v>
          </cell>
          <cell r="B500" t="str">
            <v>Bonide</v>
          </cell>
          <cell r="C500" t="str">
            <v>Bonide</v>
          </cell>
          <cell r="D500" t="str">
            <v>Bonide Systemic Houseplant Insect Control, 8 oz Ready-to-Use Granules for Indoors and Outdoors, Protects Plants from Insects</v>
          </cell>
          <cell r="E500" t="str">
            <v>https://www.amazon.com/dp/B000BX1HKI?psc=1</v>
          </cell>
          <cell r="F500" t="str">
            <v>Flying Insect Control</v>
          </cell>
          <cell r="G500" t="str">
            <v>Ant Traps</v>
          </cell>
          <cell r="H500" t="str">
            <v>Flying Insect Control - Ant Traps</v>
          </cell>
          <cell r="I500" t="str">
            <v>Other crawling insects</v>
          </cell>
        </row>
        <row r="501">
          <cell r="A501" t="str">
            <v>B00BSULSHA</v>
          </cell>
          <cell r="B501" t="str">
            <v>Bonide</v>
          </cell>
          <cell r="C501" t="str">
            <v>Bonide Products LLC</v>
          </cell>
          <cell r="D501" t="str">
            <v>Bonide Captain Jack Copper Fungicide 16 oz Concentrated Plant Disease Control Solution for Organic Gardening</v>
          </cell>
          <cell r="E501" t="str">
            <v>https://www.amazon.com/dp/B00BSULSHA?psc=1</v>
          </cell>
          <cell r="F501" t="str">
            <v>Rodent Control</v>
          </cell>
          <cell r="G501" t="str">
            <v>Ant Traps</v>
          </cell>
          <cell r="H501" t="str">
            <v>Rodent Control - Ant Traps</v>
          </cell>
          <cell r="I501" t="str">
            <v>Other crawling insects</v>
          </cell>
        </row>
        <row r="502">
          <cell r="A502" t="str">
            <v>B001D13U2K</v>
          </cell>
          <cell r="B502" t="str">
            <v>Bonide</v>
          </cell>
          <cell r="C502" t="str">
            <v>Bonide Products LLC</v>
          </cell>
          <cell r="D502" t="str">
            <v>Bonide All Seasons Horticultural &amp; Dormant Spray Oil, 32 oz</v>
          </cell>
          <cell r="E502" t="str">
            <v>https://www.amazon.com/dp/B001D13U2K?psc=1</v>
          </cell>
          <cell r="F502" t="str">
            <v>Crawling Insect Control</v>
          </cell>
          <cell r="G502" t="str">
            <v>Ant Traps</v>
          </cell>
          <cell r="H502" t="str">
            <v>Crawling Insect Control - Ant Traps</v>
          </cell>
          <cell r="I502" t="str">
            <v>Other crawling insects</v>
          </cell>
        </row>
        <row r="503">
          <cell r="A503" t="str">
            <v>B0044FTST6</v>
          </cell>
          <cell r="B503" t="str">
            <v>Bonide</v>
          </cell>
          <cell r="C503" t="str">
            <v>Bonide</v>
          </cell>
          <cell r="D503" t="str">
            <v>Bonide Garden Rich Root &amp; Grow Root Stimulator &amp; Plant Starter</v>
          </cell>
          <cell r="E503" t="str">
            <v>https://www.amazon.com/dp/B0044FTST6?psc=1</v>
          </cell>
          <cell r="F503" t="str">
            <v>Crawling Insect Control</v>
          </cell>
          <cell r="G503" t="str">
            <v>Ant Traps</v>
          </cell>
          <cell r="H503" t="str">
            <v>Crawling Insect Control - Ant Traps</v>
          </cell>
          <cell r="I503" t="str">
            <v>Other crawling insects</v>
          </cell>
        </row>
        <row r="504">
          <cell r="A504" t="str">
            <v>B000BX4RNW</v>
          </cell>
          <cell r="B504" t="str">
            <v>Bonide</v>
          </cell>
          <cell r="C504" t="str">
            <v>Bonide</v>
          </cell>
          <cell r="D504" t="str">
            <v>Bonide All Seasons Horticultural &amp; Dormant Spray Oil, 16 oz Concentrate, Disease Prevention &amp; Insect Killer for Organic Gardening</v>
          </cell>
          <cell r="E504" t="str">
            <v>https://www.amazon.com/dp/B000BX4RNW?psc=1</v>
          </cell>
          <cell r="F504" t="str">
            <v>Rodent Control</v>
          </cell>
          <cell r="G504" t="str">
            <v>Ant Traps</v>
          </cell>
          <cell r="H504" t="str">
            <v>Rodent Control - Ant Traps</v>
          </cell>
          <cell r="I504" t="str">
            <v>Other crawling insects</v>
          </cell>
        </row>
        <row r="505">
          <cell r="A505" t="str">
            <v>B009YNZX42</v>
          </cell>
          <cell r="B505" t="str">
            <v>Bonide</v>
          </cell>
          <cell r="C505" t="str">
            <v>Bonide Product</v>
          </cell>
          <cell r="D505" t="str">
            <v>Bonide All Seasons Horticultural &amp; Dormant Spray Oil, 32 oz Ready-to-Spray, Disease Prevention and Insect Killer for Organic Gardening</v>
          </cell>
          <cell r="E505" t="str">
            <v>https://www.amazon.com/dp/B009YNZX42?psc=1</v>
          </cell>
          <cell r="F505" t="str">
            <v>Flying Insect Control</v>
          </cell>
          <cell r="G505" t="str">
            <v>Ant Traps</v>
          </cell>
          <cell r="H505" t="str">
            <v>Flying Insect Control - Ant Traps</v>
          </cell>
          <cell r="I505" t="str">
            <v>Other crawling insects</v>
          </cell>
        </row>
        <row r="506">
          <cell r="A506" t="str">
            <v>B000BQ800K</v>
          </cell>
          <cell r="B506" t="str">
            <v>Bonide</v>
          </cell>
          <cell r="C506" t="str">
            <v>Bonide Products LLC</v>
          </cell>
          <cell r="D506" t="str">
            <v>Bonide Fung-onil Multi-Purpose Fungicide, 32 oz Ready-to-Use Spray for Plant Disease Control, Controls Blight, Mildew &amp; More</v>
          </cell>
          <cell r="E506" t="str">
            <v>https://www.amazon.com/dp/B000BQ800K?psc=1</v>
          </cell>
          <cell r="F506" t="str">
            <v>Crawling Insect Control</v>
          </cell>
          <cell r="G506" t="str">
            <v>Ant Traps</v>
          </cell>
          <cell r="H506" t="str">
            <v>Crawling Insect Control - Ant Traps</v>
          </cell>
          <cell r="I506" t="str">
            <v>Other crawling insects</v>
          </cell>
        </row>
        <row r="507">
          <cell r="A507" t="str">
            <v>B000BQ7T1Q</v>
          </cell>
          <cell r="B507" t="str">
            <v>Bonide</v>
          </cell>
          <cell r="C507" t="str">
            <v>Bonide Products LLC</v>
          </cell>
          <cell r="D507" t="str">
            <v>Bonide Infuse Systemic Disease Control, 16 oz Concentrated Solution for Plant Disease Control, Long Lasting &amp; Waterproof</v>
          </cell>
          <cell r="E507" t="str">
            <v>https://www.amazon.com/dp/B000BQ7T1Q?psc=1</v>
          </cell>
          <cell r="F507" t="str">
            <v>Rodent Control</v>
          </cell>
          <cell r="G507" t="str">
            <v>Ant Traps</v>
          </cell>
          <cell r="H507" t="str">
            <v>Rodent Control - Ant Traps</v>
          </cell>
          <cell r="I507" t="str">
            <v>Other crawling insects</v>
          </cell>
        </row>
        <row r="508">
          <cell r="A508" t="str">
            <v>B000KE1U2I</v>
          </cell>
          <cell r="B508" t="str">
            <v>Bonide</v>
          </cell>
          <cell r="C508" t="str">
            <v>Bonide</v>
          </cell>
          <cell r="D508" t="str">
            <v>Bonide Product 951 Systemic House Plant Insect Control 8 Oz. (3 Pack)</v>
          </cell>
          <cell r="E508" t="str">
            <v>https://www.amazon.com/dp/B000KE1U2I</v>
          </cell>
          <cell r="F508" t="str">
            <v>Flying Insect Control</v>
          </cell>
          <cell r="G508" t="str">
            <v>Ant Traps</v>
          </cell>
          <cell r="H508" t="str">
            <v>Flying Insect Control - Ant Traps</v>
          </cell>
          <cell r="I508" t="str">
            <v>Other crawling insects</v>
          </cell>
        </row>
        <row r="509">
          <cell r="A509" t="str">
            <v>B00V4WUBJ8</v>
          </cell>
          <cell r="B509" t="str">
            <v>bonide</v>
          </cell>
          <cell r="D509" t="str">
            <v>Houseplant Insect Contro</v>
          </cell>
          <cell r="E509" t="str">
            <v>https://www.amazon.com/dp/B00V4WUBJ8</v>
          </cell>
          <cell r="F509" t="str">
            <v>Flying Insect Control</v>
          </cell>
          <cell r="G509" t="str">
            <v>Ant Traps</v>
          </cell>
          <cell r="H509" t="str">
            <v>Flying Insect Control - Ant Traps</v>
          </cell>
          <cell r="I509" t="str">
            <v>Other crawling insects</v>
          </cell>
        </row>
        <row r="510">
          <cell r="A510" t="str">
            <v>B0011VHOXI</v>
          </cell>
          <cell r="B510" t="str">
            <v>Bonide</v>
          </cell>
          <cell r="C510" t="str">
            <v>Bonide</v>
          </cell>
          <cell r="D510" t="str">
            <v>Bonide Wilt Stop, 40 oz Ready-to-Use Spray Anti-Transpirant Plant Protector</v>
          </cell>
          <cell r="E510" t="str">
            <v>https://www.amazon.com/dp/B0011VHOXI?psc=1</v>
          </cell>
          <cell r="F510" t="str">
            <v>Crawling Insect Control</v>
          </cell>
          <cell r="G510" t="str">
            <v>Ant Traps</v>
          </cell>
          <cell r="H510" t="str">
            <v>Crawling Insect Control - Ant Traps</v>
          </cell>
          <cell r="I510" t="str">
            <v>Other crawling insects</v>
          </cell>
        </row>
        <row r="511">
          <cell r="A511" t="str">
            <v>B002LFEQ6G</v>
          </cell>
          <cell r="B511" t="str">
            <v>Bonide</v>
          </cell>
          <cell r="C511" t="str">
            <v>Ames True Temper</v>
          </cell>
          <cell r="D511" t="str">
            <v>Bonide Houseplant Liquid Plant Food 10-10-10, 8 oz Concentrated Fertilizer for Indoors, Use Every Time You Water</v>
          </cell>
          <cell r="E511" t="str">
            <v>https://www.amazon.com/dp/B002LFEQ6G</v>
          </cell>
          <cell r="F511" t="str">
            <v>Rodent Control</v>
          </cell>
          <cell r="G511" t="str">
            <v>Ant Traps</v>
          </cell>
          <cell r="H511" t="str">
            <v>Rodent Control - Ant Traps</v>
          </cell>
          <cell r="I511" t="str">
            <v>Other crawling insects</v>
          </cell>
        </row>
        <row r="512">
          <cell r="A512" t="str">
            <v>B09WTJNXMF</v>
          </cell>
          <cell r="B512" t="str">
            <v>Bonide</v>
          </cell>
          <cell r="C512" t="str">
            <v>Bonide Products LLC</v>
          </cell>
          <cell r="D512" t="str">
            <v>Revenge Termite &amp; Carpenter Ant Killer, 32 oz Concentrate</v>
          </cell>
          <cell r="E512" t="str">
            <v>https://www.amazon.com/dp/B09WTJNXMF?psc=1</v>
          </cell>
          <cell r="F512" t="str">
            <v>Rodent Control</v>
          </cell>
          <cell r="G512" t="str">
            <v>Ant Traps</v>
          </cell>
          <cell r="H512" t="str">
            <v>Rodent Control - Ant Traps</v>
          </cell>
          <cell r="I512" t="str">
            <v>Other crawling insects</v>
          </cell>
        </row>
        <row r="513">
          <cell r="A513" t="str">
            <v>B002LFCS3Y</v>
          </cell>
          <cell r="B513" t="str">
            <v>Bonide</v>
          </cell>
          <cell r="C513" t="str">
            <v>Bonide</v>
          </cell>
          <cell r="D513" t="str">
            <v>Bonide Captain Jack's Mite-X Houseplant Spray, 12 oz</v>
          </cell>
          <cell r="E513" t="str">
            <v>https://www.amazon.com/dp/B002LFCS3Y</v>
          </cell>
          <cell r="F513" t="str">
            <v>Crawling Insect Control</v>
          </cell>
          <cell r="G513" t="str">
            <v>Ant Traps</v>
          </cell>
          <cell r="H513" t="str">
            <v>Crawling Insect Control - Ant Traps</v>
          </cell>
          <cell r="I513" t="str">
            <v>Other crawling insects</v>
          </cell>
        </row>
        <row r="514">
          <cell r="A514" t="str">
            <v>B00YETULD4</v>
          </cell>
          <cell r="B514" t="str">
            <v>Bonide</v>
          </cell>
          <cell r="D514" t="str">
            <v>Bonide Products Houseplant Systemic Insect Control Granules, 8oz</v>
          </cell>
          <cell r="E514" t="str">
            <v>https://www.amazon.com/dp/B00YETULD4</v>
          </cell>
          <cell r="F514" t="str">
            <v>Flying Insect Control</v>
          </cell>
          <cell r="G514" t="str">
            <v>Ant Traps</v>
          </cell>
          <cell r="H514" t="str">
            <v>Flying Insect Control - Ant Traps</v>
          </cell>
          <cell r="I514" t="str">
            <v>Other crawling insects</v>
          </cell>
        </row>
        <row r="515">
          <cell r="A515" t="str">
            <v>B00YIHBWNK</v>
          </cell>
          <cell r="B515" t="str">
            <v>Bonide</v>
          </cell>
          <cell r="C515" t="str">
            <v>BONIDE</v>
          </cell>
          <cell r="D515" t="str">
            <v>Sulfur Plant Fungicide MICRONIZED Spray OR DUST</v>
          </cell>
          <cell r="E515" t="str">
            <v>https://www.amazon.com/dp/B00YIHBWNK</v>
          </cell>
          <cell r="F515" t="str">
            <v>Crawling Insect Control</v>
          </cell>
          <cell r="G515" t="str">
            <v>Ant Traps</v>
          </cell>
          <cell r="H515" t="str">
            <v>Crawling Insect Control - Ant Traps</v>
          </cell>
          <cell r="I515" t="str">
            <v>Other crawling insects</v>
          </cell>
        </row>
        <row r="516">
          <cell r="A516" t="str">
            <v>B000OP4E5S</v>
          </cell>
          <cell r="B516" t="str">
            <v>Bonide</v>
          </cell>
          <cell r="C516" t="str">
            <v>Bonide</v>
          </cell>
          <cell r="D516" t="str">
            <v>Bonide Wilt Stop, 32 oz Concentrated Anti-Transpirant Plant Protector</v>
          </cell>
          <cell r="E516" t="str">
            <v>https://www.amazon.com/dp/B000OP4E5S?psc=1</v>
          </cell>
          <cell r="F516" t="str">
            <v>Rodent Control</v>
          </cell>
          <cell r="G516" t="str">
            <v>Ant Traps</v>
          </cell>
          <cell r="H516" t="str">
            <v>Rodent Control - Ant Traps</v>
          </cell>
          <cell r="I516" t="str">
            <v>Other crawling insects</v>
          </cell>
        </row>
        <row r="517">
          <cell r="A517" t="str">
            <v>B00URP7BQ4</v>
          </cell>
          <cell r="B517" t="str">
            <v>Bonide</v>
          </cell>
          <cell r="C517" t="str">
            <v>Bonide Product</v>
          </cell>
          <cell r="D517" t="str">
            <v>Bonide Systemic House Plant Insect Control Multiple Insects Granules 8 Oz</v>
          </cell>
          <cell r="E517" t="str">
            <v>https://www.amazon.com/dp/B00URP7BQ4</v>
          </cell>
          <cell r="F517" t="str">
            <v>Flying Insect Control</v>
          </cell>
          <cell r="G517" t="str">
            <v>Ant Traps</v>
          </cell>
          <cell r="H517" t="str">
            <v>Flying Insect Control - Ant Traps</v>
          </cell>
          <cell r="I517" t="str">
            <v>Other crawling insects</v>
          </cell>
        </row>
        <row r="518">
          <cell r="A518" t="str">
            <v>B00P8EG8XQ</v>
          </cell>
          <cell r="B518" t="str">
            <v>Bonide</v>
          </cell>
          <cell r="C518" t="str">
            <v>Bonide</v>
          </cell>
          <cell r="D518" t="str">
            <v>Liquid Plant Food 10-10-10</v>
          </cell>
          <cell r="E518" t="str">
            <v>https://www.amazon.com/dp/B00P8EG8XQ</v>
          </cell>
          <cell r="F518" t="str">
            <v>Crawling Insect Control</v>
          </cell>
          <cell r="G518" t="str">
            <v>Ant Traps</v>
          </cell>
          <cell r="H518" t="str">
            <v>Crawling Insect Control - Ant Traps</v>
          </cell>
          <cell r="I518" t="str">
            <v>Other crawling insects</v>
          </cell>
        </row>
        <row r="519">
          <cell r="A519" t="str">
            <v>B09WTKPVB3</v>
          </cell>
          <cell r="B519" t="str">
            <v>Bonide</v>
          </cell>
          <cell r="C519" t="str">
            <v>Bonide Products LLC</v>
          </cell>
          <cell r="D519" t="str">
            <v>REVENGE Termite &amp; Carpenter Ant Killer, 15 oz Ready-to-Use Aerosol Spray, Kills on Contact and Long Lasting Control</v>
          </cell>
          <cell r="E519" t="str">
            <v>https://www.amazon.com/dp/B09WTKPVB3</v>
          </cell>
          <cell r="F519" t="str">
            <v>Crawling Insect Control</v>
          </cell>
          <cell r="G519" t="str">
            <v>Ant Traps</v>
          </cell>
          <cell r="H519" t="str">
            <v>Crawling Insect Control - Ant Traps</v>
          </cell>
          <cell r="I519" t="str">
            <v>Other crawling insects</v>
          </cell>
        </row>
        <row r="520">
          <cell r="A520" t="str">
            <v>B000HA95W2</v>
          </cell>
          <cell r="B520" t="str">
            <v>Bonide</v>
          </cell>
          <cell r="C520" t="str">
            <v>BFG Supply</v>
          </cell>
          <cell r="D520" t="str">
            <v>Bonide (BND141) - Sulfur Plant Fungicide, Organically Controls Rust, Leaf Spot and Powdery Mildew (1 lb.), Ready-to-Use</v>
          </cell>
          <cell r="E520" t="str">
            <v>https://www.amazon.com/dp/B000HA95W2</v>
          </cell>
          <cell r="F520" t="str">
            <v>Crawling Insect Control</v>
          </cell>
          <cell r="G520" t="str">
            <v>Ant Traps</v>
          </cell>
          <cell r="H520" t="str">
            <v>Crawling Insect Control - Ant Traps</v>
          </cell>
          <cell r="I520" t="str">
            <v>Other crawling insects</v>
          </cell>
        </row>
        <row r="521">
          <cell r="A521" t="str">
            <v>B00FGIPQYQ</v>
          </cell>
          <cell r="B521" t="str">
            <v>Bonide</v>
          </cell>
          <cell r="C521" t="str">
            <v>Bonide</v>
          </cell>
          <cell r="D521" t="str">
            <v>Bonide Fruit Tree &amp; Plant Guard, 32 oz Concentrate</v>
          </cell>
          <cell r="E521" t="str">
            <v>https://www.amazon.com/dp/B00FGIPQYQ?psc=1</v>
          </cell>
          <cell r="F521" t="str">
            <v>Rodent Control</v>
          </cell>
          <cell r="G521" t="str">
            <v>Ant Traps</v>
          </cell>
          <cell r="H521" t="str">
            <v>Rodent Control - Ant Traps</v>
          </cell>
          <cell r="I521" t="str">
            <v>Other crawling insects</v>
          </cell>
        </row>
        <row r="522">
          <cell r="A522" t="str">
            <v>B07KQDKMGY</v>
          </cell>
          <cell r="B522" t="str">
            <v>Bonide</v>
          </cell>
          <cell r="C522" t="str">
            <v>Bonide</v>
          </cell>
          <cell r="D522" t="str">
            <v>BONIDE Products INC 142 Sulfur Plant Fungicide Organically Controls Rust, Leaf Spot and Powdery Mildew, 4 lbs (2)</v>
          </cell>
          <cell r="E522" t="str">
            <v>https://www.amazon.com/dp/B07KQDKMGY</v>
          </cell>
          <cell r="F522" t="str">
            <v>Crawling Insect Control</v>
          </cell>
          <cell r="G522" t="str">
            <v>Ant Traps</v>
          </cell>
          <cell r="H522" t="str">
            <v>Crawling Insect Control - Ant Traps</v>
          </cell>
          <cell r="I522" t="str">
            <v>Other crawling insects</v>
          </cell>
        </row>
        <row r="523">
          <cell r="A523" t="str">
            <v>B0035H7V34</v>
          </cell>
          <cell r="B523" t="str">
            <v>Bonide</v>
          </cell>
          <cell r="C523" t="str">
            <v>Bonide Products LLC</v>
          </cell>
          <cell r="D523" t="str">
            <v>Bonide Sulfur Plant Fungicide, 4 lb. Ready-to-Use Micronized Spray or Dust for Organic Gardening, Controls Common Diseases</v>
          </cell>
          <cell r="E523" t="str">
            <v>https://www.amazon.com/dp/B0035H7V34?psc=1</v>
          </cell>
          <cell r="F523" t="str">
            <v>Crawling Insect Control</v>
          </cell>
          <cell r="G523" t="str">
            <v>Ant Traps</v>
          </cell>
          <cell r="H523" t="str">
            <v>Crawling Insect Control - Ant Traps</v>
          </cell>
          <cell r="I523" t="str">
            <v>Other crawling insects</v>
          </cell>
        </row>
        <row r="524">
          <cell r="A524" t="str">
            <v>B08C3PPYSV</v>
          </cell>
          <cell r="B524" t="str">
            <v>Syngenta</v>
          </cell>
          <cell r="C524" t="str">
            <v>Syngenta</v>
          </cell>
          <cell r="D524" t="str">
            <v>Syngenta 68078 Advion Singular Tube Ant Gel Lure, 30g</v>
          </cell>
          <cell r="E524" t="str">
            <v>https://www.amazon.com/dp/B08C3PPYSV</v>
          </cell>
          <cell r="F524" t="str">
            <v>Crawling Insect Control</v>
          </cell>
          <cell r="G524" t="str">
            <v>Ant Traps</v>
          </cell>
          <cell r="H524" t="str">
            <v>Crawling Insect Control - Ant Traps</v>
          </cell>
          <cell r="I524" t="str">
            <v>Other crawling insects</v>
          </cell>
        </row>
        <row r="525">
          <cell r="A525" t="str">
            <v>B00TXFE4RI</v>
          </cell>
          <cell r="B525" t="str">
            <v>Syngenta</v>
          </cell>
          <cell r="C525" t="str">
            <v>Syngenta</v>
          </cell>
          <cell r="D525" t="str">
            <v>Syngenta Advion Ant Gel 4 tubes 30 grams each</v>
          </cell>
          <cell r="E525" t="str">
            <v>https://www.amazon.com/dp/B00TXFE4RI</v>
          </cell>
          <cell r="F525" t="str">
            <v>Crawling Insect Control</v>
          </cell>
          <cell r="G525" t="str">
            <v>Ant Traps</v>
          </cell>
          <cell r="H525" t="str">
            <v>Crawling Insect Control - Ant Traps</v>
          </cell>
          <cell r="I525" t="str">
            <v>Other crawling insects</v>
          </cell>
        </row>
        <row r="526">
          <cell r="A526" t="str">
            <v>B07XRSC5WZ</v>
          </cell>
          <cell r="B526" t="str">
            <v>Syngenta</v>
          </cell>
          <cell r="C526" t="str">
            <v>SYNGENTA</v>
          </cell>
          <cell r="D526" t="str">
            <v>Syngenta Advion Ant Gel - 1 Box (4 X 30 Gr.Syringes)</v>
          </cell>
          <cell r="E526" t="str">
            <v>https://www.amazon.com/dp/B07XRSC5WZ?psc=1</v>
          </cell>
          <cell r="F526" t="str">
            <v>Crawling Insect Control</v>
          </cell>
          <cell r="G526" t="str">
            <v>Ant Traps</v>
          </cell>
          <cell r="H526" t="str">
            <v>Crawling Insect Control - Ant Traps</v>
          </cell>
          <cell r="I526" t="str">
            <v>Other crawling insects</v>
          </cell>
        </row>
        <row r="527">
          <cell r="A527" t="str">
            <v>B003K8JDPM</v>
          </cell>
          <cell r="B527" t="str">
            <v>Syngenta</v>
          </cell>
          <cell r="C527" t="str">
            <v>Syngenta</v>
          </cell>
          <cell r="D527" t="str">
            <v>Syngenta - TRTD11568 - Optigard Ant Bait Gel Box - 4 Tubes w/ Plunger - 30g each tube, White</v>
          </cell>
          <cell r="E527" t="str">
            <v>https://www.amazon.com/dp/B003K8JDPM</v>
          </cell>
          <cell r="F527" t="str">
            <v>Crawling Insect Control</v>
          </cell>
          <cell r="G527" t="str">
            <v>Bait &amp; Poison</v>
          </cell>
          <cell r="H527" t="str">
            <v>Crawling Insect Control - Bait &amp; Poison</v>
          </cell>
          <cell r="I527" t="str">
            <v>Other crawling insects</v>
          </cell>
        </row>
        <row r="528">
          <cell r="A528" t="str">
            <v>B00407FUTA</v>
          </cell>
          <cell r="B528" t="str">
            <v>Syngenta</v>
          </cell>
          <cell r="C528" t="str">
            <v>Syngenta</v>
          </cell>
          <cell r="D528" t="str">
            <v>Syngenta - A20380A - Advion Fire Ant Bait - Insecticide - 2lb</v>
          </cell>
          <cell r="E528" t="str">
            <v>https://www.amazon.com/dp/B00407FUTA</v>
          </cell>
          <cell r="F528" t="str">
            <v>Flying Insect Control</v>
          </cell>
          <cell r="G528" t="str">
            <v>Bait &amp; Poison</v>
          </cell>
          <cell r="H528" t="str">
            <v>Flying Insect Control - Bait &amp; Poison</v>
          </cell>
          <cell r="I528" t="str">
            <v>Other crawling insects</v>
          </cell>
        </row>
        <row r="529">
          <cell r="A529" t="str">
            <v>B08HY6BHT9</v>
          </cell>
          <cell r="B529" t="str">
            <v>Syngenta</v>
          </cell>
          <cell r="C529" t="str">
            <v>Syngenta</v>
          </cell>
          <cell r="D529" t="str">
            <v>Advion Ant Bait Arena 12ct</v>
          </cell>
          <cell r="E529" t="str">
            <v>https://www.amazon.com/dp/B08HY6BHT9</v>
          </cell>
          <cell r="F529" t="str">
            <v>Crawling Insect Control</v>
          </cell>
          <cell r="G529" t="str">
            <v>Bait &amp; Poison</v>
          </cell>
          <cell r="H529" t="str">
            <v>Crawling Insect Control - Bait &amp; Poison</v>
          </cell>
          <cell r="I529" t="str">
            <v>Other crawling insects</v>
          </cell>
        </row>
        <row r="530">
          <cell r="A530" t="str">
            <v>B0B4VBN389</v>
          </cell>
          <cell r="B530" t="str">
            <v>Syngenta</v>
          </cell>
          <cell r="C530" t="str">
            <v>Syngenta</v>
          </cell>
          <cell r="D530" t="str">
            <v>Primo Maxx Plant Growth Regulator</v>
          </cell>
          <cell r="E530" t="str">
            <v>https://www.amazon.com/dp/B0B4VBN389</v>
          </cell>
          <cell r="F530" t="str">
            <v>Crawling Insect Control</v>
          </cell>
          <cell r="G530" t="str">
            <v>Ant Traps</v>
          </cell>
          <cell r="H530" t="str">
            <v>Crawling Insect Control - Ant Traps</v>
          </cell>
          <cell r="I530" t="str">
            <v>Other crawling insects</v>
          </cell>
        </row>
        <row r="531">
          <cell r="A531" t="str">
            <v>B0D9KTP9MF</v>
          </cell>
          <cell r="B531" t="str">
            <v>Syngenta</v>
          </cell>
          <cell r="C531" t="str">
            <v>Syngenta</v>
          </cell>
          <cell r="D531" t="str">
            <v>Syngenta Advion Ant Gel Station Insecticide, Ready-to-Use Gel Bait with The Active Ingredient Indoxacarb, Ant Bait for Use Indoor and Outdoor, 6 Boxes (18 Total Stations)</v>
          </cell>
          <cell r="E531" t="str">
            <v>https://www.amazon.com/dp/B0D9KTP9MF</v>
          </cell>
          <cell r="F531" t="str">
            <v>Flying Insect Control</v>
          </cell>
          <cell r="G531" t="str">
            <v>Bait &amp; Poison</v>
          </cell>
          <cell r="H531" t="str">
            <v>Flying Insect Control - Bait &amp; Poison</v>
          </cell>
          <cell r="I531" t="str">
            <v>Other crawling insects</v>
          </cell>
        </row>
        <row r="532">
          <cell r="A532" t="str">
            <v>B0DYYS8Q46</v>
          </cell>
          <cell r="B532" t="str">
            <v>Syngenta</v>
          </cell>
          <cell r="C532" t="str">
            <v>Syngenta</v>
          </cell>
          <cell r="D532" t="str">
            <v>Advion Ant Gel Bait, 4 Tubes x 30-Grams, 1 Plunger &amp; 2 Tips, Effective Bait Formulated with 0.05% Indoxacarb, Indoor and Outdoor Use, Killer Gel for Most Major Ant Species (Pack of 2)</v>
          </cell>
          <cell r="E532" t="str">
            <v>https://www.amazon.com/dp/B0DYYS8Q46</v>
          </cell>
          <cell r="F532" t="str">
            <v>Crawling Insect Control</v>
          </cell>
          <cell r="G532" t="str">
            <v>Bait &amp; Poison</v>
          </cell>
          <cell r="H532" t="str">
            <v>Crawling Insect Control - Bait &amp; Poison</v>
          </cell>
          <cell r="I532" t="str">
            <v>Other crawling insects</v>
          </cell>
        </row>
        <row r="533">
          <cell r="A533" t="str">
            <v>B0069ALA86</v>
          </cell>
          <cell r="B533" t="str">
            <v>Syngenta</v>
          </cell>
          <cell r="D533" t="str">
            <v>Optigard Ant Gel Bait, 4 Tubes x 30-Grams, 1 Plunger and 2 Application Tips, Effective Bait, Formulated with 0.01% Thiamethoxam, Indoor and Outdoor Use, Killer Gel for Most Major Ant Species</v>
          </cell>
          <cell r="E533" t="str">
            <v>https://www.amazon.com/dp/B0069ALA86</v>
          </cell>
          <cell r="F533" t="str">
            <v>Crawling Insect Control</v>
          </cell>
          <cell r="G533" t="str">
            <v>Bait &amp; Poison</v>
          </cell>
          <cell r="H533" t="str">
            <v>Crawling Insect Control - Bait &amp; Poison</v>
          </cell>
          <cell r="I533" t="str">
            <v>Other crawling insects</v>
          </cell>
        </row>
        <row r="534">
          <cell r="A534" t="str">
            <v>B004HD973W</v>
          </cell>
          <cell r="B534" t="str">
            <v>Syngenta</v>
          </cell>
          <cell r="C534" t="str">
            <v>Syngenta</v>
          </cell>
          <cell r="D534" t="str">
            <v>Advion Ant Bait Arena, 12-Count Bag, Effective Bait in A Small Plastic Arena for Easy Placement, Formulated with 0.1% Indoxacarb, Indoor and Outdoor Use, for Control of Most Major Ant Species (3)</v>
          </cell>
          <cell r="E534" t="str">
            <v>https://www.amazon.com/dp/B004HD973W</v>
          </cell>
          <cell r="F534" t="str">
            <v>Crawling Insect Control</v>
          </cell>
          <cell r="G534" t="str">
            <v>Bait &amp; Poison</v>
          </cell>
          <cell r="H534" t="str">
            <v>Crawling Insect Control - Bait &amp; Poison</v>
          </cell>
          <cell r="I534" t="str">
            <v>Other crawling insects</v>
          </cell>
        </row>
        <row r="535">
          <cell r="A535" t="str">
            <v>B08VFBXJGF</v>
          </cell>
          <cell r="B535" t="str">
            <v>HARRIS</v>
          </cell>
          <cell r="C535" t="str">
            <v>Harris</v>
          </cell>
          <cell r="D535" t="str">
            <v>Harris Carpenter Ant Killer &amp; Termite Control Treatment, Kills On Contact, Odorless &amp; Non-Staining Formula, 128 Oz</v>
          </cell>
          <cell r="E535" t="str">
            <v>https://www.amazon.com/dp/B08VFBXJGF</v>
          </cell>
          <cell r="F535" t="str">
            <v>Crawling Insect Control</v>
          </cell>
          <cell r="G535" t="str">
            <v>Ant Traps</v>
          </cell>
          <cell r="H535" t="str">
            <v>Crawling Insect Control - Ant Traps</v>
          </cell>
          <cell r="I535" t="str">
            <v>Other crawling insects</v>
          </cell>
        </row>
        <row r="536">
          <cell r="A536" t="str">
            <v>B01LWD8OXH</v>
          </cell>
          <cell r="B536" t="str">
            <v>Nature's MACE</v>
          </cell>
          <cell r="C536" t="str">
            <v>Nature's MACE</v>
          </cell>
          <cell r="D536" t="str">
            <v>Nature's MACE Mole and Vole Mace, Mole Deterrent for Yard, 1 Gallon, 100% Pure Castor Oil, Lawns, Mole Repellent, Stop Tunneling, Mole Remover Treatment, Castor Oil Repellent, People, Pet, Plant Safe</v>
          </cell>
          <cell r="E536" t="str">
            <v>https://www.amazon.com/dp/B01LWD8OXH?psc=1</v>
          </cell>
          <cell r="F536" t="str">
            <v>Crawling Insect Control</v>
          </cell>
          <cell r="G536" t="str">
            <v>Repellents</v>
          </cell>
          <cell r="H536" t="str">
            <v>Crawling Insect Control - Repellents</v>
          </cell>
          <cell r="I536" t="str">
            <v>Other crawling insects</v>
          </cell>
        </row>
        <row r="537">
          <cell r="A537" t="str">
            <v>B09JB996G8</v>
          </cell>
          <cell r="B537" t="str">
            <v>Mighty Mint</v>
          </cell>
          <cell r="C537" t="str">
            <v>Pure Origin Products</v>
          </cell>
          <cell r="D537" t="str">
            <v>Mighty Mint Peppermint Oil Ant Killer Spray, 16 oz</v>
          </cell>
          <cell r="E537" t="str">
            <v>https://www.amazon.com/dp/B09JB996G8?psc=1</v>
          </cell>
          <cell r="F537" t="str">
            <v>Crawling Insect Control</v>
          </cell>
          <cell r="G537" t="str">
            <v>Ant Traps</v>
          </cell>
          <cell r="H537" t="str">
            <v>Crawling Insect Control - Ant Traps</v>
          </cell>
          <cell r="I537" t="str">
            <v>Other crawling insects</v>
          </cell>
        </row>
        <row r="538">
          <cell r="A538" t="str">
            <v>B0D7NV4215</v>
          </cell>
          <cell r="B538" t="str">
            <v>Mighty Mint</v>
          </cell>
          <cell r="C538" t="str">
            <v>Pure Origin Products</v>
          </cell>
          <cell r="D538" t="str">
            <v>Mighty Mint Peppermint Oil Plant Protection Spray, 16 oz</v>
          </cell>
          <cell r="E538" t="str">
            <v>https://www.amazon.com/dp/B0D7NV4215?psc=1</v>
          </cell>
          <cell r="F538" t="str">
            <v>Crawling Insect Control</v>
          </cell>
          <cell r="G538" t="str">
            <v>Ant Traps</v>
          </cell>
          <cell r="H538" t="str">
            <v>Crawling Insect Control - Ant Traps</v>
          </cell>
          <cell r="I538" t="str">
            <v>Other crawling insects</v>
          </cell>
        </row>
        <row r="539">
          <cell r="A539" t="str">
            <v>B09K9P1CFC</v>
          </cell>
          <cell r="B539" t="str">
            <v>Mighty Mint</v>
          </cell>
          <cell r="C539" t="str">
            <v>Pure Origin Products</v>
          </cell>
          <cell r="D539" t="str">
            <v>Mighty Mint Peppermint Oil Plant Protection Spray, 32 oz</v>
          </cell>
          <cell r="E539" t="str">
            <v>https://www.amazon.com/dp/B09K9P1CFC?psc=1</v>
          </cell>
          <cell r="F539" t="str">
            <v>Crawling Insect Control</v>
          </cell>
          <cell r="G539" t="str">
            <v>Ant Traps</v>
          </cell>
          <cell r="H539" t="str">
            <v>Crawling Insect Control - Ant Traps</v>
          </cell>
          <cell r="I539" t="str">
            <v>Other crawling insects</v>
          </cell>
        </row>
        <row r="540">
          <cell r="A540" t="str">
            <v>B0CH2XP8KZ</v>
          </cell>
          <cell r="B540" t="str">
            <v>Mighty Mint</v>
          </cell>
          <cell r="C540" t="str">
            <v>Pure Origin Products</v>
          </cell>
          <cell r="D540" t="str">
            <v>Mighty Mint Neem Oil &amp; Peppermint Plant Nutrient Spray, 16 oz</v>
          </cell>
          <cell r="E540" t="str">
            <v>https://www.amazon.com/dp/B0CH2XP8KZ?psc=1</v>
          </cell>
          <cell r="F540" t="str">
            <v>Crawling Insect Control</v>
          </cell>
          <cell r="G540" t="str">
            <v>Ant Traps</v>
          </cell>
          <cell r="H540" t="str">
            <v>Crawling Insect Control - Ant Traps</v>
          </cell>
          <cell r="I540" t="str">
            <v>Other crawling insects</v>
          </cell>
        </row>
        <row r="541">
          <cell r="A541" t="str">
            <v>B0F1DZHH53</v>
          </cell>
          <cell r="B541" t="str">
            <v>Mighty Mint</v>
          </cell>
          <cell r="C541" t="str">
            <v>Pure Origin Products</v>
          </cell>
          <cell r="D541" t="str">
            <v>Mighty Mint Neem Oil &amp; Peppermint Plant Nutrient Spray – Natural Leaf Shine for Indoor &amp; Outdoor Use – Plant-Based Formula for Stronger, Healthy Plants - 16 oz (Pack of 2)</v>
          </cell>
          <cell r="E541" t="str">
            <v>https://www.amazon.com/dp/B0F1DZHH53?psc=1</v>
          </cell>
          <cell r="F541" t="str">
            <v>Crawling Insect Control</v>
          </cell>
          <cell r="G541" t="str">
            <v>Ant Traps</v>
          </cell>
          <cell r="H541" t="str">
            <v>Crawling Insect Control - Ant Traps</v>
          </cell>
          <cell r="I541" t="str">
            <v>Other crawling insects</v>
          </cell>
        </row>
        <row r="542">
          <cell r="A542" t="str">
            <v>B071S2T4YW</v>
          </cell>
          <cell r="B542" t="str">
            <v>Ortho</v>
          </cell>
          <cell r="C542" t="str">
            <v>The Scotts Company LLC</v>
          </cell>
          <cell r="D542" t="str">
            <v>Ortho Orthene Fire Ant Killer1, 12 oz (2-Pack), 680g</v>
          </cell>
          <cell r="E542" t="str">
            <v>https://www.amazon.com/dp/B071S2T4YW?psc=1</v>
          </cell>
          <cell r="F542" t="str">
            <v>Crawling Insect Control</v>
          </cell>
          <cell r="G542" t="str">
            <v>Ant Traps</v>
          </cell>
          <cell r="H542" t="str">
            <v>Crawling Insect Control - Ant Traps</v>
          </cell>
          <cell r="I542" t="str">
            <v>Other crawling insects</v>
          </cell>
        </row>
        <row r="543">
          <cell r="A543" t="str">
            <v>B077V166VG</v>
          </cell>
          <cell r="B543" t="str">
            <v>Ortho</v>
          </cell>
          <cell r="C543" t="str">
            <v>The Scotts Company LLC</v>
          </cell>
          <cell r="D543" t="str">
            <v>Ortho Fire Ant Killer Mound Treatment1, 3 lbs.</v>
          </cell>
          <cell r="E543" t="str">
            <v>https://www.amazon.com/dp/B077V166VG?psc=1</v>
          </cell>
          <cell r="F543" t="str">
            <v>Crawling Insect Control</v>
          </cell>
          <cell r="G543" t="str">
            <v>Ant Traps</v>
          </cell>
          <cell r="H543" t="str">
            <v>Crawling Insect Control - Ant Traps</v>
          </cell>
          <cell r="I543" t="str">
            <v>Other crawling insects</v>
          </cell>
        </row>
        <row r="544">
          <cell r="A544" t="str">
            <v>B0DV9TNX7H</v>
          </cell>
          <cell r="B544" t="str">
            <v>Ortho</v>
          </cell>
          <cell r="C544" t="str">
            <v>The Scotts Company</v>
          </cell>
          <cell r="D544" t="str">
            <v>Ortho Orthene Fire Ant Killer1, 14 oz</v>
          </cell>
          <cell r="E544" t="str">
            <v>https://www.amazon.com/dp/B0DV9TNX7H?psc=1</v>
          </cell>
          <cell r="F544" t="str">
            <v>Crawling Insect Control</v>
          </cell>
          <cell r="G544" t="str">
            <v>Ant Traps</v>
          </cell>
          <cell r="H544" t="str">
            <v>Crawling Insect Control - Ant Traps</v>
          </cell>
          <cell r="I544" t="str">
            <v>Other crawling insects</v>
          </cell>
        </row>
        <row r="545">
          <cell r="A545" t="str">
            <v>B0FSF28QY1</v>
          </cell>
          <cell r="B545" t="str">
            <v>Ortho</v>
          </cell>
          <cell r="C545" t="str">
            <v>The Scotts Company LLC</v>
          </cell>
          <cell r="D545" t="str">
            <v>Ortho Orthene Fire Ant Killer Broadcast Granules, 13 lbs.</v>
          </cell>
          <cell r="E545" t="str">
            <v>https://www.amazon.com/dp/B0FSF28QY1?psc=1</v>
          </cell>
          <cell r="F545" t="str">
            <v>Crawling Insect Control</v>
          </cell>
          <cell r="G545" t="str">
            <v>Ant Traps</v>
          </cell>
          <cell r="H545" t="str">
            <v>Crawling Insect Control - Ant Traps</v>
          </cell>
          <cell r="I545" t="str">
            <v>Other crawling insects</v>
          </cell>
        </row>
        <row r="546">
          <cell r="A546" t="str">
            <v>B0FQYJ2R42</v>
          </cell>
          <cell r="B546" t="str">
            <v>Ortho</v>
          </cell>
          <cell r="C546" t="str">
            <v>The Scotts Company LLC</v>
          </cell>
          <cell r="D546" t="str">
            <v>Ortho Orthene Fire Ant Killer Lawn &amp; Landscape Broadcast Ready-to-Spray</v>
          </cell>
          <cell r="E546" t="str">
            <v>https://www.amazon.com/dp/B0FQYJ2R42?psc=1</v>
          </cell>
          <cell r="F546" t="str">
            <v>Crawling Insect Control</v>
          </cell>
          <cell r="G546" t="str">
            <v>Ant Traps</v>
          </cell>
          <cell r="H546" t="str">
            <v>Crawling Insect Control - Ant Traps</v>
          </cell>
          <cell r="I546" t="str">
            <v>Other crawling insects</v>
          </cell>
        </row>
        <row r="547">
          <cell r="A547" t="str">
            <v>B071L8K4DY</v>
          </cell>
          <cell r="B547" t="str">
            <v>Ortho</v>
          </cell>
          <cell r="C547" t="str">
            <v>The Scotts Company LLC</v>
          </cell>
          <cell r="D547" t="str">
            <v>Ortho Fire Ant Killer Broadcast Granules, Kills Mounds in 15 Minutes, 6 Month Protection, Treats Up to 5,000 sq. ft., 11.5 lb.</v>
          </cell>
          <cell r="E547" t="str">
            <v>https://www.amazon.com/dp/B071L8K4DY?psc=1</v>
          </cell>
          <cell r="F547" t="str">
            <v>Crawling Insect Control</v>
          </cell>
          <cell r="G547" t="str">
            <v>Ant Traps</v>
          </cell>
          <cell r="H547" t="str">
            <v>Crawling Insect Control - Ant Traps</v>
          </cell>
          <cell r="I547" t="str">
            <v>Other crawling insects</v>
          </cell>
        </row>
        <row r="548">
          <cell r="A548" t="str">
            <v>B0FN4M9V4N</v>
          </cell>
          <cell r="B548" t="str">
            <v>Ortho</v>
          </cell>
          <cell r="C548" t="str">
            <v>The Scotts Company LLC</v>
          </cell>
          <cell r="D548" t="str">
            <v>Ortho Orthene Ant Killer Ant Bait, 12 Bait Stations</v>
          </cell>
          <cell r="E548" t="str">
            <v>https://www.amazon.com/dp/B0FN4M9V4N?psc=1</v>
          </cell>
          <cell r="F548" t="str">
            <v>Crawling Insect Control</v>
          </cell>
          <cell r="G548" t="str">
            <v>Bait &amp; Poison</v>
          </cell>
          <cell r="H548" t="str">
            <v>Crawling Insect Control - Bait &amp; Poison</v>
          </cell>
          <cell r="I548" t="str">
            <v>Other crawling insects</v>
          </cell>
        </row>
        <row r="549">
          <cell r="A549" t="str">
            <v>B0FSF5133G</v>
          </cell>
          <cell r="B549" t="str">
            <v>Ortho</v>
          </cell>
          <cell r="C549" t="str">
            <v>The Scotts Company LLC</v>
          </cell>
          <cell r="D549" t="str">
            <v>Ortho Orthene Ant Killer Ant Bait, 12 Bait Stations (2-Pack)</v>
          </cell>
          <cell r="E549" t="str">
            <v>https://www.amazon.com/dp/B0FSF5133G?psc=1</v>
          </cell>
          <cell r="F549" t="str">
            <v>Crawling Insect Control</v>
          </cell>
          <cell r="G549" t="str">
            <v>Bait &amp; Poison</v>
          </cell>
          <cell r="H549" t="str">
            <v>Crawling Insect Control - Bait &amp; Poison</v>
          </cell>
          <cell r="I549" t="str">
            <v>Other crawling insects</v>
          </cell>
        </row>
        <row r="550">
          <cell r="A550" t="str">
            <v>B0DNFSH3Y9</v>
          </cell>
          <cell r="B550" t="str">
            <v>Ortho</v>
          </cell>
          <cell r="C550" t="str">
            <v>The Scotts Company</v>
          </cell>
          <cell r="D550" t="str">
            <v>Ortho Orthene Ant &amp; Roach Killer, 1 lb.</v>
          </cell>
          <cell r="E550" t="str">
            <v>https://www.amazon.com/dp/B0DNFSH3Y9?psc=1</v>
          </cell>
          <cell r="F550" t="str">
            <v>Crawling Insect Control</v>
          </cell>
          <cell r="G550" t="str">
            <v>Roach Traps</v>
          </cell>
          <cell r="H550" t="str">
            <v>Crawling Insect Control - Roach Traps</v>
          </cell>
          <cell r="I550" t="str">
            <v>Other crawling insects</v>
          </cell>
        </row>
        <row r="551">
          <cell r="A551" t="str">
            <v>B0FQY5T13K</v>
          </cell>
          <cell r="B551" t="str">
            <v>Ortho</v>
          </cell>
          <cell r="C551" t="str">
            <v>The Scotts Company LLC</v>
          </cell>
          <cell r="D551" t="str">
            <v>Ortho Orthene Ant Barrier Granules, 2.5 lbs.</v>
          </cell>
          <cell r="E551" t="str">
            <v>https://www.amazon.com/dp/B0FQY5T13K?psc=1</v>
          </cell>
          <cell r="F551" t="str">
            <v>Crawling Insect Control</v>
          </cell>
          <cell r="G551" t="str">
            <v>Ant Traps</v>
          </cell>
          <cell r="H551" t="str">
            <v>Crawling Insect Control - Ant Traps</v>
          </cell>
          <cell r="I551" t="str">
            <v>Other crawling insects</v>
          </cell>
        </row>
        <row r="552">
          <cell r="A552" t="str">
            <v>B0FLS6XDRN</v>
          </cell>
          <cell r="B552" t="str">
            <v>Ortho</v>
          </cell>
          <cell r="C552" t="str">
            <v>The Scotts Company</v>
          </cell>
          <cell r="D552" t="str">
            <v>Ortho Orthene Ant &amp; Roach Killer, 1 lb. (2-Pack)</v>
          </cell>
          <cell r="E552" t="str">
            <v>https://www.amazon.com/dp/B0FLS6XDRN?psc=1</v>
          </cell>
          <cell r="F552" t="str">
            <v>Crawling Insect Control</v>
          </cell>
          <cell r="G552" t="str">
            <v>Roach Traps</v>
          </cell>
          <cell r="H552" t="str">
            <v>Crawling Insect Control - Roach Traps</v>
          </cell>
          <cell r="I552" t="str">
            <v>Other crawling insects</v>
          </cell>
        </row>
        <row r="553">
          <cell r="A553" t="str">
            <v>B0B5XXYP8L</v>
          </cell>
          <cell r="B553" t="str">
            <v>Ortho</v>
          </cell>
          <cell r="C553" t="str">
            <v>PIC</v>
          </cell>
          <cell r="D553" t="str">
            <v>Ant Traps Indoor by Ortho Home Defense 4pk</v>
          </cell>
          <cell r="E553" t="str">
            <v>https://www.amazon.com/dp/B0B5XXYP8L</v>
          </cell>
          <cell r="F553" t="str">
            <v>Crawling Insect Control</v>
          </cell>
          <cell r="G553" t="str">
            <v>Ant Traps</v>
          </cell>
          <cell r="H553" t="str">
            <v>Crawling Insect Control - Ant Traps</v>
          </cell>
          <cell r="I553" t="str">
            <v>Other crawling insects</v>
          </cell>
        </row>
        <row r="554">
          <cell r="A554" t="str">
            <v>B0B5XW4V3Q</v>
          </cell>
          <cell r="B554" t="str">
            <v>Ortho</v>
          </cell>
          <cell r="C554" t="str">
            <v>PIC</v>
          </cell>
          <cell r="D554" t="str">
            <v>Ant Traps Indoor by Ortho Home Defense 10pk</v>
          </cell>
          <cell r="E554" t="str">
            <v>https://www.amazon.com/dp/B0B5XW4V3Q</v>
          </cell>
          <cell r="F554" t="str">
            <v>Crawling Insect Control</v>
          </cell>
          <cell r="G554" t="str">
            <v>Ant Traps</v>
          </cell>
          <cell r="H554" t="str">
            <v>Crawling Insect Control - Ant Traps</v>
          </cell>
          <cell r="I554" t="str">
            <v>Other crawling insects</v>
          </cell>
        </row>
        <row r="555">
          <cell r="A555" t="str">
            <v>B000BOHIZ0</v>
          </cell>
          <cell r="B555" t="str">
            <v>Ortho</v>
          </cell>
          <cell r="C555" t="str">
            <v>SCOTTS ORTHO ROUNDUP</v>
          </cell>
          <cell r="D555" t="str">
            <v>Ortho Orthene Fire Ant Killer</v>
          </cell>
          <cell r="E555" t="str">
            <v>https://www.amazon.com/dp/B000BOHIZ0</v>
          </cell>
          <cell r="F555" t="str">
            <v>Crawling Insect Control</v>
          </cell>
          <cell r="G555" t="str">
            <v>Ant Traps</v>
          </cell>
          <cell r="H555" t="str">
            <v>Crawling Insect Control - Ant Traps</v>
          </cell>
          <cell r="I555" t="str">
            <v>Other crawling insects</v>
          </cell>
        </row>
        <row r="556">
          <cell r="A556" t="str">
            <v>B0FSF3WRQC</v>
          </cell>
          <cell r="B556" t="str">
            <v>Ortho</v>
          </cell>
          <cell r="C556" t="str">
            <v>The Scotts Company LLC</v>
          </cell>
          <cell r="D556" t="str">
            <v>Ortho Orthene Fire Ant Killer Broadcast Granules, 11.5 lbs.</v>
          </cell>
          <cell r="E556" t="str">
            <v>https://www.amazon.com/dp/B0FSF3WRQC</v>
          </cell>
          <cell r="F556" t="str">
            <v>Crawling Insect Control</v>
          </cell>
          <cell r="G556" t="str">
            <v>Ant Traps</v>
          </cell>
          <cell r="H556" t="str">
            <v>Crawling Insect Control - Ant Traps</v>
          </cell>
          <cell r="I556" t="str">
            <v>Other crawling insects</v>
          </cell>
        </row>
        <row r="557">
          <cell r="A557" t="str">
            <v>B0HBSQZMQF</v>
          </cell>
          <cell r="B557" t="str">
            <v>Ortho</v>
          </cell>
          <cell r="C557" t="str">
            <v>The Fountainhead Group Inc.</v>
          </cell>
          <cell r="D557" t="str">
            <v>Ortho 1 Gallon Multi-Use Pump Sprayer with Adjustable 3-Pattern All-in-One Nozzle, EZ Pump System, Leak-Resistant Seals for Weed Killer, Insecticide, Fungicide, Fertilizer &amp; Lawn and Garden Care</v>
          </cell>
          <cell r="E557" t="str">
            <v>https://www.amazon.com/dp/B0HBSQZMQF</v>
          </cell>
          <cell r="F557" t="str">
            <v>Flying Insect Control</v>
          </cell>
          <cell r="G557" t="str">
            <v>Ant Traps</v>
          </cell>
          <cell r="H557" t="str">
            <v>Flying Insect Control - Ant Traps</v>
          </cell>
          <cell r="I557" t="str">
            <v>Other crawling insects</v>
          </cell>
        </row>
        <row r="558">
          <cell r="A558" t="str">
            <v>B000A0UCRG</v>
          </cell>
          <cell r="B558" t="str">
            <v>Ortho</v>
          </cell>
          <cell r="C558" t="str">
            <v>The Scotts Company LLC</v>
          </cell>
          <cell r="D558" t="str">
            <v>Ortho Orthene Fire Ant Killer1 – Fire Ant Mound Treatment, Kills Queens, No Watering Needed, Treats up to 162 Mounds, 12 oz</v>
          </cell>
          <cell r="E558" t="str">
            <v>https://www.amazon.com/dp/B000A0UCRG?psc=1</v>
          </cell>
          <cell r="F558" t="str">
            <v>Crawling Insect Control</v>
          </cell>
          <cell r="G558" t="str">
            <v>Ant Traps</v>
          </cell>
          <cell r="H558" t="str">
            <v>Crawling Insect Control - Ant Traps</v>
          </cell>
          <cell r="I558" t="str">
            <v>Other crawling insects</v>
          </cell>
        </row>
        <row r="559">
          <cell r="A559" t="str">
            <v>B09GW6LH6Y</v>
          </cell>
          <cell r="B559" t="str">
            <v>Ortho</v>
          </cell>
          <cell r="C559" t="str">
            <v>The Scotts Company LLC</v>
          </cell>
          <cell r="D559" t="str">
            <v>Ortho Fire Ant Mound Blitz, 8 Pre-Measured Packs Per Bag</v>
          </cell>
          <cell r="E559" t="str">
            <v>https://www.amazon.com/dp/B09GW6LH6Y?psc=1</v>
          </cell>
          <cell r="F559" t="str">
            <v>Crawling Insect Control</v>
          </cell>
          <cell r="G559" t="str">
            <v>Ant Traps</v>
          </cell>
          <cell r="H559" t="str">
            <v>Crawling Insect Control - Ant Traps</v>
          </cell>
          <cell r="I559" t="str">
            <v>Other crawling insects</v>
          </cell>
        </row>
        <row r="560">
          <cell r="A560" t="str">
            <v>B0GN8GK5Q4</v>
          </cell>
          <cell r="B560" t="str">
            <v>Ortho</v>
          </cell>
          <cell r="C560" t="str">
            <v>The Scotts Company LLC</v>
          </cell>
          <cell r="D560" t="str">
            <v>Ortho Orthene Fire Ant Killer1, 14 oz. (2-Pack)</v>
          </cell>
          <cell r="E560" t="str">
            <v>https://www.amazon.com/dp/B0GN8GK5Q4</v>
          </cell>
          <cell r="F560" t="str">
            <v>Crawling Insect Control</v>
          </cell>
          <cell r="G560" t="str">
            <v>Ant Traps</v>
          </cell>
          <cell r="H560" t="str">
            <v>Crawling Insect Control - Ant Traps</v>
          </cell>
          <cell r="I560" t="str">
            <v>Other crawling insects</v>
          </cell>
        </row>
        <row r="561">
          <cell r="A561" t="str">
            <v>B0DYYQQRX1</v>
          </cell>
          <cell r="B561" t="str">
            <v>Syngenta</v>
          </cell>
          <cell r="C561" t="str">
            <v>Syngenta</v>
          </cell>
          <cell r="D561" t="str">
            <v>Advion Cockraoch Bait Arena 12ct (2 Pack)</v>
          </cell>
          <cell r="E561" t="str">
            <v>https://www.amazon.com/dp/B0DYYQQRX1</v>
          </cell>
          <cell r="F561" t="str">
            <v>Other</v>
          </cell>
          <cell r="G561" t="str">
            <v>Bait &amp; Poison</v>
          </cell>
          <cell r="H561" t="str">
            <v>Other - Bait &amp; Poison</v>
          </cell>
          <cell r="I561" t="str">
            <v>Cockroach</v>
          </cell>
        </row>
        <row r="562">
          <cell r="A562" t="str">
            <v>B0168K936W</v>
          </cell>
          <cell r="B562" t="str">
            <v>Scotts</v>
          </cell>
          <cell r="C562" t="str">
            <v>The Scotts Company LLC</v>
          </cell>
          <cell r="D562" t="str">
            <v>Scotts EZ Seed Patch &amp; Repair for Sun and Shade, 3.75 lbs.</v>
          </cell>
          <cell r="E562" t="str">
            <v>https://www.amazon.com/dp/B0168K936W?psc=1</v>
          </cell>
          <cell r="F562" t="str">
            <v>Lawn Repair</v>
          </cell>
          <cell r="G562" t="str">
            <v>Sun &amp; Shade Mix</v>
          </cell>
          <cell r="H562" t="str">
            <v>Lawn Repair - Sun &amp; Shade Mix</v>
          </cell>
          <cell r="I562" t="str">
            <v>Lawn Fertilizer</v>
          </cell>
        </row>
        <row r="563">
          <cell r="A563" t="str">
            <v>B0BGMM1FZV</v>
          </cell>
          <cell r="B563" t="str">
            <v>Scotts</v>
          </cell>
          <cell r="C563" t="str">
            <v>The Scotts Company LLC</v>
          </cell>
          <cell r="D563" t="str">
            <v>Scotts Turf Builder WinterGuard Fall Lawn Food, 10 lbs.</v>
          </cell>
          <cell r="E563" t="str">
            <v>https://www.amazon.com/dp/B0BGMM1FZV?psc=1</v>
          </cell>
          <cell r="F563" t="str">
            <v>Lawn Fertilizer</v>
          </cell>
          <cell r="G563" t="str">
            <v>Lawn Food</v>
          </cell>
          <cell r="H563" t="str">
            <v>Lawn Fertilizer - Lawn Food</v>
          </cell>
          <cell r="I563" t="str">
            <v>Lawn Fertilizer</v>
          </cell>
        </row>
        <row r="564">
          <cell r="A564" t="str">
            <v>B0BGMNJC58</v>
          </cell>
          <cell r="B564" t="str">
            <v>Scotts</v>
          </cell>
          <cell r="C564" t="str">
            <v>The Scotts Company LLC</v>
          </cell>
          <cell r="D564" t="str">
            <v>Scotts Turf Builder WinterGuard Fall Lawn Food, 32.3 lbs.</v>
          </cell>
          <cell r="E564" t="str">
            <v>https://www.amazon.com/dp/B0BGMNJC58?psc=1</v>
          </cell>
          <cell r="F564" t="str">
            <v>Lawn Fertilizer</v>
          </cell>
          <cell r="G564" t="str">
            <v>Lawn Food</v>
          </cell>
          <cell r="H564" t="str">
            <v>Lawn Fertilizer - Lawn Food</v>
          </cell>
          <cell r="I564" t="str">
            <v>Lawn Fertilizer</v>
          </cell>
        </row>
        <row r="565">
          <cell r="A565" t="str">
            <v>B00DK49DVA</v>
          </cell>
          <cell r="B565" t="str">
            <v>Scotts</v>
          </cell>
          <cell r="C565" t="str">
            <v>The Scotts Company LLC</v>
          </cell>
          <cell r="D565" t="str">
            <v>Scotts Turf Builder Starter Fertilizer for New Grass, 15 lbs.</v>
          </cell>
          <cell r="E565" t="str">
            <v>https://www.amazon.com/dp/B00DK49DVA?psc=1</v>
          </cell>
          <cell r="F565" t="str">
            <v>Lawn Fertilizer</v>
          </cell>
          <cell r="G565" t="str">
            <v>Starter Fertilizer</v>
          </cell>
          <cell r="H565" t="str">
            <v>Lawn Fertilizer - Starter Fertilizer</v>
          </cell>
          <cell r="I565" t="str">
            <v>Lawn Fertilizer</v>
          </cell>
        </row>
        <row r="566">
          <cell r="A566" t="str">
            <v>B08KGYNJ8H</v>
          </cell>
          <cell r="B566" t="str">
            <v>Scotts</v>
          </cell>
          <cell r="C566" t="str">
            <v>The Scotts Company LLC</v>
          </cell>
          <cell r="D566" t="str">
            <v>Scotts Turf Builder Rapid Grass Tall Fescue Mix, 5.6 lbs.</v>
          </cell>
          <cell r="E566" t="str">
            <v>https://www.amazon.com/dp/B08KGYNJ8H?psc=1</v>
          </cell>
          <cell r="F566" t="str">
            <v>Lawn Repair</v>
          </cell>
          <cell r="G566" t="str">
            <v>Tall Fescue</v>
          </cell>
          <cell r="H566" t="str">
            <v>Lawn Repair - Tall Fescue</v>
          </cell>
          <cell r="I566" t="str">
            <v>Lawn Fertilizer</v>
          </cell>
        </row>
        <row r="567">
          <cell r="A567" t="str">
            <v>B077T77H9J</v>
          </cell>
          <cell r="B567" t="str">
            <v>Scotts</v>
          </cell>
          <cell r="C567" t="str">
            <v>The Scotts Company LLC</v>
          </cell>
          <cell r="D567" t="str">
            <v>Scotts PatchMaster Lawn Repair Mix Sun + Shade Mix, 4.75 lbs.</v>
          </cell>
          <cell r="E567" t="str">
            <v>https://www.amazon.com/dp/B077T77H9J?psc=1</v>
          </cell>
          <cell r="F567" t="str">
            <v>Lawn Repair</v>
          </cell>
          <cell r="G567" t="str">
            <v>PatchMaster Repair</v>
          </cell>
          <cell r="H567" t="str">
            <v>Lawn Repair - PatchMaster Repair</v>
          </cell>
          <cell r="I567" t="str">
            <v>Lawn Fertilizer</v>
          </cell>
        </row>
        <row r="568">
          <cell r="A568" t="str">
            <v>B005W1QXQW</v>
          </cell>
          <cell r="B568" t="str">
            <v>Scotts</v>
          </cell>
          <cell r="C568" t="str">
            <v>The Scotts Company LLC</v>
          </cell>
          <cell r="D568" t="str">
            <v>Scotts Turf Builder Lawn Food, 12.5 lbs.</v>
          </cell>
          <cell r="E568" t="str">
            <v>https://www.amazon.com/dp/B005W1QXQW?psc=1</v>
          </cell>
          <cell r="F568" t="str">
            <v>Lawn Fertilizer</v>
          </cell>
          <cell r="G568" t="str">
            <v>Lawn Food</v>
          </cell>
          <cell r="H568" t="str">
            <v>Lawn Fertilizer - Lawn Food</v>
          </cell>
          <cell r="I568" t="str">
            <v>Lawn Fertilizer</v>
          </cell>
        </row>
        <row r="569">
          <cell r="A569" t="str">
            <v>B01N6AT6BF</v>
          </cell>
          <cell r="B569" t="str">
            <v>Scotts</v>
          </cell>
          <cell r="C569" t="str">
            <v>The Scotts Company LLC</v>
          </cell>
          <cell r="D569" t="str">
            <v>Scotts Liquid Turf Builder Lawn Food, 2,000 sq. ft.</v>
          </cell>
          <cell r="E569" t="str">
            <v>https://www.amazon.com/dp/B01N6AT6BF?psc=1</v>
          </cell>
          <cell r="F569" t="str">
            <v>Lawn Fertilizer</v>
          </cell>
          <cell r="G569" t="str">
            <v>Lawn Food</v>
          </cell>
          <cell r="H569" t="str">
            <v>Lawn Fertilizer - Lawn Food</v>
          </cell>
          <cell r="I569" t="str">
            <v>Lawn Fertilizer</v>
          </cell>
        </row>
        <row r="570">
          <cell r="A570" t="str">
            <v>B0168K92U4</v>
          </cell>
          <cell r="B570" t="str">
            <v>Scotts</v>
          </cell>
          <cell r="C570" t="str">
            <v>The Scotts Company LLC</v>
          </cell>
          <cell r="D570" t="str">
            <v>Scotts EZ Seed Patch &amp; Repair Sun and Shade, 10 lbs.</v>
          </cell>
          <cell r="E570" t="str">
            <v>https://www.amazon.com/dp/B0168K92U4?psc=1</v>
          </cell>
          <cell r="F570" t="str">
            <v>Lawn Repair</v>
          </cell>
          <cell r="G570" t="str">
            <v>Sun &amp; Shade Mix</v>
          </cell>
          <cell r="H570" t="str">
            <v>Lawn Repair - Sun &amp; Shade Mix</v>
          </cell>
          <cell r="I570" t="str">
            <v>Lawn Fertilizer</v>
          </cell>
        </row>
        <row r="571">
          <cell r="A571" t="str">
            <v>B074P1578H</v>
          </cell>
          <cell r="B571" t="str">
            <v>Scotts</v>
          </cell>
          <cell r="C571" t="str">
            <v>The Scotts Company LLC</v>
          </cell>
          <cell r="D571" t="str">
            <v>Scotts Turf Builder Thick'R Lawn Sun &amp; Shade, 40 lbs.</v>
          </cell>
          <cell r="E571" t="str">
            <v>https://www.amazon.com/dp/B074P1578H?psc=1</v>
          </cell>
          <cell r="F571" t="str">
            <v>Lawn Repair</v>
          </cell>
          <cell r="G571" t="str">
            <v>Sun &amp; Shade Mix</v>
          </cell>
          <cell r="H571" t="str">
            <v>Lawn Repair - Sun &amp; Shade Mix</v>
          </cell>
          <cell r="I571" t="str">
            <v>Lawn Fertilizer</v>
          </cell>
        </row>
        <row r="572">
          <cell r="A572" t="str">
            <v>B0FMVJMR4M</v>
          </cell>
          <cell r="B572" t="str">
            <v>Scotts</v>
          </cell>
          <cell r="C572" t="str">
            <v>The Scotts Company LLC</v>
          </cell>
          <cell r="D572" t="str">
            <v>Scotts Turf Builder Thick'r Lawn Sun &amp; Shade, 10 lbs.</v>
          </cell>
          <cell r="E572" t="str">
            <v>https://www.amazon.com/dp/B0FMVJMR4M?psc=1</v>
          </cell>
          <cell r="F572" t="str">
            <v>Lawn Repair</v>
          </cell>
          <cell r="G572" t="str">
            <v>Sun &amp; Shade Mix</v>
          </cell>
          <cell r="H572" t="str">
            <v>Lawn Repair - Sun &amp; Shade Mix</v>
          </cell>
          <cell r="I572" t="str">
            <v>Lawn Fertilizer</v>
          </cell>
        </row>
        <row r="573">
          <cell r="A573" t="str">
            <v>B0168K8VUQ</v>
          </cell>
          <cell r="B573" t="str">
            <v>Scotts</v>
          </cell>
          <cell r="C573" t="str">
            <v>The Scotts Company LLC</v>
          </cell>
          <cell r="D573" t="str">
            <v>Scotts Green Max Lawn Food, 16.67 lbs.</v>
          </cell>
          <cell r="E573" t="str">
            <v>https://www.amazon.com/dp/B0168K8VUQ?psc=1</v>
          </cell>
          <cell r="F573" t="str">
            <v>Lawn Fertilizer</v>
          </cell>
          <cell r="G573" t="str">
            <v>Lawn Food</v>
          </cell>
          <cell r="H573" t="str">
            <v>Lawn Fertilizer - Lawn Food</v>
          </cell>
          <cell r="I573" t="str">
            <v>Lawn Fertilizer</v>
          </cell>
        </row>
        <row r="574">
          <cell r="A574" t="str">
            <v>B001H1EQO2</v>
          </cell>
          <cell r="B574" t="str">
            <v>Scotts</v>
          </cell>
          <cell r="C574" t="str">
            <v>Scotts</v>
          </cell>
          <cell r="D574" t="str">
            <v>Scotts Turf Builder EdgeGuard DLX Broadcast Spreader for Seed, Fertilizer, Salt, Ice Melt, Holds up to 15,000 sq.ft. Product, Green</v>
          </cell>
          <cell r="E574" t="str">
            <v>https://www.amazon.com/dp/B001H1EQO2?psc=1</v>
          </cell>
          <cell r="F574" t="str">
            <v>Lawn Fertilizer</v>
          </cell>
          <cell r="G574" t="str">
            <v>Spreader</v>
          </cell>
          <cell r="H574" t="str">
            <v>Lawn Fertilizer - Spreader</v>
          </cell>
          <cell r="I574" t="str">
            <v>Lawn Fertilizer</v>
          </cell>
        </row>
        <row r="575">
          <cell r="A575" t="str">
            <v>B005W1QYDO</v>
          </cell>
          <cell r="B575" t="str">
            <v>Scotts</v>
          </cell>
          <cell r="C575" t="str">
            <v>The Scotts Company LLC</v>
          </cell>
          <cell r="D575" t="str">
            <v>Scotts Turf Builder Lawn Food, 37.50 lbs.</v>
          </cell>
          <cell r="E575" t="str">
            <v>https://www.amazon.com/dp/B005W1QYDO?psc=1</v>
          </cell>
          <cell r="F575" t="str">
            <v>Lawn Fertilizer</v>
          </cell>
          <cell r="G575" t="str">
            <v>Lawn Food</v>
          </cell>
          <cell r="H575" t="str">
            <v>Lawn Fertilizer - Lawn Food</v>
          </cell>
          <cell r="I575" t="str">
            <v>Lawn Fertilizer</v>
          </cell>
        </row>
        <row r="576">
          <cell r="A576" t="str">
            <v>B000AYFU5Q</v>
          </cell>
          <cell r="B576" t="str">
            <v>Scotts</v>
          </cell>
          <cell r="C576" t="str">
            <v>The Scotts Company LLC</v>
          </cell>
          <cell r="D576" t="str">
            <v>Scotts EZ Seed Patch &amp; Repair Tall Fescue Lawns, 10 lbs.</v>
          </cell>
          <cell r="E576" t="str">
            <v>https://www.amazon.com/dp/B000AYFU5Q?psc=1</v>
          </cell>
          <cell r="F576" t="str">
            <v>Lawn Repair</v>
          </cell>
          <cell r="G576" t="str">
            <v>Tall Fescue</v>
          </cell>
          <cell r="H576" t="str">
            <v>Lawn Repair - Tall Fescue</v>
          </cell>
          <cell r="I576" t="str">
            <v>Lawn Fertilizer</v>
          </cell>
        </row>
        <row r="577">
          <cell r="A577" t="str">
            <v>B0FQWJ65LF</v>
          </cell>
          <cell r="B577" t="str">
            <v>Scotts</v>
          </cell>
          <cell r="C577" t="str">
            <v>The Scotts Company LLC</v>
          </cell>
          <cell r="D577" t="str">
            <v>Scotts Turf Builder Rapid Grass Sun &amp; Shade Mix, 2.4 lbs.</v>
          </cell>
          <cell r="E577" t="str">
            <v>https://www.amazon.com/dp/B0FQWJ65LF?psc=1</v>
          </cell>
          <cell r="F577" t="str">
            <v>Lawn Repair</v>
          </cell>
          <cell r="G577" t="str">
            <v>Sun &amp; Shade Mix</v>
          </cell>
          <cell r="H577" t="str">
            <v>Lawn Repair - Sun &amp; Shade Mix</v>
          </cell>
          <cell r="I577" t="str">
            <v>Lawn Fertilizer</v>
          </cell>
        </row>
        <row r="578">
          <cell r="A578" t="str">
            <v>B000FBMI36</v>
          </cell>
          <cell r="B578" t="str">
            <v>Scotts</v>
          </cell>
          <cell r="C578" t="str">
            <v>The Scotts Company LLC</v>
          </cell>
          <cell r="D578" t="str">
            <v>Scotts Turf Builder Southern Lawn Food, 14.06 lbs.</v>
          </cell>
          <cell r="E578" t="str">
            <v>https://www.amazon.com/dp/B000FBMI36?psc=1</v>
          </cell>
          <cell r="F578" t="str">
            <v>Lawn Fertilizer</v>
          </cell>
          <cell r="G578" t="str">
            <v>Lawn Food</v>
          </cell>
          <cell r="H578" t="str">
            <v>Lawn Fertilizer - Lawn Food</v>
          </cell>
          <cell r="I578" t="str">
            <v>Lawn Fertilizer</v>
          </cell>
        </row>
        <row r="579">
          <cell r="A579" t="str">
            <v>B017VN8WZI</v>
          </cell>
          <cell r="B579" t="str">
            <v>Scotts</v>
          </cell>
          <cell r="C579" t="str">
            <v>Scotts</v>
          </cell>
          <cell r="D579" t="str">
            <v>Scotts EZ Seed Patch &amp; Repair Bermudagrass, 10 lbs.</v>
          </cell>
          <cell r="E579" t="str">
            <v>https://www.amazon.com/dp/B017VN8WZI?psc=1</v>
          </cell>
          <cell r="F579" t="str">
            <v>Lawn Repair</v>
          </cell>
          <cell r="G579" t="str">
            <v>Bermudagrass</v>
          </cell>
          <cell r="H579" t="str">
            <v>Lawn Repair - Bermudagrass</v>
          </cell>
          <cell r="I579" t="str">
            <v>Lawn Fertilizer</v>
          </cell>
        </row>
        <row r="580">
          <cell r="A580" t="str">
            <v>B0168K8Y94</v>
          </cell>
          <cell r="B580" t="str">
            <v>Scotts</v>
          </cell>
          <cell r="C580" t="str">
            <v>The Scotts Company LLC</v>
          </cell>
          <cell r="D580" t="str">
            <v>Scotts EZ Seed Dog Spot Repair Sun and Shade, 2 lbs.</v>
          </cell>
          <cell r="E580" t="str">
            <v>https://www.amazon.com/dp/B0168K8Y94?psc=1</v>
          </cell>
          <cell r="F580" t="str">
            <v>Lawn Repair</v>
          </cell>
          <cell r="G580" t="str">
            <v>Sun &amp; Shade Mix</v>
          </cell>
          <cell r="H580" t="str">
            <v>Lawn Repair - Sun &amp; Shade Mix</v>
          </cell>
          <cell r="I580" t="str">
            <v>Lawn Fertilizer</v>
          </cell>
        </row>
        <row r="581">
          <cell r="A581" t="str">
            <v>B000I1M5OU</v>
          </cell>
          <cell r="B581" t="str">
            <v>Scotts</v>
          </cell>
          <cell r="C581" t="str">
            <v>Scotts</v>
          </cell>
          <cell r="D581" t="str">
            <v>Scotts Turf Builder WinterGuard Fall Lawn Food, 12.5 lb. - Fall Lawn Fertilizer Builds Strong, Deep Grass Roots for a Better Lawn Next Spring - Covers 5,000 sq. ft.</v>
          </cell>
          <cell r="E581" t="str">
            <v>https://www.amazon.com/dp/B000I1M5OU?psc=1</v>
          </cell>
          <cell r="F581" t="str">
            <v>Lawn Fertilizer</v>
          </cell>
          <cell r="G581" t="str">
            <v>Lawn Food</v>
          </cell>
          <cell r="H581" t="str">
            <v>Lawn Fertilizer - Lawn Food</v>
          </cell>
          <cell r="I581" t="str">
            <v>Lawn Fertilizer</v>
          </cell>
        </row>
        <row r="582">
          <cell r="A582" t="str">
            <v>B0168K96FK</v>
          </cell>
          <cell r="B582" t="str">
            <v>Scotts</v>
          </cell>
          <cell r="C582" t="str">
            <v>The Scotts Company LLC</v>
          </cell>
          <cell r="D582" t="str">
            <v>Scotts EZ Seed Patch &amp; Repair Sun and Shade, 20 lbs.</v>
          </cell>
          <cell r="E582" t="str">
            <v>https://www.amazon.com/dp/B0168K96FK?psc=1</v>
          </cell>
          <cell r="F582" t="str">
            <v>Lawn Repair</v>
          </cell>
          <cell r="G582" t="str">
            <v>Sun &amp; Shade Mix</v>
          </cell>
          <cell r="H582" t="str">
            <v>Lawn Repair - Sun &amp; Shade Mix</v>
          </cell>
          <cell r="I582" t="str">
            <v>Lawn Fertilizer</v>
          </cell>
        </row>
        <row r="583">
          <cell r="A583" t="str">
            <v>B077T7GNDW</v>
          </cell>
          <cell r="B583" t="str">
            <v>Scotts</v>
          </cell>
          <cell r="C583" t="str">
            <v>The Scotts Company LLC</v>
          </cell>
          <cell r="D583" t="str">
            <v>Scotts PatchMaster Lawn Repair Mix Sun and Shade Mix - 10 lb, All-in-One Bare Spot Repair, Feeds for Up to 6 Weeks, Fast Growth and Thick Results, Covers Up to 290 sq. ft.</v>
          </cell>
          <cell r="E583" t="str">
            <v>https://www.amazon.com/dp/B077T7GNDW?psc=1</v>
          </cell>
          <cell r="F583" t="str">
            <v>Lawn Repair</v>
          </cell>
          <cell r="G583" t="str">
            <v>Sun &amp; Shade Mix</v>
          </cell>
          <cell r="H583" t="str">
            <v>Lawn Repair - Sun &amp; Shade Mix</v>
          </cell>
          <cell r="I583" t="str">
            <v>Lawn Fertilizer</v>
          </cell>
        </row>
        <row r="584">
          <cell r="A584" t="str">
            <v>B0BZN5843P</v>
          </cell>
          <cell r="B584" t="str">
            <v>Scotts</v>
          </cell>
          <cell r="C584" t="str">
            <v>Scotts</v>
          </cell>
          <cell r="D584" t="str">
            <v>Scotts Liquid Green Max Lawn Food, 32 oz.</v>
          </cell>
          <cell r="E584" t="str">
            <v>https://www.amazon.com/dp/B0BZN5843P?psc=1</v>
          </cell>
          <cell r="F584" t="str">
            <v>Lawn Fertilizer</v>
          </cell>
          <cell r="G584" t="str">
            <v>Lawn Food</v>
          </cell>
          <cell r="H584" t="str">
            <v>Lawn Fertilizer - Lawn Food</v>
          </cell>
          <cell r="I584" t="str">
            <v>Lawn Fertilizer</v>
          </cell>
        </row>
        <row r="585">
          <cell r="A585" t="str">
            <v>B0FWYBFWX7</v>
          </cell>
          <cell r="B585" t="str">
            <v>Scotts</v>
          </cell>
          <cell r="C585" t="str">
            <v>The Scotts Company LLC</v>
          </cell>
          <cell r="D585" t="str">
            <v>Scotts Liquid Green Max Lawn Food, 32 fl. oz.</v>
          </cell>
          <cell r="E585" t="str">
            <v>https://www.amazon.com/dp/B0FWYBFWX7?psc=1</v>
          </cell>
          <cell r="F585" t="str">
            <v>Lawn Fertilizer</v>
          </cell>
          <cell r="G585" t="str">
            <v>Lawn Food</v>
          </cell>
          <cell r="H585" t="str">
            <v>Lawn Fertilizer - Lawn Food</v>
          </cell>
          <cell r="I585" t="str">
            <v>Lawn Fertilizer</v>
          </cell>
        </row>
        <row r="586">
          <cell r="A586" t="str">
            <v>B0FWY9PF18</v>
          </cell>
          <cell r="B586" t="str">
            <v>Scotts</v>
          </cell>
          <cell r="C586" t="str">
            <v>The Scotts Company LLC</v>
          </cell>
          <cell r="D586" t="str">
            <v>Scotts Liquid Green Max Lawn Food, 32 fl. oz.</v>
          </cell>
          <cell r="E586" t="str">
            <v>https://www.amazon.com/dp/B0FWY9PF18?psc=1</v>
          </cell>
          <cell r="F586" t="str">
            <v>Lawn Fertilizer</v>
          </cell>
          <cell r="G586" t="str">
            <v>Lawn Food</v>
          </cell>
          <cell r="H586" t="str">
            <v>Lawn Fertilizer - Lawn Food</v>
          </cell>
          <cell r="I586" t="str">
            <v>Lawn Fertilizer</v>
          </cell>
        </row>
        <row r="587">
          <cell r="A587" t="str">
            <v>B0FWYC56GX</v>
          </cell>
          <cell r="B587" t="str">
            <v>Scotts</v>
          </cell>
          <cell r="C587" t="str">
            <v>The Scotts Company LLC</v>
          </cell>
          <cell r="D587" t="str">
            <v>Scotts Turf Builder Liquid Lawn Food Plus Weed Control, 32 fl. oz.</v>
          </cell>
          <cell r="E587" t="str">
            <v>https://www.amazon.com/dp/B0FWYC56GX?psc=1</v>
          </cell>
          <cell r="F587" t="str">
            <v>Lawn Fertilizer</v>
          </cell>
          <cell r="G587" t="str">
            <v>Lawn Food</v>
          </cell>
          <cell r="H587" t="str">
            <v>Lawn Fertilizer - Lawn Food</v>
          </cell>
          <cell r="I587" t="str">
            <v>Lawn Fertilizer</v>
          </cell>
        </row>
        <row r="588">
          <cell r="A588" t="str">
            <v>B0FWY7GYNR</v>
          </cell>
          <cell r="B588" t="str">
            <v>Scotts</v>
          </cell>
          <cell r="C588" t="str">
            <v>The Scotts Company LLC</v>
          </cell>
          <cell r="D588" t="str">
            <v>Scotts Turf Builder Liquid Lawn Food, 32 fl. oz.</v>
          </cell>
          <cell r="E588" t="str">
            <v>https://www.amazon.com/dp/B0FWY7GYNR?psc=1</v>
          </cell>
          <cell r="F588" t="str">
            <v>Lawn Fertilizer</v>
          </cell>
          <cell r="G588" t="str">
            <v>Lawn Food</v>
          </cell>
          <cell r="H588" t="str">
            <v>Lawn Fertilizer - Lawn Food</v>
          </cell>
          <cell r="I588" t="str">
            <v>Lawn Fertilizer</v>
          </cell>
        </row>
        <row r="589">
          <cell r="A589" t="str">
            <v>B0FQWFJ4QJ</v>
          </cell>
          <cell r="B589" t="str">
            <v>Scotts</v>
          </cell>
          <cell r="C589" t="str">
            <v>The Scotts Company LLC</v>
          </cell>
          <cell r="D589" t="str">
            <v>Scotts EZ Seed Patch &amp; Repair Zoysia Grass, 3.75 lbs.</v>
          </cell>
          <cell r="E589" t="str">
            <v>https://www.amazon.com/dp/B0FQWFJ4QJ?psc=1</v>
          </cell>
          <cell r="F589" t="str">
            <v>Lawn Repair</v>
          </cell>
          <cell r="G589" t="str">
            <v>Zoysia</v>
          </cell>
          <cell r="H589" t="str">
            <v>Lawn Repair - Zoysia</v>
          </cell>
          <cell r="I589" t="str">
            <v>Lawn Fertilizer</v>
          </cell>
        </row>
        <row r="590">
          <cell r="A590" t="str">
            <v>B0168K92NG</v>
          </cell>
          <cell r="B590" t="str">
            <v>Scotts</v>
          </cell>
          <cell r="C590" t="str">
            <v>The Scotts Company LLC</v>
          </cell>
          <cell r="D590" t="str">
            <v>Scotts EZ Patch Lawn Repair for St. Augustine Lawns, 3.75 lbs.</v>
          </cell>
          <cell r="E590" t="str">
            <v>https://www.amazon.com/dp/B0168K92NG?psc=1</v>
          </cell>
          <cell r="F590" t="str">
            <v>Lawn Repair</v>
          </cell>
          <cell r="G590" t="str">
            <v>Other</v>
          </cell>
          <cell r="H590" t="str">
            <v>Lawn Repair - Other</v>
          </cell>
          <cell r="I590" t="str">
            <v>Lawn Fertilizer</v>
          </cell>
        </row>
        <row r="591">
          <cell r="A591" t="str">
            <v>B01BF98TIE</v>
          </cell>
          <cell r="B591" t="str">
            <v>Scotts</v>
          </cell>
          <cell r="C591" t="str">
            <v>The Scotts Company LLC</v>
          </cell>
          <cell r="D591" t="str">
            <v>Scotts EZ Seed Patch &amp; Repair Tall Fescue Lawns, 20 lbs.</v>
          </cell>
          <cell r="E591" t="str">
            <v>https://www.amazon.com/dp/B01BF98TIE?psc=1</v>
          </cell>
          <cell r="F591" t="str">
            <v>Lawn Repair</v>
          </cell>
          <cell r="G591" t="str">
            <v>Tall Fescue</v>
          </cell>
          <cell r="H591" t="str">
            <v>Lawn Repair - Tall Fescue</v>
          </cell>
          <cell r="I591" t="str">
            <v>Lawn Fertilizer</v>
          </cell>
        </row>
        <row r="592">
          <cell r="A592" t="str">
            <v>B08KGW41BV</v>
          </cell>
          <cell r="B592" t="str">
            <v>Scotts</v>
          </cell>
          <cell r="C592" t="str">
            <v>The Scotts Company LLC</v>
          </cell>
          <cell r="D592" t="str">
            <v>Scotts Turf Builder Rapid Grass Sun &amp; Shade Mix, 16 lbs.</v>
          </cell>
          <cell r="E592" t="str">
            <v>https://www.amazon.com/dp/B08KGW41BV?psc=1</v>
          </cell>
          <cell r="F592" t="str">
            <v>Lawn Repair</v>
          </cell>
          <cell r="G592" t="str">
            <v>Sun &amp; Shade Mix</v>
          </cell>
          <cell r="H592" t="str">
            <v>Lawn Repair - Sun &amp; Shade Mix</v>
          </cell>
          <cell r="I592" t="str">
            <v>Lawn Fertilizer</v>
          </cell>
        </row>
        <row r="593">
          <cell r="A593" t="str">
            <v>B017VN8WX0</v>
          </cell>
          <cell r="B593" t="str">
            <v>Scotts</v>
          </cell>
          <cell r="C593" t="str">
            <v>Scotts Miracle Gro</v>
          </cell>
          <cell r="D593" t="str">
            <v>Scotts EZ Seed Patch &amp; Repair Bermudagrass, 20 lbs.</v>
          </cell>
          <cell r="E593" t="str">
            <v>https://www.amazon.com/dp/B017VN8WX0?psc=1</v>
          </cell>
          <cell r="F593" t="str">
            <v>Lawn Repair</v>
          </cell>
          <cell r="G593" t="str">
            <v>Bermudagrass</v>
          </cell>
          <cell r="H593" t="str">
            <v>Lawn Repair - Bermudagrass</v>
          </cell>
          <cell r="I593" t="str">
            <v>Lawn Fertilizer</v>
          </cell>
        </row>
        <row r="594">
          <cell r="A594" t="str">
            <v>B08KH22BRW</v>
          </cell>
          <cell r="B594" t="str">
            <v>Scotts</v>
          </cell>
          <cell r="C594" t="str">
            <v>The Scotts Company LLC</v>
          </cell>
          <cell r="D594" t="str">
            <v>Scotts Turf Builder Rapid Grass Tall Fescue Mix, 16 lbs.</v>
          </cell>
          <cell r="E594" t="str">
            <v>https://www.amazon.com/dp/B08KH22BRW?psc=1</v>
          </cell>
          <cell r="F594" t="str">
            <v>Lawn Repair</v>
          </cell>
          <cell r="G594" t="str">
            <v>Tall Fescue</v>
          </cell>
          <cell r="H594" t="str">
            <v>Lawn Repair - Tall Fescue</v>
          </cell>
          <cell r="I594" t="str">
            <v>Lawn Fertilizer</v>
          </cell>
        </row>
        <row r="595">
          <cell r="A595" t="str">
            <v>B004BKS110</v>
          </cell>
          <cell r="B595" t="str">
            <v>Scotts</v>
          </cell>
          <cell r="C595" t="str">
            <v>The Scotts Company LLC</v>
          </cell>
          <cell r="D595" t="str">
            <v>Scotts Natural Lawn Food, Lawn Fertilizer, For All Grass Types, Apply Any Season, OMRI Listed, Covers 4,000 sq. ft., 29.1 lbs.</v>
          </cell>
          <cell r="E595" t="str">
            <v>https://www.amazon.com/dp/B004BKS110?psc=1</v>
          </cell>
          <cell r="F595" t="str">
            <v>Lawn Fertilizer</v>
          </cell>
          <cell r="G595" t="str">
            <v>Lawn Food</v>
          </cell>
          <cell r="H595" t="str">
            <v>Lawn Fertilizer - Lawn Food</v>
          </cell>
          <cell r="I595" t="str">
            <v>Lawn Fertilizer</v>
          </cell>
        </row>
        <row r="596">
          <cell r="A596" t="str">
            <v>B07YM5J72D</v>
          </cell>
          <cell r="B596" t="str">
            <v>Scotts</v>
          </cell>
          <cell r="C596" t="str">
            <v>The Scotts Company LLC</v>
          </cell>
          <cell r="D596" t="str">
            <v>Scotts Turf Builder Thick'R Lawn Bermudagrass - Covers 1,200 sq. ft., Combination Seed, Fertilizer and Soil Improver, Fill and Repair Gaps in Thin Lawns and Enhance Root Development, 12 lb.</v>
          </cell>
          <cell r="E596" t="str">
            <v>https://www.amazon.com/dp/B07YM5J72D?psc=1</v>
          </cell>
          <cell r="F596" t="str">
            <v>Lawn Fertilizer</v>
          </cell>
          <cell r="G596" t="str">
            <v>Bermudagrass</v>
          </cell>
          <cell r="H596" t="str">
            <v>Lawn Fertilizer - Bermudagrass</v>
          </cell>
          <cell r="I596" t="str">
            <v>Lawn Fertilizer</v>
          </cell>
        </row>
        <row r="597">
          <cell r="A597" t="str">
            <v>B0H2BWJ6GR</v>
          </cell>
          <cell r="B597" t="str">
            <v>Scotts</v>
          </cell>
          <cell r="C597" t="str">
            <v>The Scotts Company LLC</v>
          </cell>
          <cell r="D597" t="str">
            <v>Scotts Turf Builder Thick'R Lawn Bermudagrass, 10 lbs.</v>
          </cell>
          <cell r="E597" t="str">
            <v>https://www.amazon.com/dp/B0H2BWJ6GR</v>
          </cell>
          <cell r="F597" t="str">
            <v>Lawn Repair</v>
          </cell>
          <cell r="G597" t="str">
            <v>Bermudagrass</v>
          </cell>
          <cell r="H597" t="str">
            <v>Lawn Repair - Bermudagrass</v>
          </cell>
          <cell r="I597" t="str">
            <v>Lawn Fertilizer</v>
          </cell>
        </row>
        <row r="598">
          <cell r="A598" t="str">
            <v>B0191J9EZC</v>
          </cell>
          <cell r="B598" t="str">
            <v>Scotts</v>
          </cell>
          <cell r="C598" t="str">
            <v>The Scotts Company LLC</v>
          </cell>
          <cell r="D598" t="str">
            <v>Scotts EZ Seed Patch &amp; Repair Tall Fescue Lawns, 3.75 lbs.</v>
          </cell>
          <cell r="E598" t="str">
            <v>https://www.amazon.com/dp/B0191J9EZC?psc=1</v>
          </cell>
          <cell r="F598" t="str">
            <v>Lawn Repair</v>
          </cell>
          <cell r="G598" t="str">
            <v>Tall Fescue</v>
          </cell>
          <cell r="H598" t="str">
            <v>Lawn Repair - Tall Fescue</v>
          </cell>
          <cell r="I598" t="str">
            <v>Lawn Fertilizer</v>
          </cell>
        </row>
        <row r="599">
          <cell r="A599" t="str">
            <v>B07YM5X6VL</v>
          </cell>
          <cell r="B599" t="str">
            <v>Scotts</v>
          </cell>
          <cell r="C599" t="str">
            <v>Scotts</v>
          </cell>
          <cell r="D599" t="str">
            <v>Scotts Turf Builder Bonus S Southern Weed and FeedF2-5,000 sq. ft., Florida Fertilizer Kills Dollarweed and Clover, Fertilizes Grass to Crowd Out Future Weeds, Use on Southern Grasses, 17.34 lb.</v>
          </cell>
          <cell r="E599" t="str">
            <v>https://www.amazon.com/dp/B07YM5X6VL?psc=1</v>
          </cell>
          <cell r="F599" t="str">
            <v>Lawn Fertilizer</v>
          </cell>
          <cell r="G599" t="str">
            <v>Other</v>
          </cell>
          <cell r="H599" t="str">
            <v>Lawn Fertilizer - Other</v>
          </cell>
          <cell r="I599" t="str">
            <v>Lawn Fertilizer</v>
          </cell>
        </row>
        <row r="600">
          <cell r="A600" t="str">
            <v>B077Y8GVJN</v>
          </cell>
          <cell r="B600" t="str">
            <v>Scotts</v>
          </cell>
          <cell r="C600" t="str">
            <v>The Scotts Company LLC</v>
          </cell>
          <cell r="D600" t="str">
            <v>Scotts Turf Builder Thick'R Lawn Tall Fescue Mix, 40 lbs.</v>
          </cell>
          <cell r="E600" t="str">
            <v>https://www.amazon.com/dp/B077Y8GVJN?psc=1</v>
          </cell>
          <cell r="F600" t="str">
            <v>Lawn Repair</v>
          </cell>
          <cell r="G600" t="str">
            <v>Tall Fescue</v>
          </cell>
          <cell r="H600" t="str">
            <v>Lawn Repair - Tall Fescue</v>
          </cell>
          <cell r="I600" t="str">
            <v>Lawn Fertilizer</v>
          </cell>
        </row>
        <row r="601">
          <cell r="A601" t="str">
            <v>B0FMV5C4WX</v>
          </cell>
          <cell r="B601" t="str">
            <v>Scotts</v>
          </cell>
          <cell r="C601" t="str">
            <v>The Scotts Company LLC</v>
          </cell>
          <cell r="D601" t="str">
            <v>Scotts Turf Builder Rapid Grass Sun &amp; Shade Mix, 10 lbs.</v>
          </cell>
          <cell r="E601" t="str">
            <v>https://www.amazon.com/dp/B0FMV5C4WX?psc=1</v>
          </cell>
          <cell r="F601" t="str">
            <v>Lawn Repair</v>
          </cell>
          <cell r="G601" t="str">
            <v>Sun &amp; Shade Mix</v>
          </cell>
          <cell r="H601" t="str">
            <v>Lawn Repair - Sun &amp; Shade Mix</v>
          </cell>
          <cell r="I601" t="str">
            <v>Lawn Fertilizer</v>
          </cell>
        </row>
        <row r="602">
          <cell r="A602" t="str">
            <v>B0FWYF4C6D</v>
          </cell>
          <cell r="B602" t="str">
            <v>Scotts</v>
          </cell>
          <cell r="C602" t="str">
            <v>The Scotts Company LLC</v>
          </cell>
          <cell r="D602" t="str">
            <v>Scotts Turf Builder Liquid Starter Lawn Food, 32 fl. oz.</v>
          </cell>
          <cell r="E602" t="str">
            <v>https://www.amazon.com/dp/B0FWYF4C6D?psc=1</v>
          </cell>
          <cell r="F602" t="str">
            <v>Lawn Fertilizer</v>
          </cell>
          <cell r="G602" t="str">
            <v>Starter Fertilizer</v>
          </cell>
          <cell r="H602" t="str">
            <v>Lawn Fertilizer - Starter Fertilizer</v>
          </cell>
          <cell r="I602" t="str">
            <v>Lawn Fertilizer</v>
          </cell>
        </row>
        <row r="603">
          <cell r="A603" t="str">
            <v>B077T7CRR9</v>
          </cell>
          <cell r="B603" t="str">
            <v>Scotts</v>
          </cell>
          <cell r="C603" t="str">
            <v>The Scotts Company LLC</v>
          </cell>
          <cell r="D603" t="str">
            <v>Scotts PatchMaster Lawn Repair Mix Tall Fescue Mix, 10 lbs.</v>
          </cell>
          <cell r="E603" t="str">
            <v>https://www.amazon.com/dp/B077T7CRR9?psc=1</v>
          </cell>
          <cell r="F603" t="str">
            <v>Lawn Repair</v>
          </cell>
          <cell r="G603" t="str">
            <v>Tall Fescue</v>
          </cell>
          <cell r="H603" t="str">
            <v>Lawn Repair - Tall Fescue</v>
          </cell>
          <cell r="I603" t="str">
            <v>Lawn Fertilizer</v>
          </cell>
        </row>
        <row r="604">
          <cell r="A604" t="str">
            <v>B0CJL2CCJX</v>
          </cell>
          <cell r="B604" t="str">
            <v>Scotts</v>
          </cell>
          <cell r="C604" t="str">
            <v>Scotts Miracle Gro</v>
          </cell>
          <cell r="D604" t="str">
            <v>Scotts Turf Builder Healthy Plus Lawn Food, 13.70 lbs.</v>
          </cell>
          <cell r="E604" t="str">
            <v>https://www.amazon.com/dp/B0CJL2CCJX?psc=1</v>
          </cell>
          <cell r="F604" t="str">
            <v>Lawn Fertilizer</v>
          </cell>
          <cell r="G604" t="str">
            <v>Lawn Food</v>
          </cell>
          <cell r="H604" t="str">
            <v>Lawn Fertilizer - Lawn Food</v>
          </cell>
          <cell r="I604" t="str">
            <v>Lawn Fertilizer</v>
          </cell>
        </row>
        <row r="605">
          <cell r="A605" t="str">
            <v>B0168K92Z4</v>
          </cell>
          <cell r="B605" t="str">
            <v>Scotts</v>
          </cell>
          <cell r="C605" t="str">
            <v>The Scotts Company LLC</v>
          </cell>
          <cell r="D605" t="str">
            <v>Scotts EZ Seed Dog Spot Repair Tall Fescue Lawns, 2 lbs.</v>
          </cell>
          <cell r="E605" t="str">
            <v>https://www.amazon.com/dp/B0168K92Z4?psc=1</v>
          </cell>
          <cell r="F605" t="str">
            <v>Lawn Repair</v>
          </cell>
          <cell r="G605" t="str">
            <v>Tall Fescue</v>
          </cell>
          <cell r="H605" t="str">
            <v>Lawn Repair - Tall Fescue</v>
          </cell>
          <cell r="I605" t="str">
            <v>Lawn Fertilizer</v>
          </cell>
        </row>
        <row r="606">
          <cell r="A606" t="str">
            <v>B00L0LJ3N8</v>
          </cell>
          <cell r="B606" t="str">
            <v>Scotts</v>
          </cell>
          <cell r="C606" t="str">
            <v>The Scotts Company LLC</v>
          </cell>
          <cell r="D606" t="str">
            <v>Scotts Turf Builder Southern Lawn Food, 28.12 lbs.</v>
          </cell>
          <cell r="E606" t="str">
            <v>https://www.amazon.com/dp/B00L0LJ3N8?psc=1</v>
          </cell>
          <cell r="F606" t="str">
            <v>Lawn Fertilizer</v>
          </cell>
          <cell r="G606" t="str">
            <v>Lawn Food</v>
          </cell>
          <cell r="H606" t="str">
            <v>Lawn Fertilizer - Lawn Food</v>
          </cell>
          <cell r="I606" t="str">
            <v>Lawn Fertilizer</v>
          </cell>
        </row>
        <row r="607">
          <cell r="A607" t="str">
            <v>B000UGU59K</v>
          </cell>
          <cell r="B607" t="str">
            <v>Scotts</v>
          </cell>
          <cell r="C607" t="str">
            <v>The Scotts Company LLC</v>
          </cell>
          <cell r="D607" t="str">
            <v>Scotts Turf Builder Southern Lawn Food, 42.18 lbs.</v>
          </cell>
          <cell r="E607" t="str">
            <v>https://www.amazon.com/dp/B000UGU59K?psc=1</v>
          </cell>
          <cell r="F607" t="str">
            <v>Lawn Fertilizer</v>
          </cell>
          <cell r="G607" t="str">
            <v>Lawn Food</v>
          </cell>
          <cell r="H607" t="str">
            <v>Lawn Fertilizer - Lawn Food</v>
          </cell>
          <cell r="I607" t="str">
            <v>Lawn Fertilizer</v>
          </cell>
        </row>
        <row r="608">
          <cell r="A608" t="str">
            <v>B07YM52XZX</v>
          </cell>
          <cell r="B608" t="str">
            <v>Scotts</v>
          </cell>
          <cell r="C608" t="str">
            <v>The Scotts Company LLC</v>
          </cell>
          <cell r="D608" t="str">
            <v>Lawn Fertilizer by Scotts Miracle Gro</v>
          </cell>
          <cell r="E608" t="str">
            <v>https://www.amazon.com/dp/B07YM52XZX?psc=1</v>
          </cell>
          <cell r="F608" t="str">
            <v>Lawn Fertilizer</v>
          </cell>
          <cell r="G608" t="str">
            <v>Other</v>
          </cell>
          <cell r="H608" t="str">
            <v>Lawn Fertilizer - Other</v>
          </cell>
          <cell r="I608" t="str">
            <v>Lawn Fertilizer</v>
          </cell>
        </row>
        <row r="609">
          <cell r="A609" t="str">
            <v>B0168K931W</v>
          </cell>
          <cell r="B609" t="str">
            <v>Scotts</v>
          </cell>
          <cell r="C609" t="str">
            <v>Scotts</v>
          </cell>
          <cell r="D609" t="str">
            <v>Scotts EZ Seed Patch &amp; Repair Bermudagrass, 3.75 lbs.</v>
          </cell>
          <cell r="E609" t="str">
            <v>https://www.amazon.com/dp/B0168K931W?psc=1</v>
          </cell>
          <cell r="F609" t="str">
            <v>Lawn Repair</v>
          </cell>
          <cell r="G609" t="str">
            <v>Bermudagrass</v>
          </cell>
          <cell r="H609" t="str">
            <v>Lawn Repair - Bermudagrass</v>
          </cell>
          <cell r="I609" t="str">
            <v>Lawn Fertilizer</v>
          </cell>
        </row>
        <row r="610">
          <cell r="A610" t="str">
            <v>B0FSF7RBG1</v>
          </cell>
          <cell r="B610" t="str">
            <v>Scotts</v>
          </cell>
          <cell r="C610" t="str">
            <v>The Scotts Company LLC</v>
          </cell>
          <cell r="D610" t="str">
            <v>Scotts Turf Builder Rapid Grass Tall Fescue Mix, 2.4 lbs.</v>
          </cell>
          <cell r="E610" t="str">
            <v>https://www.amazon.com/dp/B0FSF7RBG1?psc=1</v>
          </cell>
          <cell r="F610" t="str">
            <v>Lawn Repair</v>
          </cell>
          <cell r="G610" t="str">
            <v>Tall Fescue</v>
          </cell>
          <cell r="H610" t="str">
            <v>Lawn Repair - Tall Fescue</v>
          </cell>
          <cell r="I610" t="str">
            <v>Lawn Fertilizer</v>
          </cell>
        </row>
        <row r="611">
          <cell r="A611" t="str">
            <v>B09HSXPN3J</v>
          </cell>
          <cell r="B611" t="str">
            <v>Scotts</v>
          </cell>
          <cell r="C611" t="str">
            <v>The Scotts Company LLC</v>
          </cell>
          <cell r="D611" t="str">
            <v>Scotts Turf Builder Rapid Grass Bermudagrass, 8 lbs.</v>
          </cell>
          <cell r="E611" t="str">
            <v>https://www.amazon.com/dp/B09HSXPN3J?psc=1</v>
          </cell>
          <cell r="F611" t="str">
            <v>Lawn Repair</v>
          </cell>
          <cell r="G611" t="str">
            <v>Bermudagrass</v>
          </cell>
          <cell r="H611" t="str">
            <v>Lawn Repair - Bermudagrass</v>
          </cell>
          <cell r="I611" t="str">
            <v>Lawn Fertilizer</v>
          </cell>
        </row>
        <row r="612">
          <cell r="A612" t="str">
            <v>B09JXZH5WM</v>
          </cell>
          <cell r="B612" t="str">
            <v>Scotts</v>
          </cell>
          <cell r="C612" t="str">
            <v>The Scotts Company LLC</v>
          </cell>
          <cell r="D612" t="str">
            <v>Scotts Turf Builder Rapid Grass Bermudagrass, 4 lbs.</v>
          </cell>
          <cell r="E612" t="str">
            <v>https://www.amazon.com/dp/B09JXZH5WM?psc=1</v>
          </cell>
          <cell r="F612" t="str">
            <v>Lawn Repair</v>
          </cell>
          <cell r="G612" t="str">
            <v>Bermudagrass</v>
          </cell>
          <cell r="H612" t="str">
            <v>Lawn Repair - Bermudagrass</v>
          </cell>
          <cell r="I612" t="str">
            <v>Lawn Fertilizer</v>
          </cell>
        </row>
        <row r="613">
          <cell r="A613" t="str">
            <v>B077T3X45R</v>
          </cell>
          <cell r="B613" t="str">
            <v>Scotts</v>
          </cell>
          <cell r="C613" t="str">
            <v>The Scotts Company LLC</v>
          </cell>
          <cell r="D613" t="str">
            <v>Scotts PatchMaster Lawn Repair Mix Tall Fescue Mix, 4.75 lbs.</v>
          </cell>
          <cell r="E613" t="str">
            <v>https://www.amazon.com/dp/B077T3X45R?psc=1</v>
          </cell>
          <cell r="F613" t="str">
            <v>Lawn Repair</v>
          </cell>
          <cell r="G613" t="str">
            <v>Tall Fescue</v>
          </cell>
          <cell r="H613" t="str">
            <v>Lawn Repair - Tall Fescue</v>
          </cell>
          <cell r="I613" t="str">
            <v>Lawn Fertilizer</v>
          </cell>
        </row>
        <row r="614">
          <cell r="A614" t="str">
            <v>B07YM4VXQC</v>
          </cell>
          <cell r="B614" t="str">
            <v>Scotts</v>
          </cell>
          <cell r="C614" t="str">
            <v>The Scotts Company LLC</v>
          </cell>
          <cell r="D614" t="str">
            <v>Scotts Turf Builder Thick'R Lawn Bermudagrass, 40 lbs.</v>
          </cell>
          <cell r="E614" t="str">
            <v>https://www.amazon.com/dp/B07YM4VXQC?psc=1</v>
          </cell>
          <cell r="F614" t="str">
            <v>Lawn Repair</v>
          </cell>
          <cell r="G614" t="str">
            <v>Bermudagrass</v>
          </cell>
          <cell r="H614" t="str">
            <v>Lawn Repair - Bermudagrass</v>
          </cell>
          <cell r="I614" t="str">
            <v>Lawn Fertilizer</v>
          </cell>
        </row>
        <row r="615">
          <cell r="A615" t="str">
            <v>B0FWY7JWHD</v>
          </cell>
          <cell r="B615" t="str">
            <v>Scotts</v>
          </cell>
          <cell r="C615" t="str">
            <v>The Scotts Company LLC</v>
          </cell>
          <cell r="D615" t="str">
            <v>Scotts Turf Builder Liquid Starter Lawn Food, 32 fl. oz.</v>
          </cell>
          <cell r="E615" t="str">
            <v>https://www.amazon.com/dp/B0FWY7JWHD?psc=1</v>
          </cell>
          <cell r="F615" t="str">
            <v>Lawn Fertilizer</v>
          </cell>
          <cell r="G615" t="str">
            <v>Starter Fertilizer</v>
          </cell>
          <cell r="H615" t="str">
            <v>Lawn Fertilizer - Starter Fertilizer</v>
          </cell>
          <cell r="I615" t="str">
            <v>Lawn Fertilizer</v>
          </cell>
        </row>
        <row r="616">
          <cell r="A616" t="str">
            <v>B0GN7TJ2X3</v>
          </cell>
          <cell r="B616" t="str">
            <v>Scotts</v>
          </cell>
          <cell r="C616" t="str">
            <v>The Scotts Company LLC</v>
          </cell>
          <cell r="D616" t="str">
            <v>Scotts Turf Builder Lawn Food, 15.8 lbs.</v>
          </cell>
          <cell r="E616" t="str">
            <v>https://www.amazon.com/dp/B0GN7TJ2X3?psc=1</v>
          </cell>
          <cell r="F616" t="str">
            <v>Lawn Fertilizer</v>
          </cell>
          <cell r="G616" t="str">
            <v>Lawn Food</v>
          </cell>
          <cell r="H616" t="str">
            <v>Lawn Fertilizer - Lawn Food</v>
          </cell>
          <cell r="I616" t="str">
            <v>Lawn Fertilizer</v>
          </cell>
        </row>
        <row r="617">
          <cell r="A617" t="str">
            <v>B0FWYDW4ZW</v>
          </cell>
          <cell r="B617" t="str">
            <v>Scotts</v>
          </cell>
          <cell r="C617" t="str">
            <v>The Scotts Company LLC</v>
          </cell>
          <cell r="D617" t="str">
            <v>Scotts Turf Builder Liquid Lawn Food, 32 fl. oz.</v>
          </cell>
          <cell r="E617" t="str">
            <v>https://www.amazon.com/dp/B0FWYDW4ZW?psc=1</v>
          </cell>
          <cell r="F617" t="str">
            <v>Lawn Fertilizer</v>
          </cell>
          <cell r="G617" t="str">
            <v>Lawn Food</v>
          </cell>
          <cell r="H617" t="str">
            <v>Lawn Fertilizer - Lawn Food</v>
          </cell>
          <cell r="I617" t="str">
            <v>Lawn Fertilizer</v>
          </cell>
        </row>
        <row r="618">
          <cell r="A618" t="str">
            <v>B09V8HSZNG</v>
          </cell>
          <cell r="B618" t="str">
            <v>Scotts</v>
          </cell>
          <cell r="C618" t="str">
            <v>The Scotts Company LLC</v>
          </cell>
          <cell r="D618" t="str">
            <v>Scotts EZ Seed Patch &amp; Repair Sun and Shade, 10 lbs. (2-Pack)</v>
          </cell>
          <cell r="E618" t="str">
            <v>https://www.amazon.com/dp/B09V8HSZNG?psc=1</v>
          </cell>
          <cell r="F618" t="str">
            <v>Lawn Repair</v>
          </cell>
          <cell r="G618" t="str">
            <v>Sun &amp; Shade Mix</v>
          </cell>
          <cell r="H618" t="str">
            <v>Lawn Repair - Sun &amp; Shade Mix</v>
          </cell>
          <cell r="I618" t="str">
            <v>Lawn Fertilizer</v>
          </cell>
        </row>
        <row r="619">
          <cell r="A619" t="str">
            <v>B077SXJDJP</v>
          </cell>
          <cell r="B619" t="str">
            <v>Scotts</v>
          </cell>
          <cell r="C619" t="str">
            <v>The Scotts Company LLC</v>
          </cell>
          <cell r="D619" t="str">
            <v>Scotts Turf Builder Thick'r Lawn Sun &amp; Shade, 12 lbs.</v>
          </cell>
          <cell r="E619" t="str">
            <v>https://www.amazon.com/dp/B077SXJDJP?psc=1</v>
          </cell>
          <cell r="F619" t="str">
            <v>Lawn Repair</v>
          </cell>
          <cell r="G619" t="str">
            <v>Sun &amp; Shade Mix</v>
          </cell>
          <cell r="H619" t="str">
            <v>Lawn Repair - Sun &amp; Shade Mix</v>
          </cell>
          <cell r="I619" t="str">
            <v>Lawn Fertilizer</v>
          </cell>
        </row>
        <row r="620">
          <cell r="A620" t="str">
            <v>B07YM5YLP5</v>
          </cell>
          <cell r="B620" t="str">
            <v>Scotts</v>
          </cell>
          <cell r="C620" t="str">
            <v>The Scotts Company LLC</v>
          </cell>
          <cell r="D620" t="str">
            <v>Scotts Green Max Lawn FoodFL, 15.15 lbs.</v>
          </cell>
          <cell r="E620" t="str">
            <v>https://www.amazon.com/dp/B07YM5YLP5?psc=1</v>
          </cell>
          <cell r="F620" t="str">
            <v>Lawn Fertilizer</v>
          </cell>
          <cell r="G620" t="str">
            <v>Lawn Food</v>
          </cell>
          <cell r="H620" t="str">
            <v>Lawn Fertilizer - Lawn Food</v>
          </cell>
          <cell r="I620" t="str">
            <v>Lawn Fertilizer</v>
          </cell>
        </row>
        <row r="621">
          <cell r="A621" t="str">
            <v>B01BF98TPM</v>
          </cell>
          <cell r="B621" t="str">
            <v>Scotts</v>
          </cell>
          <cell r="C621" t="str">
            <v>The Scotts Company LLC</v>
          </cell>
          <cell r="D621" t="str">
            <v>Scotts EZ Seed Patch &amp; Repair Tall Fescue Lawns, 40 lbs.</v>
          </cell>
          <cell r="E621" t="str">
            <v>https://www.amazon.com/dp/B01BF98TPM?psc=1</v>
          </cell>
          <cell r="F621" t="str">
            <v>Lawn Repair</v>
          </cell>
          <cell r="G621" t="str">
            <v>Tall Fescue</v>
          </cell>
          <cell r="H621" t="str">
            <v>Lawn Repair - Tall Fescue</v>
          </cell>
          <cell r="I621" t="str">
            <v>Lawn Fertilizer</v>
          </cell>
        </row>
        <row r="622">
          <cell r="A622" t="str">
            <v>B08KGYF4RX</v>
          </cell>
          <cell r="B622" t="str">
            <v>Scotts</v>
          </cell>
          <cell r="C622" t="str">
            <v>The Scotts Company LLC</v>
          </cell>
          <cell r="D622" t="str">
            <v>Scotts Turf Builder Rapid Grass Sun &amp; Shade Mix, 5.6 lbs.</v>
          </cell>
          <cell r="E622" t="str">
            <v>https://www.amazon.com/dp/B08KGYF4RX?psc=1</v>
          </cell>
          <cell r="F622" t="str">
            <v>Lawn Repair</v>
          </cell>
          <cell r="G622" t="str">
            <v>Sun &amp; Shade Mix</v>
          </cell>
          <cell r="H622" t="str">
            <v>Lawn Repair - Sun &amp; Shade Mix</v>
          </cell>
          <cell r="I622" t="str">
            <v>Lawn Fertilizer</v>
          </cell>
        </row>
        <row r="623">
          <cell r="A623" t="str">
            <v>B07YM6XT69</v>
          </cell>
          <cell r="B623" t="str">
            <v>Scotts</v>
          </cell>
          <cell r="C623" t="str">
            <v>The Scotts Company LLC</v>
          </cell>
          <cell r="D623" t="str">
            <v>Scotts Turf Builder Southern Lawn FoodFL, 28.13 lbs.</v>
          </cell>
          <cell r="E623" t="str">
            <v>https://www.amazon.com/dp/B07YM6XT69?psc=1</v>
          </cell>
          <cell r="F623" t="str">
            <v>Lawn Fertilizer</v>
          </cell>
          <cell r="G623" t="str">
            <v>Lawn Food</v>
          </cell>
          <cell r="H623" t="str">
            <v>Lawn Fertilizer - Lawn Food</v>
          </cell>
          <cell r="I623" t="str">
            <v>Lawn Fertilizer</v>
          </cell>
        </row>
        <row r="624">
          <cell r="A624" t="str">
            <v>B0FSF2LK5Q</v>
          </cell>
          <cell r="B624" t="str">
            <v>Scotts</v>
          </cell>
          <cell r="C624" t="str">
            <v>The Scotts Company LLC</v>
          </cell>
          <cell r="D624" t="str">
            <v>Scotts Turf Builder Rapid Grass Bermudagrass, 1 lb.</v>
          </cell>
          <cell r="E624" t="str">
            <v>https://www.amazon.com/dp/B0FSF2LK5Q?psc=1</v>
          </cell>
          <cell r="F624" t="str">
            <v>Lawn Repair</v>
          </cell>
          <cell r="G624" t="str">
            <v>Bermudagrass</v>
          </cell>
          <cell r="H624" t="str">
            <v>Lawn Repair - Bermudagrass</v>
          </cell>
          <cell r="I624" t="str">
            <v>Lawn Fertilizer</v>
          </cell>
        </row>
        <row r="625">
          <cell r="A625" t="str">
            <v>B0D49NJTS1</v>
          </cell>
          <cell r="B625" t="str">
            <v>Scotts</v>
          </cell>
          <cell r="C625" t="str">
            <v>Scotts</v>
          </cell>
          <cell r="D625" t="str">
            <v>Scotts Liquid Turf Builder Lawn Food, 32 fl. oz. (2-Pack)</v>
          </cell>
          <cell r="E625" t="str">
            <v>https://www.amazon.com/dp/B0D49NJTS1?psc=1</v>
          </cell>
          <cell r="F625" t="str">
            <v>Lawn Fertilizer</v>
          </cell>
          <cell r="G625" t="str">
            <v>Lawn Food</v>
          </cell>
          <cell r="H625" t="str">
            <v>Lawn Fertilizer - Lawn Food</v>
          </cell>
          <cell r="I625" t="str">
            <v>Lawn Fertilizer</v>
          </cell>
        </row>
        <row r="626">
          <cell r="A626" t="str">
            <v>B0FWYBFT3V</v>
          </cell>
          <cell r="B626" t="str">
            <v>Scotts</v>
          </cell>
          <cell r="C626" t="str">
            <v>The Scotts Company LLC</v>
          </cell>
          <cell r="D626" t="str">
            <v>Scotts Turf Builder Liquid Lawn Food Plus Weed Control Refill, 32 fl. oz.</v>
          </cell>
          <cell r="E626" t="str">
            <v>https://www.amazon.com/dp/B0FWYBFT3V?psc=1</v>
          </cell>
          <cell r="F626" t="str">
            <v>Lawn Fertilizer</v>
          </cell>
          <cell r="G626" t="str">
            <v>Lawn Food</v>
          </cell>
          <cell r="H626" t="str">
            <v>Lawn Fertilizer - Lawn Food</v>
          </cell>
          <cell r="I626" t="str">
            <v>Lawn Fertilizer</v>
          </cell>
        </row>
        <row r="627">
          <cell r="A627" t="str">
            <v>B07NLR222X</v>
          </cell>
          <cell r="B627" t="str">
            <v>Scotts</v>
          </cell>
          <cell r="C627" t="str">
            <v>Scotts</v>
          </cell>
          <cell r="D627" t="str">
            <v>Scotts Wizz Battery Powered Fertilizer, Seed, and Ice Spreader</v>
          </cell>
          <cell r="E627" t="str">
            <v>https://www.amazon.com/dp/B07NLR222X</v>
          </cell>
          <cell r="F627" t="str">
            <v>Lawn Fertilizer</v>
          </cell>
          <cell r="G627" t="str">
            <v>Spreader</v>
          </cell>
          <cell r="H627" t="str">
            <v>Lawn Fertilizer - Spreader</v>
          </cell>
          <cell r="I627" t="str">
            <v>Lawn Fertilizer</v>
          </cell>
        </row>
        <row r="628">
          <cell r="A628" t="str">
            <v>B0HDLZJPVM</v>
          </cell>
          <cell r="B628" t="str">
            <v>Scotts</v>
          </cell>
          <cell r="C628" t="str">
            <v>The Scotts Company LLC</v>
          </cell>
          <cell r="D628" t="str">
            <v>Scotts Green Max Lawn Food, 46.67 lbs.</v>
          </cell>
          <cell r="E628" t="str">
            <v>https://www.amazon.com/dp/B0HDLZJPVM</v>
          </cell>
          <cell r="F628" t="str">
            <v>Lawn Fertilizer</v>
          </cell>
          <cell r="G628" t="str">
            <v>Lawn Food</v>
          </cell>
          <cell r="H628" t="str">
            <v>Lawn Fertilizer - Lawn Food</v>
          </cell>
          <cell r="I628" t="str">
            <v>Lawn Fertilizer</v>
          </cell>
        </row>
        <row r="629">
          <cell r="A629" t="str">
            <v>B0GZYNN2WL</v>
          </cell>
          <cell r="B629" t="str">
            <v>Scotts</v>
          </cell>
          <cell r="C629" t="str">
            <v>The Scotts Company LLC</v>
          </cell>
          <cell r="D629" t="str">
            <v>Scotts Liquid Green Max Lawn Food, 32 fl. oz. (2-Pack)</v>
          </cell>
          <cell r="E629" t="str">
            <v>https://www.amazon.com/dp/B0GZYNN2WL</v>
          </cell>
          <cell r="F629" t="str">
            <v>Lawn Fertilizer</v>
          </cell>
          <cell r="G629" t="str">
            <v>Lawn Food</v>
          </cell>
          <cell r="H629" t="str">
            <v>Lawn Fertilizer - Lawn Food</v>
          </cell>
          <cell r="I629" t="str">
            <v>Lawn Fertilizer</v>
          </cell>
        </row>
        <row r="630">
          <cell r="A630" t="str">
            <v>B07WLSX6LZ</v>
          </cell>
          <cell r="B630" t="str">
            <v>Victor</v>
          </cell>
          <cell r="C630" t="str">
            <v>Woodstream Corporation</v>
          </cell>
          <cell r="D630" t="str">
            <v>Victor Outdoor Mole &amp; Gopher Poison Peanuts 4-Pack</v>
          </cell>
          <cell r="E630" t="str">
            <v>https://www.amazon.com/dp/B07WLSX6LZ?psc=1</v>
          </cell>
          <cell r="F630" t="str">
            <v>Other</v>
          </cell>
          <cell r="G630" t="str">
            <v>Bait &amp; Poison</v>
          </cell>
          <cell r="H630" t="str">
            <v>Other - Bait &amp; Poison</v>
          </cell>
          <cell r="I630" t="str">
            <v>Mole Repellent</v>
          </cell>
        </row>
        <row r="631">
          <cell r="A631" t="str">
            <v>B07KMWZQYS</v>
          </cell>
          <cell r="B631" t="str">
            <v>Victor</v>
          </cell>
          <cell r="C631" t="str">
            <v>Woodstream Corporation</v>
          </cell>
          <cell r="D631" t="str">
            <v>Victor Easy-to-Set DeadSet Mole Trap</v>
          </cell>
          <cell r="E631" t="str">
            <v>https://www.amazon.com/dp/B07KMWZQYS?psc=1</v>
          </cell>
          <cell r="F631" t="str">
            <v>Other</v>
          </cell>
          <cell r="G631" t="str">
            <v>Other</v>
          </cell>
          <cell r="H631" t="str">
            <v>Other - Other</v>
          </cell>
          <cell r="I631" t="str">
            <v>Mole Repellent</v>
          </cell>
        </row>
        <row r="632">
          <cell r="A632" t="str">
            <v>B07QSC43X9</v>
          </cell>
          <cell r="B632" t="str">
            <v>Victor</v>
          </cell>
          <cell r="C632" t="str">
            <v>Woodstream Corporation</v>
          </cell>
          <cell r="D632" t="str">
            <v>Victor Mole and Gopher Repellent, 10 lb Bag, Castor Oil Granules</v>
          </cell>
          <cell r="E632" t="str">
            <v>https://www.amazon.com/dp/B07QSC43X9?psc=1</v>
          </cell>
          <cell r="F632" t="str">
            <v>Other</v>
          </cell>
          <cell r="G632" t="str">
            <v>Repellents</v>
          </cell>
          <cell r="H632" t="str">
            <v>Other - Repellents</v>
          </cell>
          <cell r="I632" t="str">
            <v>Mole Repellent</v>
          </cell>
        </row>
        <row r="633">
          <cell r="A633" t="str">
            <v>B07KMX9PKY</v>
          </cell>
          <cell r="B633" t="str">
            <v>Victor</v>
          </cell>
          <cell r="C633" t="str">
            <v>Woodstream Corporation</v>
          </cell>
          <cell r="D633" t="str">
            <v>Victor Mole and Gopher Sonic Spike, 2-Pack</v>
          </cell>
          <cell r="E633" t="str">
            <v>https://www.amazon.com/dp/B07KMX9PKY?psc=1</v>
          </cell>
          <cell r="F633" t="str">
            <v>Other</v>
          </cell>
          <cell r="G633" t="str">
            <v>Other</v>
          </cell>
          <cell r="H633" t="str">
            <v>Other - Other</v>
          </cell>
          <cell r="I633" t="str">
            <v>Mole Repellent</v>
          </cell>
        </row>
        <row r="634">
          <cell r="A634" t="str">
            <v>B0FV5761ML</v>
          </cell>
          <cell r="B634" t="str">
            <v>Victor</v>
          </cell>
          <cell r="C634" t="str">
            <v>Woodstream Corporation</v>
          </cell>
          <cell r="D634" t="str">
            <v>Victor Out O'Sight Mole Trap - Mole Control Device for Lawns, Gardens, and Yards - 0631A - Durable Steel Trap for Outdoor Pest Removal</v>
          </cell>
          <cell r="E634" t="str">
            <v>https://www.amazon.com/dp/B0FV5761ML</v>
          </cell>
          <cell r="F634" t="str">
            <v>Garden Pest Control</v>
          </cell>
          <cell r="G634" t="str">
            <v>Other</v>
          </cell>
          <cell r="H634" t="str">
            <v>Garden Pest Control - Other</v>
          </cell>
          <cell r="I634" t="str">
            <v>Mole Repellent</v>
          </cell>
        </row>
        <row r="635">
          <cell r="A635" t="str">
            <v>B07N1F385G</v>
          </cell>
          <cell r="B635" t="str">
            <v>Victor</v>
          </cell>
          <cell r="C635" t="str">
            <v>Woodstream Corporation</v>
          </cell>
          <cell r="D635" t="str">
            <v>Victor Mole and Gopher Repellent Spray, 32 fl oz Bottle</v>
          </cell>
          <cell r="E635" t="str">
            <v>https://www.amazon.com/dp/B07N1F385G</v>
          </cell>
          <cell r="F635" t="str">
            <v>Other</v>
          </cell>
          <cell r="G635" t="str">
            <v>Repellents</v>
          </cell>
          <cell r="H635" t="str">
            <v>Other - Repellents</v>
          </cell>
          <cell r="I635" t="str">
            <v>Mole Repellent</v>
          </cell>
        </row>
        <row r="636">
          <cell r="A636" t="str">
            <v>B07KMXBM74</v>
          </cell>
          <cell r="B636" t="str">
            <v>Victor</v>
          </cell>
          <cell r="C636" t="str">
            <v>Woodstream Corporation</v>
          </cell>
          <cell r="D636" t="str">
            <v>Victor M6006 Outdoor Mole &amp; Gopher Poison Peanuts - Mole and Gopher Bait Killer</v>
          </cell>
          <cell r="E636" t="str">
            <v>https://www.amazon.com/dp/B07KMXBM74?psc=1</v>
          </cell>
          <cell r="F636" t="str">
            <v>Other</v>
          </cell>
          <cell r="G636" t="str">
            <v>Bait &amp; Poison</v>
          </cell>
          <cell r="H636" t="str">
            <v>Other - Bait &amp; Poison</v>
          </cell>
          <cell r="I636" t="str">
            <v>Mole Repellent</v>
          </cell>
        </row>
        <row r="637">
          <cell r="A637" t="str">
            <v>B07KMXRWQY</v>
          </cell>
          <cell r="B637" t="str">
            <v>Victor</v>
          </cell>
          <cell r="C637" t="str">
            <v>Woodstream Corporation</v>
          </cell>
          <cell r="D637" t="str">
            <v>Victor M7001-1 Mole &amp; Gopher Repellent, 64 Ounce (Pack of 1), Black</v>
          </cell>
          <cell r="E637" t="str">
            <v>https://www.amazon.com/dp/B07KMXRWQY?psc=1</v>
          </cell>
          <cell r="F637" t="str">
            <v>Other</v>
          </cell>
          <cell r="G637" t="str">
            <v>Repellents</v>
          </cell>
          <cell r="H637" t="str">
            <v>Other - Repellents</v>
          </cell>
          <cell r="I637" t="str">
            <v>Mole Repellent</v>
          </cell>
        </row>
        <row r="638">
          <cell r="A638" t="str">
            <v>B012VKAYLQ</v>
          </cell>
          <cell r="B638" t="str">
            <v>Tomcat</v>
          </cell>
          <cell r="C638" t="str">
            <v>The Scotts Company LLC</v>
          </cell>
          <cell r="D638" t="str">
            <v>Tomcat Mole Killer(a), 12 Worm Baits</v>
          </cell>
          <cell r="E638" t="str">
            <v>https://www.amazon.com/dp/B012VKAYLQ?psc=1</v>
          </cell>
          <cell r="F638" t="str">
            <v>Other</v>
          </cell>
          <cell r="G638" t="str">
            <v>Bait &amp; Poison</v>
          </cell>
          <cell r="H638" t="str">
            <v>Other - Bait &amp; Poison</v>
          </cell>
          <cell r="I638" t="str">
            <v>Mole Repellent</v>
          </cell>
        </row>
        <row r="639">
          <cell r="A639" t="str">
            <v>B012RGT7RQ</v>
          </cell>
          <cell r="B639" t="str">
            <v>Tomcat</v>
          </cell>
          <cell r="C639" t="str">
            <v>The Scotts Company LLC</v>
          </cell>
          <cell r="D639" t="str">
            <v>Tomcat Mole &amp; Gopher Bait(a), 6 oz.</v>
          </cell>
          <cell r="E639" t="str">
            <v>https://www.amazon.com/dp/B012RGT7RQ</v>
          </cell>
          <cell r="F639" t="str">
            <v>Other</v>
          </cell>
          <cell r="G639" t="str">
            <v>Bait &amp; Poison</v>
          </cell>
          <cell r="H639" t="str">
            <v>Other - Bait &amp; Poison</v>
          </cell>
          <cell r="I639" t="str">
            <v>Mole Repellent</v>
          </cell>
        </row>
        <row r="640">
          <cell r="A640" t="str">
            <v>B008RGCA9I</v>
          </cell>
          <cell r="B640" t="str">
            <v>Tomcat</v>
          </cell>
          <cell r="C640" t="str">
            <v>The Scotts Company LLC</v>
          </cell>
          <cell r="D640" t="str">
            <v>Tomcat Mole &amp; Gopher Repellent Granules, 4 lbs.</v>
          </cell>
          <cell r="E640" t="str">
            <v>https://www.amazon.com/dp/B008RGCA9I?psc=1</v>
          </cell>
          <cell r="F640" t="str">
            <v>Other</v>
          </cell>
          <cell r="G640" t="str">
            <v>Repellents</v>
          </cell>
          <cell r="H640" t="str">
            <v>Other - Repellents</v>
          </cell>
          <cell r="I640" t="str">
            <v>Mole Repellent</v>
          </cell>
        </row>
        <row r="641">
          <cell r="A641" t="str">
            <v>B012VK6OOW</v>
          </cell>
          <cell r="B641" t="str">
            <v>Tomcat</v>
          </cell>
          <cell r="C641" t="str">
            <v>The Scotts Company LLC</v>
          </cell>
          <cell r="D641" t="str">
            <v>Tomcat Mole Killer Grubs, 8 Grubs</v>
          </cell>
          <cell r="E641" t="str">
            <v>https://www.amazon.com/dp/B012VK6OOW?psc=1</v>
          </cell>
          <cell r="F641" t="str">
            <v>Other</v>
          </cell>
          <cell r="G641" t="str">
            <v>Other</v>
          </cell>
          <cell r="H641" t="str">
            <v>Other - Other</v>
          </cell>
          <cell r="I641" t="str">
            <v>Mole Repellent</v>
          </cell>
        </row>
        <row r="642">
          <cell r="A642" t="str">
            <v>B012RDRGYU</v>
          </cell>
          <cell r="B642" t="str">
            <v>Tomcat</v>
          </cell>
          <cell r="C642" t="str">
            <v>The Scotts Company LLC</v>
          </cell>
          <cell r="D642" t="str">
            <v>Tomcat Mole Trap, 1 Trap</v>
          </cell>
          <cell r="E642" t="str">
            <v>https://www.amazon.com/dp/B012RDRGYU?psc=1</v>
          </cell>
          <cell r="F642" t="str">
            <v>Other</v>
          </cell>
          <cell r="G642" t="str">
            <v>Other</v>
          </cell>
          <cell r="H642" t="str">
            <v>Other - Other</v>
          </cell>
          <cell r="I642" t="str">
            <v>Mole Repellent</v>
          </cell>
        </row>
        <row r="643">
          <cell r="A643" t="str">
            <v>B012ODVXHY</v>
          </cell>
          <cell r="B643" t="str">
            <v>Tomcat</v>
          </cell>
          <cell r="C643" t="str">
            <v>The Scotts Company LLC</v>
          </cell>
          <cell r="D643" t="str">
            <v>Tomcat Mole Trap, 2 Traps</v>
          </cell>
          <cell r="E643" t="str">
            <v>https://www.amazon.com/dp/B012ODVXHY?psc=1</v>
          </cell>
          <cell r="F643" t="str">
            <v>Other</v>
          </cell>
          <cell r="G643" t="str">
            <v>Other</v>
          </cell>
          <cell r="H643" t="str">
            <v>Other - Other</v>
          </cell>
          <cell r="I643" t="str">
            <v>Mole Repellent</v>
          </cell>
        </row>
        <row r="644">
          <cell r="A644" t="str">
            <v>B003K2RYAY</v>
          </cell>
          <cell r="B644" t="str">
            <v>Bell Laboratories</v>
          </cell>
          <cell r="C644" t="str">
            <v>Bell Labs</v>
          </cell>
          <cell r="D644" t="str">
            <v>Bell Laboratories Talpirid 7150 Mole Bait Worms, 20 Count</v>
          </cell>
          <cell r="E644" t="str">
            <v>https://www.amazon.com/dp/B003K2RYAY</v>
          </cell>
          <cell r="F644" t="str">
            <v>Rodent Control</v>
          </cell>
          <cell r="G644" t="str">
            <v>Bait &amp; Poison</v>
          </cell>
          <cell r="H644" t="str">
            <v>Rodent Control - Bait &amp; Poison</v>
          </cell>
          <cell r="I644" t="str">
            <v>Mole Repellent</v>
          </cell>
        </row>
        <row r="645">
          <cell r="A645" t="str">
            <v>B004CSWPS6</v>
          </cell>
          <cell r="B645" t="str">
            <v>Bonide</v>
          </cell>
          <cell r="C645" t="str">
            <v>Arboria/LWO Corporation</v>
          </cell>
          <cell r="D645" t="str">
            <v>Bonide MOLEMAX Mole &amp; Vole Repellent Granules, 10 lbs. Ready-to-Use, Outdoor Lawn &amp; Garden Mole Control, People &amp; Pet Safe</v>
          </cell>
          <cell r="E645" t="str">
            <v>https://www.amazon.com/dp/B004CSWPS6?psc=1</v>
          </cell>
          <cell r="F645" t="str">
            <v>Garden Pest Control</v>
          </cell>
          <cell r="G645" t="str">
            <v>Repellents</v>
          </cell>
          <cell r="H645" t="str">
            <v>Garden Pest Control - Repellents</v>
          </cell>
          <cell r="I645" t="str">
            <v>Mole Repellent</v>
          </cell>
        </row>
        <row r="646">
          <cell r="A646" t="str">
            <v>B001BOBMYC</v>
          </cell>
          <cell r="B646" t="str">
            <v>Bonide</v>
          </cell>
          <cell r="C646" t="str">
            <v>Arboria/LWO Corporation</v>
          </cell>
          <cell r="D646" t="str">
            <v>Bonide MOLEMAX Mole &amp; Vole Repellent Granules, 5 lbs. Ready-to-Use, Outdoor Lawn &amp; Garden Mole Control, People &amp; Pet Safe</v>
          </cell>
          <cell r="E646" t="str">
            <v>https://www.amazon.com/dp/B001BOBMYC?psc=1</v>
          </cell>
          <cell r="F646" t="str">
            <v>Garden Pest Control</v>
          </cell>
          <cell r="G646" t="str">
            <v>Repellents</v>
          </cell>
          <cell r="H646" t="str">
            <v>Garden Pest Control - Repellents</v>
          </cell>
          <cell r="I646" t="str">
            <v>Mole Repellent</v>
          </cell>
        </row>
        <row r="647">
          <cell r="A647" t="str">
            <v>B000HJ9F7S</v>
          </cell>
          <cell r="B647" t="str">
            <v>Bonide</v>
          </cell>
          <cell r="C647" t="str">
            <v>Arboria/LWO Corporation</v>
          </cell>
          <cell r="D647" t="str">
            <v>REVENGE Moletox Mole &amp; Gopher Killer Poison Bait Granules, 1 lb. Ready-to-Use Control for Pocket Gophers in Lawn</v>
          </cell>
          <cell r="E647" t="str">
            <v>https://www.amazon.com/dp/B000HJ9F7S?psc=1</v>
          </cell>
          <cell r="F647" t="str">
            <v>Other</v>
          </cell>
          <cell r="G647" t="str">
            <v>Bait &amp; Poison</v>
          </cell>
          <cell r="H647" t="str">
            <v>Other - Bait &amp; Poison</v>
          </cell>
          <cell r="I647" t="str">
            <v>Mole Repellent</v>
          </cell>
        </row>
        <row r="648">
          <cell r="A648" t="str">
            <v>B000ON67VO</v>
          </cell>
          <cell r="B648" t="str">
            <v>Bonide</v>
          </cell>
          <cell r="C648" t="str">
            <v>Bonide</v>
          </cell>
          <cell r="D648" t="str">
            <v>BONIDE PRODUCTS INC 1 LB MOLETOX, Mole &amp; Gopher KILLER</v>
          </cell>
          <cell r="E648" t="str">
            <v>https://www.amazon.com/dp/B000ON67VO</v>
          </cell>
          <cell r="F648" t="str">
            <v>Other</v>
          </cell>
          <cell r="G648" t="str">
            <v>Other</v>
          </cell>
          <cell r="H648" t="str">
            <v>Other - Other</v>
          </cell>
          <cell r="I648" t="str">
            <v>Mole Repellent</v>
          </cell>
        </row>
        <row r="649">
          <cell r="A649" t="str">
            <v>B0085OOIB0</v>
          </cell>
          <cell r="B649" t="str">
            <v>Bonide</v>
          </cell>
          <cell r="C649" t="str">
            <v>Arett Sales - LG</v>
          </cell>
          <cell r="D649" t="str">
            <v>Bonide MoleMax Mole &amp; Gopher Repeller Solar-Powered Sonic Spike</v>
          </cell>
          <cell r="E649" t="str">
            <v>https://www.amazon.com/dp/B0085OOIB0?psc=1</v>
          </cell>
          <cell r="F649" t="str">
            <v>Other</v>
          </cell>
          <cell r="G649" t="str">
            <v>Other</v>
          </cell>
          <cell r="H649" t="str">
            <v>Other - Other</v>
          </cell>
          <cell r="I649" t="str">
            <v>Mole Repellent</v>
          </cell>
        </row>
        <row r="650">
          <cell r="A650" t="str">
            <v>B0084NO9KC</v>
          </cell>
          <cell r="B650" t="str">
            <v>Bonide</v>
          </cell>
          <cell r="C650" t="str">
            <v>Bonide</v>
          </cell>
          <cell r="D650" t="str">
            <v>Bonide MoleMax Mole &amp; Gopher Repeller Battery-Powered Sonic Spike</v>
          </cell>
          <cell r="E650" t="str">
            <v>https://www.amazon.com/dp/B0084NO9KC?psc=1</v>
          </cell>
          <cell r="F650" t="str">
            <v>Other</v>
          </cell>
          <cell r="G650" t="str">
            <v>Other</v>
          </cell>
          <cell r="H650" t="str">
            <v>Other - Other</v>
          </cell>
          <cell r="I650" t="str">
            <v>Mole Repellent</v>
          </cell>
        </row>
        <row r="651">
          <cell r="A651" t="str">
            <v>B09854BKK2</v>
          </cell>
          <cell r="B651" t="str">
            <v>Nature's MACE</v>
          </cell>
          <cell r="C651" t="str">
            <v>Nature's MACE</v>
          </cell>
          <cell r="D651" t="str">
            <v>Nature's MACE Mole &amp; Vole Repellent 160 oz Granules</v>
          </cell>
          <cell r="E651" t="str">
            <v>https://www.amazon.com/dp/B09854BKK2</v>
          </cell>
          <cell r="F651" t="str">
            <v>Other</v>
          </cell>
          <cell r="G651" t="str">
            <v>Repellents</v>
          </cell>
          <cell r="H651" t="str">
            <v>Other - Repellents</v>
          </cell>
          <cell r="I651" t="str">
            <v>Mole Repellent</v>
          </cell>
        </row>
        <row r="652">
          <cell r="A652" t="str">
            <v>B01LW9UGUZ</v>
          </cell>
          <cell r="B652" t="str">
            <v>Nature's MACE</v>
          </cell>
          <cell r="C652" t="str">
            <v>Nature's MACE</v>
          </cell>
          <cell r="D652" t="str">
            <v>Nature's MACE Mole &amp; Vole Mace Mole Repellent 32 oz</v>
          </cell>
          <cell r="E652" t="str">
            <v>https://www.amazon.com/dp/B01LW9UGUZ?psc=1</v>
          </cell>
          <cell r="F652" t="str">
            <v>Other</v>
          </cell>
          <cell r="G652" t="str">
            <v>Repellents</v>
          </cell>
          <cell r="H652" t="str">
            <v>Other - Repellents</v>
          </cell>
          <cell r="I652" t="str">
            <v>Mole Repellent</v>
          </cell>
        </row>
        <row r="653">
          <cell r="A653" t="str">
            <v>B07PYMHQCZ</v>
          </cell>
          <cell r="B653" t="str">
            <v>Ortho</v>
          </cell>
          <cell r="C653" t="str">
            <v>The Scotts Company LLC</v>
          </cell>
          <cell r="D653" t="str">
            <v>Ortho Bug B Gon Insect Killer for Lawns3. - Kills Ants, Fleas, Ticks, Chinch Bugs, Mole Crickets and Cutworms - Use on Lawns, Ornamentals and Home Perimeter, 20 LB</v>
          </cell>
          <cell r="E653" t="str">
            <v>https://www.amazon.com/dp/B07PYMHQCZ</v>
          </cell>
          <cell r="F653" t="str">
            <v>Flying Insect Control</v>
          </cell>
          <cell r="G653" t="str">
            <v>Ant Traps</v>
          </cell>
          <cell r="H653" t="str">
            <v>Flying Insect Control - Ant Traps</v>
          </cell>
          <cell r="I653" t="str">
            <v>Mole Repellent</v>
          </cell>
        </row>
        <row r="654">
          <cell r="A654" t="str">
            <v>B005IMZ9K6</v>
          </cell>
          <cell r="B654" t="str">
            <v>Catchmaster</v>
          </cell>
          <cell r="C654" t="str">
            <v>Atlantic Paste and Glue Co. Inc.</v>
          </cell>
          <cell r="D654" t="str">
            <v>Catchmaster Extra Sticky Glue Traps 60pk, XL Glue Boards for Mice &amp; Insects</v>
          </cell>
          <cell r="E654" t="str">
            <v>https://www.amazon.com/dp/B005IMZ9K6?psc=1</v>
          </cell>
          <cell r="F654" t="str">
            <v>Rodent Control</v>
          </cell>
          <cell r="G654" t="str">
            <v>Glue Traps</v>
          </cell>
          <cell r="H654" t="str">
            <v>Rodent Control - Glue Traps</v>
          </cell>
          <cell r="I654" t="str">
            <v>Rodent</v>
          </cell>
        </row>
        <row r="655">
          <cell r="A655" t="str">
            <v>B08KGTY7QM</v>
          </cell>
          <cell r="B655" t="str">
            <v>Exterminators Choice</v>
          </cell>
          <cell r="C655" t="str">
            <v>Exterminators Choice</v>
          </cell>
          <cell r="D655" t="str">
            <v>Exterminators Choice Mice Bait Station Boxes (2 Pack, with 1 Key)</v>
          </cell>
          <cell r="E655" t="str">
            <v>https://www.amazon.com/dp/B08KGTY7QM?psc=1</v>
          </cell>
          <cell r="F655" t="str">
            <v>Rodent Control</v>
          </cell>
          <cell r="G655" t="str">
            <v>Bait &amp; Poison</v>
          </cell>
          <cell r="H655" t="str">
            <v>Rodent Control - Bait &amp; Poison</v>
          </cell>
          <cell r="I655" t="str">
            <v>Rodent</v>
          </cell>
        </row>
        <row r="656">
          <cell r="A656" t="str">
            <v>B0C6BFH4LV</v>
          </cell>
          <cell r="B656" t="str">
            <v>d-Con</v>
          </cell>
          <cell r="C656" t="str">
            <v>RECKITT BENCKISER</v>
          </cell>
          <cell r="D656" t="str">
            <v>d-Con Toxic Bait Tray Pellets for Mice and Rats 6 oz 1 pk</v>
          </cell>
          <cell r="E656" t="str">
            <v>https://www.amazon.com/dp/B0C6BFH4LV</v>
          </cell>
          <cell r="F656" t="str">
            <v>Rodent Control</v>
          </cell>
          <cell r="G656" t="str">
            <v>Bait &amp; Poison</v>
          </cell>
          <cell r="H656" t="str">
            <v>Rodent Control - Bait &amp; Poison</v>
          </cell>
          <cell r="I656" t="str">
            <v>Rodent</v>
          </cell>
        </row>
        <row r="657">
          <cell r="A657" t="str">
            <v>B01MXS85YT</v>
          </cell>
          <cell r="B657" t="str">
            <v>Scotts</v>
          </cell>
          <cell r="C657" t="str">
            <v>Scotts</v>
          </cell>
          <cell r="D657" t="str">
            <v>Scotts Liquid Turf Builder with Plus 2 Weed Control, 32 fl. oz.</v>
          </cell>
          <cell r="E657" t="str">
            <v>https://www.amazon.com/dp/B01MXS85YT?psc=1</v>
          </cell>
          <cell r="F657" t="str">
            <v>Weed Control</v>
          </cell>
          <cell r="G657" t="str">
            <v>Other</v>
          </cell>
          <cell r="H657" t="str">
            <v>Weed Control - Other</v>
          </cell>
          <cell r="I657" t="str">
            <v>Lawn Fertilizer</v>
          </cell>
        </row>
        <row r="658">
          <cell r="A658" t="str">
            <v>B0BGMNB1CQ</v>
          </cell>
          <cell r="B658" t="str">
            <v>Scotts</v>
          </cell>
          <cell r="C658" t="str">
            <v>The Scotts Company LLC</v>
          </cell>
          <cell r="D658" t="str">
            <v>Scotts Turf Builder WinterGuard Fall Weed &amp; Feed3, 11.43 lbs.</v>
          </cell>
          <cell r="E658" t="str">
            <v>https://www.amazon.com/dp/B0BGMNB1CQ?psc=1</v>
          </cell>
          <cell r="F658" t="str">
            <v>Weed Control</v>
          </cell>
          <cell r="G658" t="str">
            <v>Weed &amp; Feed</v>
          </cell>
          <cell r="H658" t="str">
            <v>Weed Control - Weed &amp; Feed</v>
          </cell>
          <cell r="I658" t="str">
            <v>Lawn Fertilizer</v>
          </cell>
        </row>
        <row r="659">
          <cell r="A659" t="str">
            <v>B0CVQR3TC4</v>
          </cell>
          <cell r="B659" t="str">
            <v>Scotts</v>
          </cell>
          <cell r="C659" t="str">
            <v>Scotts</v>
          </cell>
          <cell r="D659" t="str">
            <v>Scotts Turf Builder WinterGuard Fall Weed &amp; Feed₅, 33.84 lbs.</v>
          </cell>
          <cell r="E659" t="str">
            <v>https://www.amazon.com/dp/B0CVQR3TC4?psc=1</v>
          </cell>
          <cell r="F659" t="str">
            <v>Weed Control</v>
          </cell>
          <cell r="G659" t="str">
            <v>Weed &amp; Feed</v>
          </cell>
          <cell r="H659" t="str">
            <v>Weed Control - Weed &amp; Feed</v>
          </cell>
          <cell r="I659" t="str">
            <v>Lawn Fertilizer</v>
          </cell>
        </row>
        <row r="660">
          <cell r="A660" t="str">
            <v>B00IMZVQ6M</v>
          </cell>
          <cell r="B660" t="str">
            <v>Scotts</v>
          </cell>
          <cell r="C660" t="str">
            <v>The Scotts Company LLC</v>
          </cell>
          <cell r="D660" t="str">
            <v>Scotts Turf Builder SummerGuard Lawn Food with Insect Control - Lawn Fertilizer and Insect Killer, 5,000 sq. ft., 13.35 lbs.</v>
          </cell>
          <cell r="E660" t="str">
            <v>https://www.amazon.com/dp/B00IMZVQ6M?psc=1</v>
          </cell>
          <cell r="F660" t="str">
            <v>Flying Insect Control</v>
          </cell>
          <cell r="G660" t="str">
            <v>Lawn Food</v>
          </cell>
          <cell r="H660" t="str">
            <v>Flying Insect Control - Lawn Food</v>
          </cell>
          <cell r="I660" t="str">
            <v>Lawn Fertilizer</v>
          </cell>
        </row>
        <row r="661">
          <cell r="A661" t="str">
            <v>B00FOMY10O</v>
          </cell>
          <cell r="B661" t="str">
            <v>Scotts</v>
          </cell>
          <cell r="C661" t="str">
            <v>Scotts</v>
          </cell>
          <cell r="D661" t="str">
            <v>Scotts Turf Builder Starter Food for New Grass, 42 lb. - Lawn Fertilizer for Newly Planted Grass, Also Great for Sod and Grass Plugs - Covers 14,000 sq. ft.</v>
          </cell>
          <cell r="E661" t="str">
            <v>https://www.amazon.com/dp/B00FOMY10O?psc=1</v>
          </cell>
          <cell r="F661" t="str">
            <v>Crawling Insect Control</v>
          </cell>
          <cell r="G661" t="str">
            <v>Ant Traps</v>
          </cell>
          <cell r="H661" t="str">
            <v>Crawling Insect Control - Ant Traps</v>
          </cell>
          <cell r="I661" t="str">
            <v>Lawn Fertilizer</v>
          </cell>
        </row>
        <row r="662">
          <cell r="A662" t="str">
            <v>B00DK49BXK</v>
          </cell>
          <cell r="B662" t="str">
            <v>Scotts</v>
          </cell>
          <cell r="C662" t="str">
            <v>The Scotts Company</v>
          </cell>
          <cell r="D662" t="str">
            <v>Scotts Turf Builder Starter Food for New Grass, 3 lbs.</v>
          </cell>
          <cell r="E662" t="str">
            <v>https://www.amazon.com/dp/B00DK49BXK?psc=1</v>
          </cell>
          <cell r="F662" t="str">
            <v>Other</v>
          </cell>
          <cell r="G662" t="str">
            <v>Starter Fertilizer</v>
          </cell>
          <cell r="H662" t="str">
            <v>Other - Starter Fertilizer</v>
          </cell>
          <cell r="I662" t="str">
            <v>Lawn Fertilizer</v>
          </cell>
        </row>
        <row r="663">
          <cell r="A663" t="str">
            <v>B00XJM8KMQ</v>
          </cell>
          <cell r="B663" t="str">
            <v>Scotts</v>
          </cell>
          <cell r="C663" t="str">
            <v>Scotts</v>
          </cell>
          <cell r="D663" t="str">
            <v>Scotts Turf Builder Weed &amp; Feed3, 14.29 lbs.</v>
          </cell>
          <cell r="E663" t="str">
            <v>https://www.amazon.com/dp/B00XJM8KMQ?psc=1</v>
          </cell>
          <cell r="F663" t="str">
            <v>Weed Control</v>
          </cell>
          <cell r="G663" t="str">
            <v>Weed &amp; Feed</v>
          </cell>
          <cell r="H663" t="str">
            <v>Weed Control - Weed &amp; Feed</v>
          </cell>
          <cell r="I663" t="str">
            <v>Lawn Fertilizer</v>
          </cell>
        </row>
        <row r="664">
          <cell r="A664" t="str">
            <v>B002YPS1KK</v>
          </cell>
          <cell r="B664" t="str">
            <v>Scotts</v>
          </cell>
          <cell r="C664" t="str">
            <v>The Scotts Company LLC</v>
          </cell>
          <cell r="D664" t="str">
            <v>Scotts Turf Builder EdgeGuard Mini Broadcast Spreader</v>
          </cell>
          <cell r="E664" t="str">
            <v>https://www.amazon.com/dp/B002YPS1KK?psc=1</v>
          </cell>
          <cell r="F664" t="str">
            <v>Garden Equipment</v>
          </cell>
          <cell r="G664" t="str">
            <v>Spreader</v>
          </cell>
          <cell r="H664" t="str">
            <v>Garden Equipment - Spreader</v>
          </cell>
          <cell r="I664" t="str">
            <v>Lawn Fertilizer</v>
          </cell>
        </row>
        <row r="665">
          <cell r="A665" t="str">
            <v>B08KH1RYW3</v>
          </cell>
          <cell r="B665" t="str">
            <v>Scotts</v>
          </cell>
          <cell r="C665" t="str">
            <v>The Scotts Company LLC</v>
          </cell>
          <cell r="D665" t="str">
            <v>Scotts Turf Builder Triple Action Built for Seeding, 17.2 lbs.</v>
          </cell>
          <cell r="E665" t="str">
            <v>https://www.amazon.com/dp/B08KH1RYW3?psc=1</v>
          </cell>
          <cell r="F665" t="str">
            <v>Other</v>
          </cell>
          <cell r="G665" t="str">
            <v>Triple Action Fertilizer</v>
          </cell>
          <cell r="H665" t="str">
            <v>Other - Triple Action Fertilizer</v>
          </cell>
          <cell r="I665" t="str">
            <v>Lawn Fertilizer</v>
          </cell>
        </row>
        <row r="666">
          <cell r="A666" t="str">
            <v>B0CVR4TJVB</v>
          </cell>
          <cell r="B666" t="str">
            <v>Scotts</v>
          </cell>
          <cell r="C666" t="str">
            <v>Scotts</v>
          </cell>
          <cell r="D666" t="str">
            <v>Scotts Turf Builder WinterGuard Fall Weed &amp; Feed₅, 11.28 lbs.</v>
          </cell>
          <cell r="E666" t="str">
            <v>https://www.amazon.com/dp/B0CVR4TJVB</v>
          </cell>
          <cell r="F666" t="str">
            <v>Weed Control</v>
          </cell>
          <cell r="G666" t="str">
            <v>Weed &amp; Feed</v>
          </cell>
          <cell r="H666" t="str">
            <v>Weed Control - Weed &amp; Feed</v>
          </cell>
          <cell r="I666" t="str">
            <v>Lawn Fertilizer</v>
          </cell>
        </row>
        <row r="667">
          <cell r="A667" t="str">
            <v>B09JVFT7N5</v>
          </cell>
          <cell r="B667" t="str">
            <v>Scotts</v>
          </cell>
          <cell r="C667" t="str">
            <v>The Scotts Company LLC</v>
          </cell>
          <cell r="D667" t="str">
            <v>Scotts Turf Builder Triple Action1, 11.31 lb.</v>
          </cell>
          <cell r="E667" t="str">
            <v>https://www.amazon.com/dp/B09JVFT7N5</v>
          </cell>
          <cell r="F667" t="str">
            <v>Other</v>
          </cell>
          <cell r="G667" t="str">
            <v>Triple Action Fertilizer</v>
          </cell>
          <cell r="H667" t="str">
            <v>Other - Triple Action Fertilizer</v>
          </cell>
          <cell r="I667" t="str">
            <v>Lawn Fertilizer</v>
          </cell>
        </row>
        <row r="668">
          <cell r="A668" t="str">
            <v>B0BBN6RHBY</v>
          </cell>
          <cell r="B668" t="str">
            <v>Scotts</v>
          </cell>
          <cell r="C668" t="str">
            <v>The Scotts Company LLC</v>
          </cell>
          <cell r="D668" t="str">
            <v>Scotts Turf Builder Weed &amp; Feed5, 33.95 lbs.</v>
          </cell>
          <cell r="E668" t="str">
            <v>https://www.amazon.com/dp/B0BBN6RHBY?psc=1</v>
          </cell>
          <cell r="F668" t="str">
            <v>Weed Control</v>
          </cell>
          <cell r="G668" t="str">
            <v>Weed &amp; Feed</v>
          </cell>
          <cell r="H668" t="str">
            <v>Weed Control - Weed &amp; Feed</v>
          </cell>
          <cell r="I668" t="str">
            <v>Lawn Fertilizer</v>
          </cell>
        </row>
        <row r="669">
          <cell r="A669" t="str">
            <v>B00XGNUEIQ</v>
          </cell>
          <cell r="B669" t="str">
            <v>Scotts</v>
          </cell>
          <cell r="C669" t="str">
            <v>The Scotts Company LLC</v>
          </cell>
          <cell r="D669" t="str">
            <v>Scotts Turf Builder Weed &amp; Feed3, 42.87 lbs.</v>
          </cell>
          <cell r="E669" t="str">
            <v>https://www.amazon.com/dp/B00XGNUEIQ?psc=1</v>
          </cell>
          <cell r="F669" t="str">
            <v>Weed Control</v>
          </cell>
          <cell r="G669" t="str">
            <v>Weed &amp; Feed</v>
          </cell>
          <cell r="H669" t="str">
            <v>Weed Control - Weed &amp; Feed</v>
          </cell>
          <cell r="I669" t="str">
            <v>Lawn Fertilizer</v>
          </cell>
        </row>
        <row r="670">
          <cell r="A670" t="str">
            <v>B08KGXWPHR</v>
          </cell>
          <cell r="B670" t="str">
            <v>Scotts</v>
          </cell>
          <cell r="C670" t="str">
            <v>The Scotts Company LLC</v>
          </cell>
          <cell r="D670" t="str">
            <v>Scotts Turf Builder Triple Action Built for Seeding, 4.3 lbs.</v>
          </cell>
          <cell r="E670" t="str">
            <v>https://www.amazon.com/dp/B08KGXWPHR?psc=1</v>
          </cell>
          <cell r="F670" t="str">
            <v>Other</v>
          </cell>
          <cell r="G670" t="str">
            <v>Triple Action Fertilizer</v>
          </cell>
          <cell r="H670" t="str">
            <v>Other - Triple Action Fertilizer</v>
          </cell>
          <cell r="I670" t="str">
            <v>Lawn Fertilizer</v>
          </cell>
        </row>
        <row r="671">
          <cell r="A671" t="str">
            <v>B00GPAGO6S</v>
          </cell>
          <cell r="B671" t="str">
            <v>Scotts</v>
          </cell>
          <cell r="C671" t="str">
            <v>Scotts</v>
          </cell>
          <cell r="D671" t="str">
            <v>Scotts Turf Builder Bonus S Southern Weed &amp; Feed2, 17.24 lbs.</v>
          </cell>
          <cell r="E671" t="str">
            <v>https://www.amazon.com/dp/B00GPAGO6S?psc=1</v>
          </cell>
          <cell r="F671" t="str">
            <v>Weed Control</v>
          </cell>
          <cell r="G671" t="str">
            <v>Weed &amp; Feed</v>
          </cell>
          <cell r="H671" t="str">
            <v>Weed Control - Weed &amp; Feed</v>
          </cell>
          <cell r="I671" t="str">
            <v>Lawn Fertilizer</v>
          </cell>
        </row>
        <row r="672">
          <cell r="A672" t="str">
            <v>B09JVCSXJC</v>
          </cell>
          <cell r="B672" t="str">
            <v>Scotts</v>
          </cell>
          <cell r="C672" t="str">
            <v>Scotts Miracle-Gro</v>
          </cell>
          <cell r="D672" t="str">
            <v>Scotts Turf Builder Triple Action1, 33.94 lbs.</v>
          </cell>
          <cell r="E672" t="str">
            <v>https://www.amazon.com/dp/B09JVCSXJC?psc=1</v>
          </cell>
          <cell r="F672" t="str">
            <v>Other</v>
          </cell>
          <cell r="G672" t="str">
            <v>Triple Action Fertilizer</v>
          </cell>
          <cell r="H672" t="str">
            <v>Other - Triple Action Fertilizer</v>
          </cell>
          <cell r="I672" t="str">
            <v>Lawn Fertilizer</v>
          </cell>
        </row>
        <row r="673">
          <cell r="A673" t="str">
            <v>B009QAJ6VO</v>
          </cell>
          <cell r="B673" t="str">
            <v>Scotts</v>
          </cell>
          <cell r="C673" t="str">
            <v>The Scotts Company LLC</v>
          </cell>
          <cell r="D673" t="str">
            <v>Scotts Turf Builder Starter Food for New Grass Ready-Spray, 32 fl. oz.</v>
          </cell>
          <cell r="E673" t="str">
            <v>https://www.amazon.com/dp/B009QAJ6VO?psc=1</v>
          </cell>
          <cell r="F673" t="str">
            <v>Other</v>
          </cell>
          <cell r="G673" t="str">
            <v>Starter Fertilizer</v>
          </cell>
          <cell r="H673" t="str">
            <v>Other - Starter Fertilizer</v>
          </cell>
          <cell r="I673" t="str">
            <v>Lawn Fertilizer</v>
          </cell>
        </row>
        <row r="674">
          <cell r="A674" t="str">
            <v>B07YM66RXF</v>
          </cell>
          <cell r="B674" t="str">
            <v>Scotts</v>
          </cell>
          <cell r="C674" t="str">
            <v>The Scotts Company LLC</v>
          </cell>
          <cell r="D674" t="str">
            <v>Scotts Turf Builder Bonus S Southern Weed &amp; FeedF2, 34.48 lbs.</v>
          </cell>
          <cell r="E674" t="str">
            <v>https://www.amazon.com/dp/B07YM66RXF?psc=1</v>
          </cell>
          <cell r="F674" t="str">
            <v>Weed Control</v>
          </cell>
          <cell r="G674" t="str">
            <v>Weed &amp; Feed</v>
          </cell>
          <cell r="H674" t="str">
            <v>Weed Control - Weed &amp; Feed</v>
          </cell>
          <cell r="I674" t="str">
            <v>Lawn Fertilizer</v>
          </cell>
        </row>
        <row r="675">
          <cell r="A675" t="str">
            <v>B0BGMLFMMW</v>
          </cell>
          <cell r="B675" t="str">
            <v>Scotts</v>
          </cell>
          <cell r="C675" t="str">
            <v>The Scotts Company LLC</v>
          </cell>
          <cell r="D675" t="str">
            <v>Scotts Turf Builder WinterGuard Fall Weed &amp; Feed3, 34.3 lbs.</v>
          </cell>
          <cell r="E675" t="str">
            <v>https://www.amazon.com/dp/B0BGMLFMMW?psc=1</v>
          </cell>
          <cell r="F675" t="str">
            <v>Weed Control</v>
          </cell>
          <cell r="G675" t="str">
            <v>Weed &amp; Feed</v>
          </cell>
          <cell r="H675" t="str">
            <v>Weed Control - Weed &amp; Feed</v>
          </cell>
          <cell r="I675" t="str">
            <v>Lawn Fertilizer</v>
          </cell>
        </row>
        <row r="676">
          <cell r="A676" t="str">
            <v>B005W1Q6YG</v>
          </cell>
          <cell r="B676" t="str">
            <v>Scotts</v>
          </cell>
          <cell r="C676" t="str">
            <v>The Scotts Company LLC</v>
          </cell>
          <cell r="D676" t="str">
            <v>Scotts Turf Builder with Moss Control, 5,000 sq. ft.</v>
          </cell>
          <cell r="E676" t="str">
            <v>https://www.amazon.com/dp/B005W1Q6YG?psc=1</v>
          </cell>
          <cell r="F676" t="str">
            <v>Disease &amp; Moss Control</v>
          </cell>
          <cell r="G676" t="str">
            <v>Moss Control</v>
          </cell>
          <cell r="H676" t="str">
            <v>Disease &amp; Moss Control - Moss Control</v>
          </cell>
          <cell r="I676" t="str">
            <v>Lawn Fertilizer</v>
          </cell>
        </row>
        <row r="677">
          <cell r="A677" t="str">
            <v>B0B3LM1WNG</v>
          </cell>
          <cell r="B677" t="str">
            <v>Scotts</v>
          </cell>
          <cell r="C677" t="str">
            <v>The Scotts Company LLC</v>
          </cell>
          <cell r="D677" t="str">
            <v>Scotts Turf Builder Triple Action Built For Seeding, (2-Pack)</v>
          </cell>
          <cell r="E677" t="str">
            <v>https://www.amazon.com/dp/B0B3LM1WNG?psc=1</v>
          </cell>
          <cell r="F677" t="str">
            <v>Other</v>
          </cell>
          <cell r="G677" t="str">
            <v>Triple Action Fertilizer</v>
          </cell>
          <cell r="H677" t="str">
            <v>Other - Triple Action Fertilizer</v>
          </cell>
          <cell r="I677" t="str">
            <v>Lawn Fertilizer</v>
          </cell>
        </row>
        <row r="678">
          <cell r="A678" t="str">
            <v>B0758L58YY</v>
          </cell>
          <cell r="B678" t="str">
            <v>Scotts</v>
          </cell>
          <cell r="C678" t="str">
            <v>The Scotts Company LLC</v>
          </cell>
          <cell r="D678" t="str">
            <v>Scotts Turf Builder Southern Triple Action, 13.32 lbs.</v>
          </cell>
          <cell r="E678" t="str">
            <v>https://www.amazon.com/dp/B0758L58YY?psc=1</v>
          </cell>
          <cell r="F678" t="str">
            <v>Other</v>
          </cell>
          <cell r="G678" t="str">
            <v>Triple Action Fertilizer</v>
          </cell>
          <cell r="H678" t="str">
            <v>Other - Triple Action Fertilizer</v>
          </cell>
          <cell r="I678" t="str">
            <v>Lawn Fertilizer</v>
          </cell>
        </row>
        <row r="679">
          <cell r="A679" t="str">
            <v>B075G283GS</v>
          </cell>
          <cell r="B679" t="str">
            <v>Scotts</v>
          </cell>
          <cell r="C679" t="str">
            <v>Scotts</v>
          </cell>
          <cell r="D679" t="str">
            <v>Scotts Turf Builder Southern Triple Action, 26.64 lbs.</v>
          </cell>
          <cell r="E679" t="str">
            <v>https://www.amazon.com/dp/B075G283GS?psc=1</v>
          </cell>
          <cell r="F679" t="str">
            <v>Other</v>
          </cell>
          <cell r="G679" t="str">
            <v>Triple Action Fertilizer</v>
          </cell>
          <cell r="H679" t="str">
            <v>Other - Triple Action Fertilizer</v>
          </cell>
          <cell r="I679" t="str">
            <v>Lawn Fertilizer</v>
          </cell>
        </row>
        <row r="680">
          <cell r="A680" t="str">
            <v>B08Q1XRCQY</v>
          </cell>
          <cell r="B680" t="str">
            <v>Scotts</v>
          </cell>
          <cell r="C680" t="str">
            <v>The Scotts Company LLC</v>
          </cell>
          <cell r="D680" t="str">
            <v>Scotts Turf Builder Starter Food for New Grass, 15 lbs. (2-Pack)</v>
          </cell>
          <cell r="E680" t="str">
            <v>https://www.amazon.com/dp/B08Q1XRCQY?psc=1</v>
          </cell>
          <cell r="F680" t="str">
            <v>Other</v>
          </cell>
          <cell r="G680" t="str">
            <v>Starter Fertilizer</v>
          </cell>
          <cell r="H680" t="str">
            <v>Other - Starter Fertilizer</v>
          </cell>
          <cell r="I680" t="str">
            <v>Lawn Fertilizer</v>
          </cell>
        </row>
        <row r="681">
          <cell r="A681" t="str">
            <v>B0BBN199N4</v>
          </cell>
          <cell r="B681" t="str">
            <v>Scotts</v>
          </cell>
          <cell r="C681" t="str">
            <v>Scotts Miracle-Gro</v>
          </cell>
          <cell r="D681" t="str">
            <v>Scotts Turf Builder Weed &amp; Feed5, 11.32 lbs.</v>
          </cell>
          <cell r="E681" t="str">
            <v>https://www.amazon.com/dp/B0BBN199N4?psc=1</v>
          </cell>
          <cell r="F681" t="str">
            <v>Weed Control</v>
          </cell>
          <cell r="G681" t="str">
            <v>Weed &amp; Feed</v>
          </cell>
          <cell r="H681" t="str">
            <v>Weed Control - Weed &amp; Feed</v>
          </cell>
          <cell r="I681" t="str">
            <v>Lawn Fertilizer</v>
          </cell>
        </row>
        <row r="682">
          <cell r="A682" t="str">
            <v>B00HJBOPK4</v>
          </cell>
          <cell r="B682" t="str">
            <v>Scotts</v>
          </cell>
          <cell r="C682" t="str">
            <v>The Scotts Company LLC</v>
          </cell>
          <cell r="D682" t="str">
            <v>Scotts Turf Builder SummerGuard Lawn Food with Insect Control - Lawn Fertilizer and Insect Killer, 15,000 sq. ft., 40.05 lbs.</v>
          </cell>
          <cell r="E682" t="str">
            <v>https://www.amazon.com/dp/B00HJBOPK4?psc=1</v>
          </cell>
          <cell r="F682" t="str">
            <v>Flying Insect Control</v>
          </cell>
          <cell r="G682" t="str">
            <v>Lawn Food</v>
          </cell>
          <cell r="H682" t="str">
            <v>Flying Insect Control - Lawn Food</v>
          </cell>
          <cell r="I682" t="str">
            <v>Lawn Fertilizer</v>
          </cell>
        </row>
        <row r="683">
          <cell r="A683" t="str">
            <v>B0B3LYVL3S</v>
          </cell>
          <cell r="B683" t="str">
            <v>Scotts</v>
          </cell>
          <cell r="C683" t="str">
            <v>The Scotts Company LLC</v>
          </cell>
          <cell r="D683" t="str">
            <v>Scotts Turf Builder Triple Action1, 11.31 lb. (2-Pack)</v>
          </cell>
          <cell r="E683" t="str">
            <v>https://www.amazon.com/dp/B0B3LYVL3S?psc=1</v>
          </cell>
          <cell r="F683" t="str">
            <v>Other</v>
          </cell>
          <cell r="G683" t="str">
            <v>Triple Action Fertilizer</v>
          </cell>
          <cell r="H683" t="str">
            <v>Other - Triple Action Fertilizer</v>
          </cell>
          <cell r="I683" t="str">
            <v>Lawn Fertilizer</v>
          </cell>
        </row>
        <row r="684">
          <cell r="A684" t="str">
            <v>B0FWYGXSM7</v>
          </cell>
          <cell r="B684" t="str">
            <v>Scotts</v>
          </cell>
          <cell r="C684" t="str">
            <v>The Scotts Company LLC</v>
          </cell>
          <cell r="D684" t="str">
            <v>Scotts Turf Builder Triple Action1, 14.10 lbs.</v>
          </cell>
          <cell r="E684" t="str">
            <v>https://www.amazon.com/dp/B0FWYGXSM7?psc=1</v>
          </cell>
          <cell r="F684" t="str">
            <v>Other</v>
          </cell>
          <cell r="G684" t="str">
            <v>Triple Action Fertilizer</v>
          </cell>
          <cell r="H684" t="str">
            <v>Other - Triple Action Fertilizer</v>
          </cell>
          <cell r="I684" t="str">
            <v>Lawn Fertilizer</v>
          </cell>
        </row>
        <row r="685">
          <cell r="A685" t="str">
            <v>B0DJCJNCBM</v>
          </cell>
          <cell r="B685" t="str">
            <v>Scotts</v>
          </cell>
          <cell r="C685" t="str">
            <v>The Scotts Company LLC</v>
          </cell>
          <cell r="D685" t="str">
            <v>Scotts Turf Builder Triple Action for Moss Control, 20 lbs.</v>
          </cell>
          <cell r="E685" t="str">
            <v>https://www.amazon.com/dp/B0DJCJNCBM?psc=1</v>
          </cell>
          <cell r="F685" t="str">
            <v>Disease &amp; Moss Control</v>
          </cell>
          <cell r="G685" t="str">
            <v>Triple Action Fertilizer</v>
          </cell>
          <cell r="H685" t="str">
            <v>Disease &amp; Moss Control - Triple Action Fertilizer</v>
          </cell>
          <cell r="I685" t="str">
            <v>Lawn Fertilizer</v>
          </cell>
        </row>
        <row r="686">
          <cell r="A686" t="str">
            <v>B005DUTNF0</v>
          </cell>
          <cell r="B686" t="str">
            <v>Syngenta</v>
          </cell>
          <cell r="C686" t="str">
            <v>SYNGENTA</v>
          </cell>
          <cell r="D686" t="str">
            <v>Tenacity Turf Herbicide - 8 ounces (Packaging may vary)</v>
          </cell>
          <cell r="E686" t="str">
            <v>https://www.amazon.com/dp/B005DUTNF0?psc=1</v>
          </cell>
          <cell r="F686" t="str">
            <v>Other</v>
          </cell>
          <cell r="G686" t="str">
            <v>Other</v>
          </cell>
          <cell r="H686" t="str">
            <v>Other - Other</v>
          </cell>
          <cell r="I686" t="str">
            <v>Lawn Fertilizer</v>
          </cell>
        </row>
        <row r="687">
          <cell r="A687" t="str">
            <v>B0DN24MZ7Z</v>
          </cell>
          <cell r="B687" t="str">
            <v>Syngenta</v>
          </cell>
          <cell r="C687" t="str">
            <v>Syngenta</v>
          </cell>
          <cell r="D687" t="str">
            <v>Syngenta Fusilade II Herbicide - Grass Weed Killer Spray for Selective Control in Turf &amp; Landscapes, Safe on Ornamentals, Fast Acting Weed Control for Nurseries &amp; Sports Fields - 4 oz</v>
          </cell>
          <cell r="E687" t="str">
            <v>https://www.amazon.com/dp/B0DN24MZ7Z?psc=1</v>
          </cell>
          <cell r="F687" t="str">
            <v>Weed Control</v>
          </cell>
          <cell r="G687" t="str">
            <v>Other</v>
          </cell>
          <cell r="H687" t="str">
            <v>Weed Control - Other</v>
          </cell>
          <cell r="I687" t="str">
            <v>Lawn Fertilizer</v>
          </cell>
        </row>
        <row r="688">
          <cell r="A688" t="str">
            <v>B00OXD2CKG</v>
          </cell>
          <cell r="B688" t="str">
            <v>Syngenta</v>
          </cell>
          <cell r="C688" t="str">
            <v>Syngenta</v>
          </cell>
          <cell r="D688" t="str">
            <v>Barricade 4FL Herbicide Concentrate - Preemergent Weed Control - Long Lasting Broadleaf Weed Prevention for Lawns, Turf Grass, Ornamentals, and More, 4 Fl Oz</v>
          </cell>
          <cell r="E688" t="str">
            <v>https://www.amazon.com/dp/B00OXD2CKG</v>
          </cell>
          <cell r="F688" t="str">
            <v>Rodent Control</v>
          </cell>
          <cell r="G688" t="str">
            <v>Other</v>
          </cell>
          <cell r="H688" t="str">
            <v>Rodent Control - Other</v>
          </cell>
          <cell r="I688" t="str">
            <v>Lawn Fertilizer</v>
          </cell>
        </row>
        <row r="689">
          <cell r="A689" t="str">
            <v>B0DFDLZ4GS</v>
          </cell>
          <cell r="B689" t="str">
            <v>Syngenta</v>
          </cell>
          <cell r="C689" t="str">
            <v>Syngenta</v>
          </cell>
          <cell r="D689" t="str">
            <v>Syngenta Tenacity Herbicide - Pre-Emergent and Post-Emergent Weed Control, 8-oz. Liquid Weed Killer for Lawns and Turf Grasses, Active Ingredient Mesotrione Herbicide (Pack of 2)</v>
          </cell>
          <cell r="E689" t="str">
            <v>https://www.amazon.com/dp/B0DFDLZ4GS?psc=1</v>
          </cell>
          <cell r="F689" t="str">
            <v>Weed Control</v>
          </cell>
          <cell r="G689" t="str">
            <v>Other</v>
          </cell>
          <cell r="H689" t="str">
            <v>Weed Control - Other</v>
          </cell>
          <cell r="I689" t="str">
            <v>Lawn Fertilizer</v>
          </cell>
        </row>
        <row r="690">
          <cell r="A690" t="str">
            <v>B0FNXBGZNS</v>
          </cell>
          <cell r="B690" t="str">
            <v>Ortho</v>
          </cell>
          <cell r="C690" t="str">
            <v>The Scotts Company</v>
          </cell>
          <cell r="D690" t="str">
            <v>Ortho Nutsedge Killer for Lawns Ready-To-Spray, Controls Over 50 Listed Weeds, For Use on Northern and Southern Turf Grasses, 32 fl. oz</v>
          </cell>
          <cell r="E690" t="str">
            <v>https://www.amazon.com/dp/B0FNXBGZNS?psc=1</v>
          </cell>
          <cell r="F690" t="str">
            <v>Weed Control</v>
          </cell>
          <cell r="G690" t="str">
            <v>Other</v>
          </cell>
          <cell r="H690" t="str">
            <v>Weed Control - Other</v>
          </cell>
          <cell r="I690" t="str">
            <v>Lawn Fertilizer</v>
          </cell>
        </row>
        <row r="691">
          <cell r="A691" t="str">
            <v>B00DU7Z62W</v>
          </cell>
          <cell r="B691" t="str">
            <v>Scotts</v>
          </cell>
          <cell r="C691" t="str">
            <v>Scotts</v>
          </cell>
          <cell r="D691" t="str">
            <v>Scotts Halts Crabgrass &amp; Grassy Weed Preventer, 10.06 lbs.</v>
          </cell>
          <cell r="E691" t="str">
            <v>https://www.amazon.com/dp/B00DU7Z62W?psc=1</v>
          </cell>
          <cell r="F691" t="str">
            <v>Weed Control</v>
          </cell>
          <cell r="G691" t="str">
            <v>Other</v>
          </cell>
          <cell r="H691" t="str">
            <v>Weed Control - Other</v>
          </cell>
          <cell r="I691" t="str">
            <v>Weed Control</v>
          </cell>
        </row>
        <row r="692">
          <cell r="A692" t="str">
            <v>B01JIRMAZS</v>
          </cell>
          <cell r="B692" t="str">
            <v>Scotts</v>
          </cell>
          <cell r="C692" t="str">
            <v>The Scotts Company LLC</v>
          </cell>
          <cell r="D692" t="str">
            <v>Scotts Weed Control for Lawns, 14 lbs.</v>
          </cell>
          <cell r="E692" t="str">
            <v>https://www.amazon.com/dp/B01JIRMAZS</v>
          </cell>
          <cell r="F692" t="str">
            <v>Weed Control</v>
          </cell>
          <cell r="G692" t="str">
            <v>Other</v>
          </cell>
          <cell r="H692" t="str">
            <v>Weed Control - Other</v>
          </cell>
          <cell r="I692" t="str">
            <v>Weed Control</v>
          </cell>
        </row>
        <row r="693">
          <cell r="A693" t="str">
            <v>B08L6T3B4H</v>
          </cell>
          <cell r="B693" t="str">
            <v>Scotts</v>
          </cell>
          <cell r="C693" t="str">
            <v>The Scotts Company LLC</v>
          </cell>
          <cell r="D693" t="str">
            <v>Scotts Halts Crabgrass &amp; Grassy Weed Preventer, 20.12 lbs.</v>
          </cell>
          <cell r="E693" t="str">
            <v>https://www.amazon.com/dp/B08L6T3B4H?psc=1</v>
          </cell>
          <cell r="F693" t="str">
            <v>Weed Control</v>
          </cell>
          <cell r="G693" t="str">
            <v>Other</v>
          </cell>
          <cell r="H693" t="str">
            <v>Weed Control - Other</v>
          </cell>
          <cell r="I693" t="str">
            <v>Weed Control</v>
          </cell>
        </row>
        <row r="694">
          <cell r="A694" t="str">
            <v>B07KXLD8VL</v>
          </cell>
          <cell r="B694" t="str">
            <v>Scotts</v>
          </cell>
          <cell r="C694" t="str">
            <v>The Scotts Company LLC</v>
          </cell>
          <cell r="D694" t="str">
            <v>Scotts WeedEx Prevent with Halts, 10.06 lbs.</v>
          </cell>
          <cell r="E694" t="str">
            <v>https://www.amazon.com/dp/B07KXLD8VL</v>
          </cell>
          <cell r="F694" t="str">
            <v>Weed Control</v>
          </cell>
          <cell r="G694" t="str">
            <v>Other</v>
          </cell>
          <cell r="H694" t="str">
            <v>Weed Control - Other</v>
          </cell>
          <cell r="I694" t="str">
            <v>Weed Control</v>
          </cell>
        </row>
        <row r="695">
          <cell r="A695" t="str">
            <v>B087QT2LFM</v>
          </cell>
          <cell r="B695" t="str">
            <v>Scotts</v>
          </cell>
          <cell r="C695" t="str">
            <v>The Scotts Company LLC</v>
          </cell>
          <cell r="D695" t="str">
            <v>Scotts Halts Crabgrass &amp; Grassy Weed Preventer, 10.06 lbs. (2-Pack)</v>
          </cell>
          <cell r="E695" t="str">
            <v>https://www.amazon.com/dp/B087QT2LFM?psc=1</v>
          </cell>
          <cell r="F695" t="str">
            <v>Weed Control</v>
          </cell>
          <cell r="G695" t="str">
            <v>Other</v>
          </cell>
          <cell r="H695" t="str">
            <v>Weed Control - Other</v>
          </cell>
          <cell r="I695" t="str">
            <v>Weed Control</v>
          </cell>
        </row>
        <row r="696">
          <cell r="A696" t="str">
            <v>B0BYH7F39D</v>
          </cell>
          <cell r="B696" t="str">
            <v>Scotts</v>
          </cell>
          <cell r="C696" t="str">
            <v>Scotts Miracle-Gro</v>
          </cell>
          <cell r="D696" t="str">
            <v>Scotts Halts Crabgrass &amp; Grassy Weed Preventer, 20.12 lbs. (2-Pack)</v>
          </cell>
          <cell r="E696" t="str">
            <v>https://www.amazon.com/dp/B0BYH7F39D?psc=1</v>
          </cell>
          <cell r="F696" t="str">
            <v>Weed Control</v>
          </cell>
          <cell r="G696" t="str">
            <v>Other</v>
          </cell>
          <cell r="H696" t="str">
            <v>Weed Control - Other</v>
          </cell>
          <cell r="I696" t="str">
            <v>Weed Control</v>
          </cell>
        </row>
        <row r="697">
          <cell r="A697" t="str">
            <v>B0DQRB8RVB</v>
          </cell>
          <cell r="B697" t="str">
            <v>Scotts</v>
          </cell>
          <cell r="C697" t="str">
            <v>The Fountainhead Group, Inc.</v>
          </cell>
          <cell r="D697" t="str">
            <v>Scotts 2 Gallon Lithium-Ion Power Wand Backpack Sprayer for Sprayer for Watering, Fertilizing and Controlling Weeds in Lawn, Garden, Yard</v>
          </cell>
          <cell r="E697" t="str">
            <v>https://www.amazon.com/dp/B0DQRB8RVB</v>
          </cell>
          <cell r="F697" t="str">
            <v>Garden Pest Control</v>
          </cell>
          <cell r="G697" t="str">
            <v>Sprayer</v>
          </cell>
          <cell r="H697" t="str">
            <v>Garden Pest Control - Sprayer</v>
          </cell>
          <cell r="I697" t="str">
            <v>Weed Control</v>
          </cell>
        </row>
        <row r="698">
          <cell r="A698" t="str">
            <v>B0049PNEDW</v>
          </cell>
          <cell r="B698" t="str">
            <v>Scotts</v>
          </cell>
          <cell r="C698" t="str">
            <v>ScotchBlue</v>
          </cell>
          <cell r="D698" t="str">
            <v>Scotts TouchUp Weed Control for Lawn (Dandelion, Clover, &amp; Crabgrass Killer) (Not Sold in HI), 24 fl oz</v>
          </cell>
          <cell r="E698" t="str">
            <v>https://www.amazon.com/dp/B0049PNEDW</v>
          </cell>
          <cell r="F698" t="str">
            <v>Weed Control</v>
          </cell>
          <cell r="G698" t="str">
            <v>Other</v>
          </cell>
          <cell r="H698" t="str">
            <v>Weed Control - Other</v>
          </cell>
          <cell r="I698" t="str">
            <v>Weed Control</v>
          </cell>
        </row>
        <row r="699">
          <cell r="A699" t="str">
            <v>B006MVFSOE</v>
          </cell>
          <cell r="B699" t="str">
            <v>Bonide</v>
          </cell>
          <cell r="C699" t="str">
            <v>Bonide Products LLC</v>
          </cell>
          <cell r="D699" t="str">
            <v>Bonide Sedge Ender, 16 oz Concentrated Weed Killer For Outdoors</v>
          </cell>
          <cell r="E699" t="str">
            <v>https://www.amazon.com/dp/B006MVFSOE</v>
          </cell>
          <cell r="F699" t="str">
            <v>Rodent Control</v>
          </cell>
          <cell r="G699" t="str">
            <v>Other</v>
          </cell>
          <cell r="H699" t="str">
            <v>Rodent Control - Other</v>
          </cell>
          <cell r="I699" t="str">
            <v>Weed Control</v>
          </cell>
        </row>
        <row r="700">
          <cell r="A700" t="str">
            <v>B0051DRSFQ</v>
          </cell>
          <cell r="B700" t="str">
            <v>Bonide</v>
          </cell>
          <cell r="C700" t="str">
            <v>Bonide Products LLC</v>
          </cell>
          <cell r="D700" t="str">
            <v>Bonide Chickweed, Clover and Oxalis Killer, 16 oz Concentrate</v>
          </cell>
          <cell r="E700" t="str">
            <v>https://www.amazon.com/dp/B0051DRSFQ</v>
          </cell>
          <cell r="F700" t="str">
            <v>Rodent Control</v>
          </cell>
          <cell r="G700" t="str">
            <v>Other</v>
          </cell>
          <cell r="H700" t="str">
            <v>Rodent Control - Other</v>
          </cell>
          <cell r="I700" t="str">
            <v>Weed Control</v>
          </cell>
        </row>
        <row r="701">
          <cell r="A701" t="str">
            <v>B09G9KBX7G</v>
          </cell>
          <cell r="B701" t="str">
            <v>Bonide</v>
          </cell>
          <cell r="C701" t="str">
            <v>Bonide Products LLC</v>
          </cell>
          <cell r="D701" t="str">
            <v>Bonide Captain Jack's Deadweed Brew, 128 oz Ready-to-Use, Controls All Types of Weeds and Grasses, For Organic Gardening</v>
          </cell>
          <cell r="E701" t="str">
            <v>https://www.amazon.com/dp/B09G9KBX7G?psc=1</v>
          </cell>
          <cell r="F701" t="str">
            <v>Garden Pest Control</v>
          </cell>
          <cell r="G701" t="str">
            <v>Other</v>
          </cell>
          <cell r="H701" t="str">
            <v>Garden Pest Control - Other</v>
          </cell>
          <cell r="I701" t="str">
            <v>Weed Control</v>
          </cell>
        </row>
        <row r="702">
          <cell r="A702" t="str">
            <v>B000HCRM4S</v>
          </cell>
          <cell r="B702" t="str">
            <v>Bonide</v>
          </cell>
          <cell r="C702" t="str">
            <v>Bonide Products LLC</v>
          </cell>
          <cell r="D702" t="str">
            <v>Bonide Chickweed, Clover &amp; Oxalis Killer, 128 oz Ready-to-Use Spray</v>
          </cell>
          <cell r="E702" t="str">
            <v>https://www.amazon.com/dp/B000HCRM4S</v>
          </cell>
          <cell r="F702" t="str">
            <v>Weed Control</v>
          </cell>
          <cell r="G702" t="str">
            <v>Other</v>
          </cell>
          <cell r="H702" t="str">
            <v>Weed Control - Other</v>
          </cell>
          <cell r="I702" t="str">
            <v>Weed Control</v>
          </cell>
        </row>
        <row r="703">
          <cell r="A703" t="str">
            <v>B09G93W2YM</v>
          </cell>
          <cell r="B703" t="str">
            <v>Bonide</v>
          </cell>
          <cell r="C703" t="str">
            <v>Bonide Products LLC</v>
          </cell>
          <cell r="D703" t="str">
            <v>Bonide Captain Jack's Deadweed Brew, 32 oz Ready-to-Use Spray</v>
          </cell>
          <cell r="E703" t="str">
            <v>https://www.amazon.com/dp/B09G93W2YM?psc=1</v>
          </cell>
          <cell r="F703" t="str">
            <v>Weed Control</v>
          </cell>
          <cell r="G703" t="str">
            <v>Other</v>
          </cell>
          <cell r="H703" t="str">
            <v>Weed Control - Other</v>
          </cell>
          <cell r="I703" t="str">
            <v>Weed Control</v>
          </cell>
        </row>
        <row r="704">
          <cell r="A704" t="str">
            <v>B09G9FP9WQ</v>
          </cell>
          <cell r="B704" t="str">
            <v>Bonide</v>
          </cell>
          <cell r="C704" t="str">
            <v>Bonide Products LLC</v>
          </cell>
          <cell r="D704" t="str">
            <v>Bonide Captain Jack's Lawnweed Brew, 32 oz Concentrate, Fast-Acting Formula Controls Weeds, Moss, Algae, Lichens &amp; Disease</v>
          </cell>
          <cell r="E704" t="str">
            <v>https://www.amazon.com/dp/B09G9FP9WQ?psc=1</v>
          </cell>
          <cell r="F704" t="str">
            <v>Rodent Control</v>
          </cell>
          <cell r="G704" t="str">
            <v>Moss Control</v>
          </cell>
          <cell r="H704" t="str">
            <v>Rodent Control - Moss Control</v>
          </cell>
          <cell r="I704" t="str">
            <v>Weed Control</v>
          </cell>
        </row>
        <row r="705">
          <cell r="A705" t="str">
            <v>B09G99F6NW</v>
          </cell>
          <cell r="B705" t="str">
            <v>Bonide</v>
          </cell>
          <cell r="C705" t="str">
            <v>Bonide Products LLC</v>
          </cell>
          <cell r="D705" t="str">
            <v>Bonide Captain Jack's Deadweed Brew, 128 oz Ready-to-Use with Power Sprayer</v>
          </cell>
          <cell r="E705" t="str">
            <v>https://www.amazon.com/dp/B09G99F6NW?psc=1</v>
          </cell>
          <cell r="F705" t="str">
            <v>Weed Control</v>
          </cell>
          <cell r="G705" t="str">
            <v>Sprayer</v>
          </cell>
          <cell r="H705" t="str">
            <v>Weed Control - Sprayer</v>
          </cell>
          <cell r="I705" t="str">
            <v>Weed Control</v>
          </cell>
        </row>
        <row r="706">
          <cell r="A706" t="str">
            <v>B000GD3KM6</v>
          </cell>
          <cell r="B706" t="str">
            <v>Bonide</v>
          </cell>
          <cell r="C706" t="str">
            <v>Bonide Products LLC</v>
          </cell>
          <cell r="D706" t="str">
            <v>Bonide Weed Beater Ultra, 32 oz Ready-to-Use Spray</v>
          </cell>
          <cell r="E706" t="str">
            <v>https://www.amazon.com/dp/B000GD3KM6?psc=1</v>
          </cell>
          <cell r="F706" t="str">
            <v>Weed Control</v>
          </cell>
          <cell r="G706" t="str">
            <v>Other</v>
          </cell>
          <cell r="H706" t="str">
            <v>Weed Control - Other</v>
          </cell>
          <cell r="I706" t="str">
            <v>Weed Control</v>
          </cell>
        </row>
        <row r="707">
          <cell r="A707" t="str">
            <v>B00ADFNCX4</v>
          </cell>
          <cell r="B707" t="str">
            <v>Bonide</v>
          </cell>
          <cell r="C707" t="str">
            <v>Bonide</v>
          </cell>
          <cell r="D707" t="str">
            <v>Bonide Sedge Ender, 16 oz Ready-to-Spray Weed Killer For Outdoors, Fast-Acting and Rainproof, Lawn Friendly Formula</v>
          </cell>
          <cell r="E707" t="str">
            <v>https://www.amazon.com/dp/B00ADFNCX4?psc=1</v>
          </cell>
          <cell r="F707" t="str">
            <v>Weed Control</v>
          </cell>
          <cell r="G707" t="str">
            <v>Other</v>
          </cell>
          <cell r="H707" t="str">
            <v>Weed Control - Other</v>
          </cell>
          <cell r="I707" t="str">
            <v>Weed Control</v>
          </cell>
        </row>
        <row r="708">
          <cell r="A708" t="str">
            <v>B09G98ZXVX</v>
          </cell>
          <cell r="B708" t="str">
            <v>Bonide</v>
          </cell>
          <cell r="C708" t="str">
            <v>Bonide Products LLC</v>
          </cell>
          <cell r="D708" t="str">
            <v>Bonide Captain Jack's Lawnweed Brew, 32 oz Ready-to-Use Spray</v>
          </cell>
          <cell r="E708" t="str">
            <v>https://www.amazon.com/dp/B09G98ZXVX?psc=1</v>
          </cell>
          <cell r="F708" t="str">
            <v>Weed Control</v>
          </cell>
          <cell r="G708" t="str">
            <v>Other</v>
          </cell>
          <cell r="H708" t="str">
            <v>Weed Control - Other</v>
          </cell>
          <cell r="I708" t="str">
            <v>Weed Control</v>
          </cell>
        </row>
        <row r="709">
          <cell r="A709" t="str">
            <v>B09G93TXSS</v>
          </cell>
          <cell r="B709" t="str">
            <v>Bonide</v>
          </cell>
          <cell r="C709" t="str">
            <v>Bonide Products LLC</v>
          </cell>
          <cell r="D709" t="str">
            <v>Bonide Captain Jack's Lawnweed Brew, 32 oz Ready-to-Spray</v>
          </cell>
          <cell r="E709" t="str">
            <v>https://www.amazon.com/dp/B09G93TXSS?psc=1</v>
          </cell>
          <cell r="F709" t="str">
            <v>Weed Control</v>
          </cell>
          <cell r="G709" t="str">
            <v>Other</v>
          </cell>
          <cell r="H709" t="str">
            <v>Weed Control - Other</v>
          </cell>
          <cell r="I709" t="str">
            <v>Weed Control</v>
          </cell>
        </row>
        <row r="710">
          <cell r="A710" t="str">
            <v>B09G9FBZ6X</v>
          </cell>
          <cell r="B710" t="str">
            <v>Bonide</v>
          </cell>
          <cell r="C710" t="str">
            <v>Bonide Products LLC</v>
          </cell>
          <cell r="D710" t="str">
            <v>Bonide Captain Jack's Deadweed Brew, 128 oz Concentrate</v>
          </cell>
          <cell r="E710" t="str">
            <v>https://www.amazon.com/dp/B09G9FBZ6X?psc=1</v>
          </cell>
          <cell r="F710" t="str">
            <v>Rodent Control</v>
          </cell>
          <cell r="G710" t="str">
            <v>Other</v>
          </cell>
          <cell r="H710" t="str">
            <v>Rodent Control - Other</v>
          </cell>
          <cell r="I710" t="str">
            <v>Weed Control</v>
          </cell>
        </row>
        <row r="711">
          <cell r="A711" t="str">
            <v>B07KDXQQ1J</v>
          </cell>
          <cell r="B711" t="str">
            <v>Bonide</v>
          </cell>
          <cell r="C711" t="str">
            <v>Bonide Products LLC</v>
          </cell>
          <cell r="D711" t="str">
            <v>Bonide (BND3082) - Weed Beater Ultra, Ready to Use Weed Killer (1 gal.)</v>
          </cell>
          <cell r="E711" t="str">
            <v>https://www.amazon.com/dp/B07KDXQQ1J?psc=1</v>
          </cell>
          <cell r="F711" t="str">
            <v>Weed Control</v>
          </cell>
          <cell r="G711" t="str">
            <v>Other</v>
          </cell>
          <cell r="H711" t="str">
            <v>Weed Control - Other</v>
          </cell>
          <cell r="I711" t="str">
            <v>Weed Control</v>
          </cell>
        </row>
        <row r="712">
          <cell r="A712" t="str">
            <v>B002RBEPMO</v>
          </cell>
          <cell r="B712" t="str">
            <v>Bonide</v>
          </cell>
          <cell r="C712" t="str">
            <v>Bonide Products LLC</v>
          </cell>
          <cell r="D712" t="str">
            <v>Bonide Weed Beater Ultra, 128 oz Ready-to-Use Spray, Fast-Acting Protection Against Broadleaf Weeds in Home Garden</v>
          </cell>
          <cell r="E712" t="str">
            <v>https://www.amazon.com/dp/B002RBEPMO?psc=1</v>
          </cell>
          <cell r="F712" t="str">
            <v>Garden Pest Control</v>
          </cell>
          <cell r="G712" t="str">
            <v>Other</v>
          </cell>
          <cell r="H712" t="str">
            <v>Garden Pest Control - Other</v>
          </cell>
          <cell r="I712" t="str">
            <v>Weed Control</v>
          </cell>
        </row>
        <row r="713">
          <cell r="A713" t="str">
            <v>B000HCUK38</v>
          </cell>
          <cell r="B713" t="str">
            <v>Bonide</v>
          </cell>
          <cell r="C713" t="str">
            <v>Arett Sales - LG</v>
          </cell>
          <cell r="D713" t="str">
            <v>Bonide Weed Beater Ultra, 16 oz Concentrate, Fast-Acting Protection Against Broadleaf Weeds in Warm &amp; Cool Weather</v>
          </cell>
          <cell r="E713" t="str">
            <v>https://www.amazon.com/dp/B000HCUK38?psc=1</v>
          </cell>
          <cell r="F713" t="str">
            <v>Rodent Control</v>
          </cell>
          <cell r="G713" t="str">
            <v>Other</v>
          </cell>
          <cell r="H713" t="str">
            <v>Rodent Control - Other</v>
          </cell>
          <cell r="I713" t="str">
            <v>Weed Control</v>
          </cell>
        </row>
        <row r="714">
          <cell r="A714" t="str">
            <v>B08T3WLXS1</v>
          </cell>
          <cell r="B714" t="str">
            <v>Bonide</v>
          </cell>
          <cell r="C714" t="str">
            <v>Bonide Products LLC</v>
          </cell>
          <cell r="D714" t="str">
            <v>Bonide KleenUP Weed &amp; Grass Killer High Efficiency Formula, 128 oz Concentrate, Fast-Acting Formula Kills Weeds &amp; Roots</v>
          </cell>
          <cell r="E714" t="str">
            <v>https://www.amazon.com/dp/B08T3WLXS1?psc=1</v>
          </cell>
          <cell r="F714" t="str">
            <v>Rodent Control</v>
          </cell>
          <cell r="G714" t="str">
            <v>Other</v>
          </cell>
          <cell r="H714" t="str">
            <v>Rodent Control - Other</v>
          </cell>
          <cell r="I714" t="str">
            <v>Weed Control</v>
          </cell>
        </row>
        <row r="715">
          <cell r="A715" t="str">
            <v>B001AS2WL6</v>
          </cell>
          <cell r="B715" t="str">
            <v>Bonide</v>
          </cell>
          <cell r="C715" t="str">
            <v>TV Non-Branded Items</v>
          </cell>
          <cell r="D715" t="str">
            <v>Bonide Weed Beater Plus Crabgrass &amp; Broadleaf Weed Killer, 32 oz Ready-to-Spray, Fast-Acting Control for Broadleaf Weeds</v>
          </cell>
          <cell r="E715" t="str">
            <v>https://www.amazon.com/dp/B001AS2WL6?psc=1</v>
          </cell>
          <cell r="F715" t="str">
            <v>Weed Control</v>
          </cell>
          <cell r="G715" t="str">
            <v>Other</v>
          </cell>
          <cell r="H715" t="str">
            <v>Weed Control - Other</v>
          </cell>
          <cell r="I715" t="str">
            <v>Weed Control</v>
          </cell>
        </row>
        <row r="716">
          <cell r="A716" t="str">
            <v>B0DYWW3BSD</v>
          </cell>
          <cell r="B716" t="str">
            <v>Syngenta</v>
          </cell>
          <cell r="C716" t="str">
            <v>Syngenta</v>
          </cell>
          <cell r="D716" t="str">
            <v>Syngenta Recognition Herbicide. (0.45 oz) Water Dispersible Granule Weed Killer - Post Emergent Weed Control for lawns, Weed Stop for lawns</v>
          </cell>
          <cell r="E716" t="str">
            <v>https://www.amazon.com/dp/B0DYWW3BSD</v>
          </cell>
          <cell r="F716" t="str">
            <v>Weed Control</v>
          </cell>
          <cell r="G716" t="str">
            <v>Other</v>
          </cell>
          <cell r="H716" t="str">
            <v>Weed Control - Other</v>
          </cell>
          <cell r="I716" t="str">
            <v>Weed Control</v>
          </cell>
        </row>
        <row r="717">
          <cell r="A717" t="str">
            <v>B0GZYW32FB</v>
          </cell>
          <cell r="B717" t="str">
            <v>Ortho</v>
          </cell>
          <cell r="C717" t="str">
            <v>The Scotts Company LLC</v>
          </cell>
          <cell r="D717" t="str">
            <v>Ortho GroundClear Weed &amp; Grass Killer Ready-to-Use, 24 fl. oz. (2-Pack)</v>
          </cell>
          <cell r="E717" t="str">
            <v>https://www.amazon.com/dp/B0GZYW32FB?psc=1</v>
          </cell>
          <cell r="F717" t="str">
            <v>Weed Control</v>
          </cell>
          <cell r="G717" t="str">
            <v>Other</v>
          </cell>
          <cell r="H717" t="str">
            <v>Weed Control - Other</v>
          </cell>
          <cell r="I717" t="str">
            <v>Weed Control</v>
          </cell>
        </row>
        <row r="718">
          <cell r="A718" t="str">
            <v>B07N6X547M</v>
          </cell>
          <cell r="B718" t="str">
            <v>Ortho</v>
          </cell>
          <cell r="C718" t="str">
            <v>The Scotts Company LLC</v>
          </cell>
          <cell r="D718" t="str">
            <v>Ortho GroundClear Weed &amp; Grass Killer with Comfort Wand, 1 gal.</v>
          </cell>
          <cell r="E718" t="str">
            <v>https://www.amazon.com/dp/B07N6X547M?psc=1</v>
          </cell>
          <cell r="F718" t="str">
            <v>Weed Control</v>
          </cell>
          <cell r="G718" t="str">
            <v>Other</v>
          </cell>
          <cell r="H718" t="str">
            <v>Weed Control - Other</v>
          </cell>
          <cell r="I718" t="str">
            <v>Weed Control</v>
          </cell>
        </row>
        <row r="719">
          <cell r="A719" t="str">
            <v>B0FMVB984D</v>
          </cell>
          <cell r="B719" t="str">
            <v>Ortho</v>
          </cell>
          <cell r="C719" t="str">
            <v>The Scotts Company LLC</v>
          </cell>
          <cell r="D719" t="str">
            <v>Ortho GroundClear Weed &amp; Grass Killer with Comfort Wand, 1.1 gal.</v>
          </cell>
          <cell r="E719" t="str">
            <v>https://www.amazon.com/dp/B0FMVB984D?psc=1</v>
          </cell>
          <cell r="F719" t="str">
            <v>Weed Control</v>
          </cell>
          <cell r="G719" t="str">
            <v>Other</v>
          </cell>
          <cell r="H719" t="str">
            <v>Weed Control - Other</v>
          </cell>
          <cell r="I719" t="str">
            <v>Weed Control</v>
          </cell>
        </row>
        <row r="720">
          <cell r="A720" t="str">
            <v>B07WC5DF57</v>
          </cell>
          <cell r="B720" t="str">
            <v>Ortho</v>
          </cell>
          <cell r="C720" t="str">
            <v>The Scotts Company LLC</v>
          </cell>
          <cell r="D720" t="str">
            <v>Ortho GroundClear Weed &amp; Grass Killer, Refill, 1 gal.</v>
          </cell>
          <cell r="E720" t="str">
            <v>https://www.amazon.com/dp/B07WC5DF57?psc=1</v>
          </cell>
          <cell r="F720" t="str">
            <v>Weed Control</v>
          </cell>
          <cell r="G720" t="str">
            <v>Other</v>
          </cell>
          <cell r="H720" t="str">
            <v>Weed Control - Other</v>
          </cell>
          <cell r="I720" t="str">
            <v>Weed Control</v>
          </cell>
        </row>
        <row r="721">
          <cell r="A721" t="str">
            <v>B07V7W87QL</v>
          </cell>
          <cell r="B721" t="str">
            <v>Ortho</v>
          </cell>
          <cell r="C721" t="str">
            <v>The Scotts Company LLC</v>
          </cell>
          <cell r="D721" t="str">
            <v>Ortho GroundClear Weed &amp; Grass Killer2 Concentrate, 32 fl. oz.</v>
          </cell>
          <cell r="E721" t="str">
            <v>https://www.amazon.com/dp/B07V7W87QL?psc=1</v>
          </cell>
          <cell r="F721" t="str">
            <v>Rodent Control</v>
          </cell>
          <cell r="G721" t="str">
            <v>Other</v>
          </cell>
          <cell r="H721" t="str">
            <v>Rodent Control - Other</v>
          </cell>
          <cell r="I721" t="str">
            <v>Weed Control</v>
          </cell>
        </row>
        <row r="722">
          <cell r="A722" t="str">
            <v>B07YM583XL</v>
          </cell>
          <cell r="B722" t="str">
            <v>Ortho</v>
          </cell>
          <cell r="C722" t="str">
            <v>The Scotts Company LLC</v>
          </cell>
          <cell r="D722" t="str">
            <v>Ortho WeedClear Lawn Weed Killer Ready-to-Spray, 32 fl. oz.</v>
          </cell>
          <cell r="E722" t="str">
            <v>https://www.amazon.com/dp/B07YM583XL?psc=1</v>
          </cell>
          <cell r="F722" t="str">
            <v>Weed Control</v>
          </cell>
          <cell r="G722" t="str">
            <v>Other</v>
          </cell>
          <cell r="H722" t="str">
            <v>Weed Control - Other</v>
          </cell>
          <cell r="I722" t="str">
            <v>Weed Control</v>
          </cell>
        </row>
        <row r="723">
          <cell r="A723" t="str">
            <v>B07YM551TM</v>
          </cell>
          <cell r="B723" t="str">
            <v>Ortho</v>
          </cell>
          <cell r="C723" t="str">
            <v>The Scotts Company LLC</v>
          </cell>
          <cell r="D723" t="str">
            <v>Ortho WeedClear Lawn Weed Killer Ready-to-Use with Comfort Wand, 1.33 gal.</v>
          </cell>
          <cell r="E723" t="str">
            <v>https://www.amazon.com/dp/B07YM551TM?psc=1</v>
          </cell>
          <cell r="F723" t="str">
            <v>Weed Control</v>
          </cell>
          <cell r="G723" t="str">
            <v>Other</v>
          </cell>
          <cell r="H723" t="str">
            <v>Weed Control - Other</v>
          </cell>
          <cell r="I723" t="str">
            <v>Weed Control</v>
          </cell>
        </row>
        <row r="724">
          <cell r="A724" t="str">
            <v>B07YM5S514</v>
          </cell>
          <cell r="B724" t="str">
            <v>Ortho</v>
          </cell>
          <cell r="C724" t="str">
            <v>The Scotts Company LLC</v>
          </cell>
          <cell r="D724" t="str">
            <v>Ortho WeedClear Lawn Weed Killer Concentrate, 32 fl. oz.</v>
          </cell>
          <cell r="E724" t="str">
            <v>https://www.amazon.com/dp/B07YM5S514?psc=1</v>
          </cell>
          <cell r="F724" t="str">
            <v>Rodent Control</v>
          </cell>
          <cell r="G724" t="str">
            <v>Other</v>
          </cell>
          <cell r="H724" t="str">
            <v>Rodent Control - Other</v>
          </cell>
          <cell r="I724" t="str">
            <v>Weed Control</v>
          </cell>
        </row>
        <row r="725">
          <cell r="A725" t="str">
            <v>B07YM5354K</v>
          </cell>
          <cell r="B725" t="str">
            <v>Ortho</v>
          </cell>
          <cell r="C725" t="str">
            <v>The Scotts Company LLC</v>
          </cell>
          <cell r="D725" t="str">
            <v>Ortho WeedClear Lawn Weed Killer Ready-to-Use Refill, 1.33 gal.</v>
          </cell>
          <cell r="E725" t="str">
            <v>https://www.amazon.com/dp/B07YM5354K?psc=1</v>
          </cell>
          <cell r="F725" t="str">
            <v>Weed Control</v>
          </cell>
          <cell r="G725" t="str">
            <v>Other</v>
          </cell>
          <cell r="H725" t="str">
            <v>Weed Control - Other</v>
          </cell>
          <cell r="I725" t="str">
            <v>Weed Control</v>
          </cell>
        </row>
        <row r="726">
          <cell r="A726" t="str">
            <v>B0CJLD2VN5</v>
          </cell>
          <cell r="B726" t="str">
            <v>Ortho</v>
          </cell>
          <cell r="C726" t="str">
            <v>Scotts Miracle Gro</v>
          </cell>
          <cell r="D726" t="str">
            <v>Ortho WeedClear Lawn Weed Killer Ready-to-Use Refill, 1 gal.</v>
          </cell>
          <cell r="E726" t="str">
            <v>https://www.amazon.com/dp/B0CJLD2VN5?psc=1</v>
          </cell>
          <cell r="F726" t="str">
            <v>Weed Control</v>
          </cell>
          <cell r="G726" t="str">
            <v>Other</v>
          </cell>
          <cell r="H726" t="str">
            <v>Weed Control - Other</v>
          </cell>
          <cell r="I726" t="str">
            <v>Weed Control</v>
          </cell>
        </row>
        <row r="727">
          <cell r="A727" t="str">
            <v>B0714DBMJ1</v>
          </cell>
          <cell r="B727" t="str">
            <v>Ortho</v>
          </cell>
          <cell r="C727" t="str">
            <v>The Scotts Company LLC</v>
          </cell>
          <cell r="D727" t="str">
            <v>Ortho WeedClear Weed Killer for Lawns with Comfort Wand, 1 gal.</v>
          </cell>
          <cell r="E727" t="str">
            <v>https://www.amazon.com/dp/B0714DBMJ1?psc=1</v>
          </cell>
          <cell r="F727" t="str">
            <v>Weed Control</v>
          </cell>
          <cell r="G727" t="str">
            <v>Other</v>
          </cell>
          <cell r="H727" t="str">
            <v>Weed Control - Other</v>
          </cell>
          <cell r="I727" t="str">
            <v>Weed Control</v>
          </cell>
        </row>
        <row r="728">
          <cell r="A728" t="str">
            <v>B071LH73XJ</v>
          </cell>
          <cell r="B728" t="str">
            <v>Ortho</v>
          </cell>
          <cell r="C728" t="str">
            <v>The Scotts Company LLC</v>
          </cell>
          <cell r="D728" t="str">
            <v>Ortho WeedClear Weed Killer for Lawns Concentrate, 1 gal.</v>
          </cell>
          <cell r="E728" t="str">
            <v>https://www.amazon.com/dp/B071LH73XJ?psc=1</v>
          </cell>
          <cell r="F728" t="str">
            <v>Rodent Control</v>
          </cell>
          <cell r="G728" t="str">
            <v>Other</v>
          </cell>
          <cell r="H728" t="str">
            <v>Rodent Control - Other</v>
          </cell>
          <cell r="I728" t="str">
            <v>Weed Control</v>
          </cell>
        </row>
        <row r="729">
          <cell r="A729" t="str">
            <v>B0711SQRV4</v>
          </cell>
          <cell r="B729" t="str">
            <v>Ortho</v>
          </cell>
          <cell r="C729" t="str">
            <v>The Scotts Company LLC</v>
          </cell>
          <cell r="D729" t="str">
            <v>Ortho WeedClear Weed Killer for Lawns, Ready to Use, 1 gal.</v>
          </cell>
          <cell r="E729" t="str">
            <v>https://www.amazon.com/dp/B0711SQRV4?psc=1</v>
          </cell>
          <cell r="F729" t="str">
            <v>Weed Control</v>
          </cell>
          <cell r="G729" t="str">
            <v>Other</v>
          </cell>
          <cell r="H729" t="str">
            <v>Weed Control - Other</v>
          </cell>
          <cell r="I729" t="str">
            <v>Weed Control</v>
          </cell>
        </row>
        <row r="730">
          <cell r="A730" t="str">
            <v>B072BXKFZK</v>
          </cell>
          <cell r="B730" t="str">
            <v>Ortho</v>
          </cell>
          <cell r="C730" t="str">
            <v>The Scotts Company LLC</v>
          </cell>
          <cell r="D730" t="str">
            <v>Ortho WeedClear Weed Killer for Lawns Ready-To-Spray, 32 fl. oz.</v>
          </cell>
          <cell r="E730" t="str">
            <v>https://www.amazon.com/dp/B072BXKFZK?psc=1</v>
          </cell>
          <cell r="F730" t="str">
            <v>Weed Control</v>
          </cell>
          <cell r="G730" t="str">
            <v>Other</v>
          </cell>
          <cell r="H730" t="str">
            <v>Weed Control - Other</v>
          </cell>
          <cell r="I730" t="str">
            <v>Weed Control</v>
          </cell>
        </row>
        <row r="731">
          <cell r="A731" t="str">
            <v>B0DRTMYXG1</v>
          </cell>
          <cell r="B731" t="str">
            <v>Ortho</v>
          </cell>
          <cell r="C731" t="str">
            <v>The Scotts Company</v>
          </cell>
          <cell r="D731" t="str">
            <v>Ortho WeedClear Weed Killer for Lawns Ready-to-Spray, 32 fl. oz. (2-Pack)</v>
          </cell>
          <cell r="E731" t="str">
            <v>https://www.amazon.com/dp/B0DRTMYXG1?psc=1</v>
          </cell>
          <cell r="F731" t="str">
            <v>Weed Control</v>
          </cell>
          <cell r="G731" t="str">
            <v>Other</v>
          </cell>
          <cell r="H731" t="str">
            <v>Weed Control - Other</v>
          </cell>
          <cell r="I731" t="str">
            <v>Weed Control</v>
          </cell>
        </row>
        <row r="732">
          <cell r="A732" t="str">
            <v>B0GZYSZ4NY</v>
          </cell>
          <cell r="B732" t="str">
            <v>Ortho</v>
          </cell>
          <cell r="C732" t="str">
            <v>The Scotts Company LLC</v>
          </cell>
          <cell r="D732" t="str">
            <v>Ortho WeedClear Weed Killer for Lawns, Ready to Use, 24 fl. oz. (2-Pack)</v>
          </cell>
          <cell r="E732" t="str">
            <v>https://www.amazon.com/dp/B0GZYSZ4NY?psc=1</v>
          </cell>
          <cell r="F732" t="str">
            <v>Weed Control</v>
          </cell>
          <cell r="G732" t="str">
            <v>Other</v>
          </cell>
          <cell r="H732" t="str">
            <v>Weed Control - Other</v>
          </cell>
          <cell r="I732" t="str">
            <v>Weed Control</v>
          </cell>
        </row>
        <row r="733">
          <cell r="A733" t="str">
            <v>B0DV5MW2FP</v>
          </cell>
          <cell r="B733" t="str">
            <v>Ortho</v>
          </cell>
          <cell r="C733" t="str">
            <v>The Scotts Company</v>
          </cell>
          <cell r="D733" t="str">
            <v>Ortho GroundClear Super Weed &amp; Grass Killer1 with Comfort Wand, 0.5 gal.</v>
          </cell>
          <cell r="E733" t="str">
            <v>https://www.amazon.com/dp/B0DV5MW2FP?psc=1</v>
          </cell>
          <cell r="F733" t="str">
            <v>Weed Control</v>
          </cell>
          <cell r="G733" t="str">
            <v>Other</v>
          </cell>
          <cell r="H733" t="str">
            <v>Weed Control - Other</v>
          </cell>
          <cell r="I733" t="str">
            <v>Weed Control</v>
          </cell>
        </row>
        <row r="734">
          <cell r="A734" t="str">
            <v>B08KH1TRXB</v>
          </cell>
          <cell r="B734" t="str">
            <v>Ortho</v>
          </cell>
          <cell r="C734" t="str">
            <v>The Scotts Company LLC</v>
          </cell>
          <cell r="D734" t="str">
            <v>Ortho GroundClear Weed &amp; Grass Killer Super Concentrate1, 32 fl. oz.</v>
          </cell>
          <cell r="E734" t="str">
            <v>https://www.amazon.com/dp/B08KH1TRXB?psc=1</v>
          </cell>
          <cell r="F734" t="str">
            <v>Rodent Control</v>
          </cell>
          <cell r="G734" t="str">
            <v>Other</v>
          </cell>
          <cell r="H734" t="str">
            <v>Rodent Control - Other</v>
          </cell>
          <cell r="I734" t="str">
            <v>Weed Control</v>
          </cell>
        </row>
        <row r="735">
          <cell r="A735" t="str">
            <v>B08KGWRV9P</v>
          </cell>
          <cell r="B735" t="str">
            <v>Ortho</v>
          </cell>
          <cell r="C735" t="str">
            <v>The Scotts Company LLC</v>
          </cell>
          <cell r="D735" t="str">
            <v>Ortho GroundClear Super Weed &amp; Grass Killer1, Refill, 1 gal.</v>
          </cell>
          <cell r="E735" t="str">
            <v>https://www.amazon.com/dp/B08KGWRV9P?psc=1</v>
          </cell>
          <cell r="F735" t="str">
            <v>Weed Control</v>
          </cell>
          <cell r="G735" t="str">
            <v>Other</v>
          </cell>
          <cell r="H735" t="str">
            <v>Weed Control - Other</v>
          </cell>
          <cell r="I735" t="str">
            <v>Weed Control</v>
          </cell>
        </row>
        <row r="736">
          <cell r="A736" t="str">
            <v>B08KGVRHFK</v>
          </cell>
          <cell r="B736" t="str">
            <v>Ortho</v>
          </cell>
          <cell r="C736" t="str">
            <v>The Scotts Company LLC</v>
          </cell>
          <cell r="D736" t="str">
            <v>Ortho GroundClear Super Weed &amp; Grass Killer1, 1 gal.</v>
          </cell>
          <cell r="E736" t="str">
            <v>https://www.amazon.com/dp/B08KGVRHFK?psc=1</v>
          </cell>
          <cell r="F736" t="str">
            <v>Weed Control</v>
          </cell>
          <cell r="G736" t="str">
            <v>Other</v>
          </cell>
          <cell r="H736" t="str">
            <v>Weed Control - Other</v>
          </cell>
          <cell r="I736" t="str">
            <v>Weed Control</v>
          </cell>
        </row>
        <row r="737">
          <cell r="A737" t="str">
            <v>B0GZYVWBHH</v>
          </cell>
          <cell r="B737" t="str">
            <v>Ortho</v>
          </cell>
          <cell r="C737" t="str">
            <v>The Scotts Company LLC</v>
          </cell>
          <cell r="D737" t="str">
            <v>Ortho GroundClear Super Weed &amp; Grass Killer1, 24 fl. oz. (2-Pack)</v>
          </cell>
          <cell r="E737" t="str">
            <v>https://www.amazon.com/dp/B0GZYVWBHH?psc=1</v>
          </cell>
          <cell r="F737" t="str">
            <v>Weed Control</v>
          </cell>
          <cell r="G737" t="str">
            <v>Other</v>
          </cell>
          <cell r="H737" t="str">
            <v>Weed Control - Other</v>
          </cell>
          <cell r="I737" t="str">
            <v>Weed Control</v>
          </cell>
        </row>
        <row r="738">
          <cell r="A738" t="str">
            <v>B07YM537KJ</v>
          </cell>
          <cell r="B738" t="str">
            <v>Ortho</v>
          </cell>
          <cell r="C738" t="str">
            <v>The Scotts Company LLC</v>
          </cell>
          <cell r="D738" t="str">
            <v>Ortho GroundClear Poison Ivy and Tough Brush Killer1 - Weed Killer Concentrate, Kills Poison Ivy and Poison Oak to the Root - 32 fl. oz.</v>
          </cell>
          <cell r="E738" t="str">
            <v>https://www.amazon.com/dp/B07YM537KJ?psc=1</v>
          </cell>
          <cell r="F738" t="str">
            <v>Rodent Control</v>
          </cell>
          <cell r="G738" t="str">
            <v>Bait &amp; Poison</v>
          </cell>
          <cell r="H738" t="str">
            <v>Rodent Control - Bait &amp; Poison</v>
          </cell>
          <cell r="I738" t="str">
            <v>Weed Control</v>
          </cell>
        </row>
        <row r="739">
          <cell r="A739" t="str">
            <v>B0FSF36246</v>
          </cell>
          <cell r="B739" t="str">
            <v>Ortho</v>
          </cell>
          <cell r="C739" t="str">
            <v>The Scotts Company LLC</v>
          </cell>
          <cell r="D739" t="str">
            <v>Ortho Chickweed, Clover &amp; Oxalis Killer for Lawns Concentrate, 16 fl. oz.</v>
          </cell>
          <cell r="E739" t="str">
            <v>https://www.amazon.com/dp/B0FSF36246?psc=1</v>
          </cell>
          <cell r="F739" t="str">
            <v>Rodent Control</v>
          </cell>
          <cell r="G739" t="str">
            <v>Other</v>
          </cell>
          <cell r="H739" t="str">
            <v>Rodent Control - Other</v>
          </cell>
          <cell r="I739" t="str">
            <v>Weed Control</v>
          </cell>
        </row>
        <row r="740">
          <cell r="A740" t="str">
            <v>B07YM6XT6R</v>
          </cell>
          <cell r="B740" t="str">
            <v>Ortho</v>
          </cell>
          <cell r="C740" t="str">
            <v>The Scotts Company LLC</v>
          </cell>
          <cell r="D740" t="str">
            <v>Ortho WeedClear Lawn Weed Killer Ready-to-Spray3, 32 fl. oz.</v>
          </cell>
          <cell r="E740" t="str">
            <v>https://www.amazon.com/dp/B07YM6XT6R?psc=1</v>
          </cell>
          <cell r="F740" t="str">
            <v>Weed Control</v>
          </cell>
          <cell r="G740" t="str">
            <v>Other</v>
          </cell>
          <cell r="H740" t="str">
            <v>Weed Control - Other</v>
          </cell>
          <cell r="I740" t="str">
            <v>Weed Control</v>
          </cell>
        </row>
        <row r="741">
          <cell r="A741" t="str">
            <v>B07YM59VHK</v>
          </cell>
          <cell r="B741" t="str">
            <v>Ortho</v>
          </cell>
          <cell r="C741" t="str">
            <v>The Scotts Company LLC</v>
          </cell>
          <cell r="D741" t="str">
            <v>Ortho WeedClear Lawn Weed Killer Ready-to-Use1 Refill, 1 gal.</v>
          </cell>
          <cell r="E741" t="str">
            <v>https://www.amazon.com/dp/B07YM59VHK?psc=1</v>
          </cell>
          <cell r="F741" t="str">
            <v>Weed Control</v>
          </cell>
          <cell r="G741" t="str">
            <v>Other</v>
          </cell>
          <cell r="H741" t="str">
            <v>Weed Control - Other</v>
          </cell>
          <cell r="I741" t="str">
            <v>Weed Control</v>
          </cell>
        </row>
        <row r="742">
          <cell r="A742" t="str">
            <v>B07YM6XT6Q</v>
          </cell>
          <cell r="B742" t="str">
            <v>Ortho</v>
          </cell>
          <cell r="C742" t="str">
            <v>The Scotts Company LLC</v>
          </cell>
          <cell r="D742" t="str">
            <v>Ortho WeedClear Lawn Weed Killer Ready-to-Use1 with Comfort Wand, 1 gal.</v>
          </cell>
          <cell r="E742" t="str">
            <v>https://www.amazon.com/dp/B07YM6XT6Q?psc=1</v>
          </cell>
          <cell r="F742" t="str">
            <v>Weed Control</v>
          </cell>
          <cell r="G742" t="str">
            <v>Other</v>
          </cell>
          <cell r="H742" t="str">
            <v>Weed Control - Other</v>
          </cell>
          <cell r="I742" t="str">
            <v>Weed Control</v>
          </cell>
        </row>
        <row r="743">
          <cell r="A743" t="str">
            <v>B07YM59R2L</v>
          </cell>
          <cell r="B743" t="str">
            <v>Ortho</v>
          </cell>
          <cell r="C743" t="str">
            <v>The Scotts Company LLC</v>
          </cell>
          <cell r="D743" t="str">
            <v>Ortho WeedClear Lawn Weed Killer Concentrate2, 32 fl. oz.</v>
          </cell>
          <cell r="E743" t="str">
            <v>https://www.amazon.com/dp/B07YM59R2L?psc=1</v>
          </cell>
          <cell r="F743" t="str">
            <v>Rodent Control</v>
          </cell>
          <cell r="G743" t="str">
            <v>Other</v>
          </cell>
          <cell r="H743" t="str">
            <v>Rodent Control - Other</v>
          </cell>
          <cell r="I743" t="str">
            <v>Weed Control</v>
          </cell>
        </row>
        <row r="744">
          <cell r="A744" t="str">
            <v>B07QST9KQ8</v>
          </cell>
          <cell r="B744" t="str">
            <v>Ortho</v>
          </cell>
          <cell r="C744" t="str">
            <v>Ortho</v>
          </cell>
          <cell r="D744" t="str">
            <v>Ortho Weed B Gon Chickweed, Clover &amp; Oxalis Killer for Lawns, 32 Oz. (Pack of 2)</v>
          </cell>
          <cell r="E744" t="str">
            <v>https://www.amazon.com/dp/B07QST9KQ8</v>
          </cell>
          <cell r="F744" t="str">
            <v>Weed Control</v>
          </cell>
          <cell r="G744" t="str">
            <v>Other</v>
          </cell>
          <cell r="H744" t="str">
            <v>Weed Control - Other</v>
          </cell>
          <cell r="I744" t="str">
            <v>Weed Control</v>
          </cell>
        </row>
        <row r="745">
          <cell r="A745" t="str">
            <v>B0CVRQVNGL</v>
          </cell>
          <cell r="B745" t="str">
            <v>Ortho</v>
          </cell>
          <cell r="C745" t="str">
            <v>Scotts</v>
          </cell>
          <cell r="D745" t="str">
            <v>Ortho WeedClear Lawn Weed Killer Ready-to-Use with Comfort Wand, 1 gal.</v>
          </cell>
          <cell r="E745" t="str">
            <v>https://www.amazon.com/dp/B0CVRQVNGL?psc=1</v>
          </cell>
          <cell r="F745" t="str">
            <v>Weed Control</v>
          </cell>
          <cell r="G745" t="str">
            <v>Other</v>
          </cell>
          <cell r="H745" t="str">
            <v>Weed Control - Other</v>
          </cell>
          <cell r="I745" t="str">
            <v>Weed Control</v>
          </cell>
        </row>
        <row r="746">
          <cell r="A746" t="str">
            <v>B072BXNBRM</v>
          </cell>
          <cell r="B746" t="str">
            <v>Ortho</v>
          </cell>
          <cell r="C746" t="str">
            <v>The Scotts Company LLC</v>
          </cell>
          <cell r="D746" t="str">
            <v>Ortho WeedClear Weed Killer for Lawns Refill, 1 Gal.</v>
          </cell>
          <cell r="E746" t="str">
            <v>https://www.amazon.com/dp/B072BXNBRM?psc=1</v>
          </cell>
          <cell r="F746" t="str">
            <v>Weed Control</v>
          </cell>
          <cell r="G746" t="str">
            <v>Other</v>
          </cell>
          <cell r="H746" t="str">
            <v>Weed Control - Other</v>
          </cell>
          <cell r="I746" t="str">
            <v>Weed Control</v>
          </cell>
        </row>
        <row r="747">
          <cell r="A747" t="str">
            <v>B072FJBY1S</v>
          </cell>
          <cell r="B747" t="str">
            <v>Ortho</v>
          </cell>
          <cell r="C747" t="str">
            <v>The Scotts Company LLC</v>
          </cell>
          <cell r="D747" t="str">
            <v>Ortho WeedClear Weed Killer for Lawns Concentrate, 32 fl. oz.</v>
          </cell>
          <cell r="E747" t="str">
            <v>https://www.amazon.com/dp/B072FJBY1S?psc=1</v>
          </cell>
          <cell r="F747" t="str">
            <v>Rodent Control</v>
          </cell>
          <cell r="G747" t="str">
            <v>Other</v>
          </cell>
          <cell r="H747" t="str">
            <v>Rodent Control - Other</v>
          </cell>
          <cell r="I747" t="str">
            <v>Weed Control</v>
          </cell>
        </row>
        <row r="748">
          <cell r="A748" t="str">
            <v>B00MKB5YHG</v>
          </cell>
          <cell r="B748" t="str">
            <v>Ortho</v>
          </cell>
          <cell r="C748" t="str">
            <v>The Scotts Company LLC</v>
          </cell>
          <cell r="D748" t="str">
            <v>Ortho Weed B Gon Weed Killer, 24oz, RTU Trigger</v>
          </cell>
          <cell r="E748" t="str">
            <v>https://www.amazon.com/dp/B00MKB5YHG?psc=1</v>
          </cell>
          <cell r="F748" t="str">
            <v>Weed Control</v>
          </cell>
          <cell r="G748" t="str">
            <v>Other</v>
          </cell>
          <cell r="H748" t="str">
            <v>Weed Control - Other</v>
          </cell>
          <cell r="I748" t="str">
            <v>Weed Control</v>
          </cell>
        </row>
        <row r="749">
          <cell r="A749" t="str">
            <v>B07GY14Q45</v>
          </cell>
          <cell r="B749" t="str">
            <v>Ortho</v>
          </cell>
          <cell r="D749" t="str">
            <v>Ortho Grass B Gon Garden Grass Killer, 24-Ounce (3 Pack), Ready-to-Use, Spray, Weed Killer</v>
          </cell>
          <cell r="E749" t="str">
            <v>https://www.amazon.com/dp/B07GY14Q45</v>
          </cell>
          <cell r="F749" t="str">
            <v>Garden Pest Control</v>
          </cell>
          <cell r="G749" t="str">
            <v>Other</v>
          </cell>
          <cell r="H749" t="str">
            <v>Garden Pest Control - Other</v>
          </cell>
          <cell r="I749" t="str">
            <v>Weed Control</v>
          </cell>
        </row>
        <row r="750">
          <cell r="A750" t="str">
            <v>B00F4JS3SS</v>
          </cell>
          <cell r="B750" t="str">
            <v>Ortho</v>
          </cell>
          <cell r="C750" t="str">
            <v>The Scotts Company LLC</v>
          </cell>
          <cell r="D750" t="str">
            <v>Ortho Weed B Gon Chickweed, Clover and Oxalis Killer for Lawns Concentrate, Kills Creeping Charlie, 16 fl. Oz</v>
          </cell>
          <cell r="E750" t="str">
            <v>https://www.amazon.com/dp/B00F4JS3SS?psc=1</v>
          </cell>
          <cell r="F750" t="str">
            <v>Rodent Control</v>
          </cell>
          <cell r="G750" t="str">
            <v>Other</v>
          </cell>
          <cell r="H750" t="str">
            <v>Rodent Control - Other</v>
          </cell>
          <cell r="I750" t="str">
            <v>Weed Control</v>
          </cell>
        </row>
        <row r="751">
          <cell r="A751" t="str">
            <v>B0GFRYS8GQ</v>
          </cell>
          <cell r="B751" t="str">
            <v>Ortho</v>
          </cell>
          <cell r="C751" t="str">
            <v>The Scotts Company LLC</v>
          </cell>
          <cell r="D751" t="str">
            <v>Ortho GroundClear Simple Weed &amp; Grass Killer with Comfort Wand, 1 gal.</v>
          </cell>
          <cell r="E751" t="str">
            <v>https://www.amazon.com/dp/B0GFRYS8GQ?psc=1</v>
          </cell>
          <cell r="F751" t="str">
            <v>Weed Control</v>
          </cell>
          <cell r="G751" t="str">
            <v>Other</v>
          </cell>
          <cell r="H751" t="str">
            <v>Weed Control - Other</v>
          </cell>
          <cell r="I751" t="str">
            <v>Weed Control</v>
          </cell>
        </row>
        <row r="752">
          <cell r="A752" t="str">
            <v>B00L3OLP8S</v>
          </cell>
          <cell r="B752" t="str">
            <v>Ortho</v>
          </cell>
          <cell r="C752" t="str">
            <v>The Scotts Company LLC</v>
          </cell>
          <cell r="D752" t="str">
            <v>Ortho Weed B Gon Plus Crabgrass Control Concentrate2, 40 oz.</v>
          </cell>
          <cell r="E752" t="str">
            <v>https://www.amazon.com/dp/B00L3OLP8S?psc=1</v>
          </cell>
          <cell r="F752" t="str">
            <v>Rodent Control</v>
          </cell>
          <cell r="G752" t="str">
            <v>Other</v>
          </cell>
          <cell r="H752" t="str">
            <v>Rodent Control - Other</v>
          </cell>
          <cell r="I752" t="str">
            <v>Weed Control</v>
          </cell>
        </row>
        <row r="753">
          <cell r="A753" t="str">
            <v>B07QCK7BPT</v>
          </cell>
          <cell r="B753" t="str">
            <v>Victor</v>
          </cell>
          <cell r="C753" t="str">
            <v>Woodstream Corporation</v>
          </cell>
          <cell r="D753" t="str">
            <v>Victor Snake-A-Way Outdoor Snake Repellent Granules for Yard, 10 lb Bag</v>
          </cell>
          <cell r="E753" t="str">
            <v>https://www.amazon.com/dp/B07QCK7BPT?psc=1</v>
          </cell>
          <cell r="F753" t="str">
            <v>Other</v>
          </cell>
          <cell r="G753" t="str">
            <v>Repellents</v>
          </cell>
          <cell r="H753" t="str">
            <v>Other - Repellents</v>
          </cell>
          <cell r="I753" t="str">
            <v>Snake control</v>
          </cell>
        </row>
        <row r="754">
          <cell r="A754" t="str">
            <v>B07N1GMVWL</v>
          </cell>
          <cell r="B754" t="str">
            <v>Victor</v>
          </cell>
          <cell r="C754" t="str">
            <v>Woodstream Corporation</v>
          </cell>
          <cell r="D754" t="str">
            <v>Victor Snake-A-Way Outdoor Snake Repellent Granules for Yard, 4 lb Bag</v>
          </cell>
          <cell r="E754" t="str">
            <v>https://www.amazon.com/dp/B07N1GMVWL?psc=1</v>
          </cell>
          <cell r="F754" t="str">
            <v>Other</v>
          </cell>
          <cell r="G754" t="str">
            <v>Repellents</v>
          </cell>
          <cell r="H754" t="str">
            <v>Other - Repellents</v>
          </cell>
          <cell r="I754" t="str">
            <v>Snake control</v>
          </cell>
        </row>
        <row r="755">
          <cell r="A755" t="str">
            <v>B07QR77XDK</v>
          </cell>
          <cell r="B755" t="str">
            <v>Victor</v>
          </cell>
          <cell r="C755" t="str">
            <v>Woodstream Corporation</v>
          </cell>
          <cell r="D755" t="str">
            <v>Victor Snake-A-Way Outdoor Snake Repelling Granules for Yard, 28 lb Bucket</v>
          </cell>
          <cell r="E755" t="str">
            <v>https://www.amazon.com/dp/B07QR77XDK?psc=1</v>
          </cell>
          <cell r="F755" t="str">
            <v>Other</v>
          </cell>
          <cell r="G755" t="str">
            <v>Other</v>
          </cell>
          <cell r="H755" t="str">
            <v>Other - Other</v>
          </cell>
          <cell r="I755" t="str">
            <v>Snake control</v>
          </cell>
        </row>
        <row r="756">
          <cell r="A756" t="str">
            <v>B07N1GGPRP</v>
          </cell>
          <cell r="B756" t="str">
            <v>Victor</v>
          </cell>
          <cell r="C756" t="str">
            <v>Woodstream Corporation</v>
          </cell>
          <cell r="D756" t="str">
            <v>Victor VP363 Way Snake Repelling Granules – 1.75 LB,White</v>
          </cell>
          <cell r="E756" t="str">
            <v>https://www.amazon.com/dp/B07N1GGPRP?psc=1</v>
          </cell>
          <cell r="F756" t="str">
            <v>Other</v>
          </cell>
          <cell r="G756" t="str">
            <v>Other</v>
          </cell>
          <cell r="H756" t="str">
            <v>Other - Other</v>
          </cell>
          <cell r="I756" t="str">
            <v>Snake control</v>
          </cell>
        </row>
        <row r="757">
          <cell r="A757" t="str">
            <v>B006QYSBIM</v>
          </cell>
          <cell r="B757" t="str">
            <v>Bonide</v>
          </cell>
          <cell r="C757" t="str">
            <v>TV Non-Branded Items</v>
          </cell>
          <cell r="D757" t="str">
            <v>Bonide Snake Stopper Snake Repellent, 32 oz Ready-to-Spray</v>
          </cell>
          <cell r="E757" t="str">
            <v>https://www.amazon.com/dp/B006QYSBIM?psc=1</v>
          </cell>
          <cell r="F757" t="str">
            <v>Other</v>
          </cell>
          <cell r="G757" t="str">
            <v>Repellents</v>
          </cell>
          <cell r="H757" t="str">
            <v>Other - Repellents</v>
          </cell>
          <cell r="I757" t="str">
            <v>Snake control</v>
          </cell>
        </row>
        <row r="758">
          <cell r="A758" t="str">
            <v>B000UJTCG4</v>
          </cell>
          <cell r="B758" t="str">
            <v>Bonide</v>
          </cell>
          <cell r="C758" t="str">
            <v>Jensen Distributing - Lawn &amp; Garden</v>
          </cell>
          <cell r="D758" t="str">
            <v>Bonide Snake Stopper Snake Repellent, 1.5 lbs Ready-to-Use Granules, Outdoor Deterrent for Snakes, Lizards, Iguanas</v>
          </cell>
          <cell r="E758" t="str">
            <v>https://www.amazon.com/dp/B000UJTCG4?psc=1</v>
          </cell>
          <cell r="F758" t="str">
            <v>Other</v>
          </cell>
          <cell r="G758" t="str">
            <v>Repellents</v>
          </cell>
          <cell r="H758" t="str">
            <v>Other - Repellents</v>
          </cell>
          <cell r="I758" t="str">
            <v>Snake control</v>
          </cell>
        </row>
        <row r="759">
          <cell r="A759" t="str">
            <v>B071FL88SX</v>
          </cell>
          <cell r="B759" t="str">
            <v>Nature's MACE</v>
          </cell>
          <cell r="C759" t="str">
            <v>Nature's MACE</v>
          </cell>
          <cell r="D759" t="str">
            <v>Nature's MACE Snake Mace Snake Repellent 7 lb Granules</v>
          </cell>
          <cell r="E759" t="str">
            <v>https://www.amazon.com/dp/B071FL88SX?psc=1</v>
          </cell>
          <cell r="F759" t="str">
            <v>Other</v>
          </cell>
          <cell r="G759" t="str">
            <v>Repellents</v>
          </cell>
          <cell r="H759" t="str">
            <v>Other - Repellents</v>
          </cell>
          <cell r="I759" t="str">
            <v>Snake control</v>
          </cell>
        </row>
        <row r="760">
          <cell r="A760" t="str">
            <v>B07178KLDM</v>
          </cell>
          <cell r="B760" t="str">
            <v>Nature's MACE</v>
          </cell>
          <cell r="C760" t="str">
            <v>Nature's MACE</v>
          </cell>
          <cell r="D760" t="str">
            <v>Nature's MACE Snake Mace Snake Repellent 48 oz Granules</v>
          </cell>
          <cell r="E760" t="str">
            <v>https://www.amazon.com/dp/B07178KLDM?psc=1</v>
          </cell>
          <cell r="F760" t="str">
            <v>Other</v>
          </cell>
          <cell r="G760" t="str">
            <v>Repellents</v>
          </cell>
          <cell r="H760" t="str">
            <v>Other - Repellents</v>
          </cell>
          <cell r="I760" t="str">
            <v>Snake control</v>
          </cell>
        </row>
        <row r="761">
          <cell r="A761" t="str">
            <v>B0B351WTSN</v>
          </cell>
          <cell r="B761" t="str">
            <v>Ortho</v>
          </cell>
          <cell r="C761" t="str">
            <v>The Scotts Company LLC</v>
          </cell>
          <cell r="D761" t="str">
            <v>Ortho Snake B Gon1 Snake Repellent Granules, 2 lbs.</v>
          </cell>
          <cell r="E761" t="str">
            <v>https://www.amazon.com/dp/B0B351WTSN?psc=1</v>
          </cell>
          <cell r="F761" t="str">
            <v>Other</v>
          </cell>
          <cell r="G761" t="str">
            <v>Repellents</v>
          </cell>
          <cell r="H761" t="str">
            <v>Other - Repellents</v>
          </cell>
          <cell r="I761" t="str">
            <v>Snake control</v>
          </cell>
        </row>
        <row r="762">
          <cell r="A762" t="str">
            <v>B0B3573NQW</v>
          </cell>
          <cell r="B762" t="str">
            <v>Ortho</v>
          </cell>
          <cell r="C762" t="str">
            <v>The Scotts Company LLC</v>
          </cell>
          <cell r="D762" t="str">
            <v>Ortho Snake B Gon1 Snake Repellent Granules, 2 lbs. (2-Pack)</v>
          </cell>
          <cell r="E762" t="str">
            <v>https://www.amazon.com/dp/B0B3573NQW?psc=1</v>
          </cell>
          <cell r="F762" t="str">
            <v>Other</v>
          </cell>
          <cell r="G762" t="str">
            <v>Repellents</v>
          </cell>
          <cell r="H762" t="str">
            <v>Other - Repellents</v>
          </cell>
          <cell r="I762" t="str">
            <v>Snake control</v>
          </cell>
        </row>
        <row r="763">
          <cell r="A763" t="str">
            <v>B009QAPKL4</v>
          </cell>
          <cell r="B763" t="str">
            <v>Ortho</v>
          </cell>
          <cell r="C763" t="str">
            <v>The Scotts Company LLC</v>
          </cell>
          <cell r="D763" t="str">
            <v>Ortho Snake B Gon Snake Repellent Granules, 2-Pound (Not Sold in AK)</v>
          </cell>
          <cell r="E763" t="str">
            <v>https://www.amazon.com/dp/B009QAPKL4?psc=1</v>
          </cell>
          <cell r="F763" t="str">
            <v>Other</v>
          </cell>
          <cell r="G763" t="str">
            <v>Repellents</v>
          </cell>
          <cell r="H763" t="str">
            <v>Other - Repellents</v>
          </cell>
          <cell r="I763" t="str">
            <v>Snake control</v>
          </cell>
        </row>
        <row r="764">
          <cell r="A764" t="str">
            <v>B002ITKVKU</v>
          </cell>
          <cell r="B764" t="str">
            <v>Bonide</v>
          </cell>
          <cell r="C764" t="str">
            <v>Bonide Products LLC</v>
          </cell>
          <cell r="D764" t="str">
            <v>Bonide Repels-All Animal Repellent Granules, 3 lbs. Ready-to-Use Deer &amp; Rabbit Repellent, Deter Pests from Lawn &amp; Garden</v>
          </cell>
          <cell r="E764" t="str">
            <v>https://www.amazon.com/dp/B002ITKVKU?psc=1</v>
          </cell>
          <cell r="F764" t="str">
            <v>Garden Pest Control</v>
          </cell>
          <cell r="G764" t="str">
            <v>Repellents</v>
          </cell>
          <cell r="H764" t="str">
            <v>Garden Pest Control - Repellents</v>
          </cell>
          <cell r="I764" t="str">
            <v>Deer &amp; Rabbit control</v>
          </cell>
        </row>
        <row r="765">
          <cell r="A765" t="str">
            <v>B001E4R2SO</v>
          </cell>
          <cell r="B765" t="str">
            <v>Bonide</v>
          </cell>
          <cell r="C765" t="str">
            <v>Arett Sales - LG</v>
          </cell>
          <cell r="D765" t="str">
            <v>Bonide Repels-All Animal Repellent, 32 oz Ready-to-Use Spray, Outdoor Garden Deer &amp; Rabbit Repellent, People &amp; Pet Safe</v>
          </cell>
          <cell r="E765" t="str">
            <v>https://www.amazon.com/dp/B001E4R2SO?psc=1</v>
          </cell>
          <cell r="F765" t="str">
            <v>Garden Pest Control</v>
          </cell>
          <cell r="G765" t="str">
            <v>Repellents</v>
          </cell>
          <cell r="H765" t="str">
            <v>Garden Pest Control - Repellents</v>
          </cell>
          <cell r="I765" t="str">
            <v>Deer &amp; Rabbit control</v>
          </cell>
        </row>
        <row r="766">
          <cell r="A766" t="str">
            <v>B000BOB7UW</v>
          </cell>
          <cell r="B766" t="str">
            <v>Bonide</v>
          </cell>
          <cell r="C766" t="str">
            <v>Bonide Chemical Company</v>
          </cell>
          <cell r="D766" t="str">
            <v>Bonide Hot Pepper Wax Animal Repellent, 32 oz Ready-to-Use Spray for Deer, Squirrels, Rabbits in Lawn &amp; Garden</v>
          </cell>
          <cell r="E766" t="str">
            <v>https://www.amazon.com/dp/B000BOB7UW</v>
          </cell>
          <cell r="F766" t="str">
            <v>Garden Pest Control</v>
          </cell>
          <cell r="G766" t="str">
            <v>Repellents</v>
          </cell>
          <cell r="H766" t="str">
            <v>Garden Pest Control - Repellents</v>
          </cell>
          <cell r="I766" t="str">
            <v>Deer &amp; Rabbit control</v>
          </cell>
        </row>
        <row r="767">
          <cell r="A767" t="str">
            <v>B004MPKF5Y</v>
          </cell>
          <cell r="B767" t="str">
            <v>Bonide</v>
          </cell>
          <cell r="C767" t="str">
            <v>Ames True Temper</v>
          </cell>
          <cell r="D767" t="str">
            <v>Bonide Go Away! Deer &amp; Rabbit Repellent, 32 oz. Ready-to-Use Spray</v>
          </cell>
          <cell r="E767" t="str">
            <v>https://www.amazon.com/dp/B004MPKF5Y?psc=1</v>
          </cell>
          <cell r="F767" t="str">
            <v>Other</v>
          </cell>
          <cell r="G767" t="str">
            <v>Repellents</v>
          </cell>
          <cell r="H767" t="str">
            <v>Other - Repellents</v>
          </cell>
          <cell r="I767" t="str">
            <v>Deer &amp; Rabbit control</v>
          </cell>
        </row>
        <row r="768">
          <cell r="A768" t="str">
            <v>B07178W2MX</v>
          </cell>
          <cell r="B768" t="str">
            <v>Nature's MACE</v>
          </cell>
          <cell r="C768" t="str">
            <v>Nature's MACE</v>
          </cell>
          <cell r="D768" t="str">
            <v>Nature's MACE Deer &amp; Rabbit Repellent 40 oz Spray</v>
          </cell>
          <cell r="E768" t="str">
            <v>https://www.amazon.com/dp/B07178W2MX?psc=1</v>
          </cell>
          <cell r="F768" t="str">
            <v>Other</v>
          </cell>
          <cell r="G768" t="str">
            <v>Repellents</v>
          </cell>
          <cell r="H768" t="str">
            <v>Other - Repellents</v>
          </cell>
          <cell r="I768" t="str">
            <v>Deer &amp; Rabbit control</v>
          </cell>
        </row>
        <row r="769">
          <cell r="A769" t="str">
            <v>B0728MLXHM</v>
          </cell>
          <cell r="B769" t="str">
            <v>Nature's MACE</v>
          </cell>
          <cell r="C769" t="str">
            <v>Nature's MACE</v>
          </cell>
          <cell r="D769" t="str">
            <v>Nature's MACE Deer &amp; Rabbit Repellent 2.5 lb Granules</v>
          </cell>
          <cell r="E769" t="str">
            <v>https://www.amazon.com/dp/B0728MLXHM?psc=1</v>
          </cell>
          <cell r="F769" t="str">
            <v>Other</v>
          </cell>
          <cell r="G769" t="str">
            <v>Repellents</v>
          </cell>
          <cell r="H769" t="str">
            <v>Other - Repellents</v>
          </cell>
          <cell r="I769" t="str">
            <v>Deer &amp; Rabbit control</v>
          </cell>
        </row>
        <row r="770">
          <cell r="A770" t="str">
            <v>B0723FZHHY</v>
          </cell>
          <cell r="B770" t="str">
            <v>Nature's MACE</v>
          </cell>
          <cell r="C770" t="str">
            <v>Nature's MACE</v>
          </cell>
          <cell r="D770" t="str">
            <v>Nature's MACE Deer &amp; Rabbit Repellent 40 oz Concentrate</v>
          </cell>
          <cell r="E770" t="str">
            <v>https://www.amazon.com/dp/B0723FZHHY?psc=1</v>
          </cell>
          <cell r="F770" t="str">
            <v>Rodent Control</v>
          </cell>
          <cell r="G770" t="str">
            <v>Repellents</v>
          </cell>
          <cell r="H770" t="str">
            <v>Rodent Control - Repellents</v>
          </cell>
          <cell r="I770" t="str">
            <v>Deer &amp; Rabbit control</v>
          </cell>
        </row>
        <row r="771">
          <cell r="A771" t="str">
            <v>B072FT8CG1</v>
          </cell>
          <cell r="B771" t="str">
            <v>Nature's MACE</v>
          </cell>
          <cell r="C771" t="str">
            <v>Nature's MACE</v>
          </cell>
          <cell r="D771" t="str">
            <v>Nature's MACE Deer &amp; Rabbit Repellent 1 Gallon Spray</v>
          </cell>
          <cell r="E771" t="str">
            <v>https://www.amazon.com/dp/B072FT8CG1?psc=1</v>
          </cell>
          <cell r="F771" t="str">
            <v>Other</v>
          </cell>
          <cell r="G771" t="str">
            <v>Repellents</v>
          </cell>
          <cell r="H771" t="str">
            <v>Other - Repellents</v>
          </cell>
          <cell r="I771" t="str">
            <v>Deer &amp; Rabbit control</v>
          </cell>
        </row>
        <row r="772">
          <cell r="A772" t="str">
            <v>B002RBGO3M</v>
          </cell>
          <cell r="B772" t="str">
            <v>Bonide</v>
          </cell>
          <cell r="C772" t="str">
            <v>Bonide</v>
          </cell>
          <cell r="D772" t="str">
            <v>Bonide Go Away! Rabbit, Dog, &amp; Cat Repellent Granules, 1 lb Ready-to-Use, Keep Dogs off Lawn, Garden, Mulch &amp; Flower Beds</v>
          </cell>
          <cell r="E772" t="str">
            <v>https://www.amazon.com/dp/B002RBGO3M?psc=1</v>
          </cell>
          <cell r="F772" t="str">
            <v>Garden Pest Control</v>
          </cell>
          <cell r="G772" t="str">
            <v>Repellents</v>
          </cell>
          <cell r="H772" t="str">
            <v>Garden Pest Control - Repellents</v>
          </cell>
          <cell r="I772" t="str">
            <v>Deer &amp; Rabbit control</v>
          </cell>
        </row>
        <row r="773">
          <cell r="A773" t="str">
            <v>B002RBD43U</v>
          </cell>
          <cell r="B773" t="str">
            <v>Bonide</v>
          </cell>
          <cell r="C773" t="str">
            <v>Bonide Products LLC</v>
          </cell>
          <cell r="D773" t="str">
            <v>Bonide Go Away! Rabbit, Dog, &amp; Cat Repellent Granules, 3 lbs Ready-to-Use, Keep Dogs off Lawn, Garden, Mulch &amp; Flower Beds</v>
          </cell>
          <cell r="E773" t="str">
            <v>https://www.amazon.com/dp/B002RBD43U?psc=1</v>
          </cell>
          <cell r="F773" t="str">
            <v>Garden Pest Control</v>
          </cell>
          <cell r="G773" t="str">
            <v>Repellents</v>
          </cell>
          <cell r="H773" t="str">
            <v>Garden Pest Control - Repellents</v>
          </cell>
          <cell r="I773" t="str">
            <v>Deer &amp; Rabbit control</v>
          </cell>
        </row>
        <row r="774">
          <cell r="A774" t="str">
            <v>B071LS3FB7</v>
          </cell>
          <cell r="B774" t="str">
            <v>Nature's MACE</v>
          </cell>
          <cell r="C774" t="str">
            <v>Nature's MACE</v>
          </cell>
          <cell r="D774" t="str">
            <v>Nature's MACE Rabbit Mace Rabbit Repellent 3 lb Granules</v>
          </cell>
          <cell r="E774" t="str">
            <v>https://www.amazon.com/dp/B071LS3FB7?psc=1</v>
          </cell>
          <cell r="F774" t="str">
            <v>Other</v>
          </cell>
          <cell r="G774" t="str">
            <v>Repellents</v>
          </cell>
          <cell r="H774" t="str">
            <v>Other - Repellents</v>
          </cell>
          <cell r="I774" t="str">
            <v>Deer &amp; Rabbit control</v>
          </cell>
        </row>
        <row r="775">
          <cell r="A775" t="str">
            <v>B0714P77KB</v>
          </cell>
          <cell r="B775" t="str">
            <v>Nature's MACE</v>
          </cell>
          <cell r="C775" t="str">
            <v>Nature's MACE</v>
          </cell>
          <cell r="D775" t="str">
            <v>Nature's MACE Rabbit Mace Rabbit Repellent 7 lb Granules</v>
          </cell>
          <cell r="E775" t="str">
            <v>https://www.amazon.com/dp/B0714P77KB?psc=1</v>
          </cell>
          <cell r="F775" t="str">
            <v>Other</v>
          </cell>
          <cell r="G775" t="str">
            <v>Repellents</v>
          </cell>
          <cell r="H775" t="str">
            <v>Other - Repellents</v>
          </cell>
          <cell r="I775" t="str">
            <v>Deer &amp; Rabbit control</v>
          </cell>
        </row>
        <row r="776">
          <cell r="A776" t="str">
            <v>B071SK83JG</v>
          </cell>
          <cell r="B776" t="str">
            <v>Nature's MACE</v>
          </cell>
          <cell r="C776" t="str">
            <v>Nature's MACE</v>
          </cell>
          <cell r="D776" t="str">
            <v>Nature's MACE Rabbit Repellent 40 oz Spray</v>
          </cell>
          <cell r="E776" t="str">
            <v>https://www.amazon.com/dp/B071SK83JG?psc=1</v>
          </cell>
          <cell r="F776" t="str">
            <v>Other</v>
          </cell>
          <cell r="G776" t="str">
            <v>Repellents</v>
          </cell>
          <cell r="H776" t="str">
            <v>Other - Repellents</v>
          </cell>
          <cell r="I776" t="str">
            <v>Deer &amp; Rabbit control</v>
          </cell>
        </row>
        <row r="777">
          <cell r="A777" t="str">
            <v>B071L9QR2B</v>
          </cell>
          <cell r="B777" t="str">
            <v>Tomcat</v>
          </cell>
          <cell r="C777" t="str">
            <v>The Scotts Company LLC</v>
          </cell>
          <cell r="D777" t="str">
            <v>Tomcat Repellents Deer Repellent, 1 gal.</v>
          </cell>
          <cell r="E777" t="str">
            <v>https://www.amazon.com/dp/B071L9QR2B?psc=1</v>
          </cell>
          <cell r="F777" t="str">
            <v>Other</v>
          </cell>
          <cell r="G777" t="str">
            <v>Repellents</v>
          </cell>
          <cell r="H777" t="str">
            <v>Other - Repellents</v>
          </cell>
          <cell r="I777" t="str">
            <v>Deer &amp; Rabbit control</v>
          </cell>
        </row>
        <row r="778">
          <cell r="A778" t="str">
            <v>B000HCNT3Q</v>
          </cell>
          <cell r="B778" t="str">
            <v>Bonide</v>
          </cell>
          <cell r="C778" t="str">
            <v>Arett Sales - LG</v>
          </cell>
          <cell r="D778" t="str">
            <v>Bonide Repels-All Animal Repellent, 32 oz Concentrate, Long Lasting Outdoor Garden Deer Repellent, People and Pet Safe</v>
          </cell>
          <cell r="E778" t="str">
            <v>https://www.amazon.com/dp/B000HCNT3Q?psc=1</v>
          </cell>
          <cell r="F778" t="str">
            <v>Rodent Control</v>
          </cell>
          <cell r="G778" t="str">
            <v>Repellents</v>
          </cell>
          <cell r="H778" t="str">
            <v>Rodent Control - Repellents</v>
          </cell>
          <cell r="I778" t="str">
            <v>Deer &amp; Rabbit control</v>
          </cell>
        </row>
        <row r="779">
          <cell r="A779" t="str">
            <v>B072FT74CT</v>
          </cell>
          <cell r="B779" t="str">
            <v>Nature's MACE</v>
          </cell>
          <cell r="C779" t="str">
            <v>Nature's MACE</v>
          </cell>
          <cell r="D779" t="str">
            <v>Nature's MACE Deer Repellent 6 lb Granules</v>
          </cell>
          <cell r="E779" t="str">
            <v>https://www.amazon.com/dp/B072FT74CT?psc=1</v>
          </cell>
          <cell r="F779" t="str">
            <v>Other</v>
          </cell>
          <cell r="G779" t="str">
            <v>Repellents</v>
          </cell>
          <cell r="H779" t="str">
            <v>Other - Repellents</v>
          </cell>
          <cell r="I779" t="str">
            <v>Deer &amp; Rabbit control</v>
          </cell>
        </row>
        <row r="780">
          <cell r="A780" t="str">
            <v>B001QV3U7C</v>
          </cell>
          <cell r="B780" t="str">
            <v>JT Eaton</v>
          </cell>
          <cell r="C780" t="str">
            <v>JT Eaton</v>
          </cell>
          <cell r="D780" t="str">
            <v>J T Eaton Oil Base Bedbug Spray</v>
          </cell>
          <cell r="E780" t="str">
            <v>https://www.amazon.com/dp/B001QV3U7C?psc=1</v>
          </cell>
          <cell r="F780" t="str">
            <v>Other</v>
          </cell>
          <cell r="G780" t="str">
            <v>Other</v>
          </cell>
          <cell r="H780" t="str">
            <v>Other - Other</v>
          </cell>
          <cell r="I780" t="str">
            <v>Oil based pest repellent</v>
          </cell>
        </row>
        <row r="781">
          <cell r="A781" t="str">
            <v>B0BQ8YSCVM</v>
          </cell>
          <cell r="B781" t="str">
            <v>Bonide</v>
          </cell>
          <cell r="C781" t="str">
            <v>Bonide Products LLC</v>
          </cell>
          <cell r="D781" t="str">
            <v>Bonide Captain Jack's Rose Rx 4-in-1 Insect &amp; Disease Control, 32 oz Ready-to-Use Spray Neem Oil for Organic Gardening</v>
          </cell>
          <cell r="E781" t="str">
            <v>https://www.amazon.com/dp/B0BQ8YSCVM</v>
          </cell>
          <cell r="F781" t="str">
            <v>Flying Insect Control</v>
          </cell>
          <cell r="G781" t="str">
            <v>Other</v>
          </cell>
          <cell r="H781" t="str">
            <v>Flying Insect Control - Other</v>
          </cell>
          <cell r="I781" t="str">
            <v>Oil based pest repellent</v>
          </cell>
        </row>
        <row r="782">
          <cell r="A782" t="str">
            <v>B001H1GRQC</v>
          </cell>
          <cell r="B782" t="str">
            <v>Bonide</v>
          </cell>
          <cell r="C782" t="str">
            <v>TV Non-Branded Items</v>
          </cell>
          <cell r="D782" t="str">
            <v>Bonide Bat Magic Bat Repellent, Pack of 4 Ready-to-Use Peppermint Oil Scent Packs for Long Lasting Indoor Bat Control</v>
          </cell>
          <cell r="E782" t="str">
            <v>https://www.amazon.com/dp/B001H1GRQC?psc=1</v>
          </cell>
          <cell r="F782" t="str">
            <v>Other</v>
          </cell>
          <cell r="G782" t="str">
            <v>Repellents</v>
          </cell>
          <cell r="H782" t="str">
            <v>Other - Repellents</v>
          </cell>
          <cell r="I782" t="str">
            <v>Oil based pest repellent</v>
          </cell>
        </row>
        <row r="783">
          <cell r="A783" t="str">
            <v>B07732SVD3</v>
          </cell>
          <cell r="B783" t="str">
            <v>HARRIS</v>
          </cell>
          <cell r="C783" t="str">
            <v>Harris</v>
          </cell>
          <cell r="D783" t="str">
            <v>Harris Concentrated Neem Oil 100% Cold Pressed Filtered Oil Insecticide/Miticide/Fungicide, 12 oz Concentrate</v>
          </cell>
          <cell r="E783" t="str">
            <v>https://www.amazon.com/dp/B07732SVD3</v>
          </cell>
          <cell r="F783" t="str">
            <v>Rodent Control</v>
          </cell>
          <cell r="G783" t="str">
            <v>Fungicide</v>
          </cell>
          <cell r="H783" t="str">
            <v>Rodent Control - Fungicide</v>
          </cell>
          <cell r="I783" t="str">
            <v>Oil based pest repellent</v>
          </cell>
        </row>
        <row r="784">
          <cell r="A784" t="str">
            <v>B09L5CCCHC</v>
          </cell>
          <cell r="B784" t="str">
            <v>HARRIS</v>
          </cell>
          <cell r="C784" t="str">
            <v>PF Harris</v>
          </cell>
          <cell r="D784" t="str">
            <v>HARRIS Neem Oil Cold Pressed Water Soluble Concentrate, Makes 12 Gallons</v>
          </cell>
          <cell r="E784" t="str">
            <v>https://www.amazon.com/dp/B09L5CCCHC</v>
          </cell>
          <cell r="F784" t="str">
            <v>Rodent Control</v>
          </cell>
          <cell r="G784" t="str">
            <v>Other</v>
          </cell>
          <cell r="H784" t="str">
            <v>Rodent Control - Other</v>
          </cell>
          <cell r="I784" t="str">
            <v>Oil based pest repellent</v>
          </cell>
        </row>
        <row r="785">
          <cell r="A785" t="str">
            <v>B09HHMSM3J</v>
          </cell>
          <cell r="B785" t="str">
            <v>HARRIS</v>
          </cell>
          <cell r="C785" t="str">
            <v>Harris</v>
          </cell>
          <cell r="D785" t="str">
            <v>Harris Premium Succulent and Cactus Potting Soil Mix, Fast Draining with Added Nutrients, 4 Quarts</v>
          </cell>
          <cell r="E785" t="str">
            <v>https://www.amazon.com/dp/B09HHMSM3J?psc=1</v>
          </cell>
          <cell r="F785" t="str">
            <v>Other</v>
          </cell>
          <cell r="G785" t="str">
            <v>Other</v>
          </cell>
          <cell r="H785" t="str">
            <v>Other - Other</v>
          </cell>
          <cell r="I785" t="str">
            <v>Oil based pest repellent</v>
          </cell>
        </row>
        <row r="786">
          <cell r="A786" t="str">
            <v>B0BC268VT4</v>
          </cell>
          <cell r="B786" t="str">
            <v>HARRIS</v>
          </cell>
          <cell r="C786" t="str">
            <v>Harris</v>
          </cell>
          <cell r="D786" t="str">
            <v>Harris Horticultural Charcoal, Premium Biochar Soil Amendment for Plants and Terrariums, 2qt</v>
          </cell>
          <cell r="E786" t="str">
            <v>https://www.amazon.com/dp/B0BC268VT4</v>
          </cell>
          <cell r="F786" t="str">
            <v>Crawling Insect Control</v>
          </cell>
          <cell r="G786" t="str">
            <v>Ant Traps</v>
          </cell>
          <cell r="H786" t="str">
            <v>Crawling Insect Control - Ant Traps</v>
          </cell>
          <cell r="I786" t="str">
            <v>Oil based pest repellent</v>
          </cell>
        </row>
        <row r="787">
          <cell r="A787" t="str">
            <v>B09HHNXJ1L</v>
          </cell>
          <cell r="B787" t="str">
            <v>HARRIS</v>
          </cell>
          <cell r="C787" t="str">
            <v>Harris</v>
          </cell>
          <cell r="D787" t="str">
            <v>Harris All Purpose Premium Potting Soil Mix with Worm Castings and Other Nutrients, 4 Quarts</v>
          </cell>
          <cell r="E787" t="str">
            <v>https://www.amazon.com/dp/B09HHNXJ1L?psc=1</v>
          </cell>
          <cell r="F787" t="str">
            <v>Other</v>
          </cell>
          <cell r="G787" t="str">
            <v>Other</v>
          </cell>
          <cell r="H787" t="str">
            <v>Other - Other</v>
          </cell>
          <cell r="I787" t="str">
            <v>Oil based pest repellent</v>
          </cell>
        </row>
        <row r="788">
          <cell r="A788" t="str">
            <v>B09MDRMPPD</v>
          </cell>
          <cell r="B788" t="str">
            <v>HARRIS</v>
          </cell>
          <cell r="C788" t="str">
            <v>Harris</v>
          </cell>
          <cell r="D788" t="str">
            <v>Harris Worm Castings Organic Fertilizer - Soil Superfood for Houseplants, Flowers, and Vegetables, 4qt, 5lb Bag</v>
          </cell>
          <cell r="E788" t="str">
            <v>https://www.amazon.com/dp/B09MDRMPPD?psc=1</v>
          </cell>
          <cell r="F788" t="str">
            <v>Crawling Insect Control</v>
          </cell>
          <cell r="G788" t="str">
            <v>Ant Traps</v>
          </cell>
          <cell r="H788" t="str">
            <v>Crawling Insect Control - Ant Traps</v>
          </cell>
          <cell r="I788" t="str">
            <v>Oil based pest repellent</v>
          </cell>
        </row>
        <row r="789">
          <cell r="A789" t="str">
            <v>B07JBRJH79</v>
          </cell>
          <cell r="B789" t="str">
            <v>Mighty Mint</v>
          </cell>
          <cell r="C789" t="str">
            <v>Pure Origin</v>
          </cell>
          <cell r="D789" t="str">
            <v>Mighty Mint Peppermint Oil Insect Repellent Spray, 16 oz</v>
          </cell>
          <cell r="E789" t="str">
            <v>https://www.amazon.com/dp/B07JBRJH79?psc=1</v>
          </cell>
          <cell r="F789" t="str">
            <v>Flying Insect Control</v>
          </cell>
          <cell r="G789" t="str">
            <v>Repellents</v>
          </cell>
          <cell r="H789" t="str">
            <v>Flying Insect Control - Repellents</v>
          </cell>
          <cell r="I789" t="str">
            <v>Oil based pest repellent</v>
          </cell>
        </row>
        <row r="790">
          <cell r="A790" t="str">
            <v>B0BG3GY6QP</v>
          </cell>
          <cell r="B790" t="str">
            <v>Mighty Mint</v>
          </cell>
          <cell r="C790" t="str">
            <v>Pure Origin Products</v>
          </cell>
          <cell r="D790" t="str">
            <v>Mighty Mint Peppermint Oil Insect Repellent Plus Spray, 1 Gallon (128 oz)</v>
          </cell>
          <cell r="E790" t="str">
            <v>https://www.amazon.com/dp/B0BG3GY6QP</v>
          </cell>
          <cell r="F790" t="str">
            <v>Flying Insect Control</v>
          </cell>
          <cell r="G790" t="str">
            <v>Repellents</v>
          </cell>
          <cell r="H790" t="str">
            <v>Flying Insect Control - Repellents</v>
          </cell>
          <cell r="I790" t="str">
            <v>Oil based pest repellent</v>
          </cell>
        </row>
        <row r="791">
          <cell r="A791" t="str">
            <v>B0F1F2NZ4H</v>
          </cell>
          <cell r="B791" t="str">
            <v>Mighty Mint</v>
          </cell>
          <cell r="C791" t="str">
            <v>Pure Origin Products</v>
          </cell>
          <cell r="D791" t="str">
            <v>Mighty Mint Peppermint Oil Insect Repellent Spray, 16 oz, Pack of 2</v>
          </cell>
          <cell r="E791" t="str">
            <v>https://www.amazon.com/dp/B0F1F2NZ4H?psc=1</v>
          </cell>
          <cell r="F791" t="str">
            <v>Flying Insect Control</v>
          </cell>
          <cell r="G791" t="str">
            <v>Repellents</v>
          </cell>
          <cell r="H791" t="str">
            <v>Flying Insect Control - Repellents</v>
          </cell>
          <cell r="I791" t="str">
            <v>Oil based pest repellent</v>
          </cell>
        </row>
        <row r="792">
          <cell r="A792" t="str">
            <v>B0F1F2TW3X</v>
          </cell>
          <cell r="B792" t="str">
            <v>Mighty Mint</v>
          </cell>
          <cell r="C792" t="str">
            <v>Pure Origin Products</v>
          </cell>
          <cell r="D792" t="str">
            <v>Mighty Mint Peppermint Oil Lawn &amp; Yard Bug Control Spray, 32 oz, Pack of 2</v>
          </cell>
          <cell r="E792" t="str">
            <v>https://www.amazon.com/dp/B0F1F2TW3X?psc=1</v>
          </cell>
          <cell r="F792" t="str">
            <v>Other</v>
          </cell>
          <cell r="G792" t="str">
            <v>Other</v>
          </cell>
          <cell r="H792" t="str">
            <v>Other - Other</v>
          </cell>
          <cell r="I792" t="str">
            <v>Oil based pest repellent</v>
          </cell>
        </row>
        <row r="793">
          <cell r="A793" t="str">
            <v>B09KBKVL1M</v>
          </cell>
          <cell r="B793" t="str">
            <v>Mighty Mint</v>
          </cell>
          <cell r="C793" t="str">
            <v>Pure Origin Products</v>
          </cell>
          <cell r="D793" t="str">
            <v>Mighty Mint Peppermint Oil Lawn &amp; Yard Bug Control Spray, 32 oz</v>
          </cell>
          <cell r="E793" t="str">
            <v>https://www.amazon.com/dp/B09KBKVL1M?psc=1</v>
          </cell>
          <cell r="F793" t="str">
            <v>Other</v>
          </cell>
          <cell r="G793" t="str">
            <v>Other</v>
          </cell>
          <cell r="H793" t="str">
            <v>Other - Other</v>
          </cell>
          <cell r="I793" t="str">
            <v>Oil based pest repellent</v>
          </cell>
        </row>
        <row r="794">
          <cell r="A794" t="str">
            <v>B01CPURY3S</v>
          </cell>
          <cell r="B794" t="str">
            <v>Exterminators Choice</v>
          </cell>
          <cell r="C794" t="str">
            <v>Pinelake Industries</v>
          </cell>
          <cell r="D794" t="str">
            <v>Exterminators Choice Peppermint Oil Defense Spray for Lizards &amp; Bugs - 32 Fl Oz, Peppermint Scent Oil - Exterminator Spray Formula for Home &amp; Garden - Indoor &amp; Outdoor Use</v>
          </cell>
          <cell r="E794" t="str">
            <v>https://www.amazon.com/dp/B01CPURY3S?psc=1</v>
          </cell>
          <cell r="F794" t="str">
            <v>Garden Pest Control</v>
          </cell>
          <cell r="G794" t="str">
            <v>Other</v>
          </cell>
          <cell r="H794" t="str">
            <v>Garden Pest Control - Other</v>
          </cell>
          <cell r="I794" t="str">
            <v>Oil based pest repellent</v>
          </cell>
        </row>
        <row r="795">
          <cell r="A795" t="str">
            <v>B093RXQQZK</v>
          </cell>
          <cell r="B795" t="str">
            <v>Exterminators Choice</v>
          </cell>
          <cell r="C795" t="str">
            <v>Exterminator's Choice</v>
          </cell>
          <cell r="D795" t="str">
            <v>Exterminators Choice Bee Spray &amp; Wasp Control - 32 Oz Aerosol - Natural Essential Oil Formula, Helps Keep Bees &amp; Wasps Away in Patio, Garden &amp; Yard, Safe for Kids &amp; Pets</v>
          </cell>
          <cell r="E795" t="str">
            <v>https://www.amazon.com/dp/B093RXQQZK</v>
          </cell>
          <cell r="F795" t="str">
            <v>Garden Pest Control</v>
          </cell>
          <cell r="G795" t="str">
            <v>Other</v>
          </cell>
          <cell r="H795" t="str">
            <v>Garden Pest Control - Other</v>
          </cell>
          <cell r="I795" t="str">
            <v>Oil based pest repellent</v>
          </cell>
        </row>
        <row r="796">
          <cell r="A796" t="str">
            <v>B093RQ36Q4</v>
          </cell>
          <cell r="B796" t="str">
            <v>Exterminators Choice</v>
          </cell>
          <cell r="C796" t="str">
            <v>Exterminators Choice</v>
          </cell>
          <cell r="D796" t="str">
            <v>Exterminator’s Choice Bee Exterminator &amp; Wasp Defense - 125 fl oz Cinnamon Scent - Natural Essential Oil Formula Keeps Bees Away Outside - Safe for Kids &amp; Pets - Made in USA</v>
          </cell>
          <cell r="E796" t="str">
            <v>https://www.amazon.com/dp/B093RQ36Q4?psc=1</v>
          </cell>
          <cell r="F796" t="str">
            <v>Other</v>
          </cell>
          <cell r="G796" t="str">
            <v>Other</v>
          </cell>
          <cell r="H796" t="str">
            <v>Other - Other</v>
          </cell>
          <cell r="I796" t="str">
            <v>Oil based pest repellent</v>
          </cell>
        </row>
        <row r="797">
          <cell r="A797" t="str">
            <v>B007CRG4CW</v>
          </cell>
          <cell r="B797" t="str">
            <v>Bonide</v>
          </cell>
          <cell r="C797" t="str">
            <v>Bonide Products LLC</v>
          </cell>
          <cell r="D797" t="str">
            <v>Bonide Captain Jack's Neem Oil, 32 oz Ready-to-Use Spray</v>
          </cell>
          <cell r="E797" t="str">
            <v>https://www.amazon.com/dp/B007CRG4CW?psc=1</v>
          </cell>
          <cell r="F797" t="str">
            <v>Other</v>
          </cell>
          <cell r="G797" t="str">
            <v>Other</v>
          </cell>
          <cell r="H797" t="str">
            <v>Other - Other</v>
          </cell>
          <cell r="I797" t="str">
            <v>Oil based pest repellent</v>
          </cell>
        </row>
        <row r="798">
          <cell r="A798" t="str">
            <v>B000BWZ9M6</v>
          </cell>
          <cell r="B798" t="str">
            <v>Bonide</v>
          </cell>
          <cell r="C798" t="str">
            <v>Bonide Chemical</v>
          </cell>
          <cell r="D798" t="str">
            <v>Bonide Captain Jack's Neem Max, 16 oz Concentrated Cold Pressed Neem Oil, Multi-Purpose Insecticide, Fungicide, Miticide, and Nematicide for Organic Gardening</v>
          </cell>
          <cell r="E798" t="str">
            <v>https://www.amazon.com/dp/B000BWZ9M6?psc=1</v>
          </cell>
          <cell r="F798" t="str">
            <v>Rodent Control</v>
          </cell>
          <cell r="G798" t="str">
            <v>Fungicide</v>
          </cell>
          <cell r="H798" t="str">
            <v>Rodent Control - Fungicide</v>
          </cell>
          <cell r="I798" t="str">
            <v>Oil based pest repellent</v>
          </cell>
        </row>
        <row r="799">
          <cell r="A799" t="str">
            <v>B06XXRWWZC</v>
          </cell>
          <cell r="B799" t="str">
            <v>Bonide</v>
          </cell>
          <cell r="C799" t="str">
            <v>Bonide Products LLC</v>
          </cell>
          <cell r="D799" t="str">
            <v>Bonide Captain Jack's Neem Oil, 128 oz Ready-to-Use, Multi-Purpose Fungicide, Insecticide and Miticide for Organic Gardening</v>
          </cell>
          <cell r="E799" t="str">
            <v>https://www.amazon.com/dp/B06XXRWWZC?psc=1</v>
          </cell>
          <cell r="F799" t="str">
            <v>Flying Insect Control</v>
          </cell>
          <cell r="G799" t="str">
            <v>Fungicide</v>
          </cell>
          <cell r="H799" t="str">
            <v>Flying Insect Control - Fungicide</v>
          </cell>
          <cell r="I799" t="str">
            <v>Oil based pest repellent</v>
          </cell>
        </row>
        <row r="800">
          <cell r="A800" t="str">
            <v>B0BQ7MR53S</v>
          </cell>
          <cell r="B800" t="str">
            <v>Bonide</v>
          </cell>
          <cell r="C800" t="str">
            <v>Bonide Products LLC</v>
          </cell>
          <cell r="D800" t="str">
            <v>Bonide Captain Jack's Neem Max Ready-to-Use Spray, 64 oz</v>
          </cell>
          <cell r="E800" t="str">
            <v>https://www.amazon.com/dp/B0BQ7MR53S?psc=1</v>
          </cell>
          <cell r="F800" t="str">
            <v>Other</v>
          </cell>
          <cell r="G800" t="str">
            <v>Other</v>
          </cell>
          <cell r="H800" t="str">
            <v>Other - Other</v>
          </cell>
          <cell r="I800" t="str">
            <v>Oil based pest repellent</v>
          </cell>
        </row>
        <row r="801">
          <cell r="A801" t="str">
            <v>B0BQ7JRWQX</v>
          </cell>
          <cell r="B801" t="str">
            <v>Bonide</v>
          </cell>
          <cell r="C801" t="str">
            <v>Bonide Products LLC</v>
          </cell>
          <cell r="D801" t="str">
            <v>Bonide Captain Jack's Neem Max, 128 oz Ready-to-Use Spray</v>
          </cell>
          <cell r="E801" t="str">
            <v>https://www.amazon.com/dp/B0BQ7JRWQX?psc=1</v>
          </cell>
          <cell r="F801" t="str">
            <v>Other</v>
          </cell>
          <cell r="G801" t="str">
            <v>Other</v>
          </cell>
          <cell r="H801" t="str">
            <v>Other - Other</v>
          </cell>
          <cell r="I801" t="str">
            <v>Oil based pest repellent</v>
          </cell>
        </row>
        <row r="802">
          <cell r="A802" t="str">
            <v>B09G939ZR5</v>
          </cell>
          <cell r="B802" t="str">
            <v>Bonide</v>
          </cell>
          <cell r="C802" t="str">
            <v>Bonide Products LLC</v>
          </cell>
          <cell r="D802" t="str">
            <v>Bonide Captain Jack's Neem Max, 8 oz Concentrated Cold Pressed Neem Oil</v>
          </cell>
          <cell r="E802" t="str">
            <v>https://www.amazon.com/dp/B09G939ZR5?psc=1</v>
          </cell>
          <cell r="F802" t="str">
            <v>Rodent Control</v>
          </cell>
          <cell r="G802" t="str">
            <v>Other</v>
          </cell>
          <cell r="H802" t="str">
            <v>Rodent Control - Other</v>
          </cell>
          <cell r="I802" t="str">
            <v>Oil based pest repellent</v>
          </cell>
        </row>
        <row r="803">
          <cell r="A803" t="str">
            <v>B0DN3GCGZK</v>
          </cell>
          <cell r="B803" t="str">
            <v>Bonide</v>
          </cell>
          <cell r="C803" t="str">
            <v>Bonide Products LLC</v>
          </cell>
          <cell r="D803" t="str">
            <v>Bonide Captain Jack's Neem Max, 32 oz Ready-to-Use Spray</v>
          </cell>
          <cell r="E803" t="str">
            <v>https://www.amazon.com/dp/B0DN3GCGZK?psc=1</v>
          </cell>
          <cell r="F803" t="str">
            <v>Other</v>
          </cell>
          <cell r="G803" t="str">
            <v>Other</v>
          </cell>
          <cell r="H803" t="str">
            <v>Other - Other</v>
          </cell>
          <cell r="I803" t="str">
            <v>Oil based pest repellent</v>
          </cell>
        </row>
        <row r="804">
          <cell r="A804" t="str">
            <v>B0DN3ZJL5J</v>
          </cell>
          <cell r="B804" t="str">
            <v>Bonide</v>
          </cell>
          <cell r="C804" t="str">
            <v>Bonide Products LLC</v>
          </cell>
          <cell r="D804" t="str">
            <v>Bonide Captain Jack's Neem Max, 16 oz Ready-to-Spray Neem Oil</v>
          </cell>
          <cell r="E804" t="str">
            <v>https://www.amazon.com/dp/B0DN3ZJL5J</v>
          </cell>
          <cell r="F804" t="str">
            <v>Other</v>
          </cell>
          <cell r="G804" t="str">
            <v>Other</v>
          </cell>
          <cell r="H804" t="str">
            <v>Other - Other</v>
          </cell>
          <cell r="I804" t="str">
            <v>Oil based pest repellent</v>
          </cell>
        </row>
        <row r="805">
          <cell r="A805" t="str">
            <v>B0DCZZKK52</v>
          </cell>
          <cell r="B805" t="str">
            <v>Bonide</v>
          </cell>
          <cell r="C805" t="str">
            <v>Bonide Products LLC</v>
          </cell>
          <cell r="D805" t="str">
            <v>Bonide Captain Jack's Neem Max 12 oz Ready-to-Use Spray for Houseplants</v>
          </cell>
          <cell r="E805" t="str">
            <v>https://www.amazon.com/dp/B0DCZZKK52?psc=1</v>
          </cell>
          <cell r="F805" t="str">
            <v>Crawling Insect Control</v>
          </cell>
          <cell r="G805" t="str">
            <v>Ant Traps</v>
          </cell>
          <cell r="H805" t="str">
            <v>Crawling Insect Control - Ant Traps</v>
          </cell>
          <cell r="I805" t="str">
            <v>Oil based pest repellent</v>
          </cell>
        </row>
        <row r="806">
          <cell r="A806" t="str">
            <v>B006QYSAPQ</v>
          </cell>
          <cell r="B806" t="str">
            <v>Bonide</v>
          </cell>
          <cell r="C806" t="str">
            <v>Bonide Products LLC</v>
          </cell>
          <cell r="D806" t="str">
            <v>Bonide Captain Jack's Neem Oil, 16 oz. Concentrate, Multi-Purpose Fungicide, Insecticide and Miticide for Organic Gardening</v>
          </cell>
          <cell r="E806" t="str">
            <v>https://www.amazon.com/dp/B006QYSAPQ</v>
          </cell>
          <cell r="F806" t="str">
            <v>Rodent Control</v>
          </cell>
          <cell r="G806" t="str">
            <v>Fungicide</v>
          </cell>
          <cell r="H806" t="str">
            <v>Rodent Control - Fungicide</v>
          </cell>
          <cell r="I806" t="str">
            <v>Oil based pest repellent</v>
          </cell>
        </row>
        <row r="807">
          <cell r="A807" t="str">
            <v>B001D10EQA</v>
          </cell>
          <cell r="B807" t="str">
            <v>Bonide</v>
          </cell>
          <cell r="C807" t="str">
            <v>Bradley Caldwell Inc</v>
          </cell>
          <cell r="D807" t="str">
            <v>Bonide Bon-Neem II RTU 32 oz</v>
          </cell>
          <cell r="E807" t="str">
            <v>https://www.amazon.com/dp/B001D10EQA</v>
          </cell>
          <cell r="F807" t="str">
            <v>Other</v>
          </cell>
          <cell r="G807" t="str">
            <v>Other</v>
          </cell>
          <cell r="H807" t="str">
            <v>Other - Other</v>
          </cell>
          <cell r="I807" t="str">
            <v>Oil based pest repellent</v>
          </cell>
        </row>
        <row r="808">
          <cell r="A808" t="str">
            <v>B0014T72SY</v>
          </cell>
          <cell r="B808" t="str">
            <v>JT Eaton</v>
          </cell>
          <cell r="C808" t="str">
            <v>JT Eaton</v>
          </cell>
          <cell r="D808" t="str">
            <v>Kills Bedbugs Oil-Based Spray, Gallon with Sprayer – Professional Bed Bug Killer for Indoor Use – Oil-Based Formula for Mattresses, Furniture &amp; Upholstery – Easy Application Pest Control Treatment</v>
          </cell>
          <cell r="E808" t="str">
            <v>https://www.amazon.com/dp/B0014T72SY?psc=1</v>
          </cell>
          <cell r="F808" t="str">
            <v>Garden Equipment</v>
          </cell>
          <cell r="G808" t="str">
            <v>Sprayer</v>
          </cell>
          <cell r="H808" t="str">
            <v>Garden Equipment - Sprayer</v>
          </cell>
          <cell r="I808" t="str">
            <v>Bed Bug repellent</v>
          </cell>
        </row>
        <row r="809">
          <cell r="A809" t="str">
            <v>B0CFXWZYHV</v>
          </cell>
          <cell r="B809" t="str">
            <v>JT Eaton</v>
          </cell>
          <cell r="C809" t="str">
            <v>JT Eaton</v>
          </cell>
          <cell r="D809" t="str">
            <v>ClimbUp Original White – Effective Bed Bug Interceptor Trap – Durable, Easy-to-Use Pest Monitoring Solution</v>
          </cell>
          <cell r="E809" t="str">
            <v>https://www.amazon.com/dp/B0CFXWZYHV</v>
          </cell>
          <cell r="F809" t="str">
            <v>Other</v>
          </cell>
          <cell r="G809" t="str">
            <v>Other</v>
          </cell>
          <cell r="H809" t="str">
            <v>Other - Other</v>
          </cell>
          <cell r="I809" t="str">
            <v>Bed Bug repellent</v>
          </cell>
        </row>
        <row r="810">
          <cell r="A810" t="str">
            <v>B00E8LIXPQ</v>
          </cell>
          <cell r="B810" t="str">
            <v>HARRIS</v>
          </cell>
          <cell r="C810" t="str">
            <v>Harris</v>
          </cell>
          <cell r="D810" t="str">
            <v>Harris Bed Bug Traps for Early Detection &amp; Monitoring, 4 Pack</v>
          </cell>
          <cell r="E810" t="str">
            <v>https://www.amazon.com/dp/B00E8LIXPQ?psc=1</v>
          </cell>
          <cell r="F810" t="str">
            <v>Other</v>
          </cell>
          <cell r="G810" t="str">
            <v>Other</v>
          </cell>
          <cell r="H810" t="str">
            <v>Other - Other</v>
          </cell>
          <cell r="I810" t="str">
            <v>Bed Bug repellent</v>
          </cell>
        </row>
        <row r="811">
          <cell r="A811" t="str">
            <v>B005GXKEUM</v>
          </cell>
          <cell r="B811" t="str">
            <v>HARRIS</v>
          </cell>
          <cell r="C811" t="str">
            <v>PF Harris Mfg Co</v>
          </cell>
          <cell r="D811" t="str">
            <v>Harris HDE-8 Bed Bug Powder Diatomaceous Earth, 8oz, Yellow</v>
          </cell>
          <cell r="E811" t="str">
            <v>https://www.amazon.com/dp/B005GXKEUM</v>
          </cell>
          <cell r="F811" t="str">
            <v>Other</v>
          </cell>
          <cell r="G811" t="str">
            <v>Other</v>
          </cell>
          <cell r="H811" t="str">
            <v>Other - Other</v>
          </cell>
          <cell r="I811" t="str">
            <v>Bed Bug repellent</v>
          </cell>
        </row>
        <row r="812">
          <cell r="A812" t="str">
            <v>B01BRTNPCC</v>
          </cell>
          <cell r="B812" t="str">
            <v>HARRIS</v>
          </cell>
          <cell r="C812" t="str">
            <v>Harris</v>
          </cell>
          <cell r="D812" t="str">
            <v>HARRIS Bed Bug Traps - Parent (20-Pack)</v>
          </cell>
          <cell r="E812" t="str">
            <v>https://www.amazon.com/dp/B01BRTNPCC?psc=1</v>
          </cell>
          <cell r="F812" t="str">
            <v>Other</v>
          </cell>
          <cell r="G812" t="str">
            <v>Other</v>
          </cell>
          <cell r="H812" t="str">
            <v>Other - Other</v>
          </cell>
          <cell r="I812" t="str">
            <v>Bed Bug repellent</v>
          </cell>
        </row>
        <row r="813">
          <cell r="A813" t="str">
            <v>B01D1YE6P6</v>
          </cell>
          <cell r="B813" t="str">
            <v>HARRIS</v>
          </cell>
          <cell r="C813" t="str">
            <v>Central Garden Distribution</v>
          </cell>
          <cell r="D813" t="str">
            <v>Harris Toughest Bed Bug Killer, 16oz Aerosol Spray</v>
          </cell>
          <cell r="E813" t="str">
            <v>https://www.amazon.com/dp/B01D1YE6P6?psc=1</v>
          </cell>
          <cell r="F813" t="str">
            <v>Other</v>
          </cell>
          <cell r="G813" t="str">
            <v>Other</v>
          </cell>
          <cell r="H813" t="str">
            <v>Other - Other</v>
          </cell>
          <cell r="I813" t="str">
            <v>Bed Bug repellent</v>
          </cell>
        </row>
        <row r="814">
          <cell r="A814" t="str">
            <v>B0BZDQB1NX</v>
          </cell>
          <cell r="B814" t="str">
            <v>Grandpa Gus's</v>
          </cell>
          <cell r="C814" t="str">
            <v>Grandpa Gus's</v>
          </cell>
          <cell r="D814" t="str">
            <v>Grandpa Gus's Bed Bug Glue Traps for Mattress, Home, &amp; Travel, Pack of 4</v>
          </cell>
          <cell r="E814" t="str">
            <v>https://www.amazon.com/dp/B0BZDQB1NX?psc=1</v>
          </cell>
          <cell r="F814" t="str">
            <v>Other</v>
          </cell>
          <cell r="G814" t="str">
            <v>Glue Traps</v>
          </cell>
          <cell r="H814" t="str">
            <v>Other - Glue Traps</v>
          </cell>
          <cell r="I814" t="str">
            <v>Bed Bug repellent</v>
          </cell>
        </row>
        <row r="815">
          <cell r="A815" t="str">
            <v>B0BZDR9TND</v>
          </cell>
          <cell r="B815" t="str">
            <v>Grandpa Gus's</v>
          </cell>
          <cell r="C815" t="str">
            <v>Grandpa Gus's</v>
          </cell>
          <cell r="D815" t="str">
            <v>Grandpa Gus's Bed Bug Glue Traps for Mattress, Home, &amp; Travel, Pack of 12</v>
          </cell>
          <cell r="E815" t="str">
            <v>https://www.amazon.com/dp/B0BZDR9TND?psc=1</v>
          </cell>
          <cell r="F815" t="str">
            <v>Other</v>
          </cell>
          <cell r="G815" t="str">
            <v>Glue Traps</v>
          </cell>
          <cell r="H815" t="str">
            <v>Other - Glue Traps</v>
          </cell>
          <cell r="I815" t="str">
            <v>Bed Bug repellent</v>
          </cell>
        </row>
        <row r="816">
          <cell r="A816" t="str">
            <v>B0BZDSJDMC</v>
          </cell>
          <cell r="B816" t="str">
            <v>Grandpa Gus's</v>
          </cell>
          <cell r="C816" t="str">
            <v>Grandpa Gus's</v>
          </cell>
          <cell r="D816" t="str">
            <v>Grandpa Gus's Natural Bed Bug and Dust Mite Killer Spray, 16 Fl Oz</v>
          </cell>
          <cell r="E816" t="str">
            <v>https://www.amazon.com/dp/B0BZDSJDMC?psc=1</v>
          </cell>
          <cell r="F816" t="str">
            <v>Other</v>
          </cell>
          <cell r="G816" t="str">
            <v>Other</v>
          </cell>
          <cell r="H816" t="str">
            <v>Other - Other</v>
          </cell>
          <cell r="I816" t="str">
            <v>Bed Bug repellent</v>
          </cell>
        </row>
        <row r="817">
          <cell r="A817" t="str">
            <v>B07YM6HZ23</v>
          </cell>
          <cell r="B817" t="str">
            <v>Ortho</v>
          </cell>
          <cell r="C817" t="str">
            <v>The Scotts Company LLC</v>
          </cell>
          <cell r="D817" t="str">
            <v>Ortho Home Defense Max Bed Bug Trap, 2 Traps</v>
          </cell>
          <cell r="E817" t="str">
            <v>https://www.amazon.com/dp/B07YM6HZ23?psc=1</v>
          </cell>
          <cell r="F817" t="str">
            <v>Other</v>
          </cell>
          <cell r="G817" t="str">
            <v>Other</v>
          </cell>
          <cell r="H817" t="str">
            <v>Other - Other</v>
          </cell>
          <cell r="I817" t="str">
            <v>Bed Bug repellent</v>
          </cell>
        </row>
        <row r="818">
          <cell r="A818" t="str">
            <v>B09HWYP4Z8</v>
          </cell>
          <cell r="B818" t="str">
            <v>Ortho</v>
          </cell>
          <cell r="C818" t="str">
            <v>The Scotts Company LLC</v>
          </cell>
          <cell r="D818" t="str">
            <v>Ortho Home Defense Max Bed Bug Killer, Aerosol, 18 oz. (2-Pack)</v>
          </cell>
          <cell r="E818" t="str">
            <v>https://www.amazon.com/dp/B09HWYP4Z8?psc=1</v>
          </cell>
          <cell r="F818" t="str">
            <v>Other</v>
          </cell>
          <cell r="G818" t="str">
            <v>Other</v>
          </cell>
          <cell r="H818" t="str">
            <v>Other - Other</v>
          </cell>
          <cell r="I818" t="str">
            <v>Bed Bug repellent</v>
          </cell>
        </row>
        <row r="819">
          <cell r="A819" t="str">
            <v>B075R7BNXV</v>
          </cell>
          <cell r="B819" t="str">
            <v>Scotts</v>
          </cell>
          <cell r="C819" t="str">
            <v>The Scotts Company LLC</v>
          </cell>
          <cell r="D819" t="str">
            <v>Scotts DiseaseEx Lawn Fungicide, 10 lbs.</v>
          </cell>
          <cell r="E819" t="str">
            <v>https://www.amazon.com/dp/B075R7BNXV?psc=1</v>
          </cell>
          <cell r="F819" t="str">
            <v>Disease &amp; Moss Control</v>
          </cell>
          <cell r="G819" t="str">
            <v>Fungicide</v>
          </cell>
          <cell r="H819" t="str">
            <v>Disease &amp; Moss Control - Fungicide</v>
          </cell>
          <cell r="I819" t="str">
            <v>Insecticide/Fungicide</v>
          </cell>
        </row>
        <row r="820">
          <cell r="A820" t="str">
            <v>B08Z8GM3RW</v>
          </cell>
          <cell r="B820" t="str">
            <v>Scotts</v>
          </cell>
          <cell r="C820" t="str">
            <v>The Scotts Company LLC</v>
          </cell>
          <cell r="D820" t="str">
            <v>Scotts DiseaseEx Lawn Fungicide, 10 lbs. (2-Pack)</v>
          </cell>
          <cell r="E820" t="str">
            <v>https://www.amazon.com/dp/B08Z8GM3RW?psc=1</v>
          </cell>
          <cell r="F820" t="str">
            <v>Disease &amp; Moss Control</v>
          </cell>
          <cell r="G820" t="str">
            <v>Fungicide</v>
          </cell>
          <cell r="H820" t="str">
            <v>Disease &amp; Moss Control - Fungicide</v>
          </cell>
          <cell r="I820" t="str">
            <v>Insecticide/Fungicide</v>
          </cell>
        </row>
        <row r="821">
          <cell r="A821" t="str">
            <v>B0BXQRXCZH</v>
          </cell>
          <cell r="B821" t="str">
            <v>Scotts</v>
          </cell>
          <cell r="C821" t="str">
            <v>The Scotts Company LLC</v>
          </cell>
          <cell r="D821" t="str">
            <v>Scotts DiseaseEx Lawn Fungicide, 10 lbs. (3-Pack)</v>
          </cell>
          <cell r="E821" t="str">
            <v>https://www.amazon.com/dp/B0BXQRXCZH?psc=1</v>
          </cell>
          <cell r="F821" t="str">
            <v>Disease &amp; Moss Control</v>
          </cell>
          <cell r="G821" t="str">
            <v>Fungicide</v>
          </cell>
          <cell r="H821" t="str">
            <v>Disease &amp; Moss Control - Fungicide</v>
          </cell>
          <cell r="I821" t="str">
            <v>Insecticide/Fungicide</v>
          </cell>
        </row>
        <row r="822">
          <cell r="A822" t="str">
            <v>B000UJVDXY</v>
          </cell>
          <cell r="B822" t="str">
            <v>Bonide</v>
          </cell>
          <cell r="C822" t="str">
            <v>Bonide</v>
          </cell>
          <cell r="D822" t="str">
            <v>Bonide Captain Jack's Copper Fungicide, 32 oz Ready-to-Use Spray for Organic Gardening, Controls Common Diseases, for All Plants</v>
          </cell>
          <cell r="E822" t="str">
            <v>https://www.amazon.com/dp/B000UJVDXY?psc=1</v>
          </cell>
          <cell r="F822" t="str">
            <v>Crawling Insect Control</v>
          </cell>
          <cell r="G822" t="str">
            <v>Ant Traps</v>
          </cell>
          <cell r="H822" t="str">
            <v>Crawling Insect Control - Ant Traps</v>
          </cell>
          <cell r="I822" t="str">
            <v>Insecticide/Fungicide</v>
          </cell>
        </row>
        <row r="823">
          <cell r="A823" t="str">
            <v>B001VJ4FYQ</v>
          </cell>
          <cell r="B823" t="str">
            <v>Bonide</v>
          </cell>
          <cell r="C823" t="str">
            <v>Bonide</v>
          </cell>
          <cell r="D823" t="str">
            <v>Bonide Captain Jack's Deadbug Brew Ready-to-Use Spray, 32 oz Outdoor Insecticide and Mite Killer for Organic Gardening</v>
          </cell>
          <cell r="E823" t="str">
            <v>https://www.amazon.com/dp/B001VJ4FYQ?psc=1</v>
          </cell>
          <cell r="F823" t="str">
            <v>Flying Insect Control</v>
          </cell>
          <cell r="G823" t="str">
            <v>Other</v>
          </cell>
          <cell r="H823" t="str">
            <v>Flying Insect Control - Other</v>
          </cell>
          <cell r="I823" t="str">
            <v>Insecticide/Fungicide</v>
          </cell>
        </row>
        <row r="824">
          <cell r="A824" t="str">
            <v>B001VJBYMC</v>
          </cell>
          <cell r="B824" t="str">
            <v>Bonide</v>
          </cell>
          <cell r="C824" t="str">
            <v>Bonide Products LLC</v>
          </cell>
          <cell r="D824" t="str">
            <v>Bonide Captain Jack's Deadbug Brew, 16 oz Concentrate Outdoor Insecticide and Mite Killer for Organic Gardening</v>
          </cell>
          <cell r="E824" t="str">
            <v>https://www.amazon.com/dp/B001VJBYMC?psc=1</v>
          </cell>
          <cell r="F824" t="str">
            <v>Rodent Control</v>
          </cell>
          <cell r="G824" t="str">
            <v>Other</v>
          </cell>
          <cell r="H824" t="str">
            <v>Rodent Control - Other</v>
          </cell>
          <cell r="I824" t="str">
            <v>Insecticide/Fungicide</v>
          </cell>
        </row>
        <row r="825">
          <cell r="A825" t="str">
            <v>B001VJ83LW</v>
          </cell>
          <cell r="B825" t="str">
            <v>Bonide</v>
          </cell>
          <cell r="C825" t="str">
            <v>Bonide Products LLC</v>
          </cell>
          <cell r="D825" t="str">
            <v>Bonide Captain Jack's Deadbug Brew, 32 oz Concentrate Outdoor Insecticide and Mite Killer for Organic Gardening, 2 lbs</v>
          </cell>
          <cell r="E825" t="str">
            <v>https://www.amazon.com/dp/B001VJ83LW?psc=1</v>
          </cell>
          <cell r="F825" t="str">
            <v>Rodent Control</v>
          </cell>
          <cell r="G825" t="str">
            <v>Other</v>
          </cell>
          <cell r="H825" t="str">
            <v>Rodent Control - Other</v>
          </cell>
          <cell r="I825" t="str">
            <v>Insecticide/Fungicide</v>
          </cell>
        </row>
        <row r="826">
          <cell r="A826" t="str">
            <v>B0035HA0AK</v>
          </cell>
          <cell r="B826" t="str">
            <v>Bonide</v>
          </cell>
          <cell r="C826" t="str">
            <v>Arett Sales - LG</v>
          </cell>
          <cell r="D826" t="str">
            <v>Bonide Pyrethrin Garden Insect Spray Concentrate, 8 oz Ready-to-Mix Fast Acting Insecticide for Outdoor Garden Use</v>
          </cell>
          <cell r="E826" t="str">
            <v>https://www.amazon.com/dp/B0035HA0AK?psc=1</v>
          </cell>
          <cell r="F826" t="str">
            <v>Rodent Control</v>
          </cell>
          <cell r="G826" t="str">
            <v>Other</v>
          </cell>
          <cell r="H826" t="str">
            <v>Rodent Control - Other</v>
          </cell>
          <cell r="I826" t="str">
            <v>Insecticide/Fungicide</v>
          </cell>
        </row>
        <row r="827">
          <cell r="A827" t="str">
            <v>B000N7AZIW</v>
          </cell>
          <cell r="B827" t="str">
            <v>Bonide</v>
          </cell>
          <cell r="C827" t="str">
            <v>TV Non-Branded Items</v>
          </cell>
          <cell r="D827" t="str">
            <v>Bonide Systemic Insect Control, 16 oz Concentrate Long Lasting Insecticide for Outdoor Gardening, Makes 16 Gallons</v>
          </cell>
          <cell r="E827" t="str">
            <v>https://www.amazon.com/dp/B000N7AZIW</v>
          </cell>
          <cell r="F827" t="str">
            <v>Rodent Control</v>
          </cell>
          <cell r="G827" t="str">
            <v>Other</v>
          </cell>
          <cell r="H827" t="str">
            <v>Rodent Control - Other</v>
          </cell>
          <cell r="I827" t="str">
            <v>Insecticide/Fungicide</v>
          </cell>
        </row>
        <row r="828">
          <cell r="A828" t="str">
            <v>B076HW6S9K</v>
          </cell>
          <cell r="B828" t="str">
            <v>Bonide</v>
          </cell>
          <cell r="C828" t="str">
            <v>Bonide Products LLC</v>
          </cell>
          <cell r="D828" t="str">
            <v>Bonide Revitalize Biofungicide, 16 oz Concentrate Disease Control for Organic Gardening, Controls Blight &amp; Mold</v>
          </cell>
          <cell r="E828" t="str">
            <v>https://www.amazon.com/dp/B076HW6S9K</v>
          </cell>
          <cell r="F828" t="str">
            <v>Rodent Control</v>
          </cell>
          <cell r="G828" t="str">
            <v>Fungicide</v>
          </cell>
          <cell r="H828" t="str">
            <v>Rodent Control - Fungicide</v>
          </cell>
          <cell r="I828" t="str">
            <v>Insecticide/Fungicide</v>
          </cell>
        </row>
        <row r="829">
          <cell r="A829" t="str">
            <v>B07L1MS63W</v>
          </cell>
          <cell r="B829" t="str">
            <v>Bonide</v>
          </cell>
          <cell r="C829" t="str">
            <v>Bonide Products LLC</v>
          </cell>
          <cell r="D829" t="str">
            <v>Bonide Captain Jack's Copper Fungicide, 16 oz Ready-to-Spray</v>
          </cell>
          <cell r="E829" t="str">
            <v>https://www.amazon.com/dp/B07L1MS63W?psc=1</v>
          </cell>
          <cell r="F829" t="str">
            <v>Disease &amp; Moss Control</v>
          </cell>
          <cell r="G829" t="str">
            <v>Fungicide</v>
          </cell>
          <cell r="H829" t="str">
            <v>Disease &amp; Moss Control - Fungicide</v>
          </cell>
          <cell r="I829" t="str">
            <v>Insecticide/Fungicide</v>
          </cell>
        </row>
        <row r="830">
          <cell r="A830" t="str">
            <v>B000RUASQE</v>
          </cell>
          <cell r="B830" t="str">
            <v>Bonide</v>
          </cell>
          <cell r="C830" t="str">
            <v>Bonide Chemical</v>
          </cell>
          <cell r="D830" t="str">
            <v>Bonide Copper Fungicide, 1 lb. Ready-to-Use Spray or Dust</v>
          </cell>
          <cell r="E830" t="str">
            <v>https://www.amazon.com/dp/B000RUASQE?psc=1</v>
          </cell>
          <cell r="F830" t="str">
            <v>Disease &amp; Moss Control</v>
          </cell>
          <cell r="G830" t="str">
            <v>Fungicide</v>
          </cell>
          <cell r="H830" t="str">
            <v>Disease &amp; Moss Control - Fungicide</v>
          </cell>
          <cell r="I830" t="str">
            <v>Insecticide/Fungicide</v>
          </cell>
        </row>
        <row r="831">
          <cell r="A831" t="str">
            <v>B07DLGZ26P</v>
          </cell>
          <cell r="B831" t="str">
            <v>Bonide</v>
          </cell>
          <cell r="C831" t="str">
            <v>Bonide</v>
          </cell>
          <cell r="D831" t="str">
            <v>Bonide Captain Jack's Deadbug Brew Ready-to-Use Spray, 32 oz Outdoor Insecticide and Mite Killer for Organic Gardening (Pack of 2)</v>
          </cell>
          <cell r="E831" t="str">
            <v>https://www.amazon.com/dp/B07DLGZ26P?psc=1</v>
          </cell>
          <cell r="F831" t="str">
            <v>Flying Insect Control</v>
          </cell>
          <cell r="G831" t="str">
            <v>Other</v>
          </cell>
          <cell r="H831" t="str">
            <v>Flying Insect Control - Other</v>
          </cell>
          <cell r="I831" t="str">
            <v>Insecticide/Fungicide</v>
          </cell>
        </row>
        <row r="832">
          <cell r="A832" t="str">
            <v>B0CRHXZTGR</v>
          </cell>
          <cell r="B832" t="str">
            <v>Bonide</v>
          </cell>
          <cell r="C832" t="str">
            <v>Bradley Caldwell</v>
          </cell>
          <cell r="D832" t="str">
            <v>Bonide Captain Jack's Copper Fungicide, 32 oz Ready-to-Use Spray for Organic Gardening, Controls Common Diseases (Pack of 2)</v>
          </cell>
          <cell r="E832" t="str">
            <v>https://www.amazon.com/dp/B0CRHXZTGR?psc=1</v>
          </cell>
          <cell r="F832" t="str">
            <v>Garden Pest Control</v>
          </cell>
          <cell r="G832" t="str">
            <v>Fungicide</v>
          </cell>
          <cell r="H832" t="str">
            <v>Garden Pest Control - Fungicide</v>
          </cell>
          <cell r="I832" t="str">
            <v>Insecticide/Fungicide</v>
          </cell>
        </row>
        <row r="833">
          <cell r="A833" t="str">
            <v>B00192FZ30</v>
          </cell>
          <cell r="B833" t="str">
            <v>Bonide</v>
          </cell>
          <cell r="C833" t="str">
            <v>Bonide Products LLC</v>
          </cell>
          <cell r="D833" t="str">
            <v>Bonide Captain Jack's Citrus, Fruit &amp; Nut Orchard Spray, 32 oz Concentrate, Multi-Purpose Fungicide, Insecticide and Miticide</v>
          </cell>
          <cell r="E833" t="str">
            <v>https://www.amazon.com/dp/B00192FZ30?psc=1</v>
          </cell>
          <cell r="F833" t="str">
            <v>Rodent Control</v>
          </cell>
          <cell r="G833" t="str">
            <v>Fungicide</v>
          </cell>
          <cell r="H833" t="str">
            <v>Rodent Control - Fungicide</v>
          </cell>
          <cell r="I833" t="str">
            <v>Insecticide/Fungicide</v>
          </cell>
        </row>
        <row r="834">
          <cell r="A834" t="str">
            <v>B000A0YHGS</v>
          </cell>
          <cell r="B834" t="str">
            <v>Bonide</v>
          </cell>
          <cell r="C834" t="str">
            <v>Arett Sales - LG</v>
          </cell>
          <cell r="D834" t="str">
            <v>Bonide Fung-onil Multi-Purpose Fungicide, 16 oz Concentrate</v>
          </cell>
          <cell r="E834" t="str">
            <v>https://www.amazon.com/dp/B000A0YHGS?psc=1</v>
          </cell>
          <cell r="F834" t="str">
            <v>Rodent Control</v>
          </cell>
          <cell r="G834" t="str">
            <v>Fungicide</v>
          </cell>
          <cell r="H834" t="str">
            <v>Rodent Control - Fungicide</v>
          </cell>
          <cell r="I834" t="str">
            <v>Insecticide/Fungicide</v>
          </cell>
        </row>
        <row r="835">
          <cell r="A835" t="str">
            <v>B001D1FVCC</v>
          </cell>
          <cell r="B835" t="str">
            <v>Bonide</v>
          </cell>
          <cell r="C835" t="str">
            <v>Bonide Products Inc</v>
          </cell>
          <cell r="D835" t="str">
            <v>Bonide® Copper Fungicide Ready to Use, pack of 3</v>
          </cell>
          <cell r="E835" t="str">
            <v>https://www.amazon.com/dp/B001D1FVCC?psc=1</v>
          </cell>
          <cell r="F835" t="str">
            <v>Disease &amp; Moss Control</v>
          </cell>
          <cell r="G835" t="str">
            <v>Fungicide</v>
          </cell>
          <cell r="H835" t="str">
            <v>Disease &amp; Moss Control - Fungicide</v>
          </cell>
          <cell r="I835" t="str">
            <v>Insecticide/Fungicide</v>
          </cell>
        </row>
        <row r="836">
          <cell r="A836" t="str">
            <v>B002Y6BC1O</v>
          </cell>
          <cell r="B836" t="str">
            <v>Syngenta</v>
          </cell>
          <cell r="C836" t="str">
            <v>SYNGENTA</v>
          </cell>
          <cell r="D836" t="str">
            <v>Syngenta 73654 Demand CS Insecticide, 8oz, Beige</v>
          </cell>
          <cell r="E836" t="str">
            <v>https://www.amazon.com/dp/B002Y6BC1O</v>
          </cell>
          <cell r="F836" t="str">
            <v>Flying Insect Control</v>
          </cell>
          <cell r="G836" t="str">
            <v>Other</v>
          </cell>
          <cell r="H836" t="str">
            <v>Flying Insect Control - Other</v>
          </cell>
          <cell r="I836" t="str">
            <v>Insecticide/Fungicide</v>
          </cell>
        </row>
        <row r="837">
          <cell r="A837" t="str">
            <v>B0CVR13ZL7</v>
          </cell>
          <cell r="B837" t="str">
            <v>Syngenta</v>
          </cell>
          <cell r="C837" t="str">
            <v>Syngenta</v>
          </cell>
          <cell r="D837" t="str">
            <v>Syngenta - Advion WDG Insecticide - 0.33 oz Packet</v>
          </cell>
          <cell r="E837" t="str">
            <v>https://www.amazon.com/dp/B0CVR13ZL7</v>
          </cell>
          <cell r="F837" t="str">
            <v>Flying Insect Control</v>
          </cell>
          <cell r="G837" t="str">
            <v>Other</v>
          </cell>
          <cell r="H837" t="str">
            <v>Flying Insect Control - Other</v>
          </cell>
          <cell r="I837" t="str">
            <v>Insecticide/Fungicide</v>
          </cell>
        </row>
        <row r="838">
          <cell r="A838" t="str">
            <v>B0CHLJXTRS</v>
          </cell>
          <cell r="B838" t="str">
            <v>Syngenta</v>
          </cell>
          <cell r="C838" t="str">
            <v>Syngenta</v>
          </cell>
          <cell r="D838" t="str">
            <v>Syngenta 76623 Demand CS-0.8oz Insecticide Concentrate</v>
          </cell>
          <cell r="E838" t="str">
            <v>https://www.amazon.com/dp/B0CHLJXTRS</v>
          </cell>
          <cell r="F838" t="str">
            <v>Rodent Control</v>
          </cell>
          <cell r="G838" t="str">
            <v>Other</v>
          </cell>
          <cell r="H838" t="str">
            <v>Rodent Control - Other</v>
          </cell>
          <cell r="I838" t="str">
            <v>Insecticide/Fungicide</v>
          </cell>
        </row>
        <row r="839">
          <cell r="A839" t="str">
            <v>B07PTYTBMM</v>
          </cell>
          <cell r="B839" t="str">
            <v>Syngenta</v>
          </cell>
          <cell r="C839" t="str">
            <v>Syngenta</v>
          </cell>
          <cell r="D839" t="str">
            <v>Syngenta 25001 Demon Max Insecticide</v>
          </cell>
          <cell r="E839" t="str">
            <v>https://www.amazon.com/dp/B07PTYTBMM</v>
          </cell>
          <cell r="F839" t="str">
            <v>Flying Insect Control</v>
          </cell>
          <cell r="G839" t="str">
            <v>Other</v>
          </cell>
          <cell r="H839" t="str">
            <v>Flying Insect Control - Other</v>
          </cell>
          <cell r="I839" t="str">
            <v>Insecticide/Fungicide</v>
          </cell>
        </row>
        <row r="840">
          <cell r="A840" t="str">
            <v>B00BEYQ8DO</v>
          </cell>
          <cell r="B840" t="str">
            <v>Syngenta</v>
          </cell>
          <cell r="C840" t="str">
            <v>SYNGENTA</v>
          </cell>
          <cell r="D840" t="str">
            <v>Syngenta Headway G Granular Fungicide</v>
          </cell>
          <cell r="E840" t="str">
            <v>https://www.amazon.com/dp/B00BEYQ8DO</v>
          </cell>
          <cell r="F840" t="str">
            <v>Disease &amp; Moss Control</v>
          </cell>
          <cell r="G840" t="str">
            <v>Fungicide</v>
          </cell>
          <cell r="H840" t="str">
            <v>Disease &amp; Moss Control - Fungicide</v>
          </cell>
          <cell r="I840" t="str">
            <v>Insecticide/Fungicide</v>
          </cell>
        </row>
        <row r="841">
          <cell r="A841" t="str">
            <v>B0084NG8Y2</v>
          </cell>
          <cell r="B841" t="str">
            <v>Syngenta</v>
          </cell>
          <cell r="C841" t="str">
            <v>Syngenta</v>
          </cell>
          <cell r="D841" t="str">
            <v>Syngenta Demand CS 32oz Insecticide</v>
          </cell>
          <cell r="E841" t="str">
            <v>https://www.amazon.com/dp/B0084NG8Y2</v>
          </cell>
          <cell r="F841" t="str">
            <v>Flying Insect Control</v>
          </cell>
          <cell r="G841" t="str">
            <v>Other</v>
          </cell>
          <cell r="H841" t="str">
            <v>Flying Insect Control - Other</v>
          </cell>
          <cell r="I841" t="str">
            <v>Insecticide/Fungicide</v>
          </cell>
        </row>
        <row r="842">
          <cell r="A842" t="str">
            <v>B006NA5YH0</v>
          </cell>
          <cell r="B842" t="str">
            <v>Syngenta</v>
          </cell>
          <cell r="C842" t="str">
            <v>SYNGENTA</v>
          </cell>
          <cell r="D842" t="str">
            <v>Heritage G Fungicide 30 lb Bag (1 Bag) 6666273</v>
          </cell>
          <cell r="E842" t="str">
            <v>https://www.amazon.com/dp/B006NA5YH0</v>
          </cell>
          <cell r="F842" t="str">
            <v>Disease &amp; Moss Control</v>
          </cell>
          <cell r="G842" t="str">
            <v>Fungicide</v>
          </cell>
          <cell r="H842" t="str">
            <v>Disease &amp; Moss Control - Fungicide</v>
          </cell>
          <cell r="I842" t="str">
            <v>Insecticide/Fungicide</v>
          </cell>
        </row>
        <row r="843">
          <cell r="A843" t="str">
            <v>B00FNYAFI0</v>
          </cell>
          <cell r="B843" t="str">
            <v>Syngenta</v>
          </cell>
          <cell r="C843" t="str">
            <v>Syngenta</v>
          </cell>
          <cell r="D843" t="str">
            <v>Syngenta Caravan G Insecticide Fungicide - 30-Pound Bag</v>
          </cell>
          <cell r="E843" t="str">
            <v>https://www.amazon.com/dp/B00FNYAFI0</v>
          </cell>
          <cell r="F843" t="str">
            <v>Flying Insect Control</v>
          </cell>
          <cell r="G843" t="str">
            <v>Fungicide</v>
          </cell>
          <cell r="H843" t="str">
            <v>Flying Insect Control - Fungicide</v>
          </cell>
          <cell r="I843" t="str">
            <v>Insecticide/Fungicide</v>
          </cell>
        </row>
        <row r="844">
          <cell r="A844" t="str">
            <v>B004CZ866E</v>
          </cell>
          <cell r="B844" t="str">
            <v>Syngenta</v>
          </cell>
          <cell r="C844" t="str">
            <v>Syngenta</v>
          </cell>
          <cell r="D844" t="str">
            <v>Syngenta - 25837 - Avid 0.15EC - Miticide/Insecticide - 8 oz</v>
          </cell>
          <cell r="E844" t="str">
            <v>https://www.amazon.com/dp/B004CZ866E</v>
          </cell>
          <cell r="F844" t="str">
            <v>Flying Insect Control</v>
          </cell>
          <cell r="G844" t="str">
            <v>Other</v>
          </cell>
          <cell r="H844" t="str">
            <v>Flying Insect Control - Other</v>
          </cell>
          <cell r="I844" t="str">
            <v>Insecticide/Fungicide</v>
          </cell>
        </row>
        <row r="845">
          <cell r="A845" t="str">
            <v>B08DL44MJ5</v>
          </cell>
          <cell r="B845" t="str">
            <v>Syngenta</v>
          </cell>
          <cell r="C845" t="str">
            <v>Syngenta</v>
          </cell>
          <cell r="D845" t="str">
            <v>Advion WDG Insecticide, Effective Sprayable Insecticide, Formulated with 20.0% Indoxacarb, Indoor, Outdoor, and Food Establishment Use, for Control of a Broad Range of Pests - 5 x 0.33-oz. Packets</v>
          </cell>
          <cell r="E845" t="str">
            <v>https://www.amazon.com/dp/B08DL44MJ5</v>
          </cell>
          <cell r="F845" t="str">
            <v>Flying Insect Control</v>
          </cell>
          <cell r="G845" t="str">
            <v>Other</v>
          </cell>
          <cell r="H845" t="str">
            <v>Flying Insect Control - Other</v>
          </cell>
          <cell r="I845" t="str">
            <v>Insecticide/Fungicide</v>
          </cell>
        </row>
        <row r="846">
          <cell r="A846" t="str">
            <v>B0B4VDS958</v>
          </cell>
          <cell r="B846" t="str">
            <v>Syngenta</v>
          </cell>
          <cell r="C846" t="str">
            <v>Syngenta</v>
          </cell>
          <cell r="D846" t="str">
            <v>Syngenta - Heritage SC 4oz Fungicide</v>
          </cell>
          <cell r="E846" t="str">
            <v>https://www.amazon.com/dp/B0B4VDS958</v>
          </cell>
          <cell r="F846" t="str">
            <v>Disease &amp; Moss Control</v>
          </cell>
          <cell r="G846" t="str">
            <v>Fungicide</v>
          </cell>
          <cell r="H846" t="str">
            <v>Disease &amp; Moss Control - Fungicide</v>
          </cell>
          <cell r="I846" t="str">
            <v>Insecticide/Fungicide</v>
          </cell>
        </row>
        <row r="847">
          <cell r="A847" t="str">
            <v>B005UTROPA</v>
          </cell>
          <cell r="B847" t="str">
            <v>Syngenta</v>
          </cell>
          <cell r="C847" t="str">
            <v>SYNGENTA</v>
          </cell>
          <cell r="D847" t="str">
            <v>Demand CS Insecticide - Long-Lasting Pest Control, 1-qt. Sprayable Insecticide Effective Against Over 30 Pests, Formulated for Indoor &amp; Outdoor Use</v>
          </cell>
          <cell r="E847" t="str">
            <v>https://www.amazon.com/dp/B005UTROPA</v>
          </cell>
          <cell r="F847" t="str">
            <v>Flying Insect Control</v>
          </cell>
          <cell r="G847" t="str">
            <v>Other</v>
          </cell>
          <cell r="H847" t="str">
            <v>Flying Insect Control - Other</v>
          </cell>
          <cell r="I847" t="str">
            <v>Insecticide/Fungicide</v>
          </cell>
        </row>
        <row r="848">
          <cell r="A848" t="str">
            <v>B096W9RJH2</v>
          </cell>
          <cell r="B848" t="str">
            <v>Syngenta</v>
          </cell>
          <cell r="C848" t="str">
            <v>Syngenta</v>
          </cell>
          <cell r="D848" t="str">
            <v>Acelepryn SC Insecticide - 4 Ounce</v>
          </cell>
          <cell r="E848" t="str">
            <v>https://www.amazon.com/dp/B096W9RJH2</v>
          </cell>
          <cell r="F848" t="str">
            <v>Flying Insect Control</v>
          </cell>
          <cell r="G848" t="str">
            <v>Other</v>
          </cell>
          <cell r="H848" t="str">
            <v>Flying Insect Control - Other</v>
          </cell>
          <cell r="I848" t="str">
            <v>Insecticide/Fungicide</v>
          </cell>
        </row>
        <row r="849">
          <cell r="A849" t="str">
            <v>B0DYGL7BCF</v>
          </cell>
          <cell r="B849" t="str">
            <v>Catchmaster</v>
          </cell>
          <cell r="C849" t="str">
            <v>Catchmaster</v>
          </cell>
          <cell r="D849" t="str">
            <v>Catchmaster Japanese Beetle Trap Bags 6 Pack, Outdoor Traps w/Dual Lure</v>
          </cell>
          <cell r="E849" t="str">
            <v>https://www.amazon.com/dp/B0DYGL7BCF?psc=1</v>
          </cell>
          <cell r="F849" t="str">
            <v>Crawling Insect Control</v>
          </cell>
          <cell r="G849" t="str">
            <v>Beetle Traps</v>
          </cell>
          <cell r="H849" t="str">
            <v>Crawling Insect Control - Beetle Traps</v>
          </cell>
          <cell r="I849" t="str">
            <v>Other crawling insects</v>
          </cell>
        </row>
        <row r="850">
          <cell r="A850" t="str">
            <v>B0DYGK2LK5</v>
          </cell>
          <cell r="B850" t="str">
            <v>Catchmaster</v>
          </cell>
          <cell r="C850" t="str">
            <v>Catchmaster</v>
          </cell>
          <cell r="D850" t="str">
            <v>Catchmaster Japanese Beetle Traps 3 Pack, Outdoor Beetle Bags w/Dual Lure</v>
          </cell>
          <cell r="E850" t="str">
            <v>https://www.amazon.com/dp/B0DYGK2LK5?psc=1</v>
          </cell>
          <cell r="F850" t="str">
            <v>Crawling Insect Control</v>
          </cell>
          <cell r="G850" t="str">
            <v>Beetle Traps</v>
          </cell>
          <cell r="H850" t="str">
            <v>Crawling Insect Control - Beetle Traps</v>
          </cell>
          <cell r="I850" t="str">
            <v>Other crawling insects</v>
          </cell>
        </row>
        <row r="851">
          <cell r="A851" t="str">
            <v>B000BX1HSU</v>
          </cell>
          <cell r="B851" t="str">
            <v>Bonide</v>
          </cell>
          <cell r="C851" t="str">
            <v>BFG Supply</v>
          </cell>
          <cell r="D851" t="str">
            <v>Bonide Eight Insect Control Vegetable, Fruit &amp; Flower, 32 oz Concentrate Long Lasting Insecticide for Beetles and More</v>
          </cell>
          <cell r="E851" t="str">
            <v>https://www.amazon.com/dp/B000BX1HSU?psc=1</v>
          </cell>
          <cell r="F851" t="str">
            <v>Rodent Control</v>
          </cell>
          <cell r="G851" t="str">
            <v>Beetle Traps</v>
          </cell>
          <cell r="H851" t="str">
            <v>Rodent Control - Beetle Traps</v>
          </cell>
          <cell r="I851" t="str">
            <v>Other crawling insects</v>
          </cell>
        </row>
        <row r="852">
          <cell r="A852" t="str">
            <v>B000CO5RIY</v>
          </cell>
          <cell r="B852" t="str">
            <v>Bonide</v>
          </cell>
          <cell r="C852" t="str">
            <v>Bonide Products LLC</v>
          </cell>
          <cell r="D852" t="str">
            <v>Bonide Japanese Beetle Killer Ready-to-Use Spray, 32 oz</v>
          </cell>
          <cell r="E852" t="str">
            <v>https://www.amazon.com/dp/B000CO5RIY?psc=1</v>
          </cell>
          <cell r="F852" t="str">
            <v>Crawling Insect Control</v>
          </cell>
          <cell r="G852" t="str">
            <v>Beetle Traps</v>
          </cell>
          <cell r="H852" t="str">
            <v>Crawling Insect Control - Beetle Traps</v>
          </cell>
          <cell r="I852" t="str">
            <v>Other crawling insects</v>
          </cell>
        </row>
        <row r="853">
          <cell r="A853" t="str">
            <v>B003YHD1WA</v>
          </cell>
          <cell r="B853" t="str">
            <v>HARRIS</v>
          </cell>
          <cell r="C853" t="str">
            <v>TV Non-Branded Items</v>
          </cell>
          <cell r="D853" t="str">
            <v>Harris Asian Lady Beetle, Japanese Beetle, and Box Elder Killer, Liquid Spray with Odorless and Non-Staining Extended Residual Kill Formula (Gallon)</v>
          </cell>
          <cell r="E853" t="str">
            <v>https://www.amazon.com/dp/B003YHD1WA?psc=1</v>
          </cell>
          <cell r="F853" t="str">
            <v>Crawling Insect Control</v>
          </cell>
          <cell r="G853" t="str">
            <v>Beetle Traps</v>
          </cell>
          <cell r="H853" t="str">
            <v>Crawling Insect Control - Beetle Traps</v>
          </cell>
          <cell r="I853" t="str">
            <v>Other crawling insects</v>
          </cell>
        </row>
        <row r="854">
          <cell r="A854" t="str">
            <v>B003YHJ75K</v>
          </cell>
          <cell r="B854" t="str">
            <v>HARRIS</v>
          </cell>
          <cell r="C854" t="str">
            <v>TV Non-Branded Items</v>
          </cell>
          <cell r="D854" t="str">
            <v>Harris Asian Lady Beetle and Box Elder Killer, Liquid Spray with Odorless and Non-Staining Extended Residual Kill Formula (32oz)</v>
          </cell>
          <cell r="E854" t="str">
            <v>https://www.amazon.com/dp/B003YHJ75K</v>
          </cell>
          <cell r="F854" t="str">
            <v>Crawling Insect Control</v>
          </cell>
          <cell r="G854" t="str">
            <v>Beetle Traps</v>
          </cell>
          <cell r="H854" t="str">
            <v>Crawling Insect Control - Beetle Traps</v>
          </cell>
          <cell r="I854" t="str">
            <v>Other crawling insects</v>
          </cell>
        </row>
        <row r="855">
          <cell r="A855" t="str">
            <v>B004HHK98A</v>
          </cell>
          <cell r="B855" t="str">
            <v>Bell Laboratories</v>
          </cell>
          <cell r="C855" t="str">
            <v>BELL LABS</v>
          </cell>
          <cell r="D855" t="str">
            <v>Terad3 Blox Kills Rats and Mice</v>
          </cell>
          <cell r="E855" t="str">
            <v>https://www.amazon.com/dp/B004HHK98A</v>
          </cell>
          <cell r="F855" t="str">
            <v>Rodent Control</v>
          </cell>
          <cell r="G855" t="str">
            <v>Other</v>
          </cell>
          <cell r="H855" t="str">
            <v>Rodent Control - Other</v>
          </cell>
          <cell r="I855" t="str">
            <v>Rodent</v>
          </cell>
        </row>
        <row r="856">
          <cell r="A856" t="str">
            <v>B0BJ7QCR8Y</v>
          </cell>
          <cell r="B856" t="str">
            <v>Goodnature</v>
          </cell>
          <cell r="C856" t="str">
            <v>Goodnature</v>
          </cell>
          <cell r="D856" t="str">
            <v>Goodnature A24 Smart Trap for Rats &amp; Mice, Self-Resetting, CO₂ Powered</v>
          </cell>
          <cell r="E856" t="str">
            <v>https://www.amazon.com/dp/B0BJ7QCR8Y</v>
          </cell>
          <cell r="F856" t="str">
            <v>Rodent Control</v>
          </cell>
          <cell r="G856" t="str">
            <v>Other</v>
          </cell>
          <cell r="H856" t="str">
            <v>Rodent Control - Other</v>
          </cell>
          <cell r="I856" t="str">
            <v>Rodent</v>
          </cell>
        </row>
        <row r="857">
          <cell r="A857" t="str">
            <v>B00J43J9OW</v>
          </cell>
          <cell r="B857" t="str">
            <v>Scotts</v>
          </cell>
          <cell r="C857" t="str">
            <v>Scott'S</v>
          </cell>
          <cell r="D857" t="str">
            <v>Lawn Pro Step 4 Lawn Fertlizer 32-0-12 5000 Sq. Ft. Granules Y</v>
          </cell>
          <cell r="E857" t="str">
            <v>https://www.amazon.com/dp/B00J43J9OW?psc=1</v>
          </cell>
          <cell r="F857" t="str">
            <v>Other</v>
          </cell>
          <cell r="G857" t="str">
            <v>Other</v>
          </cell>
          <cell r="H857" t="str">
            <v>Other - Other</v>
          </cell>
          <cell r="I857" t="str">
            <v>Insecticide/Fungicide</v>
          </cell>
        </row>
        <row r="858">
          <cell r="A858" t="str">
            <v>B000BX1HJY</v>
          </cell>
          <cell r="B858" t="str">
            <v>Bonide</v>
          </cell>
          <cell r="C858" t="str">
            <v>BFG Supply</v>
          </cell>
          <cell r="D858" t="str">
            <v>Bonide Systemic Insect Control, 1 lb. Ready-to-Use Granules for Long Lasting Insect Control in Lawn and Garden</v>
          </cell>
          <cell r="E858" t="str">
            <v>https://www.amazon.com/dp/B000BX1HJY?psc=1</v>
          </cell>
          <cell r="F858" t="str">
            <v>Flying Insect Control</v>
          </cell>
          <cell r="G858" t="str">
            <v>Other</v>
          </cell>
          <cell r="H858" t="str">
            <v>Flying Insect Control - Other</v>
          </cell>
          <cell r="I858" t="str">
            <v>Insecticide/Fungicide</v>
          </cell>
        </row>
        <row r="859">
          <cell r="A859" t="str">
            <v>B000UJRMOS</v>
          </cell>
          <cell r="B859" t="str">
            <v>Bonide</v>
          </cell>
          <cell r="C859" t="str">
            <v>Ames True Temper</v>
          </cell>
          <cell r="D859" t="str">
            <v>Bonide Infuse Systemic Disease Control Lawn &amp; Landscape</v>
          </cell>
          <cell r="E859" t="str">
            <v>https://www.amazon.com/dp/B000UJRMOS?psc=1</v>
          </cell>
          <cell r="F859" t="str">
            <v>Other</v>
          </cell>
          <cell r="G859" t="str">
            <v>Other</v>
          </cell>
          <cell r="H859" t="str">
            <v>Other - Other</v>
          </cell>
          <cell r="I859" t="str">
            <v>Insecticide/Fungicide</v>
          </cell>
        </row>
        <row r="860">
          <cell r="A860" t="str">
            <v>B001D0YG5Q</v>
          </cell>
          <cell r="B860" t="str">
            <v>Bonide</v>
          </cell>
          <cell r="C860" t="str">
            <v>Bonide Products LLC</v>
          </cell>
          <cell r="D860" t="str">
            <v>Bonide Infuse Lawn &amp; Landscape Systemic Disease Control, 7.5 lb.</v>
          </cell>
          <cell r="E860" t="str">
            <v>https://www.amazon.com/dp/B001D0YG5Q</v>
          </cell>
          <cell r="F860" t="str">
            <v>Other</v>
          </cell>
          <cell r="G860" t="str">
            <v>Other</v>
          </cell>
          <cell r="H860" t="str">
            <v>Other - Other</v>
          </cell>
          <cell r="I860" t="str">
            <v>Insecticide/Fungicide</v>
          </cell>
        </row>
        <row r="861">
          <cell r="A861" t="str">
            <v>B000BZ1HZQ</v>
          </cell>
          <cell r="B861" t="str">
            <v>Bonide</v>
          </cell>
          <cell r="C861" t="str">
            <v>TV Non-Branded Items</v>
          </cell>
          <cell r="D861" t="str">
            <v>Bonide Gophertox Gopher Killer, 1 lb. Ready-to-Use Poison Bait Granules to Protect Lawn &amp; Garden from Pocket Gophers</v>
          </cell>
          <cell r="E861" t="str">
            <v>https://www.amazon.com/dp/B000BZ1HZQ</v>
          </cell>
          <cell r="F861" t="str">
            <v>Garden Pest Control</v>
          </cell>
          <cell r="G861" t="str">
            <v>Bait &amp; Poison</v>
          </cell>
          <cell r="H861" t="str">
            <v>Garden Pest Control - Bait &amp; Poison</v>
          </cell>
          <cell r="I861" t="str">
            <v>Insecticide/Fungicide</v>
          </cell>
        </row>
        <row r="862">
          <cell r="A862" t="str">
            <v>B08KGY8DPR</v>
          </cell>
          <cell r="B862" t="str">
            <v>Ortho</v>
          </cell>
          <cell r="C862" t="str">
            <v>The Scotts Company LLC</v>
          </cell>
          <cell r="D862" t="str">
            <v>Ortho BugClear Lawn Insect Killer1, 20 lbs.</v>
          </cell>
          <cell r="E862" t="str">
            <v>https://www.amazon.com/dp/B08KGY8DPR?psc=1</v>
          </cell>
          <cell r="F862" t="str">
            <v>Flying Insect Control</v>
          </cell>
          <cell r="G862" t="str">
            <v>Other</v>
          </cell>
          <cell r="H862" t="str">
            <v>Flying Insect Control - Other</v>
          </cell>
          <cell r="I862" t="str">
            <v>Insecticide/Fungicide</v>
          </cell>
        </row>
        <row r="863">
          <cell r="A863" t="str">
            <v>B01JIRH1K2</v>
          </cell>
          <cell r="B863" t="str">
            <v>Ortho</v>
          </cell>
          <cell r="C863" t="str">
            <v>The Scotts Company LLC</v>
          </cell>
          <cell r="D863" t="str">
            <v>Ortho Home Defense Insect Killer for Lawn &amp; Landscape Concentrate, 32 oz.</v>
          </cell>
          <cell r="E863" t="str">
            <v>https://www.amazon.com/dp/B01JIRH1K2?psc=1</v>
          </cell>
          <cell r="F863" t="str">
            <v>Rodent Control</v>
          </cell>
          <cell r="G863" t="str">
            <v>Other</v>
          </cell>
          <cell r="H863" t="str">
            <v>Rodent Control - Other</v>
          </cell>
          <cell r="I863" t="str">
            <v>Insecticide/Fungicide</v>
          </cell>
        </row>
        <row r="864">
          <cell r="A864" t="str">
            <v>B01JIRKIRK</v>
          </cell>
          <cell r="B864" t="str">
            <v>Ortho</v>
          </cell>
          <cell r="C864" t="str">
            <v>The Scotts Company LLC</v>
          </cell>
          <cell r="D864" t="str">
            <v>Ortho Home Defense Insect Killer for Lawn &amp; Landscape Ready-to-Spray</v>
          </cell>
          <cell r="E864" t="str">
            <v>https://www.amazon.com/dp/B01JIRKIRK?psc=1</v>
          </cell>
          <cell r="F864" t="str">
            <v>Flying Insect Control</v>
          </cell>
          <cell r="G864" t="str">
            <v>Other</v>
          </cell>
          <cell r="H864" t="str">
            <v>Flying Insect Control - Other</v>
          </cell>
          <cell r="I864" t="str">
            <v>Insecticide/Fungicide</v>
          </cell>
        </row>
        <row r="865">
          <cell r="A865" t="str">
            <v>B07NNWK7CT</v>
          </cell>
          <cell r="B865" t="str">
            <v>Scotts</v>
          </cell>
          <cell r="C865" t="str">
            <v>The Fountainhead Group</v>
          </cell>
          <cell r="D865" t="str">
            <v>Scotts 2 Gallon Lithium-Ion Battery Powered Sprayer with Pump Zero Technology, Rechargeable Lawn &amp; Garden Tank Sprayer, Model 190567</v>
          </cell>
          <cell r="E865" t="str">
            <v>https://www.amazon.com/dp/B07NNWK7CT</v>
          </cell>
          <cell r="F865" t="str">
            <v>Garden Pest Control</v>
          </cell>
          <cell r="G865" t="str">
            <v>Sprayer</v>
          </cell>
          <cell r="H865" t="str">
            <v>Garden Pest Control - Sprayer</v>
          </cell>
          <cell r="I865" t="str">
            <v>Other Lawn products</v>
          </cell>
        </row>
        <row r="866">
          <cell r="A866" t="str">
            <v>B00004RA3E</v>
          </cell>
          <cell r="B866" t="str">
            <v>Scotts</v>
          </cell>
          <cell r="C866" t="str">
            <v>American Lawn Mower Company</v>
          </cell>
          <cell r="D866" t="str">
            <v>Scotts 2000-20S 20-Inch 5-Blade Push Reel Lawn Mower, Green</v>
          </cell>
          <cell r="E866" t="str">
            <v>https://www.amazon.com/dp/B00004RA3E?psc=1</v>
          </cell>
          <cell r="F866" t="str">
            <v>Garden Equipment</v>
          </cell>
          <cell r="G866" t="str">
            <v>Lawn Mower</v>
          </cell>
          <cell r="H866" t="str">
            <v>Garden Equipment - Lawn Mower</v>
          </cell>
          <cell r="I866" t="str">
            <v>Other Lawn products</v>
          </cell>
        </row>
        <row r="867">
          <cell r="A867" t="str">
            <v>B084MNP9Y3</v>
          </cell>
          <cell r="B867" t="str">
            <v>Scotts</v>
          </cell>
          <cell r="C867" t="str">
            <v>American Lawn Mower Company</v>
          </cell>
          <cell r="D867" t="str">
            <v>Scotts 716-18S 18-Inch 7-Blade Push Reel Lawn Mower, Green</v>
          </cell>
          <cell r="E867" t="str">
            <v>https://www.amazon.com/dp/B084MNP9Y3?psc=1</v>
          </cell>
          <cell r="F867" t="str">
            <v>Garden Equipment</v>
          </cell>
          <cell r="G867" t="str">
            <v>Lawn Mower</v>
          </cell>
          <cell r="H867" t="str">
            <v>Garden Equipment - Lawn Mower</v>
          </cell>
          <cell r="I867" t="str">
            <v>Other Lawn products</v>
          </cell>
        </row>
        <row r="868">
          <cell r="A868" t="str">
            <v>B0026T3O6A</v>
          </cell>
          <cell r="B868" t="str">
            <v>Scotts</v>
          </cell>
          <cell r="C868" t="str">
            <v>Great States</v>
          </cell>
          <cell r="D868" t="str">
            <v>Scotts 304-14S 14-Inch 5-Blade Push Reel Lawn Mower, Green</v>
          </cell>
          <cell r="E868" t="str">
            <v>https://www.amazon.com/dp/B0026T3O6A?psc=1</v>
          </cell>
          <cell r="F868" t="str">
            <v>Garden Equipment</v>
          </cell>
          <cell r="G868" t="str">
            <v>Lawn Mower</v>
          </cell>
          <cell r="H868" t="str">
            <v>Garden Equipment - Lawn Mower</v>
          </cell>
          <cell r="I868" t="str">
            <v>Other Lawn products</v>
          </cell>
        </row>
        <row r="869">
          <cell r="A869" t="str">
            <v>B07F9F7QWN</v>
          </cell>
          <cell r="B869" t="str">
            <v>Scotts</v>
          </cell>
          <cell r="C869" t="str">
            <v>American Lawn Mower Company</v>
          </cell>
          <cell r="D869" t="str">
            <v>Scotts Outdoor Power Tools LSW70026S 26-Inch Push Lawn Sweeper, Black/Green</v>
          </cell>
          <cell r="E869" t="str">
            <v>https://www.amazon.com/dp/B07F9F7QWN?psc=1</v>
          </cell>
          <cell r="F869" t="str">
            <v>Garden Equipment</v>
          </cell>
          <cell r="G869" t="str">
            <v>Lawn Sweeper</v>
          </cell>
          <cell r="H869" t="str">
            <v>Garden Equipment - Lawn Sweeper</v>
          </cell>
          <cell r="I869" t="str">
            <v>Other Lawn products</v>
          </cell>
        </row>
        <row r="870">
          <cell r="A870" t="str">
            <v>B0049GSQUM</v>
          </cell>
          <cell r="B870" t="str">
            <v>Victor</v>
          </cell>
          <cell r="C870" t="str">
            <v>Victor</v>
          </cell>
          <cell r="D870" t="str">
            <v>Victor Roach &amp; Insect Traps &amp; Monitor - 30 Units (60 Traps)</v>
          </cell>
          <cell r="E870" t="str">
            <v>https://www.amazon.com/dp/B0049GSQUM</v>
          </cell>
          <cell r="F870" t="str">
            <v>Flying Insect Control</v>
          </cell>
          <cell r="G870" t="str">
            <v>Roach Traps</v>
          </cell>
          <cell r="H870" t="str">
            <v>Flying Insect Control - Roach Traps</v>
          </cell>
          <cell r="I870" t="str">
            <v>Cockroach</v>
          </cell>
        </row>
        <row r="871">
          <cell r="A871" t="str">
            <v>B096CFRMZT</v>
          </cell>
          <cell r="B871" t="str">
            <v>HOY HOY</v>
          </cell>
          <cell r="C871" t="str">
            <v>Earth Corporation</v>
          </cell>
          <cell r="D871" t="str">
            <v>HOY HOY Trap A Roach - 10 Traps [2 Pack] Baited Glue Traps, Great for Home with Kids &amp; Pets Indoor, Sticky Pest Control Trap, Roach Killer, Made in Japan</v>
          </cell>
          <cell r="E871" t="str">
            <v>https://www.amazon.com/dp/B096CFRMZT?psc=1</v>
          </cell>
          <cell r="F871" t="str">
            <v>Crawling Insect Control</v>
          </cell>
          <cell r="G871" t="str">
            <v>Glue Traps</v>
          </cell>
          <cell r="H871" t="str">
            <v>Crawling Insect Control - Glue Traps</v>
          </cell>
          <cell r="I871" t="str">
            <v>Cockroach</v>
          </cell>
        </row>
        <row r="872">
          <cell r="A872" t="str">
            <v>B08R3Z36ZR</v>
          </cell>
          <cell r="B872" t="str">
            <v>HOY HOY</v>
          </cell>
          <cell r="C872" t="str">
            <v>Earth Corporation</v>
          </cell>
          <cell r="D872" t="str">
            <v>HOY HOY Trap A Roach - Bait Glue Traps, Great for Home with Kids &amp; Pets Indoor, Sticky Pest Control Trap, Roach Killer, Made in Japan 5 Traps</v>
          </cell>
          <cell r="E872" t="str">
            <v>https://www.amazon.com/dp/B08R3Z36ZR?psc=1</v>
          </cell>
          <cell r="F872" t="str">
            <v>Crawling Insect Control</v>
          </cell>
          <cell r="G872" t="str">
            <v>Glue Traps</v>
          </cell>
          <cell r="H872" t="str">
            <v>Crawling Insect Control - Glue Traps</v>
          </cell>
          <cell r="I872" t="str">
            <v>Cockroach</v>
          </cell>
        </row>
        <row r="873">
          <cell r="A873" t="str">
            <v>B09ZHC4FCV</v>
          </cell>
          <cell r="B873" t="str">
            <v>HOY HOY</v>
          </cell>
          <cell r="C873" t="str">
            <v>Earth Corporation</v>
          </cell>
          <cell r="D873" t="str">
            <v>HOY HOY Trap A Roach - 20 Traps [4 Pack] Baited Glue Traps, Great for Home with Kids &amp; Pets Indoor, Sticky Pest Control Trap, Roach Killer, Made in Japan</v>
          </cell>
          <cell r="E873" t="str">
            <v>https://www.amazon.com/dp/B09ZHC4FCV?psc=1</v>
          </cell>
          <cell r="F873" t="str">
            <v>Crawling Insect Control</v>
          </cell>
          <cell r="G873" t="str">
            <v>Glue Traps</v>
          </cell>
          <cell r="H873" t="str">
            <v>Crawling Insect Control - Glue Traps</v>
          </cell>
          <cell r="I873" t="str">
            <v>Cockroach</v>
          </cell>
        </row>
        <row r="874">
          <cell r="A874" t="str">
            <v>B0026MD0G6</v>
          </cell>
          <cell r="B874" t="str">
            <v>HARRIS</v>
          </cell>
          <cell r="C874" t="str">
            <v>HARRIS FAMOUS ROACH TABLETS</v>
          </cell>
          <cell r="D874" t="str">
            <v>HARRIS Boric Acid Roach and Silverfish Killer Powder w/Lure for Insects (16oz)</v>
          </cell>
          <cell r="E874" t="str">
            <v>https://www.amazon.com/dp/B0026MD0G6?psc=1</v>
          </cell>
          <cell r="F874" t="str">
            <v>Flying Insect Control</v>
          </cell>
          <cell r="G874" t="str">
            <v>Roach Traps</v>
          </cell>
          <cell r="H874" t="str">
            <v>Flying Insect Control - Roach Traps</v>
          </cell>
          <cell r="I874" t="str">
            <v>Cockroach</v>
          </cell>
        </row>
        <row r="875">
          <cell r="A875" t="str">
            <v>B001B1LI8A</v>
          </cell>
          <cell r="B875" t="str">
            <v>HARRIS</v>
          </cell>
          <cell r="C875" t="str">
            <v>P F HARRIS MFG CO</v>
          </cell>
          <cell r="D875" t="str">
            <v>Harris Roach Tablets, Boric Acid Roach and Insects Killer with Lure, Alternative to Bait Traps (6oz, 145 Tablets), Yellow</v>
          </cell>
          <cell r="E875" t="str">
            <v>https://www.amazon.com/dp/B001B1LI8A?psc=1</v>
          </cell>
          <cell r="F875" t="str">
            <v>Flying Insect Control</v>
          </cell>
          <cell r="G875" t="str">
            <v>Bait &amp; Poison</v>
          </cell>
          <cell r="H875" t="str">
            <v>Flying Insect Control - Bait &amp; Poison</v>
          </cell>
          <cell r="I875" t="str">
            <v>Cockroach</v>
          </cell>
        </row>
        <row r="876">
          <cell r="A876" t="str">
            <v>B01N4SJWFR</v>
          </cell>
          <cell r="B876" t="str">
            <v>HARRIS</v>
          </cell>
          <cell r="C876" t="str">
            <v>Harris</v>
          </cell>
          <cell r="D876" t="str">
            <v>Harris Roach Tablets, Boric Acid Roach Killer with Lure, Alternative to Bait Traps (6oz, 2-Pack)</v>
          </cell>
          <cell r="E876" t="str">
            <v>https://www.amazon.com/dp/B01N4SJWFR?psc=1</v>
          </cell>
          <cell r="F876" t="str">
            <v>Crawling Insect Control</v>
          </cell>
          <cell r="G876" t="str">
            <v>Bait &amp; Poison</v>
          </cell>
          <cell r="H876" t="str">
            <v>Crawling Insect Control - Bait &amp; Poison</v>
          </cell>
          <cell r="I876" t="str">
            <v>Cockroach</v>
          </cell>
        </row>
        <row r="877">
          <cell r="A877" t="str">
            <v>B0056QWXLW</v>
          </cell>
          <cell r="B877" t="str">
            <v>HARRIS</v>
          </cell>
          <cell r="C877" t="str">
            <v>Harris</v>
          </cell>
          <cell r="D877" t="str">
            <v>Harris Roach Killer, Liquid Spray with Odorless and Non-Staining 12-Month Extended Residual Kill Formula (Gallon)</v>
          </cell>
          <cell r="E877" t="str">
            <v>https://www.amazon.com/dp/B0056QWXLW?psc=1</v>
          </cell>
          <cell r="F877" t="str">
            <v>Crawling Insect Control</v>
          </cell>
          <cell r="G877" t="str">
            <v>Roach Traps</v>
          </cell>
          <cell r="H877" t="str">
            <v>Crawling Insect Control - Roach Traps</v>
          </cell>
          <cell r="I877" t="str">
            <v>Cockroach</v>
          </cell>
        </row>
        <row r="878">
          <cell r="A878" t="str">
            <v>B079J5XF31</v>
          </cell>
          <cell r="B878" t="str">
            <v>HARRIS</v>
          </cell>
          <cell r="C878" t="str">
            <v>Harris</v>
          </cell>
          <cell r="D878" t="str">
            <v>Harris Boric Acid Roach and Silverfish Killer Powder w/Lure, Powder Duster Included in The Bag (32oz)</v>
          </cell>
          <cell r="E878" t="str">
            <v>https://www.amazon.com/dp/B079J5XF31?psc=1</v>
          </cell>
          <cell r="F878" t="str">
            <v>Crawling Insect Control</v>
          </cell>
          <cell r="G878" t="str">
            <v>Roach Traps</v>
          </cell>
          <cell r="H878" t="str">
            <v>Crawling Insect Control - Roach Traps</v>
          </cell>
          <cell r="I878" t="str">
            <v>Cockroach</v>
          </cell>
        </row>
        <row r="879">
          <cell r="A879" t="str">
            <v>B0056QWZJW</v>
          </cell>
          <cell r="B879" t="str">
            <v>HARRIS</v>
          </cell>
          <cell r="C879" t="str">
            <v>P F HARRIS</v>
          </cell>
          <cell r="D879" t="str">
            <v>Harris Roach Killer, Liquid Spray with Odorless and Non-Staining 12-Month Extended Residual Kill Formula (32oz)</v>
          </cell>
          <cell r="E879" t="str">
            <v>https://www.amazon.com/dp/B0056QWZJW</v>
          </cell>
          <cell r="F879" t="str">
            <v>Crawling Insect Control</v>
          </cell>
          <cell r="G879" t="str">
            <v>Roach Traps</v>
          </cell>
          <cell r="H879" t="str">
            <v>Crawling Insect Control - Roach Traps</v>
          </cell>
          <cell r="I879" t="str">
            <v>Cockroach</v>
          </cell>
        </row>
        <row r="880">
          <cell r="A880" t="str">
            <v>B08511GLXR</v>
          </cell>
          <cell r="B880" t="str">
            <v>HARRIS</v>
          </cell>
          <cell r="C880" t="str">
            <v>Harris</v>
          </cell>
          <cell r="D880" t="str">
            <v>Harris Boric Acid Roach Killer Powder with Lure, 16oz</v>
          </cell>
          <cell r="E880" t="str">
            <v>https://www.amazon.com/dp/B08511GLXR</v>
          </cell>
          <cell r="F880" t="str">
            <v>Crawling Insect Control</v>
          </cell>
          <cell r="G880" t="str">
            <v>Roach Traps</v>
          </cell>
          <cell r="H880" t="str">
            <v>Crawling Insect Control - Roach Traps</v>
          </cell>
          <cell r="I880" t="str">
            <v>Cockroach</v>
          </cell>
        </row>
        <row r="881">
          <cell r="A881" t="str">
            <v>B0H286PWMZ</v>
          </cell>
          <cell r="B881" t="str">
            <v>Grandpa Gus's</v>
          </cell>
          <cell r="C881" t="str">
            <v>Grandpa Gus's</v>
          </cell>
          <cell r="D881" t="str">
            <v>Grandpa Gus's Roach Killer Spray, Non-Staining, Indoors &amp; Outdoors, 16 oz</v>
          </cell>
          <cell r="E881" t="str">
            <v>https://www.amazon.com/dp/B0H286PWMZ</v>
          </cell>
          <cell r="F881" t="str">
            <v>Crawling Insect Control</v>
          </cell>
          <cell r="G881" t="str">
            <v>Roach Traps</v>
          </cell>
          <cell r="H881" t="str">
            <v>Crawling Insect Control - Roach Traps</v>
          </cell>
          <cell r="I881" t="str">
            <v>Cockroach</v>
          </cell>
        </row>
        <row r="882">
          <cell r="A882" t="str">
            <v>B01N0TGJHB</v>
          </cell>
          <cell r="B882" t="str">
            <v>Ortho</v>
          </cell>
          <cell r="C882" t="str">
            <v>The Scotts Company LLC</v>
          </cell>
          <cell r="D882" t="str">
            <v>Ortho Home Defense Insect Killer for Indoor &amp; Perimeter2, Wand, 1.33 gal.</v>
          </cell>
          <cell r="E882" t="str">
            <v>https://www.amazon.com/dp/B01N0TGJHB?psc=1</v>
          </cell>
          <cell r="F882" t="str">
            <v>Flying Insect Control</v>
          </cell>
          <cell r="G882" t="str">
            <v>Other</v>
          </cell>
          <cell r="H882" t="str">
            <v>Flying Insect Control - Other</v>
          </cell>
          <cell r="I882" t="str">
            <v>Insecticide/Fungicide</v>
          </cell>
        </row>
        <row r="883">
          <cell r="A883" t="str">
            <v>B0CJMKM3TD</v>
          </cell>
          <cell r="B883" t="str">
            <v>Ortho</v>
          </cell>
          <cell r="C883" t="str">
            <v>Scotts Miracle Gro</v>
          </cell>
          <cell r="D883" t="str">
            <v>Ortho Home Defense Insect Killer for Indoor &amp; Perimeter Refill2, 1 gal.</v>
          </cell>
          <cell r="E883" t="str">
            <v>https://www.amazon.com/dp/B0CJMKM3TD?psc=1</v>
          </cell>
          <cell r="F883" t="str">
            <v>Flying Insect Control</v>
          </cell>
          <cell r="G883" t="str">
            <v>Other</v>
          </cell>
          <cell r="H883" t="str">
            <v>Flying Insect Control - Other</v>
          </cell>
          <cell r="I883" t="str">
            <v>Insecticide/Fungicide</v>
          </cell>
        </row>
        <row r="884">
          <cell r="A884" t="str">
            <v>B01N0TGJW8</v>
          </cell>
          <cell r="B884" t="str">
            <v>Ortho</v>
          </cell>
          <cell r="C884" t="str">
            <v>The Scotts Company LLC</v>
          </cell>
          <cell r="D884" t="str">
            <v>Ortho Home Defense Insect Killer for Indoor &amp; Perimeter Refill2, 1.33 gal.</v>
          </cell>
          <cell r="E884" t="str">
            <v>https://www.amazon.com/dp/B01N0TGJW8?psc=1</v>
          </cell>
          <cell r="F884" t="str">
            <v>Flying Insect Control</v>
          </cell>
          <cell r="G884" t="str">
            <v>Other</v>
          </cell>
          <cell r="H884" t="str">
            <v>Flying Insect Control - Other</v>
          </cell>
          <cell r="I884" t="str">
            <v>Insecticide/Fungicide</v>
          </cell>
        </row>
        <row r="885">
          <cell r="A885" t="str">
            <v>B0DV6HRC5B</v>
          </cell>
          <cell r="B885" t="str">
            <v>Ortho</v>
          </cell>
          <cell r="C885" t="str">
            <v>The Scotts Company</v>
          </cell>
          <cell r="D885" t="str">
            <v>Ortho Home Defense Insect Killer for Indoor &amp; Perimeter2, 24 oz. (2-Pack)</v>
          </cell>
          <cell r="E885" t="str">
            <v>https://www.amazon.com/dp/B0DV6HRC5B?psc=1</v>
          </cell>
          <cell r="F885" t="str">
            <v>Flying Insect Control</v>
          </cell>
          <cell r="G885" t="str">
            <v>Other</v>
          </cell>
          <cell r="H885" t="str">
            <v>Flying Insect Control - Other</v>
          </cell>
          <cell r="I885" t="str">
            <v>Insecticide/Fungicide</v>
          </cell>
        </row>
        <row r="886">
          <cell r="A886" t="str">
            <v>B071S88VPT</v>
          </cell>
          <cell r="B886" t="str">
            <v>Ortho</v>
          </cell>
          <cell r="C886" t="str">
            <v>The Scotts Company LLC</v>
          </cell>
          <cell r="D886" t="str">
            <v>Ortho Home Defense Insect Killer for Cracks &amp; Crevices, 16 oz.</v>
          </cell>
          <cell r="E886" t="str">
            <v>https://www.amazon.com/dp/B071S88VPT?psc=1</v>
          </cell>
          <cell r="F886" t="str">
            <v>Flying Insect Control</v>
          </cell>
          <cell r="G886" t="str">
            <v>Other</v>
          </cell>
          <cell r="H886" t="str">
            <v>Flying Insect Control - Other</v>
          </cell>
          <cell r="I886" t="str">
            <v>Insecticide/Fungicide</v>
          </cell>
        </row>
        <row r="887">
          <cell r="A887" t="str">
            <v>B08SLQQ6LQ</v>
          </cell>
          <cell r="B887" t="str">
            <v>Ortho</v>
          </cell>
          <cell r="C887" t="str">
            <v>The Scotts Company LLC</v>
          </cell>
          <cell r="D887" t="str">
            <v>Ortho Home Defense Insect Killer for Indoor &amp; Perimeter2 Bundle</v>
          </cell>
          <cell r="E887" t="str">
            <v>https://www.amazon.com/dp/B08SLQQ6LQ?psc=1</v>
          </cell>
          <cell r="F887" t="str">
            <v>Flying Insect Control</v>
          </cell>
          <cell r="G887" t="str">
            <v>Other</v>
          </cell>
          <cell r="H887" t="str">
            <v>Flying Insect Control - Other</v>
          </cell>
          <cell r="I887" t="str">
            <v>Insecticide/Fungicide</v>
          </cell>
        </row>
        <row r="888">
          <cell r="A888" t="str">
            <v>B07WHJW3FR</v>
          </cell>
          <cell r="B888" t="str">
            <v>Ortho</v>
          </cell>
          <cell r="C888" t="str">
            <v>The Scotts Company LLC</v>
          </cell>
          <cell r="D888" t="str">
            <v>Ortho Home Defense Max Indoor Insect Barrier, Wand, 1 gal.</v>
          </cell>
          <cell r="E888" t="str">
            <v>https://www.amazon.com/dp/B07WHJW3FR?psc=1</v>
          </cell>
          <cell r="F888" t="str">
            <v>Flying Insect Control</v>
          </cell>
          <cell r="G888" t="str">
            <v>Tree Barriers</v>
          </cell>
          <cell r="H888" t="str">
            <v>Flying Insect Control - Tree Barriers</v>
          </cell>
          <cell r="I888" t="str">
            <v>Insecticide/Fungicide</v>
          </cell>
        </row>
        <row r="889">
          <cell r="A889" t="str">
            <v>B071P276RP</v>
          </cell>
          <cell r="B889" t="str">
            <v>Ortho</v>
          </cell>
          <cell r="C889" t="str">
            <v>The Scotts Company LLC</v>
          </cell>
          <cell r="D889" t="str">
            <v>Ortho Home Defense Max Indoor Insect Barrier Refill, 1 gal.</v>
          </cell>
          <cell r="E889" t="str">
            <v>https://www.amazon.com/dp/B071P276RP?psc=1</v>
          </cell>
          <cell r="F889" t="str">
            <v>Flying Insect Control</v>
          </cell>
          <cell r="G889" t="str">
            <v>Tree Barriers</v>
          </cell>
          <cell r="H889" t="str">
            <v>Flying Insect Control - Tree Barriers</v>
          </cell>
          <cell r="I889" t="str">
            <v>Insecticide/Fungicide</v>
          </cell>
        </row>
        <row r="890">
          <cell r="A890" t="str">
            <v>B0B9QC3KMY</v>
          </cell>
          <cell r="B890" t="str">
            <v>Ortho</v>
          </cell>
          <cell r="C890" t="str">
            <v>The Scotts Company LLC</v>
          </cell>
          <cell r="D890" t="str">
            <v>Ortho Home Defense Max Indoor Insect Barrier, 1.5 L</v>
          </cell>
          <cell r="E890" t="str">
            <v>https://www.amazon.com/dp/B0B9QC3KMY?psc=1</v>
          </cell>
          <cell r="F890" t="str">
            <v>Flying Insect Control</v>
          </cell>
          <cell r="G890" t="str">
            <v>Tree Barriers</v>
          </cell>
          <cell r="H890" t="str">
            <v>Flying Insect Control - Tree Barriers</v>
          </cell>
          <cell r="I890" t="str">
            <v>Insecticide/Fungicide</v>
          </cell>
        </row>
        <row r="891">
          <cell r="A891" t="str">
            <v>B0CJLD1TS8</v>
          </cell>
          <cell r="B891" t="str">
            <v>Ortho</v>
          </cell>
          <cell r="C891" t="str">
            <v>Scotts Miracle Gro</v>
          </cell>
          <cell r="D891" t="str">
            <v>Ortho GroundClear Year Long Vegetation Killer2 Concentrate, 2 gal.</v>
          </cell>
          <cell r="E891" t="str">
            <v>https://www.amazon.com/dp/B0CJLD1TS8?psc=1</v>
          </cell>
          <cell r="F891" t="str">
            <v>Rodent Control</v>
          </cell>
          <cell r="G891" t="str">
            <v>Other</v>
          </cell>
          <cell r="H891" t="str">
            <v>Rodent Control - Other</v>
          </cell>
          <cell r="I891" t="str">
            <v>Insecticide/Fungicide</v>
          </cell>
        </row>
        <row r="892">
          <cell r="A892" t="str">
            <v>B0CQD9D9XV</v>
          </cell>
          <cell r="B892" t="str">
            <v>Ortho</v>
          </cell>
          <cell r="C892" t="str">
            <v>Scotts Miracle Gro</v>
          </cell>
          <cell r="D892" t="str">
            <v>Ortho GroundClear Year Long Vegetation Killer with Comfort Wand, 1 gal.</v>
          </cell>
          <cell r="E892" t="str">
            <v>https://www.amazon.com/dp/B0CQD9D9XV?psc=1</v>
          </cell>
          <cell r="F892" t="str">
            <v>Other</v>
          </cell>
          <cell r="G892" t="str">
            <v>Other</v>
          </cell>
          <cell r="H892" t="str">
            <v>Other - Other</v>
          </cell>
          <cell r="I892" t="str">
            <v>Insecticide/Fungicide</v>
          </cell>
        </row>
        <row r="893">
          <cell r="A893" t="str">
            <v>B0CJL7Q92X</v>
          </cell>
          <cell r="B893" t="str">
            <v>Ortho</v>
          </cell>
          <cell r="C893" t="str">
            <v>Scotts Miracle Gro</v>
          </cell>
          <cell r="D893" t="str">
            <v>Ortho GroundClear Year Long Vegetation Killer2 Concentrate, 1 gal.</v>
          </cell>
          <cell r="E893" t="str">
            <v>https://www.amazon.com/dp/B0CJL7Q92X?psc=1</v>
          </cell>
          <cell r="F893" t="str">
            <v>Rodent Control</v>
          </cell>
          <cell r="G893" t="str">
            <v>Other</v>
          </cell>
          <cell r="H893" t="str">
            <v>Rodent Control - Other</v>
          </cell>
          <cell r="I893" t="str">
            <v>Insecticide/Fungicide</v>
          </cell>
        </row>
        <row r="894">
          <cell r="A894" t="str">
            <v>B07YM5V2V5</v>
          </cell>
          <cell r="B894" t="str">
            <v>Ortho</v>
          </cell>
          <cell r="C894" t="str">
            <v>The Scotts Company LLC</v>
          </cell>
          <cell r="D894" t="str">
            <v>Ortho BugClear Insect Killer for Lawns &amp; Landscapes Ready-to-Spray, 32 oz.</v>
          </cell>
          <cell r="E894" t="str">
            <v>https://www.amazon.com/dp/B07YM5V2V5?psc=1</v>
          </cell>
          <cell r="F894" t="str">
            <v>Flying Insect Control</v>
          </cell>
          <cell r="G894" t="str">
            <v>Other</v>
          </cell>
          <cell r="H894" t="str">
            <v>Flying Insect Control - Other</v>
          </cell>
          <cell r="I894" t="str">
            <v>Insecticide/Fungicide</v>
          </cell>
        </row>
        <row r="895">
          <cell r="A895" t="str">
            <v>B0CJL4541J</v>
          </cell>
          <cell r="B895" t="str">
            <v>Ortho</v>
          </cell>
          <cell r="C895" t="str">
            <v>Scotts Miracle Gro</v>
          </cell>
          <cell r="D895" t="str">
            <v>Ortho GroundClear Year Long Vegetation Killer2 Concentrate, 32 fl. oz.</v>
          </cell>
          <cell r="E895" t="str">
            <v>https://www.amazon.com/dp/B0CJL4541J?psc=1</v>
          </cell>
          <cell r="F895" t="str">
            <v>Rodent Control</v>
          </cell>
          <cell r="G895" t="str">
            <v>Other</v>
          </cell>
          <cell r="H895" t="str">
            <v>Rodent Control - Other</v>
          </cell>
          <cell r="I895" t="str">
            <v>Insecticide/Fungicide</v>
          </cell>
        </row>
        <row r="896">
          <cell r="A896" t="str">
            <v>B0CJLF5BZ9</v>
          </cell>
          <cell r="B896" t="str">
            <v>Ortho</v>
          </cell>
          <cell r="C896" t="str">
            <v>Scotts Miracle Gro</v>
          </cell>
          <cell r="D896" t="str">
            <v>Ortho GroundClear Year Long Vegetation Killer Refill, 1 gal.</v>
          </cell>
          <cell r="E896" t="str">
            <v>https://www.amazon.com/dp/B0CJLF5BZ9?psc=1</v>
          </cell>
          <cell r="F896" t="str">
            <v>Other</v>
          </cell>
          <cell r="G896" t="str">
            <v>Other</v>
          </cell>
          <cell r="H896" t="str">
            <v>Other - Other</v>
          </cell>
          <cell r="I896" t="str">
            <v>Insecticide/Fungicide</v>
          </cell>
        </row>
        <row r="897">
          <cell r="A897" t="str">
            <v>B083JYHD3Y</v>
          </cell>
          <cell r="B897" t="str">
            <v>Ortho</v>
          </cell>
          <cell r="C897" t="str">
            <v>The Scotts Company LLC</v>
          </cell>
          <cell r="D897" t="str">
            <v>Ortho GroundClear Year Long Vegetation Killer with Comfort Wand, 1.33 gal.</v>
          </cell>
          <cell r="E897" t="str">
            <v>https://www.amazon.com/dp/B083JYHD3Y?psc=1</v>
          </cell>
          <cell r="F897" t="str">
            <v>Other</v>
          </cell>
          <cell r="G897" t="str">
            <v>Other</v>
          </cell>
          <cell r="H897" t="str">
            <v>Other - Other</v>
          </cell>
          <cell r="I897" t="str">
            <v>Insecticide/Fungicide</v>
          </cell>
        </row>
        <row r="898">
          <cell r="A898" t="str">
            <v>B07YM57994</v>
          </cell>
          <cell r="B898" t="str">
            <v>Ortho</v>
          </cell>
          <cell r="C898" t="str">
            <v>The Scotts Company LLC</v>
          </cell>
          <cell r="D898" t="str">
            <v>Ortho BugClear Insect Killer for Lawns &amp; Landscapes Concentrate, 32 fl. oz.</v>
          </cell>
          <cell r="E898" t="str">
            <v>https://www.amazon.com/dp/B07YM57994?psc=1</v>
          </cell>
          <cell r="F898" t="str">
            <v>Rodent Control</v>
          </cell>
          <cell r="G898" t="str">
            <v>Other</v>
          </cell>
          <cell r="H898" t="str">
            <v>Rodent Control - Other</v>
          </cell>
          <cell r="I898" t="str">
            <v>Insecticide/Fungicide</v>
          </cell>
        </row>
        <row r="899">
          <cell r="A899" t="str">
            <v>B0071D0EZK</v>
          </cell>
          <cell r="B899" t="str">
            <v>Ortho</v>
          </cell>
          <cell r="C899" t="str">
            <v>Ortho</v>
          </cell>
          <cell r="D899" t="str">
            <v>Ortho Dial N Spray Hose End Sprayer</v>
          </cell>
          <cell r="E899" t="str">
            <v>https://www.amazon.com/dp/B0071D0EZK?psc=1</v>
          </cell>
          <cell r="F899" t="str">
            <v>Garden Equipment</v>
          </cell>
          <cell r="G899" t="str">
            <v>Sprayer</v>
          </cell>
          <cell r="H899" t="str">
            <v>Garden Equipment - Sprayer</v>
          </cell>
          <cell r="I899" t="str">
            <v>Insecticide/Fungicide</v>
          </cell>
        </row>
        <row r="900">
          <cell r="A900" t="str">
            <v>B01GIG9VD6</v>
          </cell>
          <cell r="B900" t="str">
            <v>Ortho</v>
          </cell>
          <cell r="C900" t="str">
            <v>The Scotts Miracle gro</v>
          </cell>
          <cell r="D900" t="str">
            <v>Ortho Max Nutsedge Killer Rtu, 24 fl.oz. (2 Pack)</v>
          </cell>
          <cell r="E900" t="str">
            <v>https://www.amazon.com/dp/B01GIG9VD6?psc=1</v>
          </cell>
          <cell r="F900" t="str">
            <v>Other</v>
          </cell>
          <cell r="G900" t="str">
            <v>Other</v>
          </cell>
          <cell r="H900" t="str">
            <v>Other - Other</v>
          </cell>
          <cell r="I900" t="str">
            <v>Insecticide/Fungicide</v>
          </cell>
        </row>
        <row r="901">
          <cell r="A901" t="str">
            <v>B0B9R12G96</v>
          </cell>
          <cell r="B901" t="str">
            <v>Ortho</v>
          </cell>
          <cell r="C901" t="str">
            <v>The Scotts Company LLC</v>
          </cell>
          <cell r="D901" t="str">
            <v>Ortho GroundClear Poison Ivy &amp; Tough Brush Killer3, 1 gal.</v>
          </cell>
          <cell r="E901" t="str">
            <v>https://www.amazon.com/dp/B0B9R12G96?psc=1</v>
          </cell>
          <cell r="F901" t="str">
            <v>Other</v>
          </cell>
          <cell r="G901" t="str">
            <v>Bait &amp; Poison</v>
          </cell>
          <cell r="H901" t="str">
            <v>Other - Bait &amp; Poison</v>
          </cell>
          <cell r="I901" t="str">
            <v>Insecticide/Fungicide</v>
          </cell>
        </row>
        <row r="902">
          <cell r="A902" t="str">
            <v>B07YM4WS2Z</v>
          </cell>
          <cell r="B902" t="str">
            <v>Ortho</v>
          </cell>
          <cell r="C902" t="str">
            <v>The Scotts Company LLC</v>
          </cell>
          <cell r="D902" t="str">
            <v>Ortho GroundClear Poison Ivy &amp; Tough Brush Killer - Ready to Use with Comfort Wand, Poison Ivy Killer, Also Kills Poison Oak, Kudzu, Wild Blackberry, Vines &amp; More, 1.33 gal.</v>
          </cell>
          <cell r="E902" t="str">
            <v>https://www.amazon.com/dp/B07YM4WS2Z?psc=1</v>
          </cell>
          <cell r="F902" t="str">
            <v>Other</v>
          </cell>
          <cell r="G902" t="str">
            <v>Bait &amp; Poison</v>
          </cell>
          <cell r="H902" t="str">
            <v>Other - Bait &amp; Poison</v>
          </cell>
          <cell r="I902" t="str">
            <v>Insecticide/Fungicide</v>
          </cell>
        </row>
        <row r="903">
          <cell r="A903" t="str">
            <v>B09HSTKV6S</v>
          </cell>
          <cell r="B903" t="str">
            <v>Ortho</v>
          </cell>
          <cell r="C903" t="str">
            <v>The Scotts Company LLC</v>
          </cell>
          <cell r="D903" t="str">
            <v>Ortho Home Defense Insect Killer for Indoor &amp; Perimeter Concentrate, 32 oz.</v>
          </cell>
          <cell r="E903" t="str">
            <v>https://www.amazon.com/dp/B09HSTKV6S?psc=1</v>
          </cell>
          <cell r="F903" t="str">
            <v>Rodent Control</v>
          </cell>
          <cell r="G903" t="str">
            <v>Other</v>
          </cell>
          <cell r="H903" t="str">
            <v>Rodent Control - Other</v>
          </cell>
          <cell r="I903" t="str">
            <v>Insecticide/Fungicide</v>
          </cell>
        </row>
        <row r="904">
          <cell r="A904" t="str">
            <v>B07DC9SSNN</v>
          </cell>
          <cell r="B904" t="str">
            <v>Ortho</v>
          </cell>
          <cell r="C904" t="str">
            <v>Ortho</v>
          </cell>
          <cell r="D904" t="str">
            <v>Ortho Grass B Gon Garden Grass Killer Ready-to-Use, 24-Ounce (2 Pack)</v>
          </cell>
          <cell r="E904" t="str">
            <v>https://www.amazon.com/dp/B07DC9SSNN</v>
          </cell>
          <cell r="F904" t="str">
            <v>Garden Pest Control</v>
          </cell>
          <cell r="G904" t="str">
            <v>Other</v>
          </cell>
          <cell r="H904" t="str">
            <v>Garden Pest Control - Other</v>
          </cell>
          <cell r="I904" t="str">
            <v>Insecticide/Fungicide</v>
          </cell>
        </row>
        <row r="905">
          <cell r="A905" t="str">
            <v>B07GK7PDBS</v>
          </cell>
          <cell r="B905" t="str">
            <v>Ortho</v>
          </cell>
          <cell r="C905" t="str">
            <v>Ortho</v>
          </cell>
          <cell r="D905" t="str">
            <v>Home Defense Max Insect Killer, 24-oz.</v>
          </cell>
          <cell r="E905" t="str">
            <v>https://www.amazon.com/dp/B07GK7PDBS</v>
          </cell>
          <cell r="F905" t="str">
            <v>Flying Insect Control</v>
          </cell>
          <cell r="G905" t="str">
            <v>Other</v>
          </cell>
          <cell r="H905" t="str">
            <v>Flying Insect Control - Other</v>
          </cell>
          <cell r="I905" t="str">
            <v>Insecticide/Fungicide</v>
          </cell>
        </row>
        <row r="906">
          <cell r="A906" t="str">
            <v>B0GXXLRDV2</v>
          </cell>
          <cell r="B906" t="str">
            <v>Ortho</v>
          </cell>
          <cell r="C906" t="str">
            <v>The Scotts Company LLC</v>
          </cell>
          <cell r="D906" t="str">
            <v>Ortho Tick B-gon Tick Killer Ready-to-Spray, 32 fl. oz.</v>
          </cell>
          <cell r="E906" t="str">
            <v>https://www.amazon.com/dp/B0GXXLRDV2</v>
          </cell>
          <cell r="F906" t="str">
            <v>Other</v>
          </cell>
          <cell r="G906" t="str">
            <v>Other</v>
          </cell>
          <cell r="H906" t="str">
            <v>Other - Other</v>
          </cell>
          <cell r="I906" t="str">
            <v>Insecticide/Fungicide</v>
          </cell>
        </row>
        <row r="907">
          <cell r="A907" t="str">
            <v>B00SAN70QG</v>
          </cell>
          <cell r="B907" t="str">
            <v>Ortho</v>
          </cell>
          <cell r="C907" t="str">
            <v>Scotts Ortho Roundup</v>
          </cell>
          <cell r="D907" t="str">
            <v>Nutsedge Killer, Ready-to-Use, 24-oz.</v>
          </cell>
          <cell r="E907" t="str">
            <v>https://www.amazon.com/dp/B00SAN70QG</v>
          </cell>
          <cell r="F907" t="str">
            <v>Other</v>
          </cell>
          <cell r="G907" t="str">
            <v>Other</v>
          </cell>
          <cell r="H907" t="str">
            <v>Other - Other</v>
          </cell>
          <cell r="I907" t="str">
            <v>Insecticide/Fungicide</v>
          </cell>
        </row>
        <row r="908">
          <cell r="A908" t="str">
            <v>B0DWTC37PP</v>
          </cell>
          <cell r="B908" t="str">
            <v>Ortho</v>
          </cell>
          <cell r="C908" t="str">
            <v>The Scotts Company</v>
          </cell>
          <cell r="D908" t="str">
            <v>Ortho Home Defense Insect Killer for Indoor &amp; Perimeter2 Bundle (2-Pack)</v>
          </cell>
          <cell r="E908" t="str">
            <v>https://www.amazon.com/dp/B0DWTC37PP</v>
          </cell>
          <cell r="F908" t="str">
            <v>Flying Insect Control</v>
          </cell>
          <cell r="G908" t="str">
            <v>Other</v>
          </cell>
          <cell r="H908" t="str">
            <v>Flying Insect Control - Other</v>
          </cell>
          <cell r="I908" t="str">
            <v>Insecticide/Fungicide</v>
          </cell>
        </row>
        <row r="909">
          <cell r="A909" t="str">
            <v>B014M9OPYQ</v>
          </cell>
          <cell r="B909" t="str">
            <v>Ortho</v>
          </cell>
          <cell r="C909" t="str">
            <v>The Scotts Company LLC</v>
          </cell>
          <cell r="D909" t="str">
            <v>Ortho Insect, Mite and Disease 3-in-1 Ready-To-Use, 1 gal.</v>
          </cell>
          <cell r="E909" t="str">
            <v>https://www.amazon.com/dp/B014M9OPYQ?psc=1</v>
          </cell>
          <cell r="F909" t="str">
            <v>Flying Insect Control</v>
          </cell>
          <cell r="G909" t="str">
            <v>Other</v>
          </cell>
          <cell r="H909" t="str">
            <v>Flying Insect Control - Other</v>
          </cell>
          <cell r="I909" t="str">
            <v>Insecticide/Fungicide</v>
          </cell>
        </row>
        <row r="910">
          <cell r="A910" t="str">
            <v>B001693OLQ</v>
          </cell>
          <cell r="B910" t="str">
            <v>Ortho</v>
          </cell>
          <cell r="C910" t="str">
            <v>Ortho</v>
          </cell>
          <cell r="D910" t="str">
            <v>Ortho 0438580 Grass B Gon Garden Grass Killer Ready-To-Use, 24-Ounce</v>
          </cell>
          <cell r="E910" t="str">
            <v>https://www.amazon.com/dp/B001693OLQ</v>
          </cell>
          <cell r="F910" t="str">
            <v>Garden Pest Control</v>
          </cell>
          <cell r="G910" t="str">
            <v>Other</v>
          </cell>
          <cell r="H910" t="str">
            <v>Garden Pest Control - Other</v>
          </cell>
          <cell r="I910" t="str">
            <v>Insecticide/Fungicide</v>
          </cell>
        </row>
        <row r="911">
          <cell r="A911" t="str">
            <v>B08T92RPL5</v>
          </cell>
          <cell r="B911" t="str">
            <v>Ortho</v>
          </cell>
          <cell r="C911" t="str">
            <v>The Scotts Company LLC</v>
          </cell>
          <cell r="D911" t="str">
            <v>Ortho Home Defense Insect Killer for Indoor &amp; Perimeter2, 1.1 gal. (2-Pack)</v>
          </cell>
          <cell r="E911" t="str">
            <v>https://www.amazon.com/dp/B08T92RPL5</v>
          </cell>
          <cell r="F911" t="str">
            <v>Flying Insect Control</v>
          </cell>
          <cell r="G911" t="str">
            <v>Other</v>
          </cell>
          <cell r="H911" t="str">
            <v>Flying Insect Control - Other</v>
          </cell>
          <cell r="I911" t="str">
            <v>Insecticide/Fungicide</v>
          </cell>
        </row>
        <row r="912">
          <cell r="A912" t="str">
            <v>B00N6X8OWE</v>
          </cell>
          <cell r="B912" t="str">
            <v>Ortho</v>
          </cell>
          <cell r="C912" t="str">
            <v>The Scotts Company LLC</v>
          </cell>
          <cell r="D912" t="str">
            <v>Ortho Bug-Geta Snail &amp; Slug Killer2, 6 lbs.</v>
          </cell>
          <cell r="E912" t="str">
            <v>https://www.amazon.com/dp/B00N6X8OWE?psc=1</v>
          </cell>
          <cell r="F912" t="str">
            <v>Other</v>
          </cell>
          <cell r="G912" t="str">
            <v>Other</v>
          </cell>
          <cell r="H912" t="str">
            <v>Other - Other</v>
          </cell>
          <cell r="I912" t="str">
            <v>Insecticide/Fungicide</v>
          </cell>
        </row>
        <row r="913">
          <cell r="A913" t="str">
            <v>B0BP7DSM6B</v>
          </cell>
          <cell r="B913" t="str">
            <v>Ortho</v>
          </cell>
          <cell r="C913" t="str">
            <v>The Scotts Miracle-Gro Company</v>
          </cell>
          <cell r="D913" t="str">
            <v>Ortho Outdoor Insect Killer Concentrate, 32 fl. oz.</v>
          </cell>
          <cell r="E913" t="str">
            <v>https://www.amazon.com/dp/B0BP7DSM6B?psc=1</v>
          </cell>
          <cell r="F913" t="str">
            <v>Rodent Control</v>
          </cell>
          <cell r="G913" t="str">
            <v>Other</v>
          </cell>
          <cell r="H913" t="str">
            <v>Rodent Control - Other</v>
          </cell>
          <cell r="I913" t="str">
            <v>Insecticide/Fungicide</v>
          </cell>
        </row>
        <row r="914">
          <cell r="A914" t="str">
            <v>B0BP7F6YJY</v>
          </cell>
          <cell r="B914" t="str">
            <v>Ortho</v>
          </cell>
          <cell r="C914" t="str">
            <v>The Scotts Miracle-Gro Company</v>
          </cell>
          <cell r="D914" t="str">
            <v>Ortho Outdoor Insect Killer Ready-to-Spray, 32 fl. oz.</v>
          </cell>
          <cell r="E914" t="str">
            <v>https://www.amazon.com/dp/B0BP7F6YJY?psc=1</v>
          </cell>
          <cell r="F914" t="str">
            <v>Flying Insect Control</v>
          </cell>
          <cell r="G914" t="str">
            <v>Other</v>
          </cell>
          <cell r="H914" t="str">
            <v>Flying Insect Control - Other</v>
          </cell>
          <cell r="I914" t="str">
            <v>Insecticide/Fungicide</v>
          </cell>
        </row>
        <row r="915">
          <cell r="A915" t="str">
            <v>B00B1OVVUC</v>
          </cell>
          <cell r="B915" t="str">
            <v>Ortho</v>
          </cell>
          <cell r="C915" t="str">
            <v>The Scotts Company LLC</v>
          </cell>
          <cell r="D915" t="str">
            <v>Ortho MAX Malathion Insect Spray Concentrate, 16 oz.</v>
          </cell>
          <cell r="E915" t="str">
            <v>https://www.amazon.com/dp/B00B1OVVUC?psc=1</v>
          </cell>
          <cell r="F915" t="str">
            <v>Rodent Control</v>
          </cell>
          <cell r="G915" t="str">
            <v>Other</v>
          </cell>
          <cell r="H915" t="str">
            <v>Rodent Control - Other</v>
          </cell>
          <cell r="I915" t="str">
            <v>Insecticide/Fungicide</v>
          </cell>
        </row>
        <row r="916">
          <cell r="A916" t="str">
            <v>B00AZSMWEO</v>
          </cell>
          <cell r="B916" t="str">
            <v>Ortho</v>
          </cell>
          <cell r="C916" t="str">
            <v>The Scotts Company LLC</v>
          </cell>
          <cell r="D916" t="str">
            <v>Ortho 0475010 MAX Poison Ivy &amp; Tough Brush Killer Ready-To-Use, 24-Ounce</v>
          </cell>
          <cell r="E916" t="str">
            <v>https://www.amazon.com/dp/B00AZSMWEO</v>
          </cell>
          <cell r="F916" t="str">
            <v>Other</v>
          </cell>
          <cell r="G916" t="str">
            <v>Bait &amp; Poison</v>
          </cell>
          <cell r="H916" t="str">
            <v>Other - Bait &amp; Poison</v>
          </cell>
          <cell r="I916" t="str">
            <v>Insecticide/Fungicide</v>
          </cell>
        </row>
        <row r="917">
          <cell r="A917" t="str">
            <v>B07QQBWCJ2</v>
          </cell>
          <cell r="B917" t="str">
            <v>Ortho</v>
          </cell>
          <cell r="C917" t="str">
            <v>Ortho</v>
          </cell>
          <cell r="D917" t="str">
            <v>Ortho Lands B-Gon Grass Killer for Landscapes (4)</v>
          </cell>
          <cell r="E917" t="str">
            <v>https://www.amazon.com/dp/B07QQBWCJ2</v>
          </cell>
          <cell r="F917" t="str">
            <v>Other</v>
          </cell>
          <cell r="G917" t="str">
            <v>Other</v>
          </cell>
          <cell r="H917" t="str">
            <v>Other - Other</v>
          </cell>
          <cell r="I917" t="str">
            <v>Insecticide/Fungicide</v>
          </cell>
        </row>
        <row r="918">
          <cell r="A918" t="str">
            <v>B07GY2J2TS</v>
          </cell>
          <cell r="B918" t="str">
            <v>Ortho</v>
          </cell>
          <cell r="C918" t="str">
            <v>Ortho</v>
          </cell>
          <cell r="D918" t="str">
            <v>Ortho 0438580 Grass B Gon Garden Grass Killer Ready-to-Use Spray, 24-Ounce (2)</v>
          </cell>
          <cell r="E918" t="str">
            <v>https://www.amazon.com/dp/B07GY2J2TS</v>
          </cell>
          <cell r="F918" t="str">
            <v>Garden Pest Control</v>
          </cell>
          <cell r="G918" t="str">
            <v>Other</v>
          </cell>
          <cell r="H918" t="str">
            <v>Garden Pest Control - Other</v>
          </cell>
          <cell r="I918" t="str">
            <v>Insecticide/Fungicide</v>
          </cell>
        </row>
        <row r="919">
          <cell r="A919" t="str">
            <v>B0B4WRMTVK</v>
          </cell>
          <cell r="B919" t="str">
            <v>Ortho</v>
          </cell>
          <cell r="C919" t="str">
            <v>PIC</v>
          </cell>
          <cell r="D919" t="str">
            <v>Ortho Home Defense 4PK Metal Outdoor/Indoor Bait Stations</v>
          </cell>
          <cell r="E919" t="str">
            <v>https://www.amazon.com/dp/B0B4WRMTVK?psc=1</v>
          </cell>
          <cell r="F919" t="str">
            <v>Other</v>
          </cell>
          <cell r="G919" t="str">
            <v>Bait &amp; Poison</v>
          </cell>
          <cell r="H919" t="str">
            <v>Other - Bait &amp; Poison</v>
          </cell>
          <cell r="I919" t="str">
            <v>Insecticide/Fungicide</v>
          </cell>
        </row>
        <row r="920">
          <cell r="A920" t="str">
            <v>B005LD2J6Y</v>
          </cell>
          <cell r="B920" t="str">
            <v>Ortho</v>
          </cell>
          <cell r="C920" t="str">
            <v>The Scotts Company LLC</v>
          </cell>
          <cell r="D920" t="str">
            <v>Ortho Rose and Flower Insect Killer, 24-Ounce</v>
          </cell>
          <cell r="E920" t="str">
            <v>https://www.amazon.com/dp/B005LD2J6Y</v>
          </cell>
          <cell r="F920" t="str">
            <v>Flying Insect Control</v>
          </cell>
          <cell r="G920" t="str">
            <v>Other</v>
          </cell>
          <cell r="H920" t="str">
            <v>Flying Insect Control - Other</v>
          </cell>
          <cell r="I920" t="str">
            <v>Insecticide/Fungicide</v>
          </cell>
        </row>
        <row r="921">
          <cell r="A921" t="str">
            <v>B00KYP5S9Y</v>
          </cell>
          <cell r="B921" t="str">
            <v>Ortho</v>
          </cell>
          <cell r="C921" t="str">
            <v>The Scotts Company LLC</v>
          </cell>
          <cell r="D921" t="str">
            <v>Ortho MAX Garden Disease Control Concentrate, 16 fl. oz.</v>
          </cell>
          <cell r="E921" t="str">
            <v>https://www.amazon.com/dp/B00KYP5S9Y?psc=1</v>
          </cell>
          <cell r="F921" t="str">
            <v>Rodent Control</v>
          </cell>
          <cell r="G921" t="str">
            <v>Other</v>
          </cell>
          <cell r="H921" t="str">
            <v>Rodent Control - Other</v>
          </cell>
          <cell r="I921" t="str">
            <v>Insecticide/Fungicide</v>
          </cell>
        </row>
        <row r="922">
          <cell r="A922" t="str">
            <v>B0GZYYR48K</v>
          </cell>
          <cell r="B922" t="str">
            <v>Ortho</v>
          </cell>
          <cell r="C922" t="str">
            <v>The Scotts Company LLC</v>
          </cell>
          <cell r="D922" t="str">
            <v>Ortho Grass Killer for Gardens, 24 fl. oz. (2-Pack)</v>
          </cell>
          <cell r="E922" t="str">
            <v>https://www.amazon.com/dp/B0GZYYR48K</v>
          </cell>
          <cell r="F922" t="str">
            <v>Garden Pest Control</v>
          </cell>
          <cell r="G922" t="str">
            <v>Other</v>
          </cell>
          <cell r="H922" t="str">
            <v>Garden Pest Control - Other</v>
          </cell>
          <cell r="I922" t="str">
            <v>Insecticide/Fungicide</v>
          </cell>
        </row>
        <row r="923">
          <cell r="A923" t="str">
            <v>B0DRTLJP12</v>
          </cell>
          <cell r="B923" t="str">
            <v>Ortho</v>
          </cell>
          <cell r="C923" t="str">
            <v>The Scotts Company</v>
          </cell>
          <cell r="D923" t="str">
            <v>Ortho Nutsedge Killer for Lawns Ready-to-Spray, 32 fl. oz. (2-Pack)</v>
          </cell>
          <cell r="E923" t="str">
            <v>https://www.amazon.com/dp/B0DRTLJP12</v>
          </cell>
          <cell r="F923" t="str">
            <v>Other</v>
          </cell>
          <cell r="G923" t="str">
            <v>Other</v>
          </cell>
          <cell r="H923" t="str">
            <v>Other - Other</v>
          </cell>
          <cell r="I923" t="str">
            <v>Insecticide/Fungicide</v>
          </cell>
        </row>
        <row r="924">
          <cell r="A924" t="str">
            <v>B07GV13PN4</v>
          </cell>
          <cell r="B924" t="str">
            <v>Ortho</v>
          </cell>
          <cell r="C924" t="str">
            <v>Ortho Store</v>
          </cell>
          <cell r="D924" t="str">
            <v>Ortho Max Nutsedge Killer Rtu, 24 fl.oz. (1 Pack)</v>
          </cell>
          <cell r="E924" t="str">
            <v>https://www.amazon.com/dp/B07GV13PN4</v>
          </cell>
          <cell r="F924" t="str">
            <v>Other</v>
          </cell>
          <cell r="G924" t="str">
            <v>Other</v>
          </cell>
          <cell r="H924" t="str">
            <v>Other - Other</v>
          </cell>
          <cell r="I924" t="str">
            <v>Insecticide/Fungicide</v>
          </cell>
        </row>
        <row r="925">
          <cell r="A925" t="str">
            <v>B0C8KJBXPW</v>
          </cell>
          <cell r="B925" t="str">
            <v>HARRIS</v>
          </cell>
          <cell r="C925" t="str">
            <v>Harris</v>
          </cell>
          <cell r="D925" t="str">
            <v>Harris 10X Sea Salt Grass Killer, Pet Safe, Kills to The Root with Spray Trigger, 128oz</v>
          </cell>
          <cell r="E925" t="str">
            <v>https://www.amazon.com/dp/B0C8KJBXPW</v>
          </cell>
          <cell r="F925" t="str">
            <v>Other</v>
          </cell>
          <cell r="G925" t="str">
            <v>Other</v>
          </cell>
          <cell r="H925" t="str">
            <v>Other - Other</v>
          </cell>
          <cell r="I925" t="str">
            <v>Insecticide/Fungicide</v>
          </cell>
        </row>
        <row r="926">
          <cell r="A926" t="str">
            <v>B09TG877KC</v>
          </cell>
          <cell r="B926" t="str">
            <v>Exterminators Choice</v>
          </cell>
          <cell r="C926" t="str">
            <v>Trove Companies</v>
          </cell>
          <cell r="D926" t="str">
            <v>Exterminators Choice Moth Defense Spray - 32 Fl Oz - Natural Lemongrass &amp; Citronella Formula - Animal Safe Moth Spray for Indoor &amp; Outdoor Yard - Anti-Clothing &amp; Fabric Treatment</v>
          </cell>
          <cell r="E926" t="str">
            <v>https://www.amazon.com/dp/B09TG877KC</v>
          </cell>
          <cell r="F926" t="str">
            <v>Crawling Insect Control</v>
          </cell>
          <cell r="G926" t="str">
            <v>Ant Traps</v>
          </cell>
          <cell r="H926" t="str">
            <v>Crawling Insect Control - Ant Traps</v>
          </cell>
          <cell r="I926" t="str">
            <v>Insecticide/Fungicide</v>
          </cell>
        </row>
        <row r="927">
          <cell r="A927" t="str">
            <v>B0DSGHCRS8</v>
          </cell>
          <cell r="B927" t="str">
            <v>Scotts</v>
          </cell>
          <cell r="C927" t="str">
            <v>The Scotts Company</v>
          </cell>
          <cell r="D927" t="str">
            <v>O.M. Scott &amp; Sons Natural Grass Food, 12.72 lbs.</v>
          </cell>
          <cell r="E927" t="str">
            <v>https://www.amazon.com/dp/B0DSGHCRS8?psc=1</v>
          </cell>
          <cell r="F927" t="str">
            <v>Other</v>
          </cell>
          <cell r="G927" t="str">
            <v>Other</v>
          </cell>
          <cell r="H927" t="str">
            <v>Other - Other</v>
          </cell>
          <cell r="I927" t="str">
            <v>Other Lawn products</v>
          </cell>
        </row>
        <row r="928">
          <cell r="A928" t="str">
            <v>B01N0TGIMO</v>
          </cell>
          <cell r="B928" t="str">
            <v>Scotts</v>
          </cell>
          <cell r="C928" t="str">
            <v>Scotts</v>
          </cell>
          <cell r="D928" t="str">
            <v>Scotts EZ Seed Patch and Repair Centipede Grass, 20 lb. - Combination Mulch, Seed, and Fertilizer - Tackifier Reduces Seed Wash-Away - Covers up to 445 sq. ft.</v>
          </cell>
          <cell r="E928" t="str">
            <v>https://www.amazon.com/dp/B01N0TGIMO?psc=1</v>
          </cell>
          <cell r="F928" t="str">
            <v>Crawling Insect Control</v>
          </cell>
          <cell r="G928" t="str">
            <v>Centipede Grass</v>
          </cell>
          <cell r="H928" t="str">
            <v>Crawling Insect Control - Centipede Grass</v>
          </cell>
          <cell r="I928" t="str">
            <v>Other Lawn products</v>
          </cell>
        </row>
        <row r="929">
          <cell r="A929" t="str">
            <v>B01MQYMWGT</v>
          </cell>
          <cell r="B929" t="str">
            <v>Scotts</v>
          </cell>
          <cell r="C929" t="str">
            <v>Scotts</v>
          </cell>
          <cell r="D929" t="str">
            <v>Scotts EZ Seed Patch &amp; Repair Centipede Grass, 3.75 lbs.</v>
          </cell>
          <cell r="E929" t="str">
            <v>https://www.amazon.com/dp/B01MQYMWGT?psc=1</v>
          </cell>
          <cell r="F929" t="str">
            <v>Crawling Insect Control</v>
          </cell>
          <cell r="G929" t="str">
            <v>Centipede Grass</v>
          </cell>
          <cell r="H929" t="str">
            <v>Crawling Insect Control - Centipede Grass</v>
          </cell>
          <cell r="I929" t="str">
            <v>Other Lawn products</v>
          </cell>
        </row>
        <row r="930">
          <cell r="A930" t="str">
            <v>B01NBN8LIY</v>
          </cell>
          <cell r="B930" t="str">
            <v>Scotts</v>
          </cell>
          <cell r="C930" t="str">
            <v>Scotts</v>
          </cell>
          <cell r="D930" t="str">
            <v>Scotts EZ Seed Patch &amp; Repair Centipede Grass, 10 lbs.</v>
          </cell>
          <cell r="E930" t="str">
            <v>https://www.amazon.com/dp/B01NBN8LIY?psc=1</v>
          </cell>
          <cell r="F930" t="str">
            <v>Crawling Insect Control</v>
          </cell>
          <cell r="G930" t="str">
            <v>Centipede Grass</v>
          </cell>
          <cell r="H930" t="str">
            <v>Crawling Insect Control - Centipede Grass</v>
          </cell>
          <cell r="I930" t="str">
            <v>Other Lawn products</v>
          </cell>
        </row>
        <row r="931">
          <cell r="A931" t="str">
            <v>B07J5HK5X2</v>
          </cell>
          <cell r="B931" t="str">
            <v>Scotts</v>
          </cell>
          <cell r="C931" t="str">
            <v>American Lawn Mower Company</v>
          </cell>
          <cell r="D931" t="str">
            <v>Scotts LSS10272PS 7.5-Volt Grass Shear/Shrub Trimmer, Wheeled Handle</v>
          </cell>
          <cell r="E931" t="str">
            <v>https://www.amazon.com/dp/B07J5HK5X2?psc=1</v>
          </cell>
          <cell r="F931" t="str">
            <v>Garden Equipment</v>
          </cell>
          <cell r="G931" t="str">
            <v>Pruning Tools</v>
          </cell>
          <cell r="H931" t="str">
            <v>Garden Equipment - Pruning Tools</v>
          </cell>
          <cell r="I931" t="str">
            <v>Other Lawn products</v>
          </cell>
        </row>
        <row r="932">
          <cell r="A932" t="str">
            <v>B087PH89MD</v>
          </cell>
          <cell r="B932" t="str">
            <v>Victor</v>
          </cell>
          <cell r="C932">
            <v>0</v>
          </cell>
          <cell r="D932" t="str">
            <v>Victor M6009 Poison Moleworms, Yellow (Twо Расk)</v>
          </cell>
          <cell r="E932" t="str">
            <v>https://www.amazon.com/dp/B087PH89MD</v>
          </cell>
          <cell r="F932" t="str">
            <v>Other</v>
          </cell>
          <cell r="G932" t="str">
            <v>Bait &amp; Poison</v>
          </cell>
          <cell r="H932" t="str">
            <v>Other - Bait &amp; Poison</v>
          </cell>
          <cell r="I932" t="str">
            <v>Rodent</v>
          </cell>
        </row>
        <row r="933">
          <cell r="A933" t="str">
            <v>B004RVNNA2</v>
          </cell>
          <cell r="B933" t="str">
            <v>Victor</v>
          </cell>
          <cell r="C933">
            <v>0</v>
          </cell>
          <cell r="D933" t="str">
            <v>Victor Tin Cat Glue Boards M309 - CASE (72 boards)</v>
          </cell>
          <cell r="E933" t="str">
            <v>https://www.amazon.com/dp/B004RVNNA2</v>
          </cell>
          <cell r="F933" t="str">
            <v>Other</v>
          </cell>
          <cell r="G933" t="str">
            <v>Glue Traps</v>
          </cell>
          <cell r="H933" t="str">
            <v>Other - Glue Traps</v>
          </cell>
          <cell r="I933" t="str">
            <v>Rodent</v>
          </cell>
        </row>
        <row r="934">
          <cell r="A934" t="str">
            <v>B000KL73OK</v>
          </cell>
          <cell r="B934" t="str">
            <v>Bonide</v>
          </cell>
          <cell r="C934" t="str">
            <v>Arett Sales - LG</v>
          </cell>
          <cell r="D934" t="str">
            <v>Bonide Poison Oak &amp; Ivy Killer, 32 oz Ready-to-Use Spray</v>
          </cell>
          <cell r="E934" t="str">
            <v>https://www.amazon.com/dp/B000KL73OK</v>
          </cell>
          <cell r="F934" t="str">
            <v>Other</v>
          </cell>
          <cell r="G934" t="str">
            <v>Bait &amp; Poison</v>
          </cell>
          <cell r="H934" t="str">
            <v>Other - Bait &amp; Poison</v>
          </cell>
          <cell r="I934" t="str">
            <v>Insecticide/Fungicide</v>
          </cell>
        </row>
        <row r="935">
          <cell r="A935" t="str">
            <v>B001D1H6SE</v>
          </cell>
          <cell r="B935" t="str">
            <v>Bonide</v>
          </cell>
          <cell r="C935" t="str">
            <v>Arett Sales - LG</v>
          </cell>
          <cell r="D935" t="str">
            <v>Bonide Thuricide BT Concentrate, 16 oz Ready-to-Mix Solution for Caterpillar, Worm and Moth Control in Home Garden</v>
          </cell>
          <cell r="E935" t="str">
            <v>https://www.amazon.com/dp/B001D1H6SE</v>
          </cell>
          <cell r="F935" t="str">
            <v>Rodent Control</v>
          </cell>
          <cell r="G935" t="str">
            <v>Other</v>
          </cell>
          <cell r="H935" t="str">
            <v>Rodent Control - Other</v>
          </cell>
          <cell r="I935" t="str">
            <v>Insecticide/Fungicide</v>
          </cell>
        </row>
        <row r="936">
          <cell r="A936" t="str">
            <v>B000KL1G5W</v>
          </cell>
          <cell r="B936" t="str">
            <v>Bonide</v>
          </cell>
          <cell r="C936" t="str">
            <v>Arett Sales - LG</v>
          </cell>
          <cell r="D936" t="str">
            <v>Bonide Eight Insect Control Garden &amp; Home, 32 oz Ready-to-Use Spray</v>
          </cell>
          <cell r="E936" t="str">
            <v>https://www.amazon.com/dp/B000KL1G5W?psc=1</v>
          </cell>
          <cell r="F936" t="str">
            <v>Flying Insect Control</v>
          </cell>
          <cell r="G936" t="str">
            <v>Other</v>
          </cell>
          <cell r="H936" t="str">
            <v>Flying Insect Control - Other</v>
          </cell>
          <cell r="I936" t="str">
            <v>Insecticide/Fungicide</v>
          </cell>
        </row>
        <row r="937">
          <cell r="A937" t="str">
            <v>B002ZBPNMC</v>
          </cell>
          <cell r="B937" t="str">
            <v>Bonide</v>
          </cell>
          <cell r="C937" t="str">
            <v>Arett Sales - LG</v>
          </cell>
          <cell r="D937" t="str">
            <v>Bonide Captain Jack's Bug &amp; Slug Killer Granules, 1.5 lb.</v>
          </cell>
          <cell r="E937" t="str">
            <v>https://www.amazon.com/dp/B002ZBPNMC?psc=1</v>
          </cell>
          <cell r="F937" t="str">
            <v>Other</v>
          </cell>
          <cell r="G937" t="str">
            <v>Other</v>
          </cell>
          <cell r="H937" t="str">
            <v>Other - Other</v>
          </cell>
          <cell r="I937" t="str">
            <v>Insecticide/Fungicide</v>
          </cell>
        </row>
        <row r="938">
          <cell r="A938" t="str">
            <v>B00192ANXM</v>
          </cell>
          <cell r="B938" t="str">
            <v>Bonide</v>
          </cell>
          <cell r="C938" t="str">
            <v>Arett Sales - LG</v>
          </cell>
          <cell r="D938" t="str">
            <v>Bonide Annual Tree &amp; Shrub Insect Control with Systemaxx</v>
          </cell>
          <cell r="E938" t="str">
            <v>https://www.amazon.com/dp/B00192ANXM?psc=1</v>
          </cell>
          <cell r="F938" t="str">
            <v>Flying Insect Control</v>
          </cell>
          <cell r="G938" t="str">
            <v>Other</v>
          </cell>
          <cell r="H938" t="str">
            <v>Flying Insect Control - Other</v>
          </cell>
          <cell r="I938" t="str">
            <v>Insecticide/Fungicide</v>
          </cell>
        </row>
        <row r="939">
          <cell r="A939" t="str">
            <v>B00353GTOK</v>
          </cell>
          <cell r="B939" t="str">
            <v>Bonide</v>
          </cell>
          <cell r="C939" t="str">
            <v>Arett Sales - LG</v>
          </cell>
          <cell r="D939" t="str">
            <v>Bonide Repels-All Animal Repellent, 128 oz Concentrate</v>
          </cell>
          <cell r="E939" t="str">
            <v>https://www.amazon.com/dp/B00353GTOK?psc=1</v>
          </cell>
          <cell r="F939" t="str">
            <v>Rodent Control</v>
          </cell>
          <cell r="G939" t="str">
            <v>Repellents</v>
          </cell>
          <cell r="H939" t="str">
            <v>Rodent Control - Repellents</v>
          </cell>
          <cell r="I939" t="str">
            <v>Insecticide/Fungicide</v>
          </cell>
        </row>
        <row r="940">
          <cell r="A940" t="str">
            <v>B000A0RF6C</v>
          </cell>
          <cell r="B940" t="str">
            <v>Bonide</v>
          </cell>
          <cell r="C940" t="str">
            <v>Arett Sales - LG</v>
          </cell>
          <cell r="D940" t="str">
            <v>Bonide Poison Ivy &amp; Brush Killer BK-32, 32 oz Concentrate</v>
          </cell>
          <cell r="E940" t="str">
            <v>https://www.amazon.com/dp/B000A0RF6C?psc=1</v>
          </cell>
          <cell r="F940" t="str">
            <v>Rodent Control</v>
          </cell>
          <cell r="G940" t="str">
            <v>Bait &amp; Poison</v>
          </cell>
          <cell r="H940" t="str">
            <v>Rodent Control - Bait &amp; Poison</v>
          </cell>
          <cell r="I940" t="str">
            <v>Insecticide/Fungicide</v>
          </cell>
        </row>
        <row r="941">
          <cell r="A941" t="str">
            <v>B000BX4RT6</v>
          </cell>
          <cell r="B941" t="str">
            <v>Bonide</v>
          </cell>
          <cell r="C941" t="str">
            <v>Arett Sales - LG</v>
          </cell>
          <cell r="D941" t="str">
            <v>Bonide Poison Ivy &amp; Brush Killer BK-32, 16 oz Concentrate</v>
          </cell>
          <cell r="E941" t="str">
            <v>https://www.amazon.com/dp/B000BX4RT6?psc=1</v>
          </cell>
          <cell r="F941" t="str">
            <v>Rodent Control</v>
          </cell>
          <cell r="G941" t="str">
            <v>Bait &amp; Poison</v>
          </cell>
          <cell r="H941" t="str">
            <v>Rodent Control - Bait &amp; Poison</v>
          </cell>
          <cell r="I941" t="str">
            <v>Insecticide/Fungicide</v>
          </cell>
        </row>
        <row r="942">
          <cell r="A942" t="str">
            <v>B001H1EQ42</v>
          </cell>
          <cell r="B942" t="str">
            <v>Bonide</v>
          </cell>
          <cell r="C942" t="str">
            <v>Arett Sales - LG</v>
          </cell>
          <cell r="D942" t="str">
            <v>Bonide Repels-All Animal Repellent, 32 oz Ready-to-Spray</v>
          </cell>
          <cell r="E942" t="str">
            <v>https://www.amazon.com/dp/B001H1EQ42</v>
          </cell>
          <cell r="F942" t="str">
            <v>Other</v>
          </cell>
          <cell r="G942" t="str">
            <v>Repellents</v>
          </cell>
          <cell r="H942" t="str">
            <v>Other - Repellents</v>
          </cell>
          <cell r="I942" t="str">
            <v>Insecticide/Fungicide</v>
          </cell>
        </row>
        <row r="943">
          <cell r="A943" t="str">
            <v>B002RBEPQ0</v>
          </cell>
          <cell r="B943" t="str">
            <v>Bonide</v>
          </cell>
          <cell r="C943" t="str">
            <v>Arett Sales - LG</v>
          </cell>
          <cell r="D943" t="str">
            <v>Bonide Rose Rx Systemic Drench, 32 oz</v>
          </cell>
          <cell r="E943" t="str">
            <v>https://www.amazon.com/dp/B002RBEPQ0?psc=1</v>
          </cell>
          <cell r="F943" t="str">
            <v>Other</v>
          </cell>
          <cell r="G943" t="str">
            <v>Other</v>
          </cell>
          <cell r="H943" t="str">
            <v>Other - Other</v>
          </cell>
          <cell r="I943" t="str">
            <v>Insecticide/Fungicide</v>
          </cell>
        </row>
        <row r="944">
          <cell r="A944" t="str">
            <v>B000UJRMHA</v>
          </cell>
          <cell r="B944" t="str">
            <v>Bonide</v>
          </cell>
          <cell r="C944" t="str">
            <v>BFG Supply</v>
          </cell>
          <cell r="D944" t="str">
            <v>Bonide Repels-All Animal Repellent Granules, 6 lbs.</v>
          </cell>
          <cell r="E944" t="str">
            <v>https://www.amazon.com/dp/B000UJRMHA?psc=1</v>
          </cell>
          <cell r="F944" t="str">
            <v>Other</v>
          </cell>
          <cell r="G944" t="str">
            <v>Repellents</v>
          </cell>
          <cell r="H944" t="str">
            <v>Other - Repellents</v>
          </cell>
          <cell r="I944" t="str">
            <v>Insecticide/Fungicide</v>
          </cell>
        </row>
        <row r="945">
          <cell r="A945" t="str">
            <v>B002CA92NC</v>
          </cell>
          <cell r="B945" t="str">
            <v>Bonide</v>
          </cell>
          <cell r="C945" t="str">
            <v>BFG Supply</v>
          </cell>
          <cell r="D945" t="str">
            <v>Bonide Tomato &amp; Blossom Spray Set, 32 oz Ready-to-Use</v>
          </cell>
          <cell r="E945" t="str">
            <v>https://www.amazon.com/dp/B002CA92NC?psc=1</v>
          </cell>
          <cell r="F945" t="str">
            <v>Other</v>
          </cell>
          <cell r="G945" t="str">
            <v>Other</v>
          </cell>
          <cell r="H945" t="str">
            <v>Other - Other</v>
          </cell>
          <cell r="I945" t="str">
            <v>Insecticide/Fungicide</v>
          </cell>
        </row>
        <row r="946">
          <cell r="A946" t="str">
            <v>B0001O0CMQ</v>
          </cell>
          <cell r="B946" t="str">
            <v>Bonide</v>
          </cell>
          <cell r="C946" t="str">
            <v>Bonide</v>
          </cell>
          <cell r="D946" t="str">
            <v>Bonide Stump-Out Granules, 1 lb</v>
          </cell>
          <cell r="E946" t="str">
            <v>https://www.amazon.com/dp/B0001O0CMQ?psc=1</v>
          </cell>
          <cell r="F946" t="str">
            <v>Other</v>
          </cell>
          <cell r="G946" t="str">
            <v>Other</v>
          </cell>
          <cell r="H946" t="str">
            <v>Other - Other</v>
          </cell>
          <cell r="I946" t="str">
            <v>Insecticide/Fungicide</v>
          </cell>
        </row>
        <row r="947">
          <cell r="A947" t="str">
            <v>B00FGIS4G8</v>
          </cell>
          <cell r="B947" t="str">
            <v>Bonide</v>
          </cell>
          <cell r="C947" t="str">
            <v>BONIDE</v>
          </cell>
          <cell r="D947" t="str">
            <v>Bonide Sucker Punch Knock out Sprouts 8 oz</v>
          </cell>
          <cell r="E947" t="str">
            <v>https://www.amazon.com/dp/B00FGIS4G8?psc=1</v>
          </cell>
          <cell r="F947" t="str">
            <v>Other</v>
          </cell>
          <cell r="G947" t="str">
            <v>Other</v>
          </cell>
          <cell r="H947" t="str">
            <v>Other - Other</v>
          </cell>
          <cell r="I947" t="str">
            <v>Insecticide/Fungicide</v>
          </cell>
        </row>
        <row r="948">
          <cell r="A948" t="str">
            <v>B000OOAL6U</v>
          </cell>
          <cell r="B948" t="str">
            <v>Bonide</v>
          </cell>
          <cell r="C948" t="str">
            <v>Bonide</v>
          </cell>
          <cell r="D948" t="str">
            <v>Bonide Rot-Stop Tomato Blossom End Rot, 16 oz Concentrated Liquid Garden Fertilizer for Calcium Deficiency Indoors &amp; Outdoors</v>
          </cell>
          <cell r="E948" t="str">
            <v>https://www.amazon.com/dp/B000OOAL6U</v>
          </cell>
          <cell r="F948" t="str">
            <v>Rodent Control</v>
          </cell>
          <cell r="G948" t="str">
            <v>Other</v>
          </cell>
          <cell r="H948" t="str">
            <v>Rodent Control - Other</v>
          </cell>
          <cell r="I948" t="str">
            <v>Insecticide/Fungicide</v>
          </cell>
        </row>
        <row r="949">
          <cell r="A949" t="str">
            <v>B001WP31T4</v>
          </cell>
          <cell r="B949" t="str">
            <v>Bonide</v>
          </cell>
          <cell r="C949" t="str">
            <v>Bonide</v>
          </cell>
          <cell r="D949" t="str">
            <v>Bonide Systemic Granules Insect Killer 1 lb.</v>
          </cell>
          <cell r="E949" t="str">
            <v>https://www.amazon.com/dp/B001WP31T4</v>
          </cell>
          <cell r="F949" t="str">
            <v>Flying Insect Control</v>
          </cell>
          <cell r="G949" t="str">
            <v>Other</v>
          </cell>
          <cell r="H949" t="str">
            <v>Flying Insect Control - Other</v>
          </cell>
          <cell r="I949" t="str">
            <v>Insecticide/Fungicide</v>
          </cell>
        </row>
        <row r="950">
          <cell r="A950" t="str">
            <v>B000OWB63O</v>
          </cell>
          <cell r="B950" t="str">
            <v>Bonide</v>
          </cell>
          <cell r="C950" t="str">
            <v>Bonide</v>
          </cell>
          <cell r="D950" t="str">
            <v>Bonide Rot-Stop Tomato Blossom End Rot, 32 oz Ready-to-Use Spray</v>
          </cell>
          <cell r="E950" t="str">
            <v>https://www.amazon.com/dp/B000OWB63O?psc=1</v>
          </cell>
          <cell r="F950" t="str">
            <v>Other</v>
          </cell>
          <cell r="G950" t="str">
            <v>Other</v>
          </cell>
          <cell r="H950" t="str">
            <v>Other - Other</v>
          </cell>
          <cell r="I950" t="str">
            <v>Insecticide/Fungicide</v>
          </cell>
        </row>
        <row r="951">
          <cell r="A951" t="str">
            <v>B005X94R7U</v>
          </cell>
          <cell r="B951" t="str">
            <v>Bonide</v>
          </cell>
          <cell r="C951" t="str">
            <v>Bonide</v>
          </cell>
          <cell r="D951" t="str">
            <v>Bonide Bug Beater Stink Bug Trap</v>
          </cell>
          <cell r="E951" t="str">
            <v>https://www.amazon.com/dp/B005X94R7U</v>
          </cell>
          <cell r="F951" t="str">
            <v>Other</v>
          </cell>
          <cell r="G951" t="str">
            <v>Other</v>
          </cell>
          <cell r="H951" t="str">
            <v>Other - Other</v>
          </cell>
          <cell r="I951" t="str">
            <v>Insecticide/Fungicide</v>
          </cell>
        </row>
        <row r="952">
          <cell r="A952" t="str">
            <v>B00CXJTPAW</v>
          </cell>
          <cell r="B952" t="str">
            <v>Bonide</v>
          </cell>
          <cell r="C952" t="str">
            <v>Bonide</v>
          </cell>
          <cell r="D952" t="str">
            <v>Bonide Vine &amp; Stump Killer with Applicator Concentrate 8 Oz</v>
          </cell>
          <cell r="E952" t="str">
            <v>https://www.amazon.com/dp/B00CXJTPAW</v>
          </cell>
          <cell r="F952" t="str">
            <v>Rodent Control</v>
          </cell>
          <cell r="G952" t="str">
            <v>Other</v>
          </cell>
          <cell r="H952" t="str">
            <v>Rodent Control - Other</v>
          </cell>
          <cell r="I952" t="str">
            <v>Insecticide/Fungicide</v>
          </cell>
        </row>
        <row r="953">
          <cell r="A953" t="str">
            <v>B000OWB6UW</v>
          </cell>
          <cell r="B953" t="str">
            <v>Bonide</v>
          </cell>
          <cell r="C953" t="str">
            <v>Bonide</v>
          </cell>
          <cell r="D953" t="str">
            <v>Bonide Eight Insect Control, Vegetable, Fruit &amp; Flower 16 oz Concentrate</v>
          </cell>
          <cell r="E953" t="str">
            <v>https://www.amazon.com/dp/B000OWB6UW?psc=1</v>
          </cell>
          <cell r="F953" t="str">
            <v>Rodent Control</v>
          </cell>
          <cell r="G953" t="str">
            <v>Other</v>
          </cell>
          <cell r="H953" t="str">
            <v>Rodent Control - Other</v>
          </cell>
          <cell r="I953" t="str">
            <v>Insecticide/Fungicide</v>
          </cell>
        </row>
        <row r="954">
          <cell r="A954" t="str">
            <v>B000UJYJRG</v>
          </cell>
          <cell r="B954" t="str">
            <v>Bonide</v>
          </cell>
          <cell r="C954" t="str">
            <v>Bonide</v>
          </cell>
          <cell r="D954" t="str">
            <v>Bonide Captain Jack's Citrus, Fruit &amp; Nut Orchard Spray, 32 oz</v>
          </cell>
          <cell r="E954" t="str">
            <v>https://www.amazon.com/dp/B000UJYJRG?psc=1</v>
          </cell>
          <cell r="F954" t="str">
            <v>Other</v>
          </cell>
          <cell r="G954" t="str">
            <v>Other</v>
          </cell>
          <cell r="H954" t="str">
            <v>Other - Other</v>
          </cell>
          <cell r="I954" t="str">
            <v>Insecticide/Fungicide</v>
          </cell>
        </row>
        <row r="955">
          <cell r="A955" t="str">
            <v>B001B2XHS8</v>
          </cell>
          <cell r="B955" t="str">
            <v>Bonide</v>
          </cell>
          <cell r="C955" t="str">
            <v>Bonide</v>
          </cell>
          <cell r="D955" t="str">
            <v>Bonide 4 oz Multipurpose Measuring Cups for Gardening Solutions, Measure and Mix Pesticides, Fertilizers at Home, White</v>
          </cell>
          <cell r="E955" t="str">
            <v>https://www.amazon.com/dp/B001B2XHS8</v>
          </cell>
          <cell r="F955" t="str">
            <v>Garden Pest Control</v>
          </cell>
          <cell r="G955" t="str">
            <v>Other</v>
          </cell>
          <cell r="H955" t="str">
            <v>Garden Pest Control - Other</v>
          </cell>
          <cell r="I955" t="str">
            <v>Insecticide/Fungicide</v>
          </cell>
        </row>
        <row r="956">
          <cell r="A956" t="str">
            <v>B000OWC16U</v>
          </cell>
          <cell r="B956" t="str">
            <v>Bonide</v>
          </cell>
          <cell r="C956" t="str">
            <v>Bonide Chemical</v>
          </cell>
          <cell r="D956" t="str">
            <v>Bonide Eight Insect Control Yard &amp; Garden, 32 oz Ready-to-Spray</v>
          </cell>
          <cell r="E956" t="str">
            <v>https://www.amazon.com/dp/B000OWC16U</v>
          </cell>
          <cell r="F956" t="str">
            <v>Flying Insect Control</v>
          </cell>
          <cell r="G956" t="str">
            <v>Other</v>
          </cell>
          <cell r="H956" t="str">
            <v>Flying Insect Control - Other</v>
          </cell>
          <cell r="I956" t="str">
            <v>Insecticide/Fungicide</v>
          </cell>
        </row>
        <row r="957">
          <cell r="A957" t="str">
            <v>B000HCUJUW</v>
          </cell>
          <cell r="B957" t="str">
            <v>Bonide</v>
          </cell>
          <cell r="C957" t="str">
            <v>Bonide Chemical</v>
          </cell>
          <cell r="D957" t="str">
            <v>Bonide MossMax, 32 oz Ready-to-Spray Control for Algae, Moss and Lichens, Outdoor Home and Garden Use, Nonstaining Formula</v>
          </cell>
          <cell r="E957" t="str">
            <v>https://www.amazon.com/dp/B000HCUJUW</v>
          </cell>
          <cell r="F957" t="str">
            <v>Garden Pest Control</v>
          </cell>
          <cell r="G957" t="str">
            <v>Moss Control</v>
          </cell>
          <cell r="H957" t="str">
            <v>Garden Pest Control - Moss Control</v>
          </cell>
          <cell r="I957" t="str">
            <v>Insecticide/Fungicide</v>
          </cell>
        </row>
        <row r="958">
          <cell r="A958" t="str">
            <v>B00XNM535Y</v>
          </cell>
          <cell r="B958" t="str">
            <v>Bonide</v>
          </cell>
          <cell r="C958" t="str">
            <v>Bonide Product</v>
          </cell>
          <cell r="D958" t="str">
            <v>Stump-Out Stump &amp; Vine Killer, 8 oz with Applicator</v>
          </cell>
          <cell r="E958" t="str">
            <v>https://www.amazon.com/dp/B00XNM535Y?psc=1</v>
          </cell>
          <cell r="F958" t="str">
            <v>Other</v>
          </cell>
          <cell r="G958" t="str">
            <v>Other</v>
          </cell>
          <cell r="H958" t="str">
            <v>Other - Other</v>
          </cell>
          <cell r="I958" t="str">
            <v>Insecticide/Fungicide</v>
          </cell>
        </row>
        <row r="959">
          <cell r="A959" t="str">
            <v>B00H1ZZMI2</v>
          </cell>
          <cell r="B959" t="str">
            <v>Bonide</v>
          </cell>
          <cell r="C959" t="str">
            <v>Bonide Product</v>
          </cell>
          <cell r="D959" t="str">
            <v>Bontone Rooting Powder, 1.25-oz.</v>
          </cell>
          <cell r="E959" t="str">
            <v>https://www.amazon.com/dp/B00H1ZZMI2</v>
          </cell>
          <cell r="F959" t="str">
            <v>Other</v>
          </cell>
          <cell r="G959" t="str">
            <v>Other</v>
          </cell>
          <cell r="H959" t="str">
            <v>Other - Other</v>
          </cell>
          <cell r="I959" t="str">
            <v>Insecticide/Fungicide</v>
          </cell>
        </row>
        <row r="960">
          <cell r="A960" t="str">
            <v>B008GUI0XU</v>
          </cell>
          <cell r="B960" t="str">
            <v>Bonide</v>
          </cell>
          <cell r="C960" t="str">
            <v>BONIDE PRODUCT</v>
          </cell>
          <cell r="D960" t="str">
            <v>Pyrethrin Bonide Garden Insect Spray Concentrate 16 oz</v>
          </cell>
          <cell r="E960" t="str">
            <v>https://www.amazon.com/dp/B008GUI0XU</v>
          </cell>
          <cell r="F960" t="str">
            <v>Rodent Control</v>
          </cell>
          <cell r="G960" t="str">
            <v>Other</v>
          </cell>
          <cell r="H960" t="str">
            <v>Rodent Control - Other</v>
          </cell>
          <cell r="I960" t="str">
            <v>Insecticide/Fungicide</v>
          </cell>
        </row>
        <row r="961">
          <cell r="A961" t="str">
            <v>B00QV332A0</v>
          </cell>
          <cell r="B961" t="str">
            <v>Bonide</v>
          </cell>
          <cell r="C961" t="str">
            <v>Bonide Products Inc</v>
          </cell>
          <cell r="D961" t="str">
            <v>Bonide Hot Pepper Wax Animal Repellent, Ready-to-Use, 32 oz</v>
          </cell>
          <cell r="E961" t="str">
            <v>https://www.amazon.com/dp/B00QV332A0</v>
          </cell>
          <cell r="F961" t="str">
            <v>Other</v>
          </cell>
          <cell r="G961" t="str">
            <v>Repellents</v>
          </cell>
          <cell r="H961" t="str">
            <v>Other - Repellents</v>
          </cell>
          <cell r="I961" t="str">
            <v>Insecticide/Fungicide</v>
          </cell>
        </row>
        <row r="962">
          <cell r="A962" t="str">
            <v>B00KOW48MU</v>
          </cell>
          <cell r="B962" t="str">
            <v>Bonide</v>
          </cell>
          <cell r="C962" t="str">
            <v>Bonide Products Inc</v>
          </cell>
          <cell r="D962" t="str">
            <v>Tomato &amp; Blossom Set Spray Ready to Use</v>
          </cell>
          <cell r="E962" t="str">
            <v>https://www.amazon.com/dp/B00KOW48MU?psc=1</v>
          </cell>
          <cell r="F962" t="str">
            <v>Other</v>
          </cell>
          <cell r="G962" t="str">
            <v>Other</v>
          </cell>
          <cell r="H962" t="str">
            <v>Other - Other</v>
          </cell>
          <cell r="I962" t="str">
            <v>Insecticide/Fungicide</v>
          </cell>
        </row>
        <row r="963">
          <cell r="A963" t="str">
            <v>B01LYXXTZF</v>
          </cell>
          <cell r="B963" t="str">
            <v>Bonide</v>
          </cell>
          <cell r="C963" t="str">
            <v>Bonide Products LLC</v>
          </cell>
          <cell r="D963" t="str">
            <v>Bonide Captain Jack's Bacillus Thuringiensis BT, 32 oz</v>
          </cell>
          <cell r="E963" t="str">
            <v>https://www.amazon.com/dp/B01LYXXTZF?psc=1</v>
          </cell>
          <cell r="F963" t="str">
            <v>Other</v>
          </cell>
          <cell r="G963" t="str">
            <v>Other</v>
          </cell>
          <cell r="H963" t="str">
            <v>Other - Other</v>
          </cell>
          <cell r="I963" t="str">
            <v>Insecticide/Fungicide</v>
          </cell>
        </row>
        <row r="964">
          <cell r="A964" t="str">
            <v>B000BQLQU6</v>
          </cell>
          <cell r="B964" t="str">
            <v>Bonide</v>
          </cell>
          <cell r="C964" t="str">
            <v>Bonide Products LLC</v>
          </cell>
          <cell r="D964" t="str">
            <v>Bonide Insecticidal Soap, 32 oz Ready-to-Use Spray Multi-Purpose Insect Control for Organic Gardening Indoor and Outdoor</v>
          </cell>
          <cell r="E964" t="str">
            <v>https://www.amazon.com/dp/B000BQLQU6?psc=1</v>
          </cell>
          <cell r="F964" t="str">
            <v>Flying Insect Control</v>
          </cell>
          <cell r="G964" t="str">
            <v>Other</v>
          </cell>
          <cell r="H964" t="str">
            <v>Flying Insect Control - Other</v>
          </cell>
          <cell r="I964" t="str">
            <v>Insecticide/Fungicide</v>
          </cell>
        </row>
        <row r="965">
          <cell r="A965" t="str">
            <v>B000BX1HGC</v>
          </cell>
          <cell r="B965" t="str">
            <v>Bonide</v>
          </cell>
          <cell r="C965" t="str">
            <v>Bonide Products LLC</v>
          </cell>
          <cell r="D965" t="str">
            <v>Bonide Bontone II Rooting Powder, 1.25 oz Ready-to-Use Dust for Houseplants and Transplants Speeds Root Development</v>
          </cell>
          <cell r="E965" t="str">
            <v>https://www.amazon.com/dp/B000BX1HGC?psc=1</v>
          </cell>
          <cell r="F965" t="str">
            <v>Crawling Insect Control</v>
          </cell>
          <cell r="G965" t="str">
            <v>Ant Traps</v>
          </cell>
          <cell r="H965" t="str">
            <v>Crawling Insect Control - Ant Traps</v>
          </cell>
          <cell r="I965" t="str">
            <v>Insecticide/Fungicide</v>
          </cell>
        </row>
        <row r="966">
          <cell r="A966" t="str">
            <v>B000HCNSWI</v>
          </cell>
          <cell r="B966" t="str">
            <v>Bonide</v>
          </cell>
          <cell r="C966" t="str">
            <v>Bonide Products LLC</v>
          </cell>
          <cell r="D966" t="str">
            <v>Bonide Captain Jack's Insecticidal Super Soap, 32 oz Ready-to-Use Spray For Organic Gardening and Outdoor Plants</v>
          </cell>
          <cell r="E966" t="str">
            <v>https://www.amazon.com/dp/B000HCNSWI</v>
          </cell>
          <cell r="F966" t="str">
            <v>Flying Insect Control</v>
          </cell>
          <cell r="G966" t="str">
            <v>Ant Traps</v>
          </cell>
          <cell r="H966" t="str">
            <v>Flying Insect Control - Ant Traps</v>
          </cell>
          <cell r="I966" t="str">
            <v>Insecticide/Fungicide</v>
          </cell>
        </row>
        <row r="967">
          <cell r="A967" t="str">
            <v>B000BWZ9U8</v>
          </cell>
          <cell r="B967" t="str">
            <v>Bonide</v>
          </cell>
          <cell r="C967" t="str">
            <v>Bonide Products LLC</v>
          </cell>
          <cell r="D967" t="str">
            <v>Bonide Insect Control Systemic Granules, 4 lbs</v>
          </cell>
          <cell r="E967" t="str">
            <v>https://www.amazon.com/dp/B000BWZ9U8?psc=1</v>
          </cell>
          <cell r="F967" t="str">
            <v>Flying Insect Control</v>
          </cell>
          <cell r="G967" t="str">
            <v>Other</v>
          </cell>
          <cell r="H967" t="str">
            <v>Flying Insect Control - Other</v>
          </cell>
          <cell r="I967" t="str">
            <v>Insecticide/Fungicide</v>
          </cell>
        </row>
        <row r="968">
          <cell r="A968" t="str">
            <v>B074G46K6X</v>
          </cell>
          <cell r="B968" t="str">
            <v>Bonide</v>
          </cell>
          <cell r="C968" t="str">
            <v>Bonide Products LLC</v>
          </cell>
          <cell r="D968" t="str">
            <v>Bonide Captain Jack's Thuricide BT, 128 oz Ready-to-Use with Sprayer, Kills Worms and Caterpillars in Home Garden, For Organic Gardening</v>
          </cell>
          <cell r="E968" t="str">
            <v>https://www.amazon.com/dp/B074G46K6X?psc=1</v>
          </cell>
          <cell r="F968" t="str">
            <v>Garden Pest Control</v>
          </cell>
          <cell r="G968" t="str">
            <v>Sprayer</v>
          </cell>
          <cell r="H968" t="str">
            <v>Garden Pest Control - Sprayer</v>
          </cell>
          <cell r="I968" t="str">
            <v>Insecticide/Fungicide</v>
          </cell>
        </row>
        <row r="969">
          <cell r="A969" t="str">
            <v>B00H9DYJA8</v>
          </cell>
          <cell r="B969" t="str">
            <v>Bonide</v>
          </cell>
          <cell r="C969" t="str">
            <v>Bonide Products LLC</v>
          </cell>
          <cell r="D969" t="str">
            <v>Bonide Sucker Punch, 16 oz Ready-to-Use Spray</v>
          </cell>
          <cell r="E969" t="str">
            <v>https://www.amazon.com/dp/B00H9DYJA8?psc=1</v>
          </cell>
          <cell r="F969" t="str">
            <v>Other</v>
          </cell>
          <cell r="G969" t="str">
            <v>Other</v>
          </cell>
          <cell r="H969" t="str">
            <v>Other - Other</v>
          </cell>
          <cell r="I969" t="str">
            <v>Insecticide/Fungicide</v>
          </cell>
        </row>
        <row r="970">
          <cell r="A970" t="str">
            <v>B002ITL19A</v>
          </cell>
          <cell r="B970" t="str">
            <v>Bonide</v>
          </cell>
          <cell r="C970" t="str">
            <v>Bonide Products LLC</v>
          </cell>
          <cell r="D970" t="str">
            <v>Bonide Annual Tree &amp; Shrub Insect Control with Systemaxx, 128 oz Concentrate, Year Long Protection and Insect Killer</v>
          </cell>
          <cell r="E970" t="str">
            <v>https://www.amazon.com/dp/B002ITL19A?psc=1</v>
          </cell>
          <cell r="F970" t="str">
            <v>Rodent Control</v>
          </cell>
          <cell r="G970" t="str">
            <v>Other</v>
          </cell>
          <cell r="H970" t="str">
            <v>Rodent Control - Other</v>
          </cell>
          <cell r="I970" t="str">
            <v>Insecticide/Fungicide</v>
          </cell>
        </row>
        <row r="971">
          <cell r="A971" t="str">
            <v>B0BQ7L18NW</v>
          </cell>
          <cell r="B971" t="str">
            <v>Bonide</v>
          </cell>
          <cell r="C971" t="str">
            <v>Bonide Products LLC</v>
          </cell>
          <cell r="D971" t="str">
            <v>Bonide Captain Jack's Fruit Tree Spray, 32 oz Concentrate</v>
          </cell>
          <cell r="E971" t="str">
            <v>https://www.amazon.com/dp/B0BQ7L18NW?psc=1</v>
          </cell>
          <cell r="F971" t="str">
            <v>Rodent Control</v>
          </cell>
          <cell r="G971" t="str">
            <v>Other</v>
          </cell>
          <cell r="H971" t="str">
            <v>Rodent Control - Other</v>
          </cell>
          <cell r="I971" t="str">
            <v>Insecticide/Fungicide</v>
          </cell>
        </row>
        <row r="972">
          <cell r="A972" t="str">
            <v>B0BQ7MFDCD</v>
          </cell>
          <cell r="B972" t="str">
            <v>Bonide</v>
          </cell>
          <cell r="C972" t="str">
            <v>Bonide Products LLC</v>
          </cell>
          <cell r="D972" t="str">
            <v>Bonide Captain Jack's Fruit Tree Spray, 16 oz Concentrate</v>
          </cell>
          <cell r="E972" t="str">
            <v>https://www.amazon.com/dp/B0BQ7MFDCD?psc=1</v>
          </cell>
          <cell r="F972" t="str">
            <v>Rodent Control</v>
          </cell>
          <cell r="G972" t="str">
            <v>Other</v>
          </cell>
          <cell r="H972" t="str">
            <v>Rodent Control - Other</v>
          </cell>
          <cell r="I972" t="str">
            <v>Insecticide/Fungicide</v>
          </cell>
        </row>
        <row r="973">
          <cell r="A973" t="str">
            <v>B000BPC1YM</v>
          </cell>
          <cell r="B973" t="str">
            <v>Bonide</v>
          </cell>
          <cell r="C973" t="str">
            <v>Bonide Products LLC</v>
          </cell>
          <cell r="D973" t="str">
            <v>Bonide Captain Jack's Tomato &amp; Vegetable Spray, 32 oz Ready-to-Use Spray, Insect &amp; Disease Control for Organic Gardening</v>
          </cell>
          <cell r="E973" t="str">
            <v>https://www.amazon.com/dp/B000BPC1YM?psc=1</v>
          </cell>
          <cell r="F973" t="str">
            <v>Flying Insect Control</v>
          </cell>
          <cell r="G973" t="str">
            <v>Other</v>
          </cell>
          <cell r="H973" t="str">
            <v>Flying Insect Control - Other</v>
          </cell>
          <cell r="I973" t="str">
            <v>Insecticide/Fungicide</v>
          </cell>
        </row>
        <row r="974">
          <cell r="A974" t="str">
            <v>B001U14FA4</v>
          </cell>
          <cell r="B974" t="str">
            <v>Bonide</v>
          </cell>
          <cell r="C974" t="str">
            <v>Bonide Products LLC</v>
          </cell>
          <cell r="D974" t="str">
            <v>Bonide Garden Rich Root &amp; Grow Root Stimulator, 128 oz Concentrate</v>
          </cell>
          <cell r="E974" t="str">
            <v>https://www.amazon.com/dp/B001U14FA4?psc=1</v>
          </cell>
          <cell r="F974" t="str">
            <v>Rodent Control</v>
          </cell>
          <cell r="G974" t="str">
            <v>Other</v>
          </cell>
          <cell r="H974" t="str">
            <v>Rodent Control - Other</v>
          </cell>
          <cell r="I974" t="str">
            <v>Insecticide/Fungicide</v>
          </cell>
        </row>
        <row r="975">
          <cell r="A975" t="str">
            <v>B0F33S5JG6</v>
          </cell>
          <cell r="B975" t="str">
            <v>Bonide</v>
          </cell>
          <cell r="C975" t="str">
            <v>Bonide Products LLC</v>
          </cell>
          <cell r="D975" t="str">
            <v>Bonide Captain Jack's Rose Rx 4-in-1 Insect &amp; Disease Control, 16 oz</v>
          </cell>
          <cell r="E975" t="str">
            <v>https://www.amazon.com/dp/B0F33S5JG6?psc=1</v>
          </cell>
          <cell r="F975" t="str">
            <v>Flying Insect Control</v>
          </cell>
          <cell r="G975" t="str">
            <v>Other</v>
          </cell>
          <cell r="H975" t="str">
            <v>Flying Insect Control - Other</v>
          </cell>
          <cell r="I975" t="str">
            <v>Insecticide/Fungicide</v>
          </cell>
        </row>
        <row r="976">
          <cell r="A976" t="str">
            <v>B08DZ71CYV</v>
          </cell>
          <cell r="B976" t="str">
            <v>Bonide</v>
          </cell>
          <cell r="C976" t="str">
            <v>Bonide Products LLC</v>
          </cell>
          <cell r="D976" t="str">
            <v>Bonide Rose Shield Systemic Rose &amp; Flower Drench, 40 oz</v>
          </cell>
          <cell r="E976" t="str">
            <v>https://www.amazon.com/dp/B08DZ71CYV</v>
          </cell>
          <cell r="F976" t="str">
            <v>Other</v>
          </cell>
          <cell r="G976" t="str">
            <v>Other</v>
          </cell>
          <cell r="H976" t="str">
            <v>Other - Other</v>
          </cell>
          <cell r="I976" t="str">
            <v>Insecticide/Fungicide</v>
          </cell>
        </row>
        <row r="977">
          <cell r="A977" t="str">
            <v>B09WTHQW7W</v>
          </cell>
          <cell r="B977" t="str">
            <v>Bonide</v>
          </cell>
          <cell r="C977" t="str">
            <v>Bonide Products LLC</v>
          </cell>
          <cell r="D977" t="str">
            <v>REVENGE Wasp &amp; Hornet Killer Aerosol, 15 oz Ready-to-Use Spray for Wasps, Hornets and Yellow Jackets, Kills Entire Nest</v>
          </cell>
          <cell r="E977" t="str">
            <v>https://www.amazon.com/dp/B09WTHQW7W?psc=1</v>
          </cell>
          <cell r="F977" t="str">
            <v>Other</v>
          </cell>
          <cell r="G977" t="str">
            <v>Other</v>
          </cell>
          <cell r="H977" t="str">
            <v>Other - Other</v>
          </cell>
          <cell r="I977" t="str">
            <v>Insecticide/Fungicide</v>
          </cell>
        </row>
        <row r="978">
          <cell r="A978" t="str">
            <v>B000UJX9TK</v>
          </cell>
          <cell r="B978" t="str">
            <v>Bonide</v>
          </cell>
          <cell r="C978" t="str">
            <v>Garant</v>
          </cell>
          <cell r="D978" t="str">
            <v>Bonide Repels-All Animal Repellent Granules, 1.25 lbs.</v>
          </cell>
          <cell r="E978" t="str">
            <v>https://www.amazon.com/dp/B000UJX9TK?psc=1</v>
          </cell>
          <cell r="F978" t="str">
            <v>Other</v>
          </cell>
          <cell r="G978" t="str">
            <v>Repellents</v>
          </cell>
          <cell r="H978" t="str">
            <v>Other - Repellents</v>
          </cell>
          <cell r="I978" t="str">
            <v>Insecticide/Fungicide</v>
          </cell>
        </row>
        <row r="979">
          <cell r="A979" t="str">
            <v>B000BQR0XS</v>
          </cell>
          <cell r="B979" t="str">
            <v>Bonide</v>
          </cell>
          <cell r="C979" t="str">
            <v>Jensen Distributing - Lawn &amp; Garden</v>
          </cell>
          <cell r="D979" t="str">
            <v>Bonide Captain Jack's Slug Magic Granules, 3 lbs. Snail &amp; Slug Killer, For Organic Formula, Pet Safe Formula</v>
          </cell>
          <cell r="E979" t="str">
            <v>https://www.amazon.com/dp/B000BQR0XS?psc=1</v>
          </cell>
          <cell r="F979" t="str">
            <v>Other</v>
          </cell>
          <cell r="G979" t="str">
            <v>Other</v>
          </cell>
          <cell r="H979" t="str">
            <v>Other - Other</v>
          </cell>
          <cell r="I979" t="str">
            <v>Insecticide/Fungicide</v>
          </cell>
        </row>
        <row r="980">
          <cell r="A980" t="str">
            <v>B009ATFJWG</v>
          </cell>
          <cell r="B980" t="str">
            <v>Bonide</v>
          </cell>
          <cell r="C980" t="str">
            <v>Sunlight Supply Inc.</v>
          </cell>
          <cell r="D980" t="str">
            <v>Bonide Pyrethrin Garden Insect Spray Concentrate, 16 oz</v>
          </cell>
          <cell r="E980" t="str">
            <v>https://www.amazon.com/dp/B009ATFJWG?psc=1</v>
          </cell>
          <cell r="F980" t="str">
            <v>Rodent Control</v>
          </cell>
          <cell r="G980" t="str">
            <v>Other</v>
          </cell>
          <cell r="H980" t="str">
            <v>Rodent Control - Other</v>
          </cell>
          <cell r="I980" t="str">
            <v>Insecticide/Fungicide</v>
          </cell>
        </row>
        <row r="981">
          <cell r="A981" t="str">
            <v>B001H1GQN6</v>
          </cell>
          <cell r="B981" t="str">
            <v>Bonide</v>
          </cell>
          <cell r="C981" t="str">
            <v>TV Non-Branded Items</v>
          </cell>
          <cell r="D981" t="str">
            <v>Bonide Systemic Insect Spray with Systemaxx, 32 oz</v>
          </cell>
          <cell r="E981" t="str">
            <v>https://www.amazon.com/dp/B001H1GQN6?psc=1</v>
          </cell>
          <cell r="F981" t="str">
            <v>Flying Insect Control</v>
          </cell>
          <cell r="G981" t="str">
            <v>Other</v>
          </cell>
          <cell r="H981" t="str">
            <v>Flying Insect Control - Other</v>
          </cell>
          <cell r="I981" t="str">
            <v>Insecticide/Fungicide</v>
          </cell>
        </row>
        <row r="982">
          <cell r="A982" t="str">
            <v>B0F1H7DYTP</v>
          </cell>
          <cell r="B982" t="str">
            <v>Tomcat</v>
          </cell>
          <cell r="C982" t="str">
            <v>The Scotts Company</v>
          </cell>
          <cell r="D982" t="str">
            <v>Tomcat with Bromethalin Bait Chunx Pail, 4.25 lbs.</v>
          </cell>
          <cell r="E982" t="str">
            <v>https://www.amazon.com/dp/B0F1H7DYTP?psc=1</v>
          </cell>
          <cell r="F982" t="str">
            <v>Other</v>
          </cell>
          <cell r="G982" t="str">
            <v>Bait &amp; Poison</v>
          </cell>
          <cell r="H982" t="str">
            <v>Other - Bait &amp; Poison</v>
          </cell>
          <cell r="I982" t="str">
            <v>Rodent</v>
          </cell>
        </row>
        <row r="983">
          <cell r="A983" t="str">
            <v>B012RDQXMQ</v>
          </cell>
          <cell r="B983" t="str">
            <v>Tomcat</v>
          </cell>
          <cell r="C983" t="str">
            <v>The Scotts Company</v>
          </cell>
          <cell r="D983" t="str">
            <v>Tomcat Tunnel Trapping System</v>
          </cell>
          <cell r="E983" t="str">
            <v>https://www.amazon.com/dp/B012RDQXMQ?psc=1</v>
          </cell>
          <cell r="F983" t="str">
            <v>Other</v>
          </cell>
          <cell r="G983" t="str">
            <v>Other</v>
          </cell>
          <cell r="H983" t="str">
            <v>Other - Other</v>
          </cell>
          <cell r="I983" t="str">
            <v>Rodent</v>
          </cell>
        </row>
        <row r="984">
          <cell r="A984" t="str">
            <v>B01MS4NEQJ</v>
          </cell>
          <cell r="B984" t="str">
            <v>Tomcat</v>
          </cell>
          <cell r="C984" t="str">
            <v>The Scotts Company LLC</v>
          </cell>
          <cell r="D984" t="str">
            <v>Tomcat Glue Boards with Eugenol for Enhanced Stickiness, 4 Sticky Traps</v>
          </cell>
          <cell r="E984" t="str">
            <v>https://www.amazon.com/dp/B01MS4NEQJ?psc=1</v>
          </cell>
          <cell r="F984" t="str">
            <v>Other</v>
          </cell>
          <cell r="G984" t="str">
            <v>Glue Traps</v>
          </cell>
          <cell r="H984" t="str">
            <v>Other - Glue Traps</v>
          </cell>
          <cell r="I984" t="str">
            <v>Rodent</v>
          </cell>
        </row>
        <row r="985">
          <cell r="A985" t="str">
            <v>B0149L6MY8</v>
          </cell>
          <cell r="B985" t="str">
            <v>Tomcat</v>
          </cell>
          <cell r="C985" t="str">
            <v>The Scotts Company LLC</v>
          </cell>
          <cell r="D985" t="str">
            <v>TOMCAT Bromethalin Place Pacs Bait, 4.1 lbs.</v>
          </cell>
          <cell r="E985" t="str">
            <v>https://www.amazon.com/dp/B0149L6MY8?psc=1</v>
          </cell>
          <cell r="F985" t="str">
            <v>Other</v>
          </cell>
          <cell r="G985" t="str">
            <v>Bait &amp; Poison</v>
          </cell>
          <cell r="H985" t="str">
            <v>Other - Bait &amp; Poison</v>
          </cell>
          <cell r="I985" t="str">
            <v>Rodent</v>
          </cell>
        </row>
        <row r="986">
          <cell r="A986" t="str">
            <v>B012RDZ7R8</v>
          </cell>
          <cell r="B986" t="str">
            <v>Tomcat</v>
          </cell>
          <cell r="C986" t="str">
            <v>The Scotts Company LLC</v>
          </cell>
          <cell r="D986" t="str">
            <v>Tomcat Glue Boards with Eugenol for Enhanced Stickiness, 12 Sticky Traps</v>
          </cell>
          <cell r="E986" t="str">
            <v>https://www.amazon.com/dp/B012RDZ7R8?psc=1</v>
          </cell>
          <cell r="F986" t="str">
            <v>Other</v>
          </cell>
          <cell r="G986" t="str">
            <v>Glue Traps</v>
          </cell>
          <cell r="H986" t="str">
            <v>Other - Glue Traps</v>
          </cell>
          <cell r="I986" t="str">
            <v>Rodent</v>
          </cell>
        </row>
        <row r="987">
          <cell r="A987" t="str">
            <v>B012RGNIO4</v>
          </cell>
          <cell r="B987" t="str">
            <v>Tomcat</v>
          </cell>
          <cell r="C987" t="str">
            <v>The Scotts Company LLC</v>
          </cell>
          <cell r="D987" t="str">
            <v>Tomcat Spin Trap for Mice, 2 Traps</v>
          </cell>
          <cell r="E987" t="str">
            <v>https://www.amazon.com/dp/B012RGNIO4?psc=1</v>
          </cell>
          <cell r="F987" t="str">
            <v>Rodent Control</v>
          </cell>
          <cell r="G987" t="str">
            <v>Other</v>
          </cell>
          <cell r="H987" t="str">
            <v>Rodent Control - Other</v>
          </cell>
          <cell r="I987" t="str">
            <v>Rodent</v>
          </cell>
        </row>
        <row r="988">
          <cell r="A988" t="str">
            <v>B012E3SYXK</v>
          </cell>
          <cell r="B988" t="str">
            <v>Tomcat</v>
          </cell>
          <cell r="C988" t="str">
            <v>The Scotts Company LLC</v>
          </cell>
          <cell r="D988" t="str">
            <v>Tomcat Household Pest Glue Trap, 4-Pack</v>
          </cell>
          <cell r="E988" t="str">
            <v>https://www.amazon.com/dp/B012E3SYXK?psc=1</v>
          </cell>
          <cell r="F988" t="str">
            <v>Other</v>
          </cell>
          <cell r="G988" t="str">
            <v>Glue Traps</v>
          </cell>
          <cell r="H988" t="str">
            <v>Other - Glue Traps</v>
          </cell>
          <cell r="I988" t="str">
            <v>Rodent</v>
          </cell>
        </row>
        <row r="989">
          <cell r="A989" t="str">
            <v>B012RDZH96</v>
          </cell>
          <cell r="B989" t="str">
            <v>Tomcat</v>
          </cell>
          <cell r="C989" t="str">
            <v>The Scotts Company LLC</v>
          </cell>
          <cell r="D989" t="str">
            <v>Tomcat Glue Boards with Eugenol for Enhanced Stickiness, 32 Sticky Traps</v>
          </cell>
          <cell r="E989" t="str">
            <v>https://www.amazon.com/dp/B012RDZH96?psc=1</v>
          </cell>
          <cell r="F989" t="str">
            <v>Other</v>
          </cell>
          <cell r="G989" t="str">
            <v>Glue Traps</v>
          </cell>
          <cell r="H989" t="str">
            <v>Other - Glue Traps</v>
          </cell>
          <cell r="I989" t="str">
            <v>Rodent</v>
          </cell>
        </row>
        <row r="990">
          <cell r="A990" t="str">
            <v>B01NCOT3W4</v>
          </cell>
          <cell r="B990" t="str">
            <v>Tomcat</v>
          </cell>
          <cell r="C990" t="str">
            <v>The Scotts Company LLC</v>
          </cell>
          <cell r="D990" t="str">
            <v>Tomcat Glue Boards with Eugenol for Enhanced Stickiness, 104 Sticky Traps</v>
          </cell>
          <cell r="E990" t="str">
            <v>https://www.amazon.com/dp/B01NCOT3W4?psc=1</v>
          </cell>
          <cell r="F990" t="str">
            <v>Other</v>
          </cell>
          <cell r="G990" t="str">
            <v>Glue Traps</v>
          </cell>
          <cell r="H990" t="str">
            <v>Other - Glue Traps</v>
          </cell>
          <cell r="I990" t="str">
            <v>Rodent</v>
          </cell>
        </row>
        <row r="991">
          <cell r="A991" t="str">
            <v>B0719DF4NZ</v>
          </cell>
          <cell r="B991" t="str">
            <v>Tomcat</v>
          </cell>
          <cell r="C991" t="str">
            <v>The Scotts Company LLC</v>
          </cell>
          <cell r="D991" t="str">
            <v>Tomcat Repellents Animal Repellent Ready-to-Use1 with Comfort Wand, 1 gal.</v>
          </cell>
          <cell r="E991" t="str">
            <v>https://www.amazon.com/dp/B0719DF4NZ?psc=1</v>
          </cell>
          <cell r="F991" t="str">
            <v>Other</v>
          </cell>
          <cell r="G991" t="str">
            <v>Repellents</v>
          </cell>
          <cell r="H991" t="str">
            <v>Other - Repellents</v>
          </cell>
          <cell r="I991" t="str">
            <v>Rodent</v>
          </cell>
        </row>
        <row r="992">
          <cell r="A992" t="str">
            <v>B0195UE0NI</v>
          </cell>
          <cell r="B992" t="str">
            <v>Catchmaster</v>
          </cell>
          <cell r="C992" t="str">
            <v>AP&amp;G</v>
          </cell>
          <cell r="D992" t="str">
            <v>Catchmaster 72MB Glueboards QTY 12 Glueboards 602534 by Catchmaster</v>
          </cell>
          <cell r="E992" t="str">
            <v>https://www.amazon.com/dp/B0195UE0NI</v>
          </cell>
          <cell r="F992" t="str">
            <v>Other</v>
          </cell>
          <cell r="G992" t="str">
            <v>Other</v>
          </cell>
          <cell r="H992" t="str">
            <v>Other - Other</v>
          </cell>
          <cell r="I992" t="str">
            <v>Other Glue boards for insect or rodent</v>
          </cell>
        </row>
        <row r="993">
          <cell r="A993" t="str">
            <v>B01KXKL2BW</v>
          </cell>
          <cell r="B993" t="str">
            <v>Catchmaster</v>
          </cell>
          <cell r="C993" t="str">
            <v>Catchmaster</v>
          </cell>
          <cell r="D993" t="str">
            <v>Insect Trap &amp; Monitors 288i - No Chemicals !!!- Non-Toxic Glue Traps!! 5 Glue Boards / 15 Monitors</v>
          </cell>
          <cell r="E993" t="str">
            <v>https://www.amazon.com/dp/B01KXKL2BW</v>
          </cell>
          <cell r="F993" t="str">
            <v>Flying Insect Control</v>
          </cell>
          <cell r="G993" t="str">
            <v>Glue Traps</v>
          </cell>
          <cell r="H993" t="str">
            <v>Flying Insect Control - Glue Traps</v>
          </cell>
          <cell r="I993" t="str">
            <v>Other Glue boards for insect or rodent</v>
          </cell>
        </row>
        <row r="994">
          <cell r="A994" t="str">
            <v>B08PCBLFNZ</v>
          </cell>
          <cell r="B994" t="str">
            <v>Catchmaster</v>
          </cell>
          <cell r="C994" t="str">
            <v>Catchmaster</v>
          </cell>
          <cell r="D994" t="str">
            <v>Catchmaster Scorpion Glue Tray Traps 6-Pack, Adhesive Scorpion Killer for Home, Simple Insect Traps Indoor, Sticky Bug Catcher for Kitchen, Garage, &amp; Basement, Pest Control Glue Trap</v>
          </cell>
          <cell r="E994" t="str">
            <v>https://www.amazon.com/dp/B08PCBLFNZ</v>
          </cell>
          <cell r="F994" t="str">
            <v>Flying Insect Control</v>
          </cell>
          <cell r="G994" t="str">
            <v>Glue Traps</v>
          </cell>
          <cell r="H994" t="str">
            <v>Flying Insect Control - Glue Traps</v>
          </cell>
          <cell r="I994" t="str">
            <v>Other Glue boards for insect or rodent</v>
          </cell>
        </row>
        <row r="995">
          <cell r="A995" t="str">
            <v>B00BR1BQUO</v>
          </cell>
          <cell r="B995" t="str">
            <v>HARRIS</v>
          </cell>
          <cell r="C995" t="str">
            <v>Harris</v>
          </cell>
          <cell r="D995" t="str">
            <v>Harris Cricket Glue Traps, (2-Pack)</v>
          </cell>
          <cell r="E995" t="str">
            <v>https://www.amazon.com/dp/B00BR1BQUO</v>
          </cell>
          <cell r="F995" t="str">
            <v>Crawling Insect Control</v>
          </cell>
          <cell r="G995" t="str">
            <v>Glue Traps</v>
          </cell>
          <cell r="H995" t="str">
            <v>Crawling Insect Control - Glue Traps</v>
          </cell>
          <cell r="I995" t="str">
            <v>Other Glue boards for insect or rodent</v>
          </cell>
        </row>
        <row r="996">
          <cell r="A996" t="str">
            <v>B07MVM3XLC</v>
          </cell>
          <cell r="B996" t="str">
            <v>JT Eaton</v>
          </cell>
          <cell r="C996" t="str">
            <v>JT Eaton</v>
          </cell>
          <cell r="D996" t="str">
            <v>Stick-Em 198-12S 12 Pack Scorpion Glue Trap, Brown/A</v>
          </cell>
          <cell r="E996" t="str">
            <v>https://www.amazon.com/dp/B07MVM3XLC</v>
          </cell>
          <cell r="F996" t="str">
            <v>Crawling Insect Control</v>
          </cell>
          <cell r="G996" t="str">
            <v>Glue Traps</v>
          </cell>
          <cell r="H996" t="str">
            <v>Crawling Insect Control - Glue Traps</v>
          </cell>
          <cell r="I996" t="str">
            <v>Other Glue boards for insect or rodent</v>
          </cell>
        </row>
        <row r="997">
          <cell r="A997" t="str">
            <v>B00RC8KFB2</v>
          </cell>
          <cell r="B997" t="str">
            <v>Trapper Max</v>
          </cell>
          <cell r="C997" t="str">
            <v>Trapper Max</v>
          </cell>
          <cell r="D997" t="str">
            <v>Trapper Max 11 Catcher's Maximum 6 Glue Board Trap, White</v>
          </cell>
          <cell r="E997" t="str">
            <v>https://www.amazon.com/dp/B00RC8KFB2</v>
          </cell>
          <cell r="F997" t="str">
            <v>Other</v>
          </cell>
          <cell r="G997" t="str">
            <v>Glue Traps</v>
          </cell>
          <cell r="H997" t="str">
            <v>Other - Glue Traps</v>
          </cell>
          <cell r="I997" t="str">
            <v>Other Glue boards for insect or rodent</v>
          </cell>
        </row>
        <row r="998">
          <cell r="A998" t="str">
            <v>B06XG5Y1L7</v>
          </cell>
          <cell r="B998" t="str">
            <v>Trapper Max</v>
          </cell>
          <cell r="C998" t="str">
            <v>Trapper Max</v>
          </cell>
          <cell r="D998" t="str">
            <v>Trapper Max 11 Catcher's Maximum 36 Glue Board Trap, White</v>
          </cell>
          <cell r="E998" t="str">
            <v>https://www.amazon.com/dp/B06XG5Y1L7</v>
          </cell>
          <cell r="F998" t="str">
            <v>Other</v>
          </cell>
          <cell r="G998" t="str">
            <v>Glue Traps</v>
          </cell>
          <cell r="H998" t="str">
            <v>Other - Glue Traps</v>
          </cell>
          <cell r="I998" t="str">
            <v>Other Glue boards for insect or rodent</v>
          </cell>
        </row>
        <row r="999">
          <cell r="A999" t="str">
            <v>B01DTC7FGM</v>
          </cell>
          <cell r="B999" t="str">
            <v>Exterminators Choice</v>
          </cell>
          <cell r="C999" t="str">
            <v>Exterminators Choice</v>
          </cell>
          <cell r="D999" t="str">
            <v>Exterminators Choice Gecko &amp; Lizard Defense Spray - 128 Fl Oz - Unscented - Kid &amp; Pet Safe Lizard Control - Natural Essential Oils for Reptile Protection - 1 Gallon Spray for Garden Defense</v>
          </cell>
          <cell r="E999" t="str">
            <v>https://www.amazon.com/dp/B01DTC7FGM?psc=1</v>
          </cell>
          <cell r="F999" t="str">
            <v>Garden Pest Control</v>
          </cell>
          <cell r="G999" t="str">
            <v>Other</v>
          </cell>
          <cell r="H999" t="str">
            <v>Garden Pest Control - Other</v>
          </cell>
          <cell r="I999" t="str">
            <v>Other Glue boards for insects or rodents</v>
          </cell>
        </row>
        <row r="1000">
          <cell r="A1000" t="str">
            <v>B07N6L9QGN</v>
          </cell>
          <cell r="B1000" t="str">
            <v>Exterminators Choice</v>
          </cell>
          <cell r="C1000" t="str">
            <v>Pinelake Industries</v>
          </cell>
          <cell r="D1000" t="str">
            <v>Exterminators Choice Lizard Spray - (2 Pack) 32 Fl Oz - Indoor &amp; Outdoor Barrier to Deter Geckos - Kid &amp; Pet Friendly Lizard Control Spray - Extended Coverage to Keep Reptiles Away</v>
          </cell>
          <cell r="E1000" t="str">
            <v>https://www.amazon.com/dp/B07N6L9QGN?psc=1</v>
          </cell>
          <cell r="F1000" t="str">
            <v>Other</v>
          </cell>
          <cell r="G1000" t="str">
            <v>Other</v>
          </cell>
          <cell r="H1000" t="str">
            <v>Other - Other</v>
          </cell>
          <cell r="I1000" t="str">
            <v>Other Glue boards for insects or rodents</v>
          </cell>
        </row>
        <row r="1001">
          <cell r="A1001" t="str">
            <v>B0CWLNTNL2</v>
          </cell>
          <cell r="B1001" t="str">
            <v>Grandpa Gus's</v>
          </cell>
          <cell r="C1001" t="str">
            <v>Grandpa Gus's</v>
          </cell>
          <cell r="D1001" t="str">
            <v>Grandpa Gus's Advanced Pest Killer Concentrate, Bug Spray, 2 Pack, 3.7 oz</v>
          </cell>
          <cell r="E1001" t="str">
            <v>https://www.amazon.com/dp/B0CWLNTNL2?psc=1</v>
          </cell>
          <cell r="F1001" t="str">
            <v>Rodent Control</v>
          </cell>
          <cell r="G1001" t="str">
            <v>Other</v>
          </cell>
          <cell r="H1001" t="str">
            <v>Rodent Control - Other</v>
          </cell>
          <cell r="I1001" t="str">
            <v>Other Glue boards for insects or rodents</v>
          </cell>
        </row>
        <row r="1002">
          <cell r="A1002" t="str">
            <v>B00E8OY1TA</v>
          </cell>
          <cell r="B1002" t="str">
            <v>HARRIS</v>
          </cell>
          <cell r="C1002" t="str">
            <v>Harris</v>
          </cell>
          <cell r="D1002" t="str">
            <v>Harris Scorpion Killer, Liquid Spray with Odorless and Non-Staining Extended Residual Kill Formula (Gallon) 128 Fl Oz</v>
          </cell>
          <cell r="E1002" t="str">
            <v>https://www.amazon.com/dp/B00E8OY1TA</v>
          </cell>
          <cell r="F1002" t="str">
            <v>Crawling Insect Control</v>
          </cell>
          <cell r="G1002" t="str">
            <v>Other</v>
          </cell>
          <cell r="H1002" t="str">
            <v>Crawling Insect Control - Other</v>
          </cell>
          <cell r="I1002" t="str">
            <v>Other Glue boards for insects or rodents</v>
          </cell>
        </row>
        <row r="1003">
          <cell r="A1003" t="str">
            <v>B07TDS7GLX</v>
          </cell>
          <cell r="B1003" t="str">
            <v>HARRIS</v>
          </cell>
          <cell r="C1003" t="str">
            <v>Harris</v>
          </cell>
          <cell r="D1003" t="str">
            <v>HARRIS Continuous Hand Pump Pressure Sprayer for Home, Lawn, Garden, Car Detailing and More, 1.5L</v>
          </cell>
          <cell r="E1003" t="str">
            <v>https://www.amazon.com/dp/B07TDS7GLX</v>
          </cell>
          <cell r="F1003" t="str">
            <v>Garden Pest Control</v>
          </cell>
          <cell r="G1003" t="str">
            <v>Sprayer</v>
          </cell>
          <cell r="H1003" t="str">
            <v>Garden Pest Control - Sprayer</v>
          </cell>
          <cell r="I1003" t="str">
            <v>Other Glue boards for insects or rodents</v>
          </cell>
        </row>
        <row r="1004">
          <cell r="A1004" t="str">
            <v>B0FWMH4JVG</v>
          </cell>
          <cell r="B1004" t="str">
            <v>HARRIS</v>
          </cell>
          <cell r="C1004" t="str">
            <v>PF Harris</v>
          </cell>
          <cell r="D1004" t="str">
            <v>Harris Scorpion Killer, Liquid Spray with Odorless and Non-Staining Extended Residual Kill Formula (Gallon) 128 Fl Oz Includes Refill Funnel and Trigger Sprayer Applicator</v>
          </cell>
          <cell r="E1004" t="str">
            <v>https://www.amazon.com/dp/B0FWMH4JVG</v>
          </cell>
          <cell r="F1004" t="str">
            <v>Crawling Insect Control</v>
          </cell>
          <cell r="G1004" t="str">
            <v>Sprayer</v>
          </cell>
          <cell r="H1004" t="str">
            <v>Crawling Insect Control - Sprayer</v>
          </cell>
          <cell r="I1004" t="str">
            <v>Other Glue boards for insects or rodents</v>
          </cell>
        </row>
        <row r="1005">
          <cell r="A1005" t="str">
            <v>B072C87MD8</v>
          </cell>
          <cell r="B1005" t="str">
            <v>Nature's MACE</v>
          </cell>
          <cell r="C1005" t="str">
            <v>Nature's MACE</v>
          </cell>
          <cell r="D1005" t="str">
            <v>Nature's Mace Squirrel Mace Repellent 40 oz Spray</v>
          </cell>
          <cell r="E1005" t="str">
            <v>https://www.amazon.com/dp/B072C87MD8?psc=1</v>
          </cell>
          <cell r="F1005" t="str">
            <v>Other</v>
          </cell>
          <cell r="G1005" t="str">
            <v>Repellents</v>
          </cell>
          <cell r="H1005" t="str">
            <v>Other - Repellents</v>
          </cell>
          <cell r="I1005" t="str">
            <v>Other Glue boards for insects or rodents</v>
          </cell>
        </row>
        <row r="1006">
          <cell r="A1006" t="str">
            <v>B0728M7D7L</v>
          </cell>
          <cell r="B1006" t="str">
            <v>Nature's MACE</v>
          </cell>
          <cell r="C1006" t="str">
            <v>Nature's MACE</v>
          </cell>
          <cell r="D1006" t="str">
            <v>Nature's MACE Dog Mace Dog Repellent 40 oz Spray</v>
          </cell>
          <cell r="E1006" t="str">
            <v>https://www.amazon.com/dp/B0728M7D7L?psc=1</v>
          </cell>
          <cell r="F1006" t="str">
            <v>Other</v>
          </cell>
          <cell r="G1006" t="str">
            <v>Repellents</v>
          </cell>
          <cell r="H1006" t="str">
            <v>Other - Repellents</v>
          </cell>
          <cell r="I1006" t="str">
            <v>Other Glue boards for insects or rodents</v>
          </cell>
        </row>
        <row r="1007">
          <cell r="A1007" t="str">
            <v>B0719V2FT1</v>
          </cell>
          <cell r="B1007" t="str">
            <v>Nature's MACE</v>
          </cell>
          <cell r="C1007" t="str">
            <v>Nature's MACE</v>
          </cell>
          <cell r="D1007" t="str">
            <v>Nature's MACE Dog Mace Dog Repellent 1 Gallon Spray</v>
          </cell>
          <cell r="E1007" t="str">
            <v>https://www.amazon.com/dp/B0719V2FT1?psc=1</v>
          </cell>
          <cell r="F1007" t="str">
            <v>Other</v>
          </cell>
          <cell r="G1007" t="str">
            <v>Repellents</v>
          </cell>
          <cell r="H1007" t="str">
            <v>Other - Repellents</v>
          </cell>
          <cell r="I1007" t="str">
            <v>Other Glue boards for insects or rodents</v>
          </cell>
        </row>
        <row r="1008">
          <cell r="A1008" t="str">
            <v>B071PDHF8W</v>
          </cell>
          <cell r="B1008" t="str">
            <v>Nature's MACE</v>
          </cell>
          <cell r="C1008" t="str">
            <v>Nature's MACE</v>
          </cell>
          <cell r="D1008" t="str">
            <v>Nature's Mace Squirrel Mace Repellent 1 Gal Spray</v>
          </cell>
          <cell r="E1008" t="str">
            <v>https://www.amazon.com/dp/B071PDHF8W?psc=1</v>
          </cell>
          <cell r="F1008" t="str">
            <v>Other</v>
          </cell>
          <cell r="G1008" t="str">
            <v>Repellents</v>
          </cell>
          <cell r="H1008" t="str">
            <v>Other - Repellents</v>
          </cell>
          <cell r="I1008" t="str">
            <v>Other Glue boards for insects or rodents</v>
          </cell>
        </row>
        <row r="1009">
          <cell r="A1009" t="str">
            <v>B0FML7YSZ1</v>
          </cell>
          <cell r="B1009" t="str">
            <v>Neogen</v>
          </cell>
          <cell r="C1009" t="str">
            <v>Neogen</v>
          </cell>
          <cell r="D1009" t="str">
            <v>Neogen Prozap Sheep &amp; Goat Spray 32oz</v>
          </cell>
          <cell r="E1009" t="str">
            <v>https://www.amazon.com/dp/B0FML7YSZ1?psc=1</v>
          </cell>
          <cell r="F1009" t="str">
            <v>Other</v>
          </cell>
          <cell r="G1009" t="str">
            <v>Other</v>
          </cell>
          <cell r="H1009" t="str">
            <v>Other - Other</v>
          </cell>
          <cell r="I1009" t="str">
            <v>Other Glue boards for insects or rodents</v>
          </cell>
        </row>
        <row r="1010">
          <cell r="A1010" t="str">
            <v>B08J1NSPCB</v>
          </cell>
          <cell r="B1010" t="str">
            <v>Scotts</v>
          </cell>
          <cell r="C1010" t="str">
            <v>The Fountainhead Group</v>
          </cell>
          <cell r="D1010" t="str">
            <v>Scotts Lithium-ion Powered Pump Zero Technology, Wheeled Cart Sprayer, 3 Gallon, White, 190617</v>
          </cell>
          <cell r="E1010" t="str">
            <v>https://www.amazon.com/dp/B08J1NSPCB</v>
          </cell>
          <cell r="F1010" t="str">
            <v>Garden Equipment</v>
          </cell>
          <cell r="G1010" t="str">
            <v>Sprayer</v>
          </cell>
          <cell r="H1010" t="str">
            <v>Garden Equipment - Sprayer</v>
          </cell>
          <cell r="I1010" t="str">
            <v>Other Glue boards for insects or rodents</v>
          </cell>
        </row>
        <row r="1011">
          <cell r="A1011" t="str">
            <v>B07L19YBJ8</v>
          </cell>
          <cell r="B1011" t="str">
            <v>Scotts</v>
          </cell>
          <cell r="C1011" t="str">
            <v>The Scotts Company LLC</v>
          </cell>
          <cell r="D1011" t="str">
            <v>Scotts MossEx 3-in-1 Ready Spray, 32 fl. oz.</v>
          </cell>
          <cell r="E1011" t="str">
            <v>https://www.amazon.com/dp/B07L19YBJ8?psc=1</v>
          </cell>
          <cell r="F1011" t="str">
            <v>Disease &amp; Moss Control</v>
          </cell>
          <cell r="G1011" t="str">
            <v>Moss Control</v>
          </cell>
          <cell r="H1011" t="str">
            <v>Disease &amp; Moss Control - Moss Control</v>
          </cell>
          <cell r="I1011" t="str">
            <v>Other Glue boards for insects or rodents</v>
          </cell>
        </row>
        <row r="1012">
          <cell r="A1012" t="str">
            <v>B06X952WC5</v>
          </cell>
          <cell r="B1012" t="str">
            <v>HARRIS</v>
          </cell>
          <cell r="C1012" t="str">
            <v>Harris</v>
          </cell>
          <cell r="D1012" t="str">
            <v>HARRIS Diatomaceous Earth Food Grade, Half Pound with Easy Application Puffer Tip</v>
          </cell>
          <cell r="E1012" t="str">
            <v>https://www.amazon.com/dp/B06X952WC5?psc=1</v>
          </cell>
          <cell r="F1012" t="str">
            <v>Other</v>
          </cell>
          <cell r="G1012" t="str">
            <v>Other</v>
          </cell>
          <cell r="H1012" t="str">
            <v>Other - Other</v>
          </cell>
          <cell r="I1012" t="str">
            <v>Other Harris</v>
          </cell>
        </row>
        <row r="1013">
          <cell r="A1013" t="str">
            <v>B07D4QW6DZ</v>
          </cell>
          <cell r="B1013" t="str">
            <v>HARRIS</v>
          </cell>
          <cell r="C1013" t="str">
            <v>Harris</v>
          </cell>
          <cell r="D1013" t="str">
            <v>Harris Diatomaceous Earth Food Grade, 5lb with Powder Duster Included in the Bag, OMRI Listed Approved for Organic Use</v>
          </cell>
          <cell r="E1013" t="str">
            <v>https://www.amazon.com/dp/B07D4QW6DZ?psc=1</v>
          </cell>
          <cell r="F1013" t="str">
            <v>Other</v>
          </cell>
          <cell r="G1013" t="str">
            <v>Other</v>
          </cell>
          <cell r="H1013" t="str">
            <v>Other - Other</v>
          </cell>
          <cell r="I1013" t="str">
            <v>Other Harris</v>
          </cell>
        </row>
        <row r="1014">
          <cell r="A1014" t="str">
            <v>B072J8Z28F</v>
          </cell>
          <cell r="B1014" t="str">
            <v>HARRIS</v>
          </cell>
          <cell r="C1014" t="str">
            <v>Harris</v>
          </cell>
          <cell r="D1014" t="str">
            <v>HARRIS Diatomaceous Earth Food Grade, 4lb with Powder Duster Included in The Bag</v>
          </cell>
          <cell r="E1014" t="str">
            <v>https://www.amazon.com/dp/B072J8Z28F?psc=1</v>
          </cell>
          <cell r="F1014" t="str">
            <v>Other</v>
          </cell>
          <cell r="G1014" t="str">
            <v>Other</v>
          </cell>
          <cell r="H1014" t="str">
            <v>Other - Other</v>
          </cell>
          <cell r="I1014" t="str">
            <v>Other Harris</v>
          </cell>
        </row>
        <row r="1015">
          <cell r="A1015" t="str">
            <v>B07MJCNWGR</v>
          </cell>
          <cell r="B1015" t="str">
            <v>HARRIS</v>
          </cell>
          <cell r="C1015" t="str">
            <v>Harris</v>
          </cell>
          <cell r="D1015" t="str">
            <v>HARRIS 30% Vinegar Concentrated Extra Strength — All Purpose Cleaner for Home, Garden &amp; Patio</v>
          </cell>
          <cell r="E1015" t="str">
            <v>https://www.amazon.com/dp/B07MJCNWGR?psc=1</v>
          </cell>
          <cell r="F1015" t="str">
            <v>Rodent Control</v>
          </cell>
          <cell r="G1015" t="str">
            <v>Other</v>
          </cell>
          <cell r="H1015" t="str">
            <v>Rodent Control - Other</v>
          </cell>
          <cell r="I1015" t="str">
            <v>Other Harris</v>
          </cell>
        </row>
        <row r="1016">
          <cell r="A1016" t="str">
            <v>B07RV67ZNL</v>
          </cell>
          <cell r="B1016" t="str">
            <v>HARRIS</v>
          </cell>
          <cell r="C1016" t="str">
            <v>Harris</v>
          </cell>
          <cell r="D1016" t="str">
            <v>Harris Diatomaceous Earth Food Grade, 2lb OMRI Listed - Approved for Organic Use</v>
          </cell>
          <cell r="E1016" t="str">
            <v>https://www.amazon.com/dp/B07RV67ZNL</v>
          </cell>
          <cell r="F1016" t="str">
            <v>Other</v>
          </cell>
          <cell r="G1016" t="str">
            <v>Other</v>
          </cell>
          <cell r="H1016" t="str">
            <v>Other - Other</v>
          </cell>
          <cell r="I1016" t="str">
            <v>Other Harris</v>
          </cell>
        </row>
        <row r="1017">
          <cell r="A1017" t="str">
            <v>B0728JL9SQ</v>
          </cell>
          <cell r="B1017" t="str">
            <v>HARRIS</v>
          </cell>
          <cell r="C1017" t="str">
            <v>Harris</v>
          </cell>
          <cell r="D1017" t="str">
            <v>HARRIS Diatomaceous Earth Food Grade, 2lb with Powder Duster Included in the Bag</v>
          </cell>
          <cell r="E1017" t="str">
            <v>https://www.amazon.com/dp/B0728JL9SQ?psc=1</v>
          </cell>
          <cell r="F1017" t="str">
            <v>Other</v>
          </cell>
          <cell r="G1017" t="str">
            <v>Other</v>
          </cell>
          <cell r="H1017" t="str">
            <v>Other - Other</v>
          </cell>
          <cell r="I1017" t="str">
            <v>Other Harris</v>
          </cell>
        </row>
        <row r="1018">
          <cell r="A1018" t="str">
            <v>B0B8T5C9SX</v>
          </cell>
          <cell r="B1018" t="str">
            <v>HARRIS</v>
          </cell>
          <cell r="C1018" t="str">
            <v>Harris</v>
          </cell>
          <cell r="D1018" t="str">
            <v>HARRIS 30% Extra Strength Concentrated Vinegar for Home Cleaning and Outdoor Use, 1 Gallon, With Funnel</v>
          </cell>
          <cell r="E1018" t="str">
            <v>https://www.amazon.com/dp/B0B8T5C9SX?psc=1</v>
          </cell>
          <cell r="F1018" t="str">
            <v>Rodent Control</v>
          </cell>
          <cell r="G1018" t="str">
            <v>Other</v>
          </cell>
          <cell r="H1018" t="str">
            <v>Rodent Control - Other</v>
          </cell>
          <cell r="I1018" t="str">
            <v>Other Harris</v>
          </cell>
        </row>
        <row r="1019">
          <cell r="A1019" t="str">
            <v>B0FWS4XKG1</v>
          </cell>
          <cell r="B1019" t="str">
            <v>HARRIS</v>
          </cell>
          <cell r="C1019" t="str">
            <v>HARRIS</v>
          </cell>
          <cell r="D1019" t="str">
            <v>HARRIS Diatomaceous Earth Food Grade, Half Pound with Easy Application Puffer Tip - 2 Pack</v>
          </cell>
          <cell r="E1019" t="str">
            <v>https://www.amazon.com/dp/B0FWS4XKG1</v>
          </cell>
          <cell r="F1019" t="str">
            <v>Other</v>
          </cell>
          <cell r="G1019" t="str">
            <v>Other</v>
          </cell>
          <cell r="H1019" t="str">
            <v>Other - Other</v>
          </cell>
          <cell r="I1019" t="str">
            <v>Other Harris</v>
          </cell>
        </row>
        <row r="1020">
          <cell r="A1020" t="str">
            <v>B0C2VZBDJT</v>
          </cell>
          <cell r="B1020" t="str">
            <v>HARRIS</v>
          </cell>
          <cell r="C1020" t="str">
            <v>Harris</v>
          </cell>
          <cell r="D1020" t="str">
            <v>HARRIS Diatomaceous Earth Food Grade 10.5 LB, OMRI Certified, No additives or fillers</v>
          </cell>
          <cell r="E1020" t="str">
            <v>https://www.amazon.com/dp/B0C2VZBDJT</v>
          </cell>
          <cell r="F1020" t="str">
            <v>Other</v>
          </cell>
          <cell r="G1020" t="str">
            <v>Other</v>
          </cell>
          <cell r="H1020" t="str">
            <v>Other - Other</v>
          </cell>
          <cell r="I1020" t="str">
            <v>Other Harris</v>
          </cell>
        </row>
        <row r="1021">
          <cell r="A1021" t="str">
            <v>B08ML1STTH</v>
          </cell>
          <cell r="B1021" t="str">
            <v>HARRIS</v>
          </cell>
          <cell r="C1021" t="str">
            <v>Harris</v>
          </cell>
          <cell r="D1021" t="str">
            <v>Harris Coco Coir Pith, 4 Bricks Expand to 9 Gallons of Coconut Coir, Coconut Fiber</v>
          </cell>
          <cell r="E1021" t="str">
            <v>https://www.amazon.com/dp/B08ML1STTH?psc=1</v>
          </cell>
          <cell r="F1021" t="str">
            <v>Other</v>
          </cell>
          <cell r="G1021" t="str">
            <v>Other</v>
          </cell>
          <cell r="H1021" t="str">
            <v>Other - Other</v>
          </cell>
          <cell r="I1021" t="str">
            <v>Other Harris</v>
          </cell>
        </row>
        <row r="1022">
          <cell r="A1022" t="str">
            <v>B09YZZ6XB1</v>
          </cell>
          <cell r="B1022" t="str">
            <v>HARRIS</v>
          </cell>
          <cell r="C1022" t="str">
            <v>Harris</v>
          </cell>
          <cell r="D1022" t="str">
            <v>Harris Bonsai Soil, All Purpose Premium Blend for Outstanding Growth, 2qt</v>
          </cell>
          <cell r="E1022" t="str">
            <v>https://www.amazon.com/dp/B09YZZ6XB1</v>
          </cell>
          <cell r="F1022" t="str">
            <v>Other</v>
          </cell>
          <cell r="G1022" t="str">
            <v>Other</v>
          </cell>
          <cell r="H1022" t="str">
            <v>Other - Other</v>
          </cell>
          <cell r="I1022" t="str">
            <v>Other Harris</v>
          </cell>
        </row>
        <row r="1023">
          <cell r="A1023" t="str">
            <v>B07J5HTH37</v>
          </cell>
          <cell r="B1023" t="str">
            <v>Scotts</v>
          </cell>
          <cell r="C1023" t="str">
            <v>American Lawn Mower Company</v>
          </cell>
          <cell r="D1023" t="str">
            <v>Scotts PS45010S 10-Inch 8-Amp Corded Pole Saw with Adjustable Head</v>
          </cell>
          <cell r="E1023" t="str">
            <v>https://www.amazon.com/dp/B07J5HTH37?psc=1</v>
          </cell>
          <cell r="F1023" t="str">
            <v>Garden Equipment</v>
          </cell>
          <cell r="G1023" t="str">
            <v>Pruning Tools</v>
          </cell>
          <cell r="H1023" t="str">
            <v>Garden Equipment - Pruning Tools</v>
          </cell>
          <cell r="I1023" t="str">
            <v>Other - Scotts</v>
          </cell>
        </row>
        <row r="1024">
          <cell r="A1024" t="str">
            <v>B07J5HJZRM</v>
          </cell>
          <cell r="B1024" t="str">
            <v>Scotts</v>
          </cell>
          <cell r="C1024" t="str">
            <v>American Lawn Mower Company</v>
          </cell>
          <cell r="D1024" t="str">
            <v>Scotts PR17215S 7.2-Volt Cordless Rechargeable Power Pruner, Green</v>
          </cell>
          <cell r="E1024" t="str">
            <v>https://www.amazon.com/dp/B07J5HJZRM?psc=1</v>
          </cell>
          <cell r="F1024" t="str">
            <v>Garden Equipment</v>
          </cell>
          <cell r="G1024" t="str">
            <v>Pruning Tools</v>
          </cell>
          <cell r="H1024" t="str">
            <v>Garden Equipment - Pruning Tools</v>
          </cell>
          <cell r="I1024" t="str">
            <v>Other - Scotts</v>
          </cell>
        </row>
        <row r="1025">
          <cell r="A1025" t="str">
            <v>B00OHRYOZO</v>
          </cell>
          <cell r="B1025" t="str">
            <v>Scotts</v>
          </cell>
          <cell r="C1025" t="str">
            <v>Scotts</v>
          </cell>
          <cell r="D1025" t="str">
            <v>Scotts Outdoor Cleaner Multi-Purpose Formula, Concentrate, 1 gal.</v>
          </cell>
          <cell r="E1025" t="str">
            <v>https://www.amazon.com/dp/B00OHRYOZO?psc=1</v>
          </cell>
          <cell r="F1025" t="str">
            <v>Rodent Control</v>
          </cell>
          <cell r="G1025" t="str">
            <v>Other</v>
          </cell>
          <cell r="H1025" t="str">
            <v>Rodent Control - Other</v>
          </cell>
          <cell r="I1025" t="str">
            <v>Other - Scotts</v>
          </cell>
        </row>
        <row r="1026">
          <cell r="A1026" t="str">
            <v>B0DV9W259K</v>
          </cell>
          <cell r="B1026" t="str">
            <v>Scotts</v>
          </cell>
          <cell r="C1026" t="str">
            <v>The Scotts Company</v>
          </cell>
          <cell r="D1026" t="str">
            <v>Scotts Whirl Hand-Powered Spreader</v>
          </cell>
          <cell r="E1026" t="str">
            <v>https://www.amazon.com/dp/B0DV9W259K</v>
          </cell>
          <cell r="F1026" t="str">
            <v>Garden Equipment</v>
          </cell>
          <cell r="G1026" t="str">
            <v>Spreader</v>
          </cell>
          <cell r="H1026" t="str">
            <v>Garden Equipment - Spreader</v>
          </cell>
          <cell r="I1026" t="str">
            <v>Other - Scotts</v>
          </cell>
        </row>
        <row r="1027">
          <cell r="A1027" t="str">
            <v>B0DSGH9YHL</v>
          </cell>
          <cell r="B1027" t="str">
            <v>Scotts</v>
          </cell>
          <cell r="C1027" t="str">
            <v>The Scotts Company</v>
          </cell>
          <cell r="D1027" t="str">
            <v>O.M. Scott &amp; Sons Strawberry Clover Seed, 2 lbs.</v>
          </cell>
          <cell r="E1027" t="str">
            <v>https://www.amazon.com/dp/B0DSGH9YHL?psc=1</v>
          </cell>
          <cell r="F1027" t="str">
            <v>Other</v>
          </cell>
          <cell r="G1027" t="str">
            <v>Other</v>
          </cell>
          <cell r="H1027" t="str">
            <v>Other - Other</v>
          </cell>
          <cell r="I1027" t="str">
            <v>Other - Scotts</v>
          </cell>
        </row>
        <row r="1028">
          <cell r="A1028" t="str">
            <v>B0050DV4ZW</v>
          </cell>
          <cell r="B1028" t="str">
            <v>Scotts</v>
          </cell>
          <cell r="C1028" t="str">
            <v>The Scotts Company LLC</v>
          </cell>
          <cell r="D1028" t="str">
            <v>Scotts GrubEx1 Season Long Grub Killer, 5,000 sq. ft.</v>
          </cell>
          <cell r="E1028" t="str">
            <v>https://www.amazon.com/dp/B0050DV4ZW?psc=1</v>
          </cell>
          <cell r="F1028" t="str">
            <v>Other</v>
          </cell>
          <cell r="G1028" t="str">
            <v>Other</v>
          </cell>
          <cell r="H1028" t="str">
            <v>Other - Other</v>
          </cell>
          <cell r="I1028" t="str">
            <v>Other - Scotts</v>
          </cell>
        </row>
        <row r="1029">
          <cell r="A1029" t="str">
            <v>B087DVBCD1</v>
          </cell>
          <cell r="B1029" t="str">
            <v>Scotts</v>
          </cell>
          <cell r="C1029" t="str">
            <v>The Scotts Company LLC</v>
          </cell>
          <cell r="D1029" t="str">
            <v>Miracle-Gro Perlite, 8 qt. (2-Pack)</v>
          </cell>
          <cell r="E1029" t="str">
            <v>https://www.amazon.com/dp/B087DVBCD1?psc=1</v>
          </cell>
          <cell r="F1029" t="str">
            <v>Soil Amendment</v>
          </cell>
          <cell r="G1029" t="str">
            <v>Perlite</v>
          </cell>
          <cell r="H1029" t="str">
            <v>Soil Amendment - Perlite</v>
          </cell>
          <cell r="I1029" t="str">
            <v>Other - Scotts</v>
          </cell>
        </row>
        <row r="1030">
          <cell r="A1030" t="str">
            <v>B0050DW2M6</v>
          </cell>
          <cell r="B1030" t="str">
            <v>Scotts</v>
          </cell>
          <cell r="C1030" t="str">
            <v>The Scotts Company LLC</v>
          </cell>
          <cell r="D1030" t="str">
            <v>Scotts GrubEx1 Season Long Grub Killer, 28.7 lbs</v>
          </cell>
          <cell r="E1030" t="str">
            <v>https://www.amazon.com/dp/B0050DW2M6?psc=1</v>
          </cell>
          <cell r="F1030" t="str">
            <v>Other</v>
          </cell>
          <cell r="G1030" t="str">
            <v>Other</v>
          </cell>
          <cell r="H1030" t="str">
            <v>Other - Other</v>
          </cell>
          <cell r="I1030" t="str">
            <v>Other - Scotts</v>
          </cell>
        </row>
        <row r="1031">
          <cell r="A1031" t="str">
            <v>B00GTDI6YO</v>
          </cell>
          <cell r="B1031" t="str">
            <v>Scotts</v>
          </cell>
          <cell r="C1031" t="str">
            <v>The Scotts Company LLC</v>
          </cell>
          <cell r="D1031" t="str">
            <v>Miracle-Gro Perlite, 8 qt.</v>
          </cell>
          <cell r="E1031" t="str">
            <v>https://www.amazon.com/dp/B00GTDI6YO?psc=1</v>
          </cell>
          <cell r="F1031" t="str">
            <v>Soil Amendment</v>
          </cell>
          <cell r="G1031" t="str">
            <v>Perlite</v>
          </cell>
          <cell r="H1031" t="str">
            <v>Soil Amendment - Perlite</v>
          </cell>
          <cell r="I1031" t="str">
            <v>Other - Scotts</v>
          </cell>
        </row>
        <row r="1032">
          <cell r="A1032" t="str">
            <v>B07YM5CY3F</v>
          </cell>
          <cell r="B1032" t="str">
            <v>Scotts</v>
          </cell>
          <cell r="C1032" t="str">
            <v>The Scotts Company LLC</v>
          </cell>
          <cell r="D1032" t="str">
            <v>Scotts MossEx Moss Killer for Lawns, 4.59 lbs.</v>
          </cell>
          <cell r="E1032" t="str">
            <v>https://www.amazon.com/dp/B07YM5CY3F</v>
          </cell>
          <cell r="F1032" t="str">
            <v>Disease &amp; Moss Control</v>
          </cell>
          <cell r="G1032" t="str">
            <v>Moss Control</v>
          </cell>
          <cell r="H1032" t="str">
            <v>Disease &amp; Moss Control - Moss Control</v>
          </cell>
          <cell r="I1032" t="str">
            <v>Other - Scotts</v>
          </cell>
        </row>
        <row r="1033">
          <cell r="A1033" t="str">
            <v>B0FSF7TD6R</v>
          </cell>
          <cell r="B1033" t="str">
            <v>Scotts</v>
          </cell>
          <cell r="C1033" t="str">
            <v>The Scotts Company LLC</v>
          </cell>
          <cell r="D1033" t="str">
            <v>O.M. Scott &amp; Sons Dichondra Seed, 1.5 lbs.</v>
          </cell>
          <cell r="E1033" t="str">
            <v>https://www.amazon.com/dp/B0FSF7TD6R?psc=1</v>
          </cell>
          <cell r="F1033" t="str">
            <v>Other</v>
          </cell>
          <cell r="G1033" t="str">
            <v>Other</v>
          </cell>
          <cell r="H1033" t="str">
            <v>Other - Other</v>
          </cell>
          <cell r="I1033" t="str">
            <v>Other - Scotts</v>
          </cell>
        </row>
        <row r="1034">
          <cell r="A1034" t="str">
            <v>B071S2QGLN</v>
          </cell>
          <cell r="B1034" t="str">
            <v>Scotts</v>
          </cell>
          <cell r="C1034" t="str">
            <v>The Scotts Company LLC</v>
          </cell>
          <cell r="D1034" t="str">
            <v>Ortho Home Defense Termite &amp; Destructive Bug Killer Concentrate, 16 oz.</v>
          </cell>
          <cell r="E1034" t="str">
            <v>https://www.amazon.com/dp/B071S2QGLN</v>
          </cell>
          <cell r="F1034" t="str">
            <v>Rodent Control</v>
          </cell>
          <cell r="G1034" t="str">
            <v>Other</v>
          </cell>
          <cell r="H1034" t="str">
            <v>Rodent Control - Other</v>
          </cell>
          <cell r="I1034" t="str">
            <v>Other - Scotts</v>
          </cell>
        </row>
        <row r="1035">
          <cell r="A1035" t="str">
            <v>B00DU82CEG</v>
          </cell>
          <cell r="B1035" t="str">
            <v>Scotts</v>
          </cell>
          <cell r="C1035" t="str">
            <v>The Scotts Company LLC</v>
          </cell>
          <cell r="D1035" t="str">
            <v>Scotts Moss Control Granules for Lawns, 18.37 lbs.</v>
          </cell>
          <cell r="E1035" t="str">
            <v>https://www.amazon.com/dp/B00DU82CEG</v>
          </cell>
          <cell r="F1035" t="str">
            <v>Disease &amp; Moss Control</v>
          </cell>
          <cell r="G1035" t="str">
            <v>Moss Control</v>
          </cell>
          <cell r="H1035" t="str">
            <v>Disease &amp; Moss Control - Moss Control</v>
          </cell>
          <cell r="I1035" t="str">
            <v>Other - Scotts</v>
          </cell>
        </row>
        <row r="1036">
          <cell r="A1036" t="str">
            <v>B005SEADJ6</v>
          </cell>
          <cell r="B1036" t="str">
            <v>Bell Laboratories</v>
          </cell>
          <cell r="C1036" t="str">
            <v>Bell Labs</v>
          </cell>
          <cell r="D1036" t="str">
            <v>Contrac Blox 4lbs</v>
          </cell>
          <cell r="E1036" t="str">
            <v>https://www.amazon.com/dp/B005SEADJ6</v>
          </cell>
          <cell r="F1036" t="str">
            <v>Other</v>
          </cell>
          <cell r="G1036" t="str">
            <v>Other</v>
          </cell>
          <cell r="H1036" t="str">
            <v>Other - Other</v>
          </cell>
          <cell r="I1036" t="str">
            <v>All Other products</v>
          </cell>
        </row>
        <row r="1037">
          <cell r="A1037" t="str">
            <v>B015BSUAEG</v>
          </cell>
          <cell r="B1037" t="str">
            <v>Bell Laboratories</v>
          </cell>
          <cell r="C1037" t="str">
            <v>Bell Labs</v>
          </cell>
          <cell r="D1037" t="str">
            <v>Replacement Key Protecta Evo Bait Stations Evo Express Evo Ambush Evo Circuit</v>
          </cell>
          <cell r="E1037" t="str">
            <v>https://www.amazon.com/dp/B015BSUAEG</v>
          </cell>
          <cell r="F1037" t="str">
            <v>Other</v>
          </cell>
          <cell r="G1037" t="str">
            <v>Bait &amp; Poison</v>
          </cell>
          <cell r="H1037" t="str">
            <v>Other - Bait &amp; Poison</v>
          </cell>
          <cell r="I1037" t="str">
            <v>All Other products</v>
          </cell>
        </row>
        <row r="1038">
          <cell r="A1038" t="str">
            <v>B08CY6F7DV</v>
          </cell>
          <cell r="B1038" t="str">
            <v>Bell Laboratories</v>
          </cell>
          <cell r="C1038" t="str">
            <v>Valent USA Corp.</v>
          </cell>
          <cell r="D1038" t="str">
            <v>Bell Labs Fastrac Soft Bait</v>
          </cell>
          <cell r="E1038" t="str">
            <v>https://www.amazon.com/dp/B08CY6F7DV</v>
          </cell>
          <cell r="F1038" t="str">
            <v>Other</v>
          </cell>
          <cell r="G1038" t="str">
            <v>Bait &amp; Poison</v>
          </cell>
          <cell r="H1038" t="str">
            <v>Other - Bait &amp; Poison</v>
          </cell>
          <cell r="I1038" t="str">
            <v>All Other products</v>
          </cell>
        </row>
        <row r="1039">
          <cell r="A1039" t="str">
            <v>B007QT3FBY</v>
          </cell>
          <cell r="B1039" t="str">
            <v>Bell Laboratories</v>
          </cell>
          <cell r="D1039" t="str">
            <v>Liquatox (There are 8 Pouches each with 1.7 oz of liquid per pouch)</v>
          </cell>
          <cell r="E1039" t="str">
            <v>https://www.amazon.com/dp/B007QT3FBY</v>
          </cell>
          <cell r="F1039" t="str">
            <v>Other</v>
          </cell>
          <cell r="G1039" t="str">
            <v>Other</v>
          </cell>
          <cell r="H1039" t="str">
            <v>Other - Other</v>
          </cell>
          <cell r="I1039" t="str">
            <v>All Other products</v>
          </cell>
        </row>
        <row r="1040">
          <cell r="A1040" t="str">
            <v>B005DL9AGQ</v>
          </cell>
          <cell r="B1040" t="str">
            <v>Bell Laboratories</v>
          </cell>
          <cell r="D1040" t="str">
            <v>Bell Labs Contrac All Weather Blox 18 Lb Pail BELL</v>
          </cell>
          <cell r="E1040" t="str">
            <v>https://www.amazon.com/dp/B005DL9AGQ</v>
          </cell>
          <cell r="F1040" t="str">
            <v>Other</v>
          </cell>
          <cell r="G1040" t="str">
            <v>Other</v>
          </cell>
          <cell r="H1040" t="str">
            <v>Other - Other</v>
          </cell>
          <cell r="I1040" t="str">
            <v>All Other products</v>
          </cell>
        </row>
        <row r="1041">
          <cell r="A1041" t="str">
            <v>B077H34VXW</v>
          </cell>
          <cell r="B1041" t="str">
            <v>Catchmaster</v>
          </cell>
          <cell r="C1041" t="str">
            <v>Catchmaster</v>
          </cell>
          <cell r="D1041" t="str">
            <v>Catchmaster 100I Insect Monitors &amp; Traps 25 Boards</v>
          </cell>
          <cell r="E1041" t="str">
            <v>https://www.amazon.com/dp/B077H34VXW?psc=1</v>
          </cell>
          <cell r="F1041" t="str">
            <v>Flying Insect Control</v>
          </cell>
          <cell r="G1041" t="str">
            <v>Other</v>
          </cell>
          <cell r="H1041" t="str">
            <v>Flying Insect Control - Other</v>
          </cell>
          <cell r="I1041" t="str">
            <v>All Other products</v>
          </cell>
        </row>
        <row r="1042">
          <cell r="A1042" t="str">
            <v>B0BV3G1CWY</v>
          </cell>
          <cell r="B1042" t="str">
            <v>d-Con</v>
          </cell>
          <cell r="D1042" t="str">
            <v>d-CON Bait Pellet Bag, 8 Ounces (Pack of 2)</v>
          </cell>
          <cell r="E1042" t="str">
            <v>https://www.amazon.com/dp/B0BV3G1CWY</v>
          </cell>
          <cell r="F1042" t="str">
            <v>Other</v>
          </cell>
          <cell r="G1042" t="str">
            <v>Bait &amp; Poison</v>
          </cell>
          <cell r="H1042" t="str">
            <v>Other - Bait &amp; Poison</v>
          </cell>
          <cell r="I1042" t="str">
            <v>All Other products</v>
          </cell>
        </row>
        <row r="1043">
          <cell r="A1043" t="str">
            <v>B0BVRQS4N9</v>
          </cell>
          <cell r="B1043" t="str">
            <v>Goodnature</v>
          </cell>
          <cell r="C1043" t="str">
            <v>Goodnature</v>
          </cell>
          <cell r="D1043" t="str">
            <v>Goodnature A18 Grey Squirrel Trap, Self-Resetting, CO₂ Powered</v>
          </cell>
          <cell r="E1043" t="str">
            <v>https://www.amazon.com/dp/B0BVRQS4N9</v>
          </cell>
          <cell r="F1043" t="str">
            <v>Other</v>
          </cell>
          <cell r="G1043" t="str">
            <v>Other</v>
          </cell>
          <cell r="H1043" t="str">
            <v>Other - Other</v>
          </cell>
          <cell r="I1043" t="str">
            <v>All Other products</v>
          </cell>
        </row>
        <row r="1044">
          <cell r="A1044" t="str">
            <v>B09FQGSMPS</v>
          </cell>
          <cell r="B1044" t="str">
            <v>Goodnature</v>
          </cell>
          <cell r="C1044" t="str">
            <v>Goodnature</v>
          </cell>
          <cell r="D1044" t="str">
            <v>Goodnature Top Up Pack for A24 Trap, Chocolate Paste Pump &amp; CO₂ Canister</v>
          </cell>
          <cell r="E1044" t="str">
            <v>https://www.amazon.com/dp/B09FQGSMPS?psc=1</v>
          </cell>
          <cell r="F1044" t="str">
            <v>Other</v>
          </cell>
          <cell r="G1044" t="str">
            <v>Other</v>
          </cell>
          <cell r="H1044" t="str">
            <v>Other - Other</v>
          </cell>
          <cell r="I1044" t="str">
            <v>All Other products</v>
          </cell>
        </row>
        <row r="1045">
          <cell r="A1045" t="str">
            <v>B09FR1G48B</v>
          </cell>
          <cell r="B1045" t="str">
            <v>Goodnature</v>
          </cell>
          <cell r="C1045" t="str">
            <v>Goodnature</v>
          </cell>
          <cell r="D1045" t="str">
            <v>Goodnature Top Up Pack for A24 Trap, Nut Butter Paste Pump &amp; CO₂ Canister</v>
          </cell>
          <cell r="E1045" t="str">
            <v>https://www.amazon.com/dp/B09FR1G48B?psc=1</v>
          </cell>
          <cell r="F1045" t="str">
            <v>Other</v>
          </cell>
          <cell r="G1045" t="str">
            <v>Other</v>
          </cell>
          <cell r="H1045" t="str">
            <v>Other - Other</v>
          </cell>
          <cell r="I1045" t="str">
            <v>All Other products</v>
          </cell>
        </row>
        <row r="1046">
          <cell r="A1046" t="str">
            <v>B0CJRH76BR</v>
          </cell>
          <cell r="B1046" t="str">
            <v>Jahy2Tech</v>
          </cell>
          <cell r="C1046" t="str">
            <v>Jahy2Tech</v>
          </cell>
          <cell r="D1046" t="str">
            <v>Jahy2Tech Original 6 Pcs Flea Trap Replacement Light Bulbs, Special for Flea Traps for Inside Your Home, Friendly for Kids &amp; Pets, Warm Light</v>
          </cell>
          <cell r="E1046" t="str">
            <v>https://www.amazon.com/dp/B0CJRH76BR</v>
          </cell>
          <cell r="F1046" t="str">
            <v>Other</v>
          </cell>
          <cell r="G1046" t="str">
            <v>Other</v>
          </cell>
          <cell r="H1046" t="str">
            <v>Other - Other</v>
          </cell>
          <cell r="I1046" t="str">
            <v>All Other products</v>
          </cell>
        </row>
        <row r="1047">
          <cell r="A1047" t="str">
            <v>B074N7ZSRR</v>
          </cell>
          <cell r="B1047" t="str">
            <v>JT Eaton</v>
          </cell>
          <cell r="C1047">
            <v>0</v>
          </cell>
          <cell r="D1047" t="str">
            <v>JT Eaton Home Pest Control Trap - Top Loader Bait Station, Modern Style - 6 Pack - Plastic</v>
          </cell>
          <cell r="E1047" t="str">
            <v>https://www.amazon.com/dp/B074N7ZSRR</v>
          </cell>
          <cell r="F1047" t="str">
            <v>Other</v>
          </cell>
          <cell r="G1047" t="str">
            <v>Bait &amp; Poison</v>
          </cell>
          <cell r="H1047" t="str">
            <v>Other - Bait &amp; Poison</v>
          </cell>
          <cell r="I1047" t="str">
            <v>All Other products</v>
          </cell>
        </row>
        <row r="1048">
          <cell r="A1048" t="str">
            <v>B00DLKGD3Y</v>
          </cell>
          <cell r="B1048" t="str">
            <v>JT Eaton</v>
          </cell>
          <cell r="C1048" t="str">
            <v>3M</v>
          </cell>
          <cell r="D1048" t="str">
            <v>J.T. Eaton 704-PN Bait Block, Solid, 1 oz, Pail</v>
          </cell>
          <cell r="E1048" t="str">
            <v>https://www.amazon.com/dp/B00DLKGD3Y</v>
          </cell>
          <cell r="F1048" t="str">
            <v>Other</v>
          </cell>
          <cell r="G1048" t="str">
            <v>Bait &amp; Poison</v>
          </cell>
          <cell r="H1048" t="str">
            <v>Other - Bait &amp; Poison</v>
          </cell>
          <cell r="I1048" t="str">
            <v>All Other products</v>
          </cell>
        </row>
        <row r="1049">
          <cell r="A1049" t="str">
            <v>B084WN1K1S</v>
          </cell>
          <cell r="B1049" t="str">
            <v>JT Eaton</v>
          </cell>
          <cell r="C1049" t="str">
            <v>JT Eaton</v>
          </cell>
          <cell r="D1049" t="str">
            <v>JT Eaton Home Pest Lures - Top Loader Bait Station, Modern Style - 2 Pack - Plastic</v>
          </cell>
          <cell r="E1049" t="str">
            <v>https://www.amazon.com/dp/B084WN1K1S</v>
          </cell>
          <cell r="F1049" t="str">
            <v>Other</v>
          </cell>
          <cell r="G1049" t="str">
            <v>Bait &amp; Poison</v>
          </cell>
          <cell r="H1049" t="str">
            <v>Other - Bait &amp; Poison</v>
          </cell>
          <cell r="I1049" t="str">
            <v>All Other products</v>
          </cell>
        </row>
        <row r="1050">
          <cell r="A1050" t="str">
            <v>B00VE3BDVC</v>
          </cell>
          <cell r="B1050" t="str">
            <v>JT Eaton</v>
          </cell>
          <cell r="C1050" t="str">
            <v>Jt Eaton</v>
          </cell>
          <cell r="D1050" t="str">
            <v>JT Eaton Answer Humane Live Catch &amp; Release Skunk Trap, Wire Cage</v>
          </cell>
          <cell r="E1050" t="str">
            <v>https://www.amazon.com/dp/B00VE3BDVC</v>
          </cell>
          <cell r="F1050" t="str">
            <v>Other</v>
          </cell>
          <cell r="G1050" t="str">
            <v>Live Catch Traps</v>
          </cell>
          <cell r="H1050" t="str">
            <v>Other - Live Catch Traps</v>
          </cell>
          <cell r="I1050" t="str">
            <v>All Other products</v>
          </cell>
        </row>
        <row r="1051">
          <cell r="A1051" t="str">
            <v>B072C1RYZY</v>
          </cell>
          <cell r="B1051" t="str">
            <v>Nature's MACE</v>
          </cell>
          <cell r="C1051" t="str">
            <v>Nature's MACE</v>
          </cell>
          <cell r="D1051" t="str">
            <v>Nature's Mace Cat Mace Cat Repellent 2.5 lb Granules</v>
          </cell>
          <cell r="E1051" t="str">
            <v>https://www.amazon.com/dp/B072C1RYZY?psc=1</v>
          </cell>
          <cell r="F1051" t="str">
            <v>Other</v>
          </cell>
          <cell r="G1051" t="str">
            <v>Repellents</v>
          </cell>
          <cell r="H1051" t="str">
            <v>Other - Repellents</v>
          </cell>
          <cell r="I1051" t="str">
            <v>All Other products</v>
          </cell>
        </row>
        <row r="1052">
          <cell r="A1052" t="str">
            <v>B072LSRFG6</v>
          </cell>
          <cell r="B1052" t="str">
            <v>Nature's MACE</v>
          </cell>
          <cell r="C1052" t="str">
            <v>Nature's MACE</v>
          </cell>
          <cell r="D1052" t="str">
            <v>Nature's Mace Cat Mace Cat Repellent 6 lb Granules</v>
          </cell>
          <cell r="E1052" t="str">
            <v>https://www.amazon.com/dp/B072LSRFG6?psc=1</v>
          </cell>
          <cell r="F1052" t="str">
            <v>Other</v>
          </cell>
          <cell r="G1052" t="str">
            <v>Repellents</v>
          </cell>
          <cell r="H1052" t="str">
            <v>Other - Repellents</v>
          </cell>
          <cell r="I1052" t="str">
            <v>All Other products</v>
          </cell>
        </row>
        <row r="1053">
          <cell r="A1053" t="str">
            <v>B079TDXSL4</v>
          </cell>
          <cell r="B1053" t="str">
            <v>Neogen</v>
          </cell>
          <cell r="C1053" t="str">
            <v>Ideal Instruments</v>
          </cell>
          <cell r="D1053" t="str">
            <v>Ideal Instruments 7610 Cow Bell 10LD Metal Cow Bell</v>
          </cell>
          <cell r="E1053" t="str">
            <v>https://www.amazon.com/dp/B079TDXSL4</v>
          </cell>
          <cell r="F1053" t="str">
            <v>Other</v>
          </cell>
          <cell r="G1053" t="str">
            <v>Other</v>
          </cell>
          <cell r="H1053" t="str">
            <v>Other - Other</v>
          </cell>
          <cell r="I1053" t="str">
            <v>All Other products</v>
          </cell>
        </row>
        <row r="1054">
          <cell r="A1054" t="str">
            <v>B001BM4JLM</v>
          </cell>
          <cell r="B1054" t="str">
            <v>Neogen</v>
          </cell>
          <cell r="C1054" t="str">
            <v>Neogen</v>
          </cell>
          <cell r="D1054" t="str">
            <v>Prozap 1499540 Garden &amp; Poultry Dust For Insects, 2 Lb</v>
          </cell>
          <cell r="E1054" t="str">
            <v>https://www.amazon.com/dp/B001BM4JLM?psc=1</v>
          </cell>
          <cell r="F1054" t="str">
            <v>Flying Insect Control</v>
          </cell>
          <cell r="G1054" t="str">
            <v>Other</v>
          </cell>
          <cell r="H1054" t="str">
            <v>Flying Insect Control - Other</v>
          </cell>
          <cell r="I1054" t="str">
            <v>All Other products</v>
          </cell>
        </row>
        <row r="1055">
          <cell r="A1055" t="str">
            <v>B077SZ543C</v>
          </cell>
          <cell r="B1055" t="str">
            <v>Neogen</v>
          </cell>
          <cell r="C1055" t="str">
            <v>Neogen</v>
          </cell>
          <cell r="D1055" t="str">
            <v>Neogen 116352 Home Pest Control Products Ground Squirrel Bait</v>
          </cell>
          <cell r="E1055" t="str">
            <v>https://www.amazon.com/dp/B077SZ543C</v>
          </cell>
          <cell r="F1055" t="str">
            <v>Other</v>
          </cell>
          <cell r="G1055" t="str">
            <v>Bait &amp; Poison</v>
          </cell>
          <cell r="H1055" t="str">
            <v>Other - Bait &amp; Poison</v>
          </cell>
          <cell r="I1055" t="str">
            <v>All Other products</v>
          </cell>
        </row>
        <row r="1056">
          <cell r="A1056" t="str">
            <v>B005FYNHUQ</v>
          </cell>
          <cell r="B1056" t="str">
            <v>Neogen</v>
          </cell>
          <cell r="C1056" t="str">
            <v>Neogen</v>
          </cell>
          <cell r="D1056" t="str">
            <v>Prozap Insectrin 1% Pour-On Xtra 1 Gallon</v>
          </cell>
          <cell r="E1056" t="str">
            <v>https://www.amazon.com/dp/B005FYNHUQ</v>
          </cell>
          <cell r="F1056" t="str">
            <v>Flying Insect Control</v>
          </cell>
          <cell r="G1056" t="str">
            <v>Other</v>
          </cell>
          <cell r="H1056" t="str">
            <v>Flying Insect Control - Other</v>
          </cell>
          <cell r="I1056" t="str">
            <v>All Other products</v>
          </cell>
        </row>
        <row r="1057">
          <cell r="A1057" t="str">
            <v>B005FYMOI2</v>
          </cell>
          <cell r="B1057" t="str">
            <v>Neogen</v>
          </cell>
          <cell r="C1057" t="str">
            <v>Neogen</v>
          </cell>
          <cell r="D1057" t="str">
            <v>Neogen Insectrin X - 32 Ounce</v>
          </cell>
          <cell r="E1057" t="str">
            <v>https://www.amazon.com/dp/B005FYMOI2</v>
          </cell>
          <cell r="F1057" t="str">
            <v>Flying Insect Control</v>
          </cell>
          <cell r="G1057" t="str">
            <v>Other</v>
          </cell>
          <cell r="H1057" t="str">
            <v>Flying Insect Control - Other</v>
          </cell>
          <cell r="I1057" t="str">
            <v>All Other products</v>
          </cell>
        </row>
        <row r="1058">
          <cell r="A1058" t="str">
            <v>B09R6CM6BJ</v>
          </cell>
          <cell r="B1058" t="str">
            <v>Neogen</v>
          </cell>
          <cell r="C1058" t="str">
            <v>Neogen</v>
          </cell>
          <cell r="D1058" t="str">
            <v>Neogen 116317 Ramik Green 45-Mini Bait Packs, 4.2 Pounds</v>
          </cell>
          <cell r="E1058" t="str">
            <v>https://www.amazon.com/dp/B09R6CM6BJ?psc=1</v>
          </cell>
          <cell r="F1058" t="str">
            <v>Other</v>
          </cell>
          <cell r="G1058" t="str">
            <v>Bait &amp; Poison</v>
          </cell>
          <cell r="H1058" t="str">
            <v>Other - Bait &amp; Poison</v>
          </cell>
          <cell r="I1058" t="str">
            <v>All Other products</v>
          </cell>
        </row>
        <row r="1059">
          <cell r="A1059" t="str">
            <v>B000HHQ320</v>
          </cell>
          <cell r="B1059" t="str">
            <v>Neogen</v>
          </cell>
          <cell r="C1059" t="str">
            <v>Neogen</v>
          </cell>
          <cell r="D1059" t="str">
            <v>Neogen Prozap Ld-44Z Insect Fogger 20 oz</v>
          </cell>
          <cell r="E1059" t="str">
            <v>https://www.amazon.com/dp/B000HHQ320</v>
          </cell>
          <cell r="F1059" t="str">
            <v>Flying Insect Control</v>
          </cell>
          <cell r="G1059" t="str">
            <v>Other</v>
          </cell>
          <cell r="H1059" t="str">
            <v>Flying Insect Control - Other</v>
          </cell>
          <cell r="I1059" t="str">
            <v>All Other products</v>
          </cell>
        </row>
        <row r="1060">
          <cell r="A1060" t="str">
            <v>B007T9SSE0</v>
          </cell>
          <cell r="B1060" t="str">
            <v>Neogen</v>
          </cell>
          <cell r="C1060" t="str">
            <v>Neogen</v>
          </cell>
          <cell r="D1060" t="str">
            <v>Neogen CHEMTECH 048-1109670 698300 Prozap Backrubber &amp; Pour-On, Blue, 2.5 Gallon, 966010</v>
          </cell>
          <cell r="E1060" t="str">
            <v>https://www.amazon.com/dp/B007T9SSE0</v>
          </cell>
          <cell r="F1060" t="str">
            <v>Other</v>
          </cell>
          <cell r="G1060" t="str">
            <v>Other</v>
          </cell>
          <cell r="H1060" t="str">
            <v>Other - Other</v>
          </cell>
          <cell r="I1060" t="str">
            <v>All Other products</v>
          </cell>
        </row>
        <row r="1061">
          <cell r="A1061" t="str">
            <v>B000HHM5QI</v>
          </cell>
          <cell r="B1061" t="str">
            <v>Neogen</v>
          </cell>
          <cell r="C1061" t="str">
            <v>Prime Pet Deals - Code 1</v>
          </cell>
          <cell r="D1061" t="str">
            <v>Chemtech 698298 25 oz Prozap CT-75 Dairy Aerosol</v>
          </cell>
          <cell r="E1061" t="str">
            <v>https://www.amazon.com/dp/B000HHM5QI</v>
          </cell>
          <cell r="F1061" t="str">
            <v>Other</v>
          </cell>
          <cell r="G1061" t="str">
            <v>Other</v>
          </cell>
          <cell r="H1061" t="str">
            <v>Other - Other</v>
          </cell>
          <cell r="I1061" t="str">
            <v>All Other products</v>
          </cell>
        </row>
        <row r="1062">
          <cell r="A1062" t="str">
            <v>B009P70L6M</v>
          </cell>
          <cell r="B1062" t="str">
            <v>Neogen</v>
          </cell>
          <cell r="C1062" t="str">
            <v>Ramik</v>
          </cell>
          <cell r="D1062" t="str">
            <v>Neogen 698782 Green Ramik Nuggets Place Pack Pouch, 1/2 in Bait</v>
          </cell>
          <cell r="E1062" t="str">
            <v>https://www.amazon.com/dp/B009P70L6M?psc=1</v>
          </cell>
          <cell r="F1062" t="str">
            <v>Other</v>
          </cell>
          <cell r="G1062" t="str">
            <v>Bait &amp; Poison</v>
          </cell>
          <cell r="H1062" t="str">
            <v>Other - Bait &amp; Poison</v>
          </cell>
          <cell r="I1062" t="str">
            <v>All Other products</v>
          </cell>
        </row>
        <row r="1063">
          <cell r="A1063" t="str">
            <v>B00OBYN16G</v>
          </cell>
          <cell r="B1063" t="str">
            <v>Neogen</v>
          </cell>
          <cell r="C1063" t="str">
            <v>Ramik</v>
          </cell>
          <cell r="D1063" t="str">
            <v>Neogen 950 Squirrel Lure, Brown</v>
          </cell>
          <cell r="E1063" t="str">
            <v>https://www.amazon.com/dp/B00OBYN16G?psc=1</v>
          </cell>
          <cell r="F1063" t="str">
            <v>Other</v>
          </cell>
          <cell r="G1063" t="str">
            <v>Other</v>
          </cell>
          <cell r="H1063" t="str">
            <v>Other - Other</v>
          </cell>
          <cell r="I1063" t="str">
            <v>All Other products</v>
          </cell>
        </row>
        <row r="1064">
          <cell r="A1064" t="str">
            <v>B078YGGR7X</v>
          </cell>
          <cell r="B1064" t="str">
            <v>Neogen</v>
          </cell>
          <cell r="C1064" t="str">
            <v>Steve Regan</v>
          </cell>
          <cell r="D1064" t="str">
            <v>Neogen Prozap LD-44Z Farm Insect Fogger, 25oz</v>
          </cell>
          <cell r="E1064" t="str">
            <v>https://www.amazon.com/dp/B078YGGR7X</v>
          </cell>
          <cell r="F1064" t="str">
            <v>Flying Insect Control</v>
          </cell>
          <cell r="G1064" t="str">
            <v>Other</v>
          </cell>
          <cell r="H1064" t="str">
            <v>Flying Insect Control - Other</v>
          </cell>
          <cell r="I1064" t="str">
            <v>All Other products</v>
          </cell>
        </row>
        <row r="1065">
          <cell r="A1065" t="str">
            <v>B005VZYCLM</v>
          </cell>
          <cell r="B1065" t="str">
            <v>Shake-Away</v>
          </cell>
          <cell r="C1065" t="str">
            <v>Arett Sales - LG</v>
          </cell>
          <cell r="D1065" t="str">
            <v>Shake Away 2852228 Fox Urine Granules, 28-1/2-Ounce - Brown/A</v>
          </cell>
          <cell r="E1065" t="str">
            <v>https://www.amazon.com/dp/B08N9LQNTR</v>
          </cell>
          <cell r="F1065" t="str">
            <v>Other</v>
          </cell>
          <cell r="G1065" t="str">
            <v>Other</v>
          </cell>
          <cell r="H1065" t="str">
            <v>Other - Other</v>
          </cell>
          <cell r="I1065" t="str">
            <v>All Other products</v>
          </cell>
        </row>
        <row r="1066">
          <cell r="A1066" t="str">
            <v>B005VZYCL2</v>
          </cell>
          <cell r="B1066" t="str">
            <v>Shake-Away</v>
          </cell>
          <cell r="C1066" t="str">
            <v>Arett Sales - LG</v>
          </cell>
          <cell r="D1066" t="str">
            <v>Shake-Away Coyote/Fox Urine Granules 28.5 oz. - 2854448</v>
          </cell>
          <cell r="E1066" t="str">
            <v>https://www.amazon.com/dp/B005VZYCLM</v>
          </cell>
          <cell r="F1066" t="str">
            <v>Other</v>
          </cell>
          <cell r="G1066" t="str">
            <v>Other</v>
          </cell>
          <cell r="H1066" t="str">
            <v>Other - Other</v>
          </cell>
          <cell r="I1066" t="str">
            <v>All Other products</v>
          </cell>
        </row>
        <row r="1067">
          <cell r="A1067" t="str">
            <v>B005VZYCPS</v>
          </cell>
          <cell r="B1067" t="str">
            <v>Shake-Away</v>
          </cell>
          <cell r="C1067" t="str">
            <v>Arett Sales - LG</v>
          </cell>
          <cell r="D1067" t="str">
            <v>Shake Away 5006458 Coyote/Fox Urine Granules – Repels Domestic Cats, 5 lb</v>
          </cell>
          <cell r="E1067" t="str">
            <v>https://www.amazon.com/dp/B005VZYCL2?psc=1</v>
          </cell>
          <cell r="F1067" t="str">
            <v>Other</v>
          </cell>
          <cell r="G1067" t="str">
            <v>Other</v>
          </cell>
          <cell r="H1067" t="str">
            <v>Other - Other</v>
          </cell>
          <cell r="I1067" t="str">
            <v>All Other products</v>
          </cell>
        </row>
        <row r="1068">
          <cell r="A1068" t="str">
            <v>B08C484NNJ</v>
          </cell>
          <cell r="B1068" t="str">
            <v>Syngenta</v>
          </cell>
          <cell r="C1068" t="str">
            <v>Syngenta</v>
          </cell>
          <cell r="D1068" t="str">
            <v>Advion Insect Granular Bait, 1-lb. Shaker Bottle, Effective Insect Granular Bait, Formulated with 0.22% Indoxacarb, Outdoor Use, for Control of Prevailing Perimeter Pests</v>
          </cell>
          <cell r="E1068" t="str">
            <v>https://www.amazon.com/dp/B08C484NNJ</v>
          </cell>
          <cell r="F1068" t="str">
            <v>Flying Insect Control</v>
          </cell>
          <cell r="G1068" t="str">
            <v>Bait &amp; Poison</v>
          </cell>
          <cell r="H1068" t="str">
            <v>Flying Insect Control - Bait &amp; Poison</v>
          </cell>
          <cell r="I1068" t="str">
            <v>All Other products</v>
          </cell>
        </row>
        <row r="1069">
          <cell r="A1069" t="str">
            <v>B08HY892HM</v>
          </cell>
          <cell r="B1069" t="str">
            <v>Syngenta</v>
          </cell>
          <cell r="C1069" t="str">
            <v>Syngenta</v>
          </cell>
          <cell r="D1069" t="str">
            <v>Syngenta 64749 Demand Duo Pesticide, 1 Count (Pack of 1), White</v>
          </cell>
          <cell r="E1069" t="str">
            <v>https://www.amazon.com/dp/B08HY892HM?psc=1</v>
          </cell>
          <cell r="F1069" t="str">
            <v>Other</v>
          </cell>
          <cell r="G1069" t="str">
            <v>Other</v>
          </cell>
          <cell r="H1069" t="str">
            <v>Other - Other</v>
          </cell>
          <cell r="I1069" t="str">
            <v>All Other products</v>
          </cell>
        </row>
        <row r="1070">
          <cell r="A1070" t="str">
            <v>B01G49QTLO</v>
          </cell>
          <cell r="B1070" t="str">
            <v>Syngenta</v>
          </cell>
          <cell r="C1070" t="str">
            <v>Syngenta</v>
          </cell>
          <cell r="D1070" t="str">
            <v>Demon Max 2500 demon2500 Bug Killer, Dark Brown</v>
          </cell>
          <cell r="E1070" t="str">
            <v>https://www.amazon.com/dp/B01G49QTLO</v>
          </cell>
          <cell r="F1070" t="str">
            <v>Other</v>
          </cell>
          <cell r="G1070" t="str">
            <v>Other</v>
          </cell>
          <cell r="H1070" t="str">
            <v>Other - Other</v>
          </cell>
          <cell r="I1070" t="str">
            <v>All Other products</v>
          </cell>
        </row>
        <row r="1071">
          <cell r="A1071" t="str">
            <v>B0149IBXCC</v>
          </cell>
          <cell r="B1071" t="str">
            <v>Syngenta</v>
          </cell>
          <cell r="C1071" t="str">
            <v>Syngenta</v>
          </cell>
          <cell r="D1071" t="str">
            <v>Fusilade Selective Herbicide II 73215, White</v>
          </cell>
          <cell r="E1071" t="str">
            <v>https://www.amazon.com/dp/B0149IBXCC?psc=1</v>
          </cell>
          <cell r="F1071" t="str">
            <v>Other</v>
          </cell>
          <cell r="G1071" t="str">
            <v>Other</v>
          </cell>
          <cell r="H1071" t="str">
            <v>Other - Other</v>
          </cell>
          <cell r="I1071" t="str">
            <v>All Other products</v>
          </cell>
        </row>
        <row r="1072">
          <cell r="A1072" t="str">
            <v>B0DZ7BFXP2</v>
          </cell>
          <cell r="B1072" t="str">
            <v>Syngenta</v>
          </cell>
          <cell r="C1072" t="str">
            <v>Syngenta</v>
          </cell>
          <cell r="D1072" t="str">
            <v>Syngenta Herbicide Bundle- Recognition Herbicide 0.45 oz Bottle + Fusilade II Herbicide 4oz Bottle</v>
          </cell>
          <cell r="E1072" t="str">
            <v>https://www.amazon.com/dp/B0DZ7BFXP2</v>
          </cell>
          <cell r="F1072" t="str">
            <v>Other</v>
          </cell>
          <cell r="G1072" t="str">
            <v>Other</v>
          </cell>
          <cell r="H1072" t="str">
            <v>Other - Other</v>
          </cell>
          <cell r="I1072" t="str">
            <v>All Other products</v>
          </cell>
        </row>
        <row r="1073">
          <cell r="A1073" t="str">
            <v>B0084HDDIM</v>
          </cell>
          <cell r="B1073" t="str">
            <v>Syngenta</v>
          </cell>
          <cell r="C1073" t="str">
            <v>Syngenta</v>
          </cell>
          <cell r="D1073" t="str">
            <v>Syngenta 33916 Archer Growth Regulator, Colorless</v>
          </cell>
          <cell r="E1073" t="str">
            <v>https://www.amazon.com/dp/B0084HDDIM</v>
          </cell>
          <cell r="F1073" t="str">
            <v>Other</v>
          </cell>
          <cell r="G1073" t="str">
            <v>Other</v>
          </cell>
          <cell r="H1073" t="str">
            <v>Other - Other</v>
          </cell>
          <cell r="I1073" t="str">
            <v>All Other products</v>
          </cell>
        </row>
        <row r="1074">
          <cell r="A1074" t="str">
            <v>B0849XJ2JG</v>
          </cell>
          <cell r="B1074" t="str">
            <v>Syngenta</v>
          </cell>
          <cell r="C1074" t="str">
            <v>Syngenta</v>
          </cell>
          <cell r="D1074" t="str">
            <v>Syngenta Resolute 65 WG</v>
          </cell>
          <cell r="E1074" t="str">
            <v>https://www.amazon.com/dp/B0849XJ2JG</v>
          </cell>
          <cell r="F1074" t="str">
            <v>Other</v>
          </cell>
          <cell r="G1074" t="str">
            <v>Other</v>
          </cell>
          <cell r="H1074" t="str">
            <v>Other - Other</v>
          </cell>
          <cell r="I1074" t="str">
            <v>All Other products</v>
          </cell>
        </row>
        <row r="1075">
          <cell r="A1075" t="str">
            <v>B0G96643VD</v>
          </cell>
          <cell r="B1075" t="str">
            <v>Syngenta</v>
          </cell>
          <cell r="C1075" t="str">
            <v>Syngenta</v>
          </cell>
          <cell r="D1075" t="str">
            <v>Syngenta Tribune Fast-Acting Aquatic Herbicide 128 fl oz</v>
          </cell>
          <cell r="E1075" t="str">
            <v>https://www.amazon.com/dp/B0G96643VD</v>
          </cell>
          <cell r="F1075" t="str">
            <v>Other</v>
          </cell>
          <cell r="G1075" t="str">
            <v>Other</v>
          </cell>
          <cell r="H1075" t="str">
            <v>Other - Other</v>
          </cell>
          <cell r="I1075" t="str">
            <v>All Other products</v>
          </cell>
        </row>
        <row r="1076">
          <cell r="A1076" t="str">
            <v>B01BZLG0PQ</v>
          </cell>
          <cell r="B1076" t="str">
            <v>Syngenta</v>
          </cell>
          <cell r="C1076" t="str">
            <v>Syngenta</v>
          </cell>
          <cell r="D1076" t="str">
            <v>Syngenta Acelepryn G – 25 lb</v>
          </cell>
          <cell r="E1076" t="str">
            <v>https://www.amazon.com/dp/B01BZLG0PQ</v>
          </cell>
          <cell r="F1076" t="str">
            <v>Other</v>
          </cell>
          <cell r="G1076" t="str">
            <v>Other</v>
          </cell>
          <cell r="H1076" t="str">
            <v>Other - Other</v>
          </cell>
          <cell r="I1076" t="str">
            <v>All Other products</v>
          </cell>
        </row>
        <row r="1077">
          <cell r="A1077" t="str">
            <v>B078216C9T</v>
          </cell>
          <cell r="B1077" t="str">
            <v>Victor</v>
          </cell>
          <cell r="C1077" t="str">
            <v>Victor</v>
          </cell>
          <cell r="D1077" t="str">
            <v>Victor EZ Set Wooden Snap Trap - 12 Pack</v>
          </cell>
          <cell r="E1077" t="str">
            <v>https://www.amazon.com/dp/B078216C9T?psc=1</v>
          </cell>
          <cell r="F1077" t="str">
            <v>Other</v>
          </cell>
          <cell r="G1077" t="str">
            <v>Snap Traps</v>
          </cell>
          <cell r="H1077" t="str">
            <v>Other - Snap Traps</v>
          </cell>
          <cell r="I1077" t="str">
            <v>All Other products</v>
          </cell>
        </row>
        <row r="1078">
          <cell r="A1078" t="str">
            <v>B07KMXG47F</v>
          </cell>
          <cell r="B1078" t="str">
            <v>Victor</v>
          </cell>
          <cell r="C1078" t="str">
            <v>Woodstream Corporation</v>
          </cell>
          <cell r="D1078" t="str">
            <v>Victor Poison Moleworms, 10-Pack</v>
          </cell>
          <cell r="E1078" t="str">
            <v>https://www.amazon.com/dp/B07KMXG47F</v>
          </cell>
          <cell r="F1078" t="str">
            <v>Other</v>
          </cell>
          <cell r="G1078" t="str">
            <v>Bait &amp; Poison</v>
          </cell>
          <cell r="H1078" t="str">
            <v>Other - Bait &amp; Poison</v>
          </cell>
          <cell r="I1078" t="str">
            <v>All Other products</v>
          </cell>
        </row>
        <row r="1079">
          <cell r="A1079" t="str">
            <v>B0GF7VMHMD</v>
          </cell>
          <cell r="B1079" t="str">
            <v>WowCatch</v>
          </cell>
          <cell r="C1079" t="str">
            <v>WowCatch</v>
          </cell>
          <cell r="D1079" t="str">
            <v>Upgraded 5 PCS Double-Sided Adhesive Card Refills for Replacement</v>
          </cell>
          <cell r="E1079" t="str">
            <v>https://www.amazon.com/dp/B0GF7VMHMD?psc=1</v>
          </cell>
          <cell r="F1079" t="str">
            <v>Other</v>
          </cell>
          <cell r="G1079" t="str">
            <v>Other</v>
          </cell>
          <cell r="H1079" t="str">
            <v>Other - Other</v>
          </cell>
          <cell r="I1079" t="str">
            <v>All Other products</v>
          </cell>
        </row>
        <row r="1080">
          <cell r="A1080" t="str">
            <v>B0GF7MJSMF</v>
          </cell>
          <cell r="B1080" t="str">
            <v>WowCatch</v>
          </cell>
          <cell r="C1080" t="str">
            <v>WowCatch</v>
          </cell>
          <cell r="D1080" t="str">
            <v>Upgraded 10 PCS Double-Sided Adhesive Card Refills for Replacement</v>
          </cell>
          <cell r="E1080" t="str">
            <v>https://www.amazon.com/dp/B0GF7MJSMF?psc=1</v>
          </cell>
          <cell r="F1080" t="str">
            <v>Other</v>
          </cell>
          <cell r="G1080" t="str">
            <v>Other</v>
          </cell>
          <cell r="H1080" t="str">
            <v>Other - Other</v>
          </cell>
          <cell r="I1080" t="str">
            <v>All Other products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B001QBPP66</v>
          </cell>
          <cell r="B2">
            <v>500</v>
          </cell>
          <cell r="C2">
            <v>500</v>
          </cell>
          <cell r="D2">
            <v>1000</v>
          </cell>
          <cell r="E2">
            <v>1000</v>
          </cell>
          <cell r="F2">
            <v>2000</v>
          </cell>
          <cell r="G2">
            <v>3000</v>
          </cell>
          <cell r="H2">
            <v>5000</v>
          </cell>
          <cell r="I2">
            <v>10000</v>
          </cell>
          <cell r="J2">
            <v>7000</v>
          </cell>
          <cell r="K2">
            <v>2000</v>
          </cell>
          <cell r="L2">
            <v>1000</v>
          </cell>
          <cell r="M2">
            <v>750</v>
          </cell>
        </row>
        <row r="3">
          <cell r="A3" t="str">
            <v>B001QFDESS</v>
          </cell>
          <cell r="B3">
            <v>100</v>
          </cell>
          <cell r="C3">
            <v>100</v>
          </cell>
          <cell r="D3">
            <v>300</v>
          </cell>
          <cell r="E3">
            <v>1000</v>
          </cell>
          <cell r="F3">
            <v>1000</v>
          </cell>
          <cell r="G3">
            <v>2000</v>
          </cell>
          <cell r="H3">
            <v>2000</v>
          </cell>
          <cell r="I3">
            <v>1000</v>
          </cell>
          <cell r="J3">
            <v>1000</v>
          </cell>
          <cell r="K3">
            <v>900</v>
          </cell>
          <cell r="L3">
            <v>600</v>
          </cell>
          <cell r="M3">
            <v>200</v>
          </cell>
        </row>
        <row r="4">
          <cell r="A4" t="str">
            <v>B002Y6GAN4</v>
          </cell>
          <cell r="B4">
            <v>2000</v>
          </cell>
          <cell r="C4">
            <v>1000</v>
          </cell>
          <cell r="D4">
            <v>1000</v>
          </cell>
          <cell r="E4">
            <v>2000</v>
          </cell>
          <cell r="F4">
            <v>2000</v>
          </cell>
          <cell r="G4">
            <v>2000</v>
          </cell>
          <cell r="H4">
            <v>2000</v>
          </cell>
          <cell r="I4">
            <v>2000</v>
          </cell>
          <cell r="J4">
            <v>3000</v>
          </cell>
          <cell r="K4">
            <v>3000</v>
          </cell>
          <cell r="L4">
            <v>3000</v>
          </cell>
          <cell r="M4">
            <v>2000</v>
          </cell>
        </row>
        <row r="5">
          <cell r="A5" t="str">
            <v>B003ORTFH0</v>
          </cell>
          <cell r="B5">
            <v>6000</v>
          </cell>
          <cell r="C5">
            <v>5000</v>
          </cell>
          <cell r="D5">
            <v>5000</v>
          </cell>
          <cell r="E5">
            <v>5000</v>
          </cell>
          <cell r="F5">
            <v>5000</v>
          </cell>
          <cell r="G5">
            <v>7000</v>
          </cell>
          <cell r="H5">
            <v>8000</v>
          </cell>
          <cell r="I5">
            <v>8000</v>
          </cell>
          <cell r="J5">
            <v>9000</v>
          </cell>
          <cell r="K5">
            <v>10000</v>
          </cell>
          <cell r="L5">
            <v>9000</v>
          </cell>
          <cell r="M5">
            <v>7000</v>
          </cell>
        </row>
        <row r="6">
          <cell r="A6" t="str">
            <v>B005968T1M</v>
          </cell>
          <cell r="B6">
            <v>100</v>
          </cell>
          <cell r="C6">
            <v>100</v>
          </cell>
          <cell r="D6">
            <v>100</v>
          </cell>
          <cell r="E6">
            <v>100</v>
          </cell>
          <cell r="F6">
            <v>200</v>
          </cell>
          <cell r="G6">
            <v>200</v>
          </cell>
          <cell r="H6">
            <v>200</v>
          </cell>
          <cell r="I6">
            <v>200</v>
          </cell>
          <cell r="J6">
            <v>200</v>
          </cell>
          <cell r="K6">
            <v>300</v>
          </cell>
          <cell r="L6">
            <v>200</v>
          </cell>
          <cell r="M6">
            <v>200</v>
          </cell>
        </row>
        <row r="7">
          <cell r="A7" t="str">
            <v>B005IMZ9K6</v>
          </cell>
          <cell r="B7">
            <v>5000</v>
          </cell>
          <cell r="C7">
            <v>4000</v>
          </cell>
          <cell r="D7">
            <v>4000</v>
          </cell>
          <cell r="E7">
            <v>5000</v>
          </cell>
          <cell r="F7">
            <v>7000</v>
          </cell>
          <cell r="G7">
            <v>8000</v>
          </cell>
          <cell r="H7">
            <v>8000</v>
          </cell>
          <cell r="I7">
            <v>10000</v>
          </cell>
          <cell r="J7">
            <v>10000</v>
          </cell>
          <cell r="K7">
            <v>10000</v>
          </cell>
          <cell r="L7">
            <v>10000</v>
          </cell>
          <cell r="M7">
            <v>8000</v>
          </cell>
        </row>
        <row r="8">
          <cell r="A8" t="str">
            <v>B005IMZ9SI</v>
          </cell>
          <cell r="B8">
            <v>300</v>
          </cell>
          <cell r="C8">
            <v>400</v>
          </cell>
          <cell r="D8">
            <v>400</v>
          </cell>
          <cell r="E8">
            <v>400</v>
          </cell>
          <cell r="F8">
            <v>400</v>
          </cell>
          <cell r="G8">
            <v>500</v>
          </cell>
          <cell r="H8">
            <v>600</v>
          </cell>
          <cell r="I8">
            <v>600</v>
          </cell>
          <cell r="J8">
            <v>600</v>
          </cell>
          <cell r="K8">
            <v>1000</v>
          </cell>
          <cell r="L8">
            <v>300</v>
          </cell>
          <cell r="M8">
            <v>300</v>
          </cell>
        </row>
        <row r="9">
          <cell r="A9" t="str">
            <v>B005IMZ9TC</v>
          </cell>
          <cell r="B9">
            <v>3000</v>
          </cell>
          <cell r="C9">
            <v>3000</v>
          </cell>
          <cell r="D9">
            <v>4000</v>
          </cell>
          <cell r="E9">
            <v>5000</v>
          </cell>
          <cell r="F9">
            <v>6000</v>
          </cell>
          <cell r="G9">
            <v>7000</v>
          </cell>
          <cell r="H9">
            <v>5000</v>
          </cell>
          <cell r="I9">
            <v>6000</v>
          </cell>
          <cell r="J9">
            <v>6000</v>
          </cell>
          <cell r="K9">
            <v>5000</v>
          </cell>
          <cell r="L9">
            <v>5000</v>
          </cell>
          <cell r="M9">
            <v>5000</v>
          </cell>
        </row>
        <row r="10">
          <cell r="A10" t="str">
            <v>B007E83LUM</v>
          </cell>
          <cell r="B10">
            <v>10000</v>
          </cell>
          <cell r="C10">
            <v>10000</v>
          </cell>
          <cell r="D10">
            <v>10000</v>
          </cell>
          <cell r="E10">
            <v>10000</v>
          </cell>
          <cell r="F10">
            <v>20000</v>
          </cell>
          <cell r="G10">
            <v>20000</v>
          </cell>
          <cell r="H10">
            <v>20000</v>
          </cell>
          <cell r="I10">
            <v>30000</v>
          </cell>
          <cell r="J10">
            <v>30000</v>
          </cell>
          <cell r="K10">
            <v>20000</v>
          </cell>
          <cell r="L10">
            <v>20000</v>
          </cell>
          <cell r="M10">
            <v>20000</v>
          </cell>
        </row>
        <row r="11">
          <cell r="A11" t="str">
            <v>B008JVIHDO</v>
          </cell>
          <cell r="B11">
            <v>0</v>
          </cell>
          <cell r="C11">
            <v>0</v>
          </cell>
          <cell r="D11">
            <v>100</v>
          </cell>
          <cell r="E11">
            <v>500</v>
          </cell>
          <cell r="F11">
            <v>700</v>
          </cell>
          <cell r="G11">
            <v>700</v>
          </cell>
          <cell r="H11">
            <v>1000</v>
          </cell>
          <cell r="I11">
            <v>800</v>
          </cell>
          <cell r="J11">
            <v>700</v>
          </cell>
          <cell r="K11">
            <v>0</v>
          </cell>
          <cell r="L11">
            <v>0</v>
          </cell>
          <cell r="M11">
            <v>0</v>
          </cell>
        </row>
        <row r="12">
          <cell r="A12" t="str">
            <v>B0097BC26I</v>
          </cell>
          <cell r="B12">
            <v>0</v>
          </cell>
          <cell r="C12">
            <v>50</v>
          </cell>
          <cell r="D12">
            <v>50</v>
          </cell>
          <cell r="E12">
            <v>50</v>
          </cell>
          <cell r="F12">
            <v>50</v>
          </cell>
          <cell r="G12">
            <v>50</v>
          </cell>
          <cell r="H12">
            <v>50</v>
          </cell>
          <cell r="I12">
            <v>50</v>
          </cell>
          <cell r="J12">
            <v>100</v>
          </cell>
          <cell r="K12">
            <v>50</v>
          </cell>
          <cell r="L12">
            <v>50</v>
          </cell>
          <cell r="M12">
            <v>50</v>
          </cell>
        </row>
        <row r="13">
          <cell r="A13" t="str">
            <v>B00CEEDFS4</v>
          </cell>
          <cell r="B13">
            <v>5000</v>
          </cell>
          <cell r="C13">
            <v>3000</v>
          </cell>
          <cell r="D13">
            <v>4000</v>
          </cell>
          <cell r="E13">
            <v>3000</v>
          </cell>
          <cell r="F13">
            <v>3000</v>
          </cell>
          <cell r="G13">
            <v>3000</v>
          </cell>
          <cell r="H13">
            <v>5000</v>
          </cell>
          <cell r="I13">
            <v>5000</v>
          </cell>
          <cell r="J13">
            <v>6000</v>
          </cell>
          <cell r="K13">
            <v>10000</v>
          </cell>
          <cell r="L13">
            <v>10000</v>
          </cell>
          <cell r="M13">
            <v>7000</v>
          </cell>
        </row>
        <row r="14">
          <cell r="A14" t="str">
            <v>B00CEEF7PI</v>
          </cell>
          <cell r="B14">
            <v>1000</v>
          </cell>
          <cell r="C14">
            <v>1000</v>
          </cell>
          <cell r="D14">
            <v>1000</v>
          </cell>
          <cell r="E14">
            <v>1000</v>
          </cell>
          <cell r="F14">
            <v>1000</v>
          </cell>
          <cell r="G14">
            <v>1000</v>
          </cell>
          <cell r="H14">
            <v>1000</v>
          </cell>
          <cell r="I14">
            <v>800</v>
          </cell>
          <cell r="J14">
            <v>1000</v>
          </cell>
          <cell r="K14">
            <v>1000</v>
          </cell>
          <cell r="L14">
            <v>2000</v>
          </cell>
          <cell r="M14">
            <v>1000</v>
          </cell>
        </row>
        <row r="15">
          <cell r="A15" t="str">
            <v>B00CEFPWV6</v>
          </cell>
          <cell r="B15">
            <v>10000</v>
          </cell>
          <cell r="C15">
            <v>8000</v>
          </cell>
          <cell r="D15">
            <v>10000</v>
          </cell>
          <cell r="E15">
            <v>10000</v>
          </cell>
          <cell r="F15">
            <v>10000</v>
          </cell>
          <cell r="G15">
            <v>10000</v>
          </cell>
          <cell r="H15">
            <v>10000</v>
          </cell>
          <cell r="I15">
            <v>20000</v>
          </cell>
          <cell r="J15">
            <v>20000</v>
          </cell>
          <cell r="K15">
            <v>10000</v>
          </cell>
          <cell r="L15">
            <v>10000</v>
          </cell>
          <cell r="M15">
            <v>10000</v>
          </cell>
        </row>
        <row r="16">
          <cell r="A16" t="str">
            <v>B00CQ561GY</v>
          </cell>
          <cell r="B16">
            <v>2000</v>
          </cell>
          <cell r="C16">
            <v>1000</v>
          </cell>
          <cell r="D16">
            <v>1000</v>
          </cell>
          <cell r="E16">
            <v>200</v>
          </cell>
          <cell r="F16">
            <v>400</v>
          </cell>
          <cell r="G16">
            <v>2000</v>
          </cell>
          <cell r="H16">
            <v>4000</v>
          </cell>
          <cell r="I16">
            <v>5000</v>
          </cell>
          <cell r="J16">
            <v>5000</v>
          </cell>
          <cell r="K16">
            <v>5000</v>
          </cell>
          <cell r="L16">
            <v>3000</v>
          </cell>
          <cell r="M16">
            <v>3000</v>
          </cell>
        </row>
        <row r="17">
          <cell r="A17" t="str">
            <v>B00LW21RNY</v>
          </cell>
          <cell r="B17">
            <v>1000</v>
          </cell>
          <cell r="C17">
            <v>1000</v>
          </cell>
          <cell r="D17">
            <v>2000</v>
          </cell>
          <cell r="E17">
            <v>3000</v>
          </cell>
          <cell r="F17">
            <v>3000</v>
          </cell>
          <cell r="G17">
            <v>6000</v>
          </cell>
          <cell r="H17">
            <v>6000</v>
          </cell>
          <cell r="I17">
            <v>6000</v>
          </cell>
          <cell r="J17">
            <v>7000</v>
          </cell>
          <cell r="K17">
            <v>4000</v>
          </cell>
          <cell r="L17">
            <v>4000</v>
          </cell>
          <cell r="M17">
            <v>3000</v>
          </cell>
        </row>
        <row r="18">
          <cell r="A18" t="str">
            <v>B015BSSHBY</v>
          </cell>
          <cell r="B18">
            <v>100</v>
          </cell>
          <cell r="C18">
            <v>50</v>
          </cell>
          <cell r="D18">
            <v>100</v>
          </cell>
          <cell r="E18">
            <v>100</v>
          </cell>
          <cell r="F18">
            <v>100</v>
          </cell>
          <cell r="G18">
            <v>100</v>
          </cell>
          <cell r="H18">
            <v>100</v>
          </cell>
          <cell r="I18">
            <v>100</v>
          </cell>
          <cell r="J18">
            <v>100</v>
          </cell>
          <cell r="K18">
            <v>200</v>
          </cell>
          <cell r="L18">
            <v>200</v>
          </cell>
          <cell r="M18">
            <v>100</v>
          </cell>
        </row>
        <row r="19">
          <cell r="A19" t="str">
            <v>B0195UE0NI</v>
          </cell>
          <cell r="B19">
            <v>100</v>
          </cell>
          <cell r="C19">
            <v>100</v>
          </cell>
          <cell r="D19">
            <v>100</v>
          </cell>
          <cell r="E19">
            <v>100</v>
          </cell>
          <cell r="F19">
            <v>100</v>
          </cell>
          <cell r="G19">
            <v>100</v>
          </cell>
          <cell r="H19">
            <v>100</v>
          </cell>
          <cell r="I19">
            <v>200</v>
          </cell>
          <cell r="J19">
            <v>200</v>
          </cell>
          <cell r="K19">
            <v>200</v>
          </cell>
          <cell r="L19">
            <v>200</v>
          </cell>
          <cell r="M19">
            <v>100</v>
          </cell>
        </row>
        <row r="20">
          <cell r="A20" t="str">
            <v>B01H9234G8</v>
          </cell>
          <cell r="B20">
            <v>0</v>
          </cell>
          <cell r="C20">
            <v>0</v>
          </cell>
          <cell r="D20">
            <v>0</v>
          </cell>
          <cell r="E20">
            <v>50</v>
          </cell>
          <cell r="F20">
            <v>50</v>
          </cell>
          <cell r="G20">
            <v>100</v>
          </cell>
          <cell r="H20">
            <v>100</v>
          </cell>
          <cell r="I20">
            <v>100</v>
          </cell>
          <cell r="J20">
            <v>100</v>
          </cell>
          <cell r="K20">
            <v>50</v>
          </cell>
          <cell r="L20">
            <v>50</v>
          </cell>
          <cell r="M20">
            <v>0</v>
          </cell>
        </row>
        <row r="21">
          <cell r="A21" t="str">
            <v>B01KXKL2BW</v>
          </cell>
          <cell r="B21">
            <v>100</v>
          </cell>
          <cell r="C21">
            <v>100</v>
          </cell>
          <cell r="D21">
            <v>100</v>
          </cell>
          <cell r="E21">
            <v>100</v>
          </cell>
          <cell r="F21">
            <v>100</v>
          </cell>
          <cell r="G21">
            <v>100</v>
          </cell>
          <cell r="H21">
            <v>200</v>
          </cell>
          <cell r="I21">
            <v>200</v>
          </cell>
          <cell r="J21">
            <v>200</v>
          </cell>
          <cell r="K21">
            <v>200</v>
          </cell>
          <cell r="L21">
            <v>100</v>
          </cell>
          <cell r="M21">
            <v>100</v>
          </cell>
        </row>
        <row r="22">
          <cell r="A22" t="str">
            <v>B01N02XQ2U</v>
          </cell>
          <cell r="B22">
            <v>50</v>
          </cell>
          <cell r="C22">
            <v>50</v>
          </cell>
          <cell r="D22">
            <v>100</v>
          </cell>
          <cell r="E22">
            <v>200</v>
          </cell>
          <cell r="F22">
            <v>200</v>
          </cell>
          <cell r="G22">
            <v>300</v>
          </cell>
          <cell r="H22">
            <v>300</v>
          </cell>
          <cell r="I22">
            <v>600</v>
          </cell>
          <cell r="J22">
            <v>500</v>
          </cell>
          <cell r="K22">
            <v>200</v>
          </cell>
          <cell r="L22">
            <v>200</v>
          </cell>
          <cell r="M22">
            <v>50</v>
          </cell>
        </row>
        <row r="23">
          <cell r="A23" t="str">
            <v>B0757F2D74</v>
          </cell>
          <cell r="B23">
            <v>400</v>
          </cell>
          <cell r="C23">
            <v>300</v>
          </cell>
          <cell r="D23">
            <v>700</v>
          </cell>
          <cell r="E23">
            <v>1000</v>
          </cell>
          <cell r="F23">
            <v>800</v>
          </cell>
          <cell r="G23">
            <v>1000</v>
          </cell>
          <cell r="H23">
            <v>1000</v>
          </cell>
          <cell r="I23">
            <v>500</v>
          </cell>
          <cell r="J23">
            <v>500</v>
          </cell>
          <cell r="K23">
            <v>300</v>
          </cell>
          <cell r="L23">
            <v>300</v>
          </cell>
          <cell r="M23">
            <v>200</v>
          </cell>
        </row>
        <row r="24">
          <cell r="A24" t="str">
            <v>B076QK3HXD</v>
          </cell>
          <cell r="B24">
            <v>50</v>
          </cell>
          <cell r="C24">
            <v>50</v>
          </cell>
          <cell r="D24">
            <v>50</v>
          </cell>
          <cell r="E24">
            <v>50</v>
          </cell>
          <cell r="F24">
            <v>50</v>
          </cell>
          <cell r="G24">
            <v>100</v>
          </cell>
          <cell r="H24">
            <v>100</v>
          </cell>
          <cell r="I24">
            <v>200</v>
          </cell>
          <cell r="J24">
            <v>100</v>
          </cell>
          <cell r="K24">
            <v>50</v>
          </cell>
          <cell r="L24">
            <v>50</v>
          </cell>
          <cell r="M24">
            <v>50</v>
          </cell>
        </row>
        <row r="25">
          <cell r="A25" t="str">
            <v>B078YD8YRD</v>
          </cell>
          <cell r="B25">
            <v>5000</v>
          </cell>
          <cell r="C25">
            <v>5000</v>
          </cell>
          <cell r="D25">
            <v>5000</v>
          </cell>
          <cell r="E25">
            <v>6000</v>
          </cell>
          <cell r="F25">
            <v>6000</v>
          </cell>
          <cell r="G25">
            <v>6000</v>
          </cell>
          <cell r="H25">
            <v>7000</v>
          </cell>
          <cell r="I25">
            <v>4000</v>
          </cell>
          <cell r="J25">
            <v>7000</v>
          </cell>
          <cell r="K25">
            <v>9000</v>
          </cell>
          <cell r="L25">
            <v>6000</v>
          </cell>
          <cell r="M25">
            <v>8000</v>
          </cell>
        </row>
        <row r="26">
          <cell r="A26" t="str">
            <v>B07K6TVBSS</v>
          </cell>
          <cell r="B26">
            <v>0</v>
          </cell>
          <cell r="C26">
            <v>0</v>
          </cell>
          <cell r="D26">
            <v>0</v>
          </cell>
          <cell r="E26">
            <v>0</v>
          </cell>
          <cell r="F26">
            <v>0</v>
          </cell>
          <cell r="G26">
            <v>0</v>
          </cell>
          <cell r="H26">
            <v>0</v>
          </cell>
          <cell r="I26">
            <v>50</v>
          </cell>
          <cell r="J26">
            <v>50</v>
          </cell>
          <cell r="K26">
            <v>50</v>
          </cell>
          <cell r="L26">
            <v>50</v>
          </cell>
          <cell r="M26">
            <v>50</v>
          </cell>
        </row>
        <row r="27">
          <cell r="A27" t="str">
            <v>B07RCVJXCV</v>
          </cell>
          <cell r="B27">
            <v>100</v>
          </cell>
          <cell r="C27">
            <v>100</v>
          </cell>
          <cell r="D27">
            <v>100</v>
          </cell>
          <cell r="E27">
            <v>1000</v>
          </cell>
          <cell r="F27">
            <v>1000</v>
          </cell>
          <cell r="G27">
            <v>900</v>
          </cell>
          <cell r="H27">
            <v>1000</v>
          </cell>
          <cell r="I27">
            <v>800</v>
          </cell>
          <cell r="J27">
            <v>700</v>
          </cell>
          <cell r="K27">
            <v>500</v>
          </cell>
          <cell r="L27">
            <v>700</v>
          </cell>
          <cell r="M27">
            <v>100</v>
          </cell>
        </row>
        <row r="28">
          <cell r="A28" t="str">
            <v>B07SHHS33Z</v>
          </cell>
          <cell r="B28">
            <v>700</v>
          </cell>
          <cell r="C28">
            <v>600</v>
          </cell>
          <cell r="D28">
            <v>700</v>
          </cell>
          <cell r="E28">
            <v>1000</v>
          </cell>
          <cell r="F28">
            <v>1000</v>
          </cell>
          <cell r="G28">
            <v>1000</v>
          </cell>
          <cell r="H28">
            <v>2000</v>
          </cell>
          <cell r="I28">
            <v>2000</v>
          </cell>
          <cell r="J28">
            <v>5000</v>
          </cell>
          <cell r="K28">
            <v>5000</v>
          </cell>
          <cell r="L28">
            <v>2000</v>
          </cell>
          <cell r="M28">
            <v>2000</v>
          </cell>
        </row>
        <row r="29">
          <cell r="A29" t="str">
            <v>B07V6HBYHK</v>
          </cell>
          <cell r="B29">
            <v>500</v>
          </cell>
          <cell r="C29">
            <v>500</v>
          </cell>
          <cell r="D29">
            <v>500</v>
          </cell>
          <cell r="E29">
            <v>1000</v>
          </cell>
          <cell r="F29">
            <v>1000</v>
          </cell>
          <cell r="G29">
            <v>3000</v>
          </cell>
          <cell r="H29">
            <v>7000</v>
          </cell>
          <cell r="I29">
            <v>10000</v>
          </cell>
          <cell r="J29">
            <v>10000</v>
          </cell>
          <cell r="K29">
            <v>7000</v>
          </cell>
          <cell r="L29">
            <v>1000</v>
          </cell>
          <cell r="M29">
            <v>500</v>
          </cell>
        </row>
        <row r="30">
          <cell r="A30" t="str">
            <v>B07V6J6MGC</v>
          </cell>
          <cell r="B30">
            <v>100</v>
          </cell>
          <cell r="C30">
            <v>100</v>
          </cell>
          <cell r="D30">
            <v>100</v>
          </cell>
          <cell r="E30">
            <v>1000</v>
          </cell>
          <cell r="F30">
            <v>700</v>
          </cell>
          <cell r="G30">
            <v>500</v>
          </cell>
          <cell r="H30">
            <v>1000</v>
          </cell>
          <cell r="I30">
            <v>300</v>
          </cell>
          <cell r="J30">
            <v>100</v>
          </cell>
          <cell r="K30">
            <v>200</v>
          </cell>
          <cell r="L30">
            <v>500</v>
          </cell>
          <cell r="M30">
            <v>100</v>
          </cell>
        </row>
        <row r="31">
          <cell r="A31" t="str">
            <v>B07VBB7LHD</v>
          </cell>
          <cell r="B31">
            <v>200</v>
          </cell>
          <cell r="C31">
            <v>100</v>
          </cell>
          <cell r="D31">
            <v>200</v>
          </cell>
          <cell r="E31">
            <v>100</v>
          </cell>
          <cell r="F31">
            <v>200</v>
          </cell>
          <cell r="G31">
            <v>200</v>
          </cell>
          <cell r="H31">
            <v>300</v>
          </cell>
          <cell r="I31">
            <v>300</v>
          </cell>
          <cell r="J31">
            <v>400</v>
          </cell>
          <cell r="K31">
            <v>500</v>
          </cell>
          <cell r="L31">
            <v>600</v>
          </cell>
          <cell r="M31">
            <v>300</v>
          </cell>
        </row>
        <row r="32">
          <cell r="A32" t="str">
            <v>B07VFKPK3T</v>
          </cell>
          <cell r="B32">
            <v>400</v>
          </cell>
          <cell r="C32">
            <v>600</v>
          </cell>
          <cell r="D32">
            <v>500</v>
          </cell>
          <cell r="E32">
            <v>500</v>
          </cell>
          <cell r="F32">
            <v>800</v>
          </cell>
          <cell r="G32">
            <v>1000</v>
          </cell>
          <cell r="H32">
            <v>1000</v>
          </cell>
          <cell r="I32">
            <v>1000</v>
          </cell>
          <cell r="J32">
            <v>1000</v>
          </cell>
          <cell r="K32">
            <v>1000</v>
          </cell>
          <cell r="L32">
            <v>800</v>
          </cell>
          <cell r="M32">
            <v>1000</v>
          </cell>
        </row>
        <row r="33">
          <cell r="A33" t="str">
            <v>B07VNH8RFP</v>
          </cell>
          <cell r="B33">
            <v>900</v>
          </cell>
          <cell r="C33">
            <v>500</v>
          </cell>
          <cell r="D33">
            <v>700</v>
          </cell>
          <cell r="E33">
            <v>700</v>
          </cell>
          <cell r="F33">
            <v>600</v>
          </cell>
          <cell r="G33">
            <v>1000</v>
          </cell>
          <cell r="H33">
            <v>1000</v>
          </cell>
          <cell r="I33">
            <v>1000</v>
          </cell>
          <cell r="J33">
            <v>1000</v>
          </cell>
          <cell r="K33">
            <v>900</v>
          </cell>
          <cell r="L33">
            <v>1000</v>
          </cell>
          <cell r="M33">
            <v>700</v>
          </cell>
        </row>
        <row r="34">
          <cell r="A34" t="str">
            <v>B07VQNWMN2</v>
          </cell>
          <cell r="B34">
            <v>8000</v>
          </cell>
          <cell r="C34">
            <v>3000</v>
          </cell>
          <cell r="D34">
            <v>3000</v>
          </cell>
          <cell r="E34">
            <v>4000</v>
          </cell>
          <cell r="F34">
            <v>4000</v>
          </cell>
          <cell r="G34">
            <v>6000</v>
          </cell>
          <cell r="H34">
            <v>10000</v>
          </cell>
          <cell r="I34">
            <v>10000</v>
          </cell>
          <cell r="J34">
            <v>10000</v>
          </cell>
          <cell r="K34">
            <v>6000</v>
          </cell>
          <cell r="L34">
            <v>7000</v>
          </cell>
          <cell r="M34">
            <v>6000</v>
          </cell>
        </row>
        <row r="35">
          <cell r="A35" t="str">
            <v>B07XKDM8LG</v>
          </cell>
          <cell r="B35">
            <v>400</v>
          </cell>
          <cell r="C35">
            <v>200</v>
          </cell>
          <cell r="D35">
            <v>1000</v>
          </cell>
          <cell r="E35">
            <v>1000</v>
          </cell>
          <cell r="F35">
            <v>2000</v>
          </cell>
          <cell r="G35">
            <v>1000</v>
          </cell>
          <cell r="H35">
            <v>1000</v>
          </cell>
          <cell r="I35">
            <v>1000</v>
          </cell>
          <cell r="J35">
            <v>2000</v>
          </cell>
          <cell r="K35">
            <v>1000</v>
          </cell>
          <cell r="L35">
            <v>600</v>
          </cell>
          <cell r="M35">
            <v>400</v>
          </cell>
        </row>
        <row r="36">
          <cell r="A36" t="str">
            <v>B07YCVK6KJ</v>
          </cell>
          <cell r="B36">
            <v>300</v>
          </cell>
          <cell r="C36">
            <v>300</v>
          </cell>
          <cell r="D36">
            <v>200</v>
          </cell>
          <cell r="E36">
            <v>100</v>
          </cell>
          <cell r="F36">
            <v>100</v>
          </cell>
          <cell r="G36">
            <v>60</v>
          </cell>
          <cell r="H36">
            <v>100</v>
          </cell>
          <cell r="I36">
            <v>100</v>
          </cell>
          <cell r="J36">
            <v>100</v>
          </cell>
          <cell r="K36">
            <v>300</v>
          </cell>
          <cell r="L36">
            <v>400</v>
          </cell>
          <cell r="M36">
            <v>600</v>
          </cell>
        </row>
        <row r="37">
          <cell r="A37" t="str">
            <v>B07YQ8RGYL</v>
          </cell>
          <cell r="B37">
            <v>800</v>
          </cell>
          <cell r="C37">
            <v>800</v>
          </cell>
          <cell r="D37">
            <v>1000</v>
          </cell>
          <cell r="E37">
            <v>1000</v>
          </cell>
          <cell r="F37">
            <v>800</v>
          </cell>
          <cell r="G37">
            <v>500</v>
          </cell>
          <cell r="H37">
            <v>1000</v>
          </cell>
          <cell r="I37">
            <v>900</v>
          </cell>
          <cell r="J37">
            <v>1000</v>
          </cell>
          <cell r="K37">
            <v>1000</v>
          </cell>
          <cell r="L37">
            <v>1000</v>
          </cell>
          <cell r="M37">
            <v>1000</v>
          </cell>
        </row>
        <row r="38">
          <cell r="A38" t="str">
            <v>B07YYN3RBG</v>
          </cell>
          <cell r="B38">
            <v>600</v>
          </cell>
          <cell r="C38">
            <v>800</v>
          </cell>
          <cell r="D38">
            <v>800</v>
          </cell>
          <cell r="E38">
            <v>0</v>
          </cell>
          <cell r="F38">
            <v>700</v>
          </cell>
          <cell r="G38">
            <v>2000</v>
          </cell>
          <cell r="H38">
            <v>1000</v>
          </cell>
          <cell r="I38">
            <v>1000</v>
          </cell>
          <cell r="J38">
            <v>2000</v>
          </cell>
          <cell r="K38">
            <v>2000</v>
          </cell>
          <cell r="L38">
            <v>2000</v>
          </cell>
          <cell r="M38">
            <v>2000</v>
          </cell>
        </row>
        <row r="39">
          <cell r="A39" t="str">
            <v>B0839P1DQ8</v>
          </cell>
          <cell r="B39">
            <v>100</v>
          </cell>
          <cell r="C39">
            <v>200</v>
          </cell>
          <cell r="D39">
            <v>300</v>
          </cell>
          <cell r="E39">
            <v>100</v>
          </cell>
          <cell r="F39">
            <v>200</v>
          </cell>
          <cell r="G39">
            <v>600</v>
          </cell>
          <cell r="H39">
            <v>700</v>
          </cell>
          <cell r="I39">
            <v>500</v>
          </cell>
          <cell r="J39">
            <v>400</v>
          </cell>
          <cell r="K39">
            <v>300</v>
          </cell>
          <cell r="L39">
            <v>200</v>
          </cell>
          <cell r="M39">
            <v>100</v>
          </cell>
        </row>
        <row r="40">
          <cell r="A40" t="str">
            <v>B0839QH3G8</v>
          </cell>
          <cell r="B40">
            <v>50</v>
          </cell>
          <cell r="C40">
            <v>50</v>
          </cell>
          <cell r="D40">
            <v>50</v>
          </cell>
          <cell r="E40">
            <v>300</v>
          </cell>
          <cell r="F40">
            <v>200</v>
          </cell>
          <cell r="G40">
            <v>100</v>
          </cell>
          <cell r="H40">
            <v>100</v>
          </cell>
          <cell r="I40">
            <v>100</v>
          </cell>
          <cell r="J40">
            <v>100</v>
          </cell>
          <cell r="K40">
            <v>50</v>
          </cell>
          <cell r="L40">
            <v>50</v>
          </cell>
          <cell r="M40">
            <v>50</v>
          </cell>
        </row>
        <row r="41">
          <cell r="A41" t="str">
            <v>B083ZGVJ28</v>
          </cell>
          <cell r="B41">
            <v>50</v>
          </cell>
          <cell r="C41">
            <v>50</v>
          </cell>
          <cell r="D41">
            <v>50</v>
          </cell>
          <cell r="E41">
            <v>200</v>
          </cell>
          <cell r="F41">
            <v>200</v>
          </cell>
          <cell r="G41">
            <v>300</v>
          </cell>
          <cell r="H41">
            <v>300</v>
          </cell>
          <cell r="I41">
            <v>1000</v>
          </cell>
          <cell r="J41">
            <v>1000</v>
          </cell>
          <cell r="K41">
            <v>200</v>
          </cell>
          <cell r="L41">
            <v>100</v>
          </cell>
          <cell r="M41">
            <v>50</v>
          </cell>
        </row>
        <row r="42">
          <cell r="A42" t="str">
            <v>B084H1TJ57</v>
          </cell>
          <cell r="B42">
            <v>300</v>
          </cell>
          <cell r="C42">
            <v>200</v>
          </cell>
          <cell r="D42">
            <v>100</v>
          </cell>
          <cell r="E42">
            <v>50</v>
          </cell>
          <cell r="F42">
            <v>0</v>
          </cell>
          <cell r="G42">
            <v>0</v>
          </cell>
          <cell r="H42">
            <v>50</v>
          </cell>
          <cell r="I42">
            <v>100</v>
          </cell>
          <cell r="J42">
            <v>100</v>
          </cell>
          <cell r="K42">
            <v>100</v>
          </cell>
          <cell r="L42">
            <v>300</v>
          </cell>
          <cell r="M42">
            <v>300</v>
          </cell>
        </row>
        <row r="43">
          <cell r="A43" t="str">
            <v>B08563R81S</v>
          </cell>
          <cell r="B43">
            <v>0</v>
          </cell>
          <cell r="C43">
            <v>50</v>
          </cell>
          <cell r="D43">
            <v>100</v>
          </cell>
          <cell r="E43">
            <v>500</v>
          </cell>
          <cell r="F43">
            <v>200</v>
          </cell>
          <cell r="G43">
            <v>700</v>
          </cell>
          <cell r="H43">
            <v>700</v>
          </cell>
          <cell r="I43">
            <v>400</v>
          </cell>
          <cell r="J43">
            <v>300</v>
          </cell>
          <cell r="K43">
            <v>200</v>
          </cell>
          <cell r="L43">
            <v>100</v>
          </cell>
          <cell r="M43">
            <v>50</v>
          </cell>
        </row>
        <row r="44">
          <cell r="A44" t="str">
            <v>B085HML2M2</v>
          </cell>
          <cell r="B44">
            <v>0</v>
          </cell>
          <cell r="C44">
            <v>0</v>
          </cell>
          <cell r="D44">
            <v>0</v>
          </cell>
          <cell r="E44">
            <v>100</v>
          </cell>
          <cell r="F44">
            <v>100</v>
          </cell>
          <cell r="G44">
            <v>100</v>
          </cell>
          <cell r="H44">
            <v>300</v>
          </cell>
          <cell r="I44">
            <v>100</v>
          </cell>
          <cell r="J44">
            <v>60</v>
          </cell>
          <cell r="K44">
            <v>60</v>
          </cell>
          <cell r="L44">
            <v>60</v>
          </cell>
          <cell r="M44">
            <v>0</v>
          </cell>
        </row>
        <row r="45">
          <cell r="A45" t="str">
            <v>B085HNLLNZ</v>
          </cell>
          <cell r="B45">
            <v>0</v>
          </cell>
          <cell r="C45">
            <v>0</v>
          </cell>
          <cell r="D45">
            <v>50</v>
          </cell>
          <cell r="E45">
            <v>100</v>
          </cell>
          <cell r="F45">
            <v>50</v>
          </cell>
          <cell r="G45">
            <v>100</v>
          </cell>
          <cell r="H45">
            <v>700</v>
          </cell>
          <cell r="I45">
            <v>100</v>
          </cell>
          <cell r="J45">
            <v>100</v>
          </cell>
          <cell r="K45">
            <v>200</v>
          </cell>
          <cell r="L45">
            <v>50</v>
          </cell>
          <cell r="M45">
            <v>50</v>
          </cell>
        </row>
        <row r="46">
          <cell r="A46" t="str">
            <v>B085LQ18MR</v>
          </cell>
          <cell r="B46">
            <v>50</v>
          </cell>
          <cell r="C46">
            <v>50</v>
          </cell>
          <cell r="D46">
            <v>50</v>
          </cell>
          <cell r="E46">
            <v>50</v>
          </cell>
          <cell r="F46">
            <v>100</v>
          </cell>
          <cell r="G46">
            <v>100</v>
          </cell>
          <cell r="H46">
            <v>100</v>
          </cell>
          <cell r="I46">
            <v>100</v>
          </cell>
          <cell r="J46">
            <v>200</v>
          </cell>
          <cell r="K46">
            <v>100</v>
          </cell>
          <cell r="L46">
            <v>100</v>
          </cell>
          <cell r="M46">
            <v>100</v>
          </cell>
        </row>
        <row r="47">
          <cell r="A47" t="str">
            <v>B087YYJ41X</v>
          </cell>
          <cell r="B47">
            <v>0</v>
          </cell>
          <cell r="C47">
            <v>0</v>
          </cell>
          <cell r="D47">
            <v>0</v>
          </cell>
          <cell r="E47">
            <v>50</v>
          </cell>
          <cell r="F47">
            <v>50</v>
          </cell>
          <cell r="G47">
            <v>50</v>
          </cell>
          <cell r="H47">
            <v>200</v>
          </cell>
          <cell r="I47">
            <v>100</v>
          </cell>
          <cell r="J47">
            <v>50</v>
          </cell>
          <cell r="K47">
            <v>0</v>
          </cell>
          <cell r="L47">
            <v>0</v>
          </cell>
          <cell r="M47">
            <v>0</v>
          </cell>
        </row>
        <row r="48">
          <cell r="A48" t="str">
            <v>B089NZXLZ7</v>
          </cell>
          <cell r="B48">
            <v>50</v>
          </cell>
          <cell r="C48">
            <v>50</v>
          </cell>
          <cell r="D48">
            <v>100</v>
          </cell>
          <cell r="E48">
            <v>400</v>
          </cell>
          <cell r="F48">
            <v>900</v>
          </cell>
          <cell r="G48">
            <v>400</v>
          </cell>
          <cell r="H48">
            <v>400</v>
          </cell>
          <cell r="I48">
            <v>300</v>
          </cell>
          <cell r="J48">
            <v>200</v>
          </cell>
          <cell r="K48">
            <v>100</v>
          </cell>
          <cell r="L48">
            <v>100</v>
          </cell>
          <cell r="M48">
            <v>50</v>
          </cell>
        </row>
        <row r="49">
          <cell r="A49" t="str">
            <v>B08FBJPWWP</v>
          </cell>
          <cell r="B49">
            <v>50</v>
          </cell>
          <cell r="C49">
            <v>50</v>
          </cell>
          <cell r="D49">
            <v>50</v>
          </cell>
          <cell r="E49">
            <v>50</v>
          </cell>
          <cell r="F49">
            <v>50</v>
          </cell>
          <cell r="G49">
            <v>50</v>
          </cell>
          <cell r="H49">
            <v>100</v>
          </cell>
          <cell r="I49">
            <v>100</v>
          </cell>
          <cell r="J49">
            <v>100</v>
          </cell>
          <cell r="K49">
            <v>100</v>
          </cell>
          <cell r="L49">
            <v>0</v>
          </cell>
          <cell r="M49">
            <v>50</v>
          </cell>
        </row>
        <row r="50">
          <cell r="A50" t="str">
            <v>B08HPFR3FN</v>
          </cell>
          <cell r="B50">
            <v>400</v>
          </cell>
          <cell r="C50">
            <v>500</v>
          </cell>
          <cell r="D50">
            <v>900</v>
          </cell>
          <cell r="E50">
            <v>600</v>
          </cell>
          <cell r="F50">
            <v>600</v>
          </cell>
          <cell r="G50">
            <v>800</v>
          </cell>
          <cell r="H50">
            <v>1000</v>
          </cell>
          <cell r="I50">
            <v>1000</v>
          </cell>
          <cell r="J50">
            <v>1000</v>
          </cell>
          <cell r="K50">
            <v>1000</v>
          </cell>
          <cell r="L50">
            <v>900</v>
          </cell>
          <cell r="M50">
            <v>500</v>
          </cell>
        </row>
        <row r="51">
          <cell r="A51" t="str">
            <v>B08LZXPDSH</v>
          </cell>
          <cell r="B51">
            <v>100</v>
          </cell>
          <cell r="C51">
            <v>100</v>
          </cell>
          <cell r="D51">
            <v>200</v>
          </cell>
          <cell r="E51">
            <v>200</v>
          </cell>
          <cell r="F51">
            <v>600</v>
          </cell>
          <cell r="G51">
            <v>1000</v>
          </cell>
          <cell r="H51">
            <v>800</v>
          </cell>
          <cell r="I51">
            <v>800</v>
          </cell>
          <cell r="J51">
            <v>800</v>
          </cell>
          <cell r="K51">
            <v>1000</v>
          </cell>
          <cell r="L51">
            <v>100</v>
          </cell>
          <cell r="M51">
            <v>100</v>
          </cell>
        </row>
        <row r="52">
          <cell r="A52" t="str">
            <v>B08M1WCMF8</v>
          </cell>
          <cell r="B52">
            <v>0</v>
          </cell>
          <cell r="C52">
            <v>0</v>
          </cell>
          <cell r="D52">
            <v>100</v>
          </cell>
          <cell r="E52">
            <v>200</v>
          </cell>
          <cell r="F52">
            <v>700</v>
          </cell>
          <cell r="G52">
            <v>200</v>
          </cell>
          <cell r="H52">
            <v>200</v>
          </cell>
          <cell r="I52">
            <v>100</v>
          </cell>
          <cell r="J52">
            <v>100</v>
          </cell>
          <cell r="K52">
            <v>300</v>
          </cell>
          <cell r="L52">
            <v>200</v>
          </cell>
          <cell r="M52">
            <v>50</v>
          </cell>
        </row>
        <row r="53">
          <cell r="A53" t="str">
            <v>B08PC92KXJ</v>
          </cell>
          <cell r="B53">
            <v>1000</v>
          </cell>
          <cell r="C53">
            <v>2000</v>
          </cell>
          <cell r="D53">
            <v>1000</v>
          </cell>
          <cell r="E53">
            <v>2000</v>
          </cell>
          <cell r="F53">
            <v>2000</v>
          </cell>
          <cell r="G53">
            <v>4000</v>
          </cell>
          <cell r="H53">
            <v>4000</v>
          </cell>
          <cell r="I53">
            <v>5000</v>
          </cell>
          <cell r="J53">
            <v>8000</v>
          </cell>
          <cell r="K53">
            <v>3000</v>
          </cell>
          <cell r="L53">
            <v>3000</v>
          </cell>
          <cell r="M53">
            <v>1000</v>
          </cell>
        </row>
        <row r="54">
          <cell r="A54" t="str">
            <v>B08PC92Y69</v>
          </cell>
          <cell r="B54">
            <v>60</v>
          </cell>
          <cell r="C54">
            <v>60</v>
          </cell>
          <cell r="D54">
            <v>60</v>
          </cell>
          <cell r="E54">
            <v>200</v>
          </cell>
          <cell r="F54">
            <v>200</v>
          </cell>
          <cell r="G54">
            <v>300</v>
          </cell>
          <cell r="H54">
            <v>400</v>
          </cell>
          <cell r="I54">
            <v>400</v>
          </cell>
          <cell r="J54">
            <v>400</v>
          </cell>
          <cell r="K54">
            <v>400</v>
          </cell>
          <cell r="L54">
            <v>200</v>
          </cell>
          <cell r="M54">
            <v>100</v>
          </cell>
        </row>
        <row r="55">
          <cell r="A55" t="str">
            <v>B08PC9R71X</v>
          </cell>
          <cell r="B55">
            <v>60</v>
          </cell>
          <cell r="C55">
            <v>60</v>
          </cell>
          <cell r="D55">
            <v>60</v>
          </cell>
          <cell r="E55">
            <v>100</v>
          </cell>
          <cell r="F55">
            <v>200</v>
          </cell>
          <cell r="G55">
            <v>200</v>
          </cell>
          <cell r="H55">
            <v>300</v>
          </cell>
          <cell r="I55">
            <v>300</v>
          </cell>
          <cell r="J55">
            <v>300</v>
          </cell>
          <cell r="K55">
            <v>400</v>
          </cell>
          <cell r="L55">
            <v>200</v>
          </cell>
          <cell r="M55">
            <v>100</v>
          </cell>
        </row>
        <row r="56">
          <cell r="A56" t="str">
            <v>B08PCBLFNZ</v>
          </cell>
          <cell r="B56">
            <v>100</v>
          </cell>
          <cell r="C56">
            <v>100</v>
          </cell>
          <cell r="D56">
            <v>100</v>
          </cell>
          <cell r="E56">
            <v>200</v>
          </cell>
          <cell r="F56">
            <v>300</v>
          </cell>
          <cell r="G56">
            <v>500</v>
          </cell>
          <cell r="H56">
            <v>700</v>
          </cell>
          <cell r="I56">
            <v>600</v>
          </cell>
          <cell r="J56">
            <v>700</v>
          </cell>
          <cell r="K56">
            <v>400</v>
          </cell>
          <cell r="L56">
            <v>300</v>
          </cell>
          <cell r="M56">
            <v>100</v>
          </cell>
        </row>
        <row r="57">
          <cell r="A57" t="str">
            <v>B08WRSW1MC</v>
          </cell>
          <cell r="B57">
            <v>0</v>
          </cell>
          <cell r="C57">
            <v>0</v>
          </cell>
          <cell r="D57">
            <v>50</v>
          </cell>
          <cell r="E57">
            <v>100</v>
          </cell>
          <cell r="F57">
            <v>100</v>
          </cell>
          <cell r="G57">
            <v>200</v>
          </cell>
          <cell r="H57">
            <v>200</v>
          </cell>
          <cell r="I57">
            <v>100</v>
          </cell>
          <cell r="J57">
            <v>100</v>
          </cell>
          <cell r="K57">
            <v>50</v>
          </cell>
          <cell r="L57">
            <v>50</v>
          </cell>
          <cell r="M57">
            <v>50</v>
          </cell>
        </row>
        <row r="58">
          <cell r="A58" t="str">
            <v>B08YJ222S2</v>
          </cell>
          <cell r="B58">
            <v>0</v>
          </cell>
          <cell r="C58">
            <v>0</v>
          </cell>
          <cell r="D58">
            <v>50</v>
          </cell>
          <cell r="E58">
            <v>50</v>
          </cell>
          <cell r="F58">
            <v>100</v>
          </cell>
          <cell r="G58">
            <v>200</v>
          </cell>
          <cell r="H58">
            <v>100</v>
          </cell>
          <cell r="I58">
            <v>100</v>
          </cell>
          <cell r="J58">
            <v>100</v>
          </cell>
          <cell r="K58">
            <v>50</v>
          </cell>
          <cell r="L58">
            <v>0</v>
          </cell>
          <cell r="M58">
            <v>0</v>
          </cell>
        </row>
        <row r="59">
          <cell r="A59" t="str">
            <v>B0987ZW7SV</v>
          </cell>
          <cell r="B59">
            <v>0</v>
          </cell>
          <cell r="C59">
            <v>50</v>
          </cell>
          <cell r="D59">
            <v>100</v>
          </cell>
          <cell r="E59">
            <v>1000</v>
          </cell>
          <cell r="F59">
            <v>1000</v>
          </cell>
          <cell r="G59">
            <v>1000</v>
          </cell>
          <cell r="H59">
            <v>1000</v>
          </cell>
          <cell r="I59">
            <v>600</v>
          </cell>
          <cell r="J59">
            <v>400</v>
          </cell>
          <cell r="K59">
            <v>300</v>
          </cell>
          <cell r="L59">
            <v>200</v>
          </cell>
          <cell r="M59">
            <v>50</v>
          </cell>
        </row>
        <row r="60">
          <cell r="A60" t="str">
            <v>B09KHJPC1X</v>
          </cell>
          <cell r="B60">
            <v>0</v>
          </cell>
          <cell r="C60">
            <v>0</v>
          </cell>
          <cell r="D60">
            <v>0</v>
          </cell>
          <cell r="E60">
            <v>0</v>
          </cell>
          <cell r="F60">
            <v>0</v>
          </cell>
          <cell r="G60">
            <v>0</v>
          </cell>
          <cell r="H60">
            <v>50</v>
          </cell>
          <cell r="I60">
            <v>50</v>
          </cell>
          <cell r="J60">
            <v>50</v>
          </cell>
          <cell r="K60">
            <v>0</v>
          </cell>
          <cell r="L60">
            <v>0</v>
          </cell>
          <cell r="M60">
            <v>0</v>
          </cell>
        </row>
        <row r="61">
          <cell r="A61" t="str">
            <v>B09KMGP3KC</v>
          </cell>
          <cell r="B61">
            <v>0</v>
          </cell>
          <cell r="C61">
            <v>0</v>
          </cell>
          <cell r="D61">
            <v>50</v>
          </cell>
          <cell r="E61">
            <v>100</v>
          </cell>
          <cell r="F61">
            <v>200</v>
          </cell>
          <cell r="G61">
            <v>200</v>
          </cell>
          <cell r="H61">
            <v>200</v>
          </cell>
          <cell r="I61">
            <v>400</v>
          </cell>
          <cell r="J61">
            <v>300</v>
          </cell>
          <cell r="K61">
            <v>200</v>
          </cell>
          <cell r="L61">
            <v>100</v>
          </cell>
          <cell r="M61">
            <v>50</v>
          </cell>
        </row>
        <row r="62">
          <cell r="A62" t="str">
            <v>B0B2C4DXW2</v>
          </cell>
          <cell r="B62">
            <v>50</v>
          </cell>
          <cell r="C62">
            <v>50</v>
          </cell>
          <cell r="D62">
            <v>100</v>
          </cell>
          <cell r="E62">
            <v>100</v>
          </cell>
          <cell r="F62">
            <v>200</v>
          </cell>
          <cell r="G62">
            <v>300</v>
          </cell>
          <cell r="H62">
            <v>400</v>
          </cell>
          <cell r="I62">
            <v>400</v>
          </cell>
          <cell r="J62">
            <v>400</v>
          </cell>
          <cell r="K62">
            <v>600</v>
          </cell>
          <cell r="L62">
            <v>100</v>
          </cell>
          <cell r="M62">
            <v>100</v>
          </cell>
        </row>
        <row r="63">
          <cell r="A63" t="str">
            <v>B0BDPJBL9H</v>
          </cell>
          <cell r="B63">
            <v>0</v>
          </cell>
          <cell r="C63">
            <v>0</v>
          </cell>
          <cell r="D63">
            <v>0</v>
          </cell>
          <cell r="E63">
            <v>100</v>
          </cell>
          <cell r="F63">
            <v>60</v>
          </cell>
          <cell r="G63">
            <v>100</v>
          </cell>
          <cell r="H63">
            <v>800</v>
          </cell>
          <cell r="I63">
            <v>200</v>
          </cell>
          <cell r="J63">
            <v>60</v>
          </cell>
          <cell r="K63">
            <v>60</v>
          </cell>
          <cell r="L63">
            <v>60</v>
          </cell>
          <cell r="M63">
            <v>0</v>
          </cell>
        </row>
        <row r="64">
          <cell r="A64" t="str">
            <v>B0BF8QWN3Q</v>
          </cell>
          <cell r="B64">
            <v>500</v>
          </cell>
          <cell r="C64">
            <v>300</v>
          </cell>
          <cell r="D64">
            <v>300</v>
          </cell>
          <cell r="E64">
            <v>400</v>
          </cell>
          <cell r="F64">
            <v>300</v>
          </cell>
          <cell r="G64">
            <v>400</v>
          </cell>
          <cell r="H64">
            <v>500</v>
          </cell>
          <cell r="I64">
            <v>600</v>
          </cell>
          <cell r="J64">
            <v>700</v>
          </cell>
          <cell r="K64">
            <v>600</v>
          </cell>
          <cell r="L64">
            <v>1000</v>
          </cell>
          <cell r="M64">
            <v>300</v>
          </cell>
        </row>
        <row r="65">
          <cell r="A65" t="str">
            <v>B0BVD846CJ</v>
          </cell>
          <cell r="B65">
            <v>2000</v>
          </cell>
          <cell r="C65">
            <v>2000</v>
          </cell>
          <cell r="D65">
            <v>2000</v>
          </cell>
          <cell r="E65">
            <v>3000</v>
          </cell>
          <cell r="F65">
            <v>2000</v>
          </cell>
          <cell r="G65">
            <v>2000</v>
          </cell>
          <cell r="H65">
            <v>4000</v>
          </cell>
          <cell r="I65">
            <v>4000</v>
          </cell>
          <cell r="J65">
            <v>4000</v>
          </cell>
          <cell r="K65">
            <v>4000</v>
          </cell>
          <cell r="L65">
            <v>4000</v>
          </cell>
          <cell r="M65">
            <v>3000</v>
          </cell>
        </row>
        <row r="66">
          <cell r="A66" t="str">
            <v>B0BVDKTZNY</v>
          </cell>
          <cell r="B66">
            <v>2000</v>
          </cell>
          <cell r="C66">
            <v>1000</v>
          </cell>
          <cell r="D66">
            <v>1000</v>
          </cell>
          <cell r="E66">
            <v>2000</v>
          </cell>
          <cell r="F66">
            <v>2000</v>
          </cell>
          <cell r="G66">
            <v>3000</v>
          </cell>
          <cell r="H66">
            <v>3000</v>
          </cell>
          <cell r="I66">
            <v>3000</v>
          </cell>
          <cell r="J66">
            <v>2000</v>
          </cell>
          <cell r="K66">
            <v>6000</v>
          </cell>
          <cell r="L66">
            <v>3000</v>
          </cell>
          <cell r="M66">
            <v>2000</v>
          </cell>
        </row>
        <row r="67">
          <cell r="A67" t="str">
            <v>B0C44B6YMK</v>
          </cell>
          <cell r="B67">
            <v>0</v>
          </cell>
          <cell r="C67">
            <v>0</v>
          </cell>
          <cell r="D67">
            <v>0</v>
          </cell>
          <cell r="E67">
            <v>0</v>
          </cell>
          <cell r="F67">
            <v>50</v>
          </cell>
          <cell r="G67">
            <v>100</v>
          </cell>
          <cell r="H67">
            <v>100</v>
          </cell>
          <cell r="I67">
            <v>100</v>
          </cell>
          <cell r="J67">
            <v>100</v>
          </cell>
          <cell r="K67">
            <v>50</v>
          </cell>
          <cell r="L67">
            <v>50</v>
          </cell>
          <cell r="M67">
            <v>50</v>
          </cell>
        </row>
        <row r="68">
          <cell r="A68" t="str">
            <v>B0C44G48FP</v>
          </cell>
          <cell r="B68">
            <v>0</v>
          </cell>
          <cell r="C68">
            <v>50</v>
          </cell>
          <cell r="D68">
            <v>50</v>
          </cell>
          <cell r="E68">
            <v>50</v>
          </cell>
          <cell r="F68">
            <v>50</v>
          </cell>
          <cell r="G68">
            <v>100</v>
          </cell>
          <cell r="H68">
            <v>100</v>
          </cell>
          <cell r="I68">
            <v>200</v>
          </cell>
          <cell r="J68">
            <v>200</v>
          </cell>
          <cell r="K68">
            <v>100</v>
          </cell>
          <cell r="L68">
            <v>100</v>
          </cell>
          <cell r="M68">
            <v>50</v>
          </cell>
        </row>
        <row r="69">
          <cell r="A69" t="str">
            <v>B0CCGY2RWP</v>
          </cell>
          <cell r="B69">
            <v>0</v>
          </cell>
          <cell r="C69">
            <v>50</v>
          </cell>
          <cell r="D69">
            <v>100</v>
          </cell>
          <cell r="E69">
            <v>100</v>
          </cell>
          <cell r="F69">
            <v>100</v>
          </cell>
          <cell r="G69">
            <v>100</v>
          </cell>
          <cell r="H69">
            <v>100</v>
          </cell>
          <cell r="I69">
            <v>100</v>
          </cell>
          <cell r="J69">
            <v>100</v>
          </cell>
          <cell r="K69">
            <v>50</v>
          </cell>
          <cell r="L69">
            <v>50</v>
          </cell>
          <cell r="M69">
            <v>0</v>
          </cell>
        </row>
        <row r="70">
          <cell r="A70" t="str">
            <v>B0CFRN4CF3</v>
          </cell>
          <cell r="B70">
            <v>1000</v>
          </cell>
          <cell r="C70">
            <v>1000</v>
          </cell>
          <cell r="D70">
            <v>1000</v>
          </cell>
          <cell r="E70">
            <v>1000</v>
          </cell>
          <cell r="F70">
            <v>1000</v>
          </cell>
          <cell r="G70">
            <v>1000</v>
          </cell>
          <cell r="H70">
            <v>1000</v>
          </cell>
          <cell r="I70">
            <v>2000</v>
          </cell>
          <cell r="J70">
            <v>3000</v>
          </cell>
          <cell r="K70">
            <v>1000</v>
          </cell>
          <cell r="L70">
            <v>1000</v>
          </cell>
          <cell r="M70">
            <v>1000</v>
          </cell>
        </row>
        <row r="71">
          <cell r="A71" t="str">
            <v>B0CFRN76MY</v>
          </cell>
          <cell r="B71">
            <v>0</v>
          </cell>
          <cell r="C71">
            <v>0</v>
          </cell>
          <cell r="D71">
            <v>0</v>
          </cell>
          <cell r="E71">
            <v>100</v>
          </cell>
          <cell r="F71">
            <v>50</v>
          </cell>
          <cell r="G71">
            <v>100</v>
          </cell>
          <cell r="H71">
            <v>200</v>
          </cell>
          <cell r="I71">
            <v>400</v>
          </cell>
          <cell r="J71">
            <v>400</v>
          </cell>
          <cell r="K71">
            <v>50</v>
          </cell>
          <cell r="L71">
            <v>50</v>
          </cell>
          <cell r="M71">
            <v>0</v>
          </cell>
        </row>
        <row r="72">
          <cell r="A72" t="str">
            <v>B0CFRVPBD4</v>
          </cell>
          <cell r="B72">
            <v>1000</v>
          </cell>
          <cell r="C72">
            <v>700</v>
          </cell>
          <cell r="D72">
            <v>1000</v>
          </cell>
          <cell r="E72">
            <v>1000</v>
          </cell>
          <cell r="F72">
            <v>2000</v>
          </cell>
          <cell r="G72">
            <v>3000</v>
          </cell>
          <cell r="H72">
            <v>4000</v>
          </cell>
          <cell r="I72">
            <v>4000</v>
          </cell>
          <cell r="J72">
            <v>6000</v>
          </cell>
          <cell r="K72">
            <v>4000</v>
          </cell>
          <cell r="L72">
            <v>2000</v>
          </cell>
          <cell r="M72">
            <v>1000</v>
          </cell>
        </row>
        <row r="73">
          <cell r="A73" t="str">
            <v>B0CFS1KTQ7</v>
          </cell>
          <cell r="B73">
            <v>500</v>
          </cell>
          <cell r="C73">
            <v>400</v>
          </cell>
          <cell r="D73">
            <v>300</v>
          </cell>
          <cell r="E73">
            <v>500</v>
          </cell>
          <cell r="F73">
            <v>400</v>
          </cell>
          <cell r="G73">
            <v>500</v>
          </cell>
          <cell r="H73">
            <v>700</v>
          </cell>
          <cell r="I73">
            <v>900</v>
          </cell>
          <cell r="J73">
            <v>800</v>
          </cell>
          <cell r="K73">
            <v>600</v>
          </cell>
          <cell r="L73">
            <v>1000</v>
          </cell>
          <cell r="M73">
            <v>1000</v>
          </cell>
        </row>
        <row r="74">
          <cell r="A74" t="str">
            <v>B0CHKZJWHY</v>
          </cell>
          <cell r="B74">
            <v>0</v>
          </cell>
          <cell r="C74">
            <v>0</v>
          </cell>
          <cell r="D74">
            <v>0</v>
          </cell>
          <cell r="E74">
            <v>50</v>
          </cell>
          <cell r="F74">
            <v>0</v>
          </cell>
          <cell r="G74">
            <v>50</v>
          </cell>
          <cell r="H74">
            <v>50</v>
          </cell>
          <cell r="I74">
            <v>50</v>
          </cell>
          <cell r="J74">
            <v>100</v>
          </cell>
          <cell r="K74">
            <v>50</v>
          </cell>
          <cell r="L74">
            <v>50</v>
          </cell>
          <cell r="M74">
            <v>0</v>
          </cell>
        </row>
        <row r="75">
          <cell r="A75" t="str">
            <v>B0CHLHS4BT</v>
          </cell>
          <cell r="B75">
            <v>50</v>
          </cell>
          <cell r="C75">
            <v>50</v>
          </cell>
          <cell r="D75">
            <v>50</v>
          </cell>
          <cell r="E75">
            <v>100</v>
          </cell>
          <cell r="F75">
            <v>100</v>
          </cell>
          <cell r="G75">
            <v>200</v>
          </cell>
          <cell r="H75">
            <v>200</v>
          </cell>
          <cell r="I75">
            <v>300</v>
          </cell>
          <cell r="J75">
            <v>200</v>
          </cell>
          <cell r="K75">
            <v>100</v>
          </cell>
          <cell r="L75">
            <v>100</v>
          </cell>
          <cell r="M75">
            <v>100</v>
          </cell>
        </row>
        <row r="76">
          <cell r="A76" t="str">
            <v>B0CHLKG3PM</v>
          </cell>
          <cell r="B76">
            <v>50</v>
          </cell>
          <cell r="C76">
            <v>100</v>
          </cell>
          <cell r="D76">
            <v>100</v>
          </cell>
          <cell r="E76">
            <v>200</v>
          </cell>
          <cell r="F76">
            <v>200</v>
          </cell>
          <cell r="G76">
            <v>300</v>
          </cell>
          <cell r="H76">
            <v>400</v>
          </cell>
          <cell r="I76">
            <v>400</v>
          </cell>
          <cell r="J76">
            <v>400</v>
          </cell>
          <cell r="K76">
            <v>300</v>
          </cell>
          <cell r="L76">
            <v>100</v>
          </cell>
          <cell r="M76">
            <v>50</v>
          </cell>
        </row>
        <row r="77">
          <cell r="A77" t="str">
            <v>B0CLSXKZ96</v>
          </cell>
          <cell r="B77">
            <v>0</v>
          </cell>
          <cell r="C77">
            <v>0</v>
          </cell>
          <cell r="D77">
            <v>0</v>
          </cell>
          <cell r="E77">
            <v>0</v>
          </cell>
          <cell r="F77">
            <v>0</v>
          </cell>
          <cell r="G77">
            <v>0</v>
          </cell>
          <cell r="H77">
            <v>0</v>
          </cell>
          <cell r="I77">
            <v>0</v>
          </cell>
          <cell r="J77">
            <v>50</v>
          </cell>
          <cell r="K77">
            <v>50</v>
          </cell>
          <cell r="L77">
            <v>0</v>
          </cell>
          <cell r="M77">
            <v>0</v>
          </cell>
        </row>
        <row r="78">
          <cell r="A78" t="str">
            <v>B0CR5QRJWV</v>
          </cell>
          <cell r="B78">
            <v>50</v>
          </cell>
          <cell r="C78">
            <v>200</v>
          </cell>
          <cell r="D78">
            <v>300</v>
          </cell>
          <cell r="E78">
            <v>700</v>
          </cell>
          <cell r="F78">
            <v>500</v>
          </cell>
          <cell r="G78">
            <v>700</v>
          </cell>
          <cell r="H78">
            <v>600</v>
          </cell>
          <cell r="I78">
            <v>500</v>
          </cell>
          <cell r="J78">
            <v>500</v>
          </cell>
          <cell r="K78">
            <v>200</v>
          </cell>
          <cell r="L78">
            <v>100</v>
          </cell>
          <cell r="M78">
            <v>100</v>
          </cell>
        </row>
        <row r="79">
          <cell r="A79" t="str">
            <v>B0CS7PTJ7F</v>
          </cell>
          <cell r="B79">
            <v>0</v>
          </cell>
          <cell r="C79">
            <v>0</v>
          </cell>
          <cell r="D79">
            <v>0</v>
          </cell>
          <cell r="E79">
            <v>0</v>
          </cell>
          <cell r="F79">
            <v>50</v>
          </cell>
          <cell r="G79">
            <v>50</v>
          </cell>
          <cell r="H79">
            <v>100</v>
          </cell>
          <cell r="I79">
            <v>50</v>
          </cell>
          <cell r="J79">
            <v>50</v>
          </cell>
          <cell r="K79">
            <v>0</v>
          </cell>
          <cell r="L79">
            <v>0</v>
          </cell>
          <cell r="M79">
            <v>0</v>
          </cell>
        </row>
        <row r="80">
          <cell r="A80" t="str">
            <v>B0D3JDQKHC</v>
          </cell>
          <cell r="B80">
            <v>200</v>
          </cell>
          <cell r="C80">
            <v>100</v>
          </cell>
          <cell r="D80">
            <v>100</v>
          </cell>
          <cell r="E80">
            <v>50</v>
          </cell>
          <cell r="F80">
            <v>100</v>
          </cell>
          <cell r="G80">
            <v>100</v>
          </cell>
          <cell r="H80">
            <v>100</v>
          </cell>
          <cell r="I80">
            <v>100</v>
          </cell>
          <cell r="J80">
            <v>100</v>
          </cell>
          <cell r="K80">
            <v>200</v>
          </cell>
          <cell r="L80">
            <v>300</v>
          </cell>
          <cell r="M80">
            <v>200</v>
          </cell>
        </row>
        <row r="81">
          <cell r="A81" t="str">
            <v>B0D9MTJK6W</v>
          </cell>
          <cell r="B81">
            <v>1000</v>
          </cell>
          <cell r="C81">
            <v>2000</v>
          </cell>
          <cell r="D81">
            <v>4000</v>
          </cell>
          <cell r="E81">
            <v>5000</v>
          </cell>
          <cell r="F81">
            <v>5000</v>
          </cell>
          <cell r="G81">
            <v>9000</v>
          </cell>
          <cell r="H81">
            <v>7000</v>
          </cell>
          <cell r="I81">
            <v>3000</v>
          </cell>
          <cell r="J81">
            <v>2000</v>
          </cell>
          <cell r="K81">
            <v>2000</v>
          </cell>
          <cell r="L81">
            <v>1000</v>
          </cell>
          <cell r="M81">
            <v>1000</v>
          </cell>
        </row>
        <row r="82">
          <cell r="A82" t="str">
            <v>B0DJ1MCHDP</v>
          </cell>
          <cell r="B82">
            <v>50</v>
          </cell>
          <cell r="C82">
            <v>50</v>
          </cell>
          <cell r="D82">
            <v>100</v>
          </cell>
          <cell r="E82">
            <v>100</v>
          </cell>
          <cell r="F82">
            <v>200</v>
          </cell>
          <cell r="G82">
            <v>300</v>
          </cell>
          <cell r="H82">
            <v>400</v>
          </cell>
          <cell r="I82">
            <v>500</v>
          </cell>
          <cell r="J82">
            <v>600</v>
          </cell>
          <cell r="K82">
            <v>600</v>
          </cell>
          <cell r="L82">
            <v>200</v>
          </cell>
          <cell r="M82">
            <v>100</v>
          </cell>
        </row>
        <row r="83">
          <cell r="A83" t="str">
            <v>B0DKH2JKVK</v>
          </cell>
          <cell r="B83">
            <v>100</v>
          </cell>
          <cell r="C83">
            <v>100</v>
          </cell>
          <cell r="D83">
            <v>100</v>
          </cell>
          <cell r="E83">
            <v>100</v>
          </cell>
          <cell r="F83">
            <v>100</v>
          </cell>
          <cell r="G83">
            <v>200</v>
          </cell>
          <cell r="H83">
            <v>200</v>
          </cell>
          <cell r="I83">
            <v>200</v>
          </cell>
          <cell r="J83">
            <v>200</v>
          </cell>
          <cell r="K83">
            <v>0</v>
          </cell>
          <cell r="L83">
            <v>0</v>
          </cell>
          <cell r="M83">
            <v>50</v>
          </cell>
        </row>
        <row r="84">
          <cell r="A84" t="str">
            <v>B0DSY9SC3N</v>
          </cell>
          <cell r="B84">
            <v>0</v>
          </cell>
          <cell r="C84">
            <v>0</v>
          </cell>
          <cell r="D84">
            <v>0</v>
          </cell>
          <cell r="E84">
            <v>0</v>
          </cell>
          <cell r="F84">
            <v>50</v>
          </cell>
          <cell r="G84">
            <v>50</v>
          </cell>
          <cell r="H84">
            <v>100</v>
          </cell>
          <cell r="I84">
            <v>100</v>
          </cell>
          <cell r="J84">
            <v>50</v>
          </cell>
          <cell r="K84">
            <v>50</v>
          </cell>
          <cell r="L84">
            <v>50</v>
          </cell>
          <cell r="M84">
            <v>0</v>
          </cell>
        </row>
        <row r="85">
          <cell r="A85" t="str">
            <v>B0DT7XQCBT</v>
          </cell>
          <cell r="B85">
            <v>0</v>
          </cell>
          <cell r="C85">
            <v>0</v>
          </cell>
          <cell r="D85">
            <v>0</v>
          </cell>
          <cell r="E85">
            <v>50</v>
          </cell>
          <cell r="F85">
            <v>50</v>
          </cell>
          <cell r="G85">
            <v>50</v>
          </cell>
          <cell r="H85">
            <v>100</v>
          </cell>
          <cell r="I85">
            <v>100</v>
          </cell>
          <cell r="J85">
            <v>100</v>
          </cell>
          <cell r="K85">
            <v>50</v>
          </cell>
          <cell r="L85">
            <v>50</v>
          </cell>
          <cell r="M85">
            <v>50</v>
          </cell>
        </row>
        <row r="86">
          <cell r="A86" t="str">
            <v>B0DYGK2LK5</v>
          </cell>
          <cell r="B86">
            <v>0</v>
          </cell>
          <cell r="C86">
            <v>0</v>
          </cell>
          <cell r="D86">
            <v>0</v>
          </cell>
          <cell r="E86">
            <v>250</v>
          </cell>
          <cell r="F86">
            <v>500</v>
          </cell>
          <cell r="G86">
            <v>2000</v>
          </cell>
          <cell r="H86">
            <v>10000</v>
          </cell>
          <cell r="I86">
            <v>1000</v>
          </cell>
          <cell r="J86">
            <v>250</v>
          </cell>
          <cell r="K86">
            <v>0</v>
          </cell>
          <cell r="L86">
            <v>0</v>
          </cell>
          <cell r="M86">
            <v>0</v>
          </cell>
        </row>
        <row r="87">
          <cell r="A87" t="str">
            <v>B0DYGL7BCF</v>
          </cell>
          <cell r="B87">
            <v>0</v>
          </cell>
          <cell r="C87">
            <v>0</v>
          </cell>
          <cell r="D87">
            <v>250</v>
          </cell>
          <cell r="E87">
            <v>500</v>
          </cell>
          <cell r="F87">
            <v>750</v>
          </cell>
          <cell r="G87">
            <v>1000</v>
          </cell>
          <cell r="H87">
            <v>10000</v>
          </cell>
          <cell r="I87">
            <v>1000</v>
          </cell>
          <cell r="J87">
            <v>500</v>
          </cell>
          <cell r="K87">
            <v>0</v>
          </cell>
          <cell r="L87">
            <v>0</v>
          </cell>
          <cell r="M87">
            <v>0</v>
          </cell>
        </row>
        <row r="88">
          <cell r="A88" t="str">
            <v>B0DZF2HY12</v>
          </cell>
          <cell r="B88">
            <v>50</v>
          </cell>
          <cell r="C88">
            <v>50</v>
          </cell>
          <cell r="D88">
            <v>100</v>
          </cell>
          <cell r="E88">
            <v>100</v>
          </cell>
          <cell r="F88">
            <v>100</v>
          </cell>
          <cell r="G88">
            <v>100</v>
          </cell>
          <cell r="H88">
            <v>100</v>
          </cell>
          <cell r="I88">
            <v>100</v>
          </cell>
          <cell r="J88">
            <v>100</v>
          </cell>
          <cell r="K88">
            <v>50</v>
          </cell>
          <cell r="L88">
            <v>50</v>
          </cell>
          <cell r="M88">
            <v>50</v>
          </cell>
        </row>
        <row r="89">
          <cell r="A89" t="str">
            <v>B0FJJF6TSY</v>
          </cell>
          <cell r="B89">
            <v>1000</v>
          </cell>
          <cell r="C89">
            <v>1000</v>
          </cell>
          <cell r="D89">
            <v>1000</v>
          </cell>
          <cell r="E89">
            <v>1000</v>
          </cell>
          <cell r="F89">
            <v>1000</v>
          </cell>
          <cell r="G89">
            <v>2000</v>
          </cell>
          <cell r="H89">
            <v>1000</v>
          </cell>
          <cell r="I89">
            <v>1000</v>
          </cell>
          <cell r="J89">
            <v>1000</v>
          </cell>
          <cell r="K89">
            <v>700</v>
          </cell>
          <cell r="L89">
            <v>400</v>
          </cell>
          <cell r="M89">
            <v>400</v>
          </cell>
        </row>
        <row r="90">
          <cell r="A90" t="str">
            <v>B0FN5G476R</v>
          </cell>
          <cell r="B90">
            <v>60</v>
          </cell>
          <cell r="C90">
            <v>60</v>
          </cell>
          <cell r="D90">
            <v>60</v>
          </cell>
          <cell r="E90">
            <v>300</v>
          </cell>
          <cell r="F90">
            <v>400</v>
          </cell>
          <cell r="G90">
            <v>800</v>
          </cell>
          <cell r="H90">
            <v>600</v>
          </cell>
          <cell r="I90">
            <v>500</v>
          </cell>
          <cell r="J90">
            <v>500</v>
          </cell>
          <cell r="K90">
            <v>0</v>
          </cell>
          <cell r="L90">
            <v>60</v>
          </cell>
          <cell r="M90">
            <v>60</v>
          </cell>
        </row>
        <row r="91">
          <cell r="A91" t="str">
            <v>B0FNFDDLVN</v>
          </cell>
          <cell r="B91">
            <v>50</v>
          </cell>
          <cell r="C91">
            <v>50</v>
          </cell>
          <cell r="D91">
            <v>50</v>
          </cell>
          <cell r="E91">
            <v>50</v>
          </cell>
          <cell r="F91">
            <v>50</v>
          </cell>
          <cell r="G91">
            <v>50</v>
          </cell>
          <cell r="H91">
            <v>50</v>
          </cell>
          <cell r="I91">
            <v>100</v>
          </cell>
          <cell r="J91">
            <v>100</v>
          </cell>
          <cell r="K91">
            <v>0</v>
          </cell>
          <cell r="L91">
            <v>100</v>
          </cell>
          <cell r="M91">
            <v>50</v>
          </cell>
        </row>
        <row r="92">
          <cell r="A92" t="str">
            <v>B0FWNCK26N</v>
          </cell>
          <cell r="B92">
            <v>0</v>
          </cell>
          <cell r="C92">
            <v>60</v>
          </cell>
          <cell r="D92">
            <v>200</v>
          </cell>
          <cell r="E92">
            <v>300</v>
          </cell>
          <cell r="F92">
            <v>200</v>
          </cell>
          <cell r="G92">
            <v>600</v>
          </cell>
          <cell r="H92">
            <v>400</v>
          </cell>
          <cell r="I92">
            <v>400</v>
          </cell>
          <cell r="J92">
            <v>300</v>
          </cell>
          <cell r="K92">
            <v>0</v>
          </cell>
          <cell r="L92">
            <v>0</v>
          </cell>
          <cell r="M92">
            <v>0</v>
          </cell>
        </row>
        <row r="93">
          <cell r="A93" t="str">
            <v>B0G36CY3L8</v>
          </cell>
          <cell r="B93">
            <v>0</v>
          </cell>
          <cell r="C93">
            <v>0</v>
          </cell>
          <cell r="D93">
            <v>100</v>
          </cell>
          <cell r="E93">
            <v>200</v>
          </cell>
          <cell r="F93">
            <v>200</v>
          </cell>
          <cell r="G93">
            <v>400</v>
          </cell>
          <cell r="H93">
            <v>300</v>
          </cell>
          <cell r="I93">
            <v>300</v>
          </cell>
          <cell r="J93">
            <v>100</v>
          </cell>
          <cell r="K93">
            <v>0</v>
          </cell>
          <cell r="L93">
            <v>0</v>
          </cell>
          <cell r="M93">
            <v>0</v>
          </cell>
        </row>
        <row r="94">
          <cell r="A94" t="str">
            <v>B0G7P1FNX4</v>
          </cell>
          <cell r="B94">
            <v>0</v>
          </cell>
          <cell r="C94">
            <v>0</v>
          </cell>
          <cell r="D94">
            <v>0</v>
          </cell>
          <cell r="E94">
            <v>1000</v>
          </cell>
          <cell r="F94">
            <v>1000</v>
          </cell>
          <cell r="G94">
            <v>2000</v>
          </cell>
          <cell r="H94">
            <v>1000</v>
          </cell>
          <cell r="I94">
            <v>1000</v>
          </cell>
          <cell r="J94">
            <v>1000</v>
          </cell>
          <cell r="K94">
            <v>0</v>
          </cell>
          <cell r="L94">
            <v>0</v>
          </cell>
          <cell r="M94">
            <v>0</v>
          </cell>
        </row>
        <row r="95">
          <cell r="A95" t="str">
            <v>B0GFGNMJN4</v>
          </cell>
          <cell r="B95">
            <v>0</v>
          </cell>
          <cell r="C95">
            <v>0</v>
          </cell>
          <cell r="D95">
            <v>0</v>
          </cell>
          <cell r="E95">
            <v>0</v>
          </cell>
          <cell r="F95">
            <v>0</v>
          </cell>
          <cell r="G95">
            <v>1000</v>
          </cell>
          <cell r="H95">
            <v>400</v>
          </cell>
          <cell r="I95">
            <v>300</v>
          </cell>
          <cell r="J95">
            <v>700</v>
          </cell>
          <cell r="K95">
            <v>0</v>
          </cell>
          <cell r="L95">
            <v>0</v>
          </cell>
          <cell r="M95">
            <v>0</v>
          </cell>
        </row>
        <row r="96">
          <cell r="A96" t="str">
            <v>B0GLKPKZWH</v>
          </cell>
          <cell r="B96">
            <v>0</v>
          </cell>
          <cell r="C96">
            <v>0</v>
          </cell>
          <cell r="D96">
            <v>0</v>
          </cell>
          <cell r="E96">
            <v>0</v>
          </cell>
          <cell r="F96">
            <v>0</v>
          </cell>
          <cell r="G96">
            <v>200</v>
          </cell>
          <cell r="H96">
            <v>500</v>
          </cell>
          <cell r="I96">
            <v>400</v>
          </cell>
          <cell r="J96">
            <v>300</v>
          </cell>
          <cell r="K96">
            <v>0</v>
          </cell>
          <cell r="L96">
            <v>0</v>
          </cell>
          <cell r="M96">
            <v>0</v>
          </cell>
        </row>
        <row r="97">
          <cell r="A97" t="str">
            <v>B0GRWPG7R2</v>
          </cell>
          <cell r="B97">
            <v>0</v>
          </cell>
          <cell r="C97">
            <v>0</v>
          </cell>
          <cell r="D97">
            <v>0</v>
          </cell>
          <cell r="E97">
            <v>0</v>
          </cell>
          <cell r="F97">
            <v>0</v>
          </cell>
          <cell r="G97">
            <v>400</v>
          </cell>
          <cell r="H97">
            <v>400</v>
          </cell>
          <cell r="I97">
            <v>300</v>
          </cell>
          <cell r="J97">
            <v>200</v>
          </cell>
          <cell r="K97">
            <v>0</v>
          </cell>
          <cell r="L97">
            <v>0</v>
          </cell>
          <cell r="M97">
            <v>0</v>
          </cell>
        </row>
        <row r="98">
          <cell r="A98" t="str">
            <v>B0GX7N33Q3</v>
          </cell>
          <cell r="B98">
            <v>0</v>
          </cell>
          <cell r="C98">
            <v>0</v>
          </cell>
          <cell r="D98">
            <v>0</v>
          </cell>
          <cell r="E98">
            <v>0</v>
          </cell>
          <cell r="F98">
            <v>0</v>
          </cell>
          <cell r="G98">
            <v>100</v>
          </cell>
          <cell r="H98">
            <v>200</v>
          </cell>
          <cell r="I98">
            <v>300</v>
          </cell>
          <cell r="J98">
            <v>100</v>
          </cell>
          <cell r="K98">
            <v>0</v>
          </cell>
          <cell r="L98">
            <v>0</v>
          </cell>
          <cell r="M98">
            <v>0</v>
          </cell>
        </row>
        <row r="99">
          <cell r="A99" t="str">
            <v>B0H2C3H4NX</v>
          </cell>
          <cell r="B99">
            <v>0</v>
          </cell>
          <cell r="C99">
            <v>0</v>
          </cell>
          <cell r="D99">
            <v>0</v>
          </cell>
          <cell r="E99">
            <v>0</v>
          </cell>
          <cell r="F99">
            <v>0</v>
          </cell>
          <cell r="G99">
            <v>0</v>
          </cell>
          <cell r="H99">
            <v>0</v>
          </cell>
          <cell r="I99">
            <v>1000</v>
          </cell>
          <cell r="J99">
            <v>400</v>
          </cell>
          <cell r="K99">
            <v>0</v>
          </cell>
          <cell r="L99">
            <v>0</v>
          </cell>
          <cell r="M99">
            <v>0</v>
          </cell>
        </row>
        <row r="100">
          <cell r="A100" t="str">
            <v>B0BDPG7B74</v>
          </cell>
          <cell r="B100">
            <v>0</v>
          </cell>
          <cell r="C100">
            <v>0</v>
          </cell>
          <cell r="D100">
            <v>0</v>
          </cell>
          <cell r="E100">
            <v>100</v>
          </cell>
          <cell r="F100">
            <v>100</v>
          </cell>
          <cell r="G100">
            <v>100</v>
          </cell>
          <cell r="H100">
            <v>400</v>
          </cell>
          <cell r="I100">
            <v>100</v>
          </cell>
          <cell r="J100">
            <v>60</v>
          </cell>
          <cell r="K100">
            <v>60</v>
          </cell>
          <cell r="L100">
            <v>60</v>
          </cell>
          <cell r="M100">
            <v>0</v>
          </cell>
        </row>
        <row r="101">
          <cell r="A101" t="str">
            <v>B0CHLM66LF</v>
          </cell>
          <cell r="B101">
            <v>0</v>
          </cell>
          <cell r="C101">
            <v>0</v>
          </cell>
          <cell r="D101">
            <v>0</v>
          </cell>
          <cell r="E101">
            <v>0</v>
          </cell>
          <cell r="F101">
            <v>0</v>
          </cell>
          <cell r="G101">
            <v>50</v>
          </cell>
          <cell r="H101">
            <v>50</v>
          </cell>
          <cell r="I101">
            <v>50</v>
          </cell>
          <cell r="J101">
            <v>50</v>
          </cell>
          <cell r="K101">
            <v>50</v>
          </cell>
          <cell r="L101">
            <v>50</v>
          </cell>
          <cell r="M101">
            <v>0</v>
          </cell>
        </row>
        <row r="102">
          <cell r="A102" t="str">
            <v>B008EO80K6</v>
          </cell>
          <cell r="B102">
            <v>0</v>
          </cell>
          <cell r="C102">
            <v>0</v>
          </cell>
          <cell r="D102">
            <v>0</v>
          </cell>
          <cell r="E102">
            <v>50</v>
          </cell>
          <cell r="F102">
            <v>50</v>
          </cell>
          <cell r="G102">
            <v>100</v>
          </cell>
          <cell r="H102">
            <v>100</v>
          </cell>
          <cell r="I102">
            <v>100</v>
          </cell>
          <cell r="J102">
            <v>50</v>
          </cell>
          <cell r="K102">
            <v>50</v>
          </cell>
          <cell r="L102">
            <v>50</v>
          </cell>
          <cell r="M102">
            <v>50</v>
          </cell>
        </row>
        <row r="103">
          <cell r="A103" t="str">
            <v>B077H34VXW</v>
          </cell>
          <cell r="B103">
            <v>0</v>
          </cell>
          <cell r="C103">
            <v>0</v>
          </cell>
          <cell r="D103">
            <v>0</v>
          </cell>
          <cell r="E103">
            <v>0</v>
          </cell>
          <cell r="F103">
            <v>0</v>
          </cell>
          <cell r="G103">
            <v>0</v>
          </cell>
          <cell r="H103">
            <v>50</v>
          </cell>
          <cell r="I103">
            <v>50</v>
          </cell>
          <cell r="J103">
            <v>50</v>
          </cell>
          <cell r="K103">
            <v>0</v>
          </cell>
          <cell r="L103">
            <v>0</v>
          </cell>
          <cell r="M103">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B0168K936W</v>
          </cell>
          <cell r="B2">
            <v>1000</v>
          </cell>
          <cell r="C2">
            <v>1000</v>
          </cell>
          <cell r="D2">
            <v>10000</v>
          </cell>
          <cell r="E2">
            <v>10000</v>
          </cell>
          <cell r="F2">
            <v>10000</v>
          </cell>
          <cell r="G2">
            <v>10000</v>
          </cell>
          <cell r="H2">
            <v>10000</v>
          </cell>
          <cell r="I2">
            <v>9000</v>
          </cell>
          <cell r="J2">
            <v>10000</v>
          </cell>
          <cell r="K2">
            <v>10000</v>
          </cell>
          <cell r="L2">
            <v>5000</v>
          </cell>
          <cell r="M2">
            <v>2000</v>
          </cell>
        </row>
        <row r="3">
          <cell r="A3" t="str">
            <v>B0DV9W259K</v>
          </cell>
          <cell r="B3">
            <v>3000</v>
          </cell>
          <cell r="C3">
            <v>8000</v>
          </cell>
          <cell r="D3">
            <v>10000</v>
          </cell>
          <cell r="E3">
            <v>20000</v>
          </cell>
          <cell r="F3">
            <v>10000</v>
          </cell>
          <cell r="G3">
            <v>10000</v>
          </cell>
          <cell r="H3">
            <v>9000</v>
          </cell>
          <cell r="I3">
            <v>8000</v>
          </cell>
          <cell r="J3">
            <v>7000</v>
          </cell>
          <cell r="K3">
            <v>5000</v>
          </cell>
          <cell r="L3">
            <v>4000</v>
          </cell>
          <cell r="M3">
            <v>7000</v>
          </cell>
        </row>
        <row r="4">
          <cell r="A4" t="str">
            <v>B075R7BNXV</v>
          </cell>
          <cell r="B4">
            <v>1000</v>
          </cell>
          <cell r="C4">
            <v>1000</v>
          </cell>
          <cell r="D4">
            <v>1000</v>
          </cell>
          <cell r="E4">
            <v>6000</v>
          </cell>
          <cell r="F4">
            <v>6000</v>
          </cell>
          <cell r="G4">
            <v>10000</v>
          </cell>
          <cell r="H4">
            <v>10000</v>
          </cell>
          <cell r="I4">
            <v>9000</v>
          </cell>
          <cell r="J4">
            <v>8000</v>
          </cell>
          <cell r="K4">
            <v>4000</v>
          </cell>
          <cell r="L4">
            <v>3000</v>
          </cell>
          <cell r="M4">
            <v>1000</v>
          </cell>
        </row>
        <row r="5">
          <cell r="A5" t="str">
            <v>B0B72GKJM5</v>
          </cell>
          <cell r="B5">
            <v>1000</v>
          </cell>
          <cell r="C5">
            <v>1000</v>
          </cell>
          <cell r="D5">
            <v>3000</v>
          </cell>
          <cell r="E5">
            <v>20000</v>
          </cell>
          <cell r="F5">
            <v>20000</v>
          </cell>
          <cell r="G5">
            <v>10000</v>
          </cell>
          <cell r="H5">
            <v>5000</v>
          </cell>
          <cell r="I5">
            <v>5000</v>
          </cell>
          <cell r="J5">
            <v>6000</v>
          </cell>
          <cell r="K5">
            <v>6000</v>
          </cell>
          <cell r="L5">
            <v>3000</v>
          </cell>
          <cell r="M5">
            <v>1000</v>
          </cell>
        </row>
        <row r="6">
          <cell r="A6" t="str">
            <v>B0BGMM1FZV</v>
          </cell>
          <cell r="B6">
            <v>1000</v>
          </cell>
          <cell r="C6">
            <v>400</v>
          </cell>
          <cell r="D6">
            <v>400</v>
          </cell>
          <cell r="E6">
            <v>400</v>
          </cell>
          <cell r="F6">
            <v>200</v>
          </cell>
          <cell r="G6">
            <v>200</v>
          </cell>
          <cell r="H6">
            <v>200</v>
          </cell>
          <cell r="I6">
            <v>400</v>
          </cell>
          <cell r="J6">
            <v>1000</v>
          </cell>
          <cell r="K6">
            <v>9000</v>
          </cell>
          <cell r="L6">
            <v>4000</v>
          </cell>
          <cell r="M6">
            <v>4000</v>
          </cell>
        </row>
        <row r="7">
          <cell r="A7" t="str">
            <v>B0BGMNJC58</v>
          </cell>
          <cell r="B7">
            <v>200</v>
          </cell>
          <cell r="C7">
            <v>0</v>
          </cell>
          <cell r="D7">
            <v>200</v>
          </cell>
          <cell r="E7">
            <v>0</v>
          </cell>
          <cell r="F7">
            <v>0</v>
          </cell>
          <cell r="G7">
            <v>0</v>
          </cell>
          <cell r="H7">
            <v>200</v>
          </cell>
          <cell r="I7">
            <v>200</v>
          </cell>
          <cell r="J7">
            <v>1000</v>
          </cell>
          <cell r="K7">
            <v>6000</v>
          </cell>
          <cell r="L7">
            <v>3000</v>
          </cell>
          <cell r="M7">
            <v>600</v>
          </cell>
        </row>
        <row r="8">
          <cell r="A8" t="str">
            <v>B00DK49DVA</v>
          </cell>
          <cell r="B8">
            <v>250</v>
          </cell>
          <cell r="C8">
            <v>500</v>
          </cell>
          <cell r="D8">
            <v>1000</v>
          </cell>
          <cell r="E8">
            <v>9000</v>
          </cell>
          <cell r="F8">
            <v>6000</v>
          </cell>
          <cell r="G8">
            <v>3000</v>
          </cell>
          <cell r="H8">
            <v>1000</v>
          </cell>
          <cell r="I8">
            <v>1000</v>
          </cell>
          <cell r="J8">
            <v>4000</v>
          </cell>
          <cell r="K8">
            <v>5000</v>
          </cell>
          <cell r="L8">
            <v>1000</v>
          </cell>
          <cell r="M8">
            <v>250</v>
          </cell>
        </row>
        <row r="9">
          <cell r="A9" t="str">
            <v>B0050DV4ZW</v>
          </cell>
          <cell r="B9">
            <v>750</v>
          </cell>
          <cell r="C9">
            <v>1000</v>
          </cell>
          <cell r="D9">
            <v>3000</v>
          </cell>
          <cell r="E9">
            <v>10000</v>
          </cell>
          <cell r="F9">
            <v>10000</v>
          </cell>
          <cell r="G9">
            <v>10000</v>
          </cell>
          <cell r="H9">
            <v>10000</v>
          </cell>
          <cell r="I9">
            <v>6000</v>
          </cell>
          <cell r="J9">
            <v>4000</v>
          </cell>
          <cell r="K9">
            <v>3000</v>
          </cell>
          <cell r="L9">
            <v>2000</v>
          </cell>
          <cell r="M9">
            <v>1000</v>
          </cell>
        </row>
        <row r="10">
          <cell r="A10" t="str">
            <v>B01MXS85YT</v>
          </cell>
          <cell r="B10">
            <v>500</v>
          </cell>
          <cell r="C10">
            <v>1000</v>
          </cell>
          <cell r="D10">
            <v>2000</v>
          </cell>
          <cell r="E10">
            <v>10000</v>
          </cell>
          <cell r="F10">
            <v>10000</v>
          </cell>
          <cell r="G10">
            <v>10000</v>
          </cell>
          <cell r="H10">
            <v>8000</v>
          </cell>
          <cell r="I10">
            <v>3000</v>
          </cell>
          <cell r="J10">
            <v>4000</v>
          </cell>
          <cell r="K10">
            <v>1000</v>
          </cell>
          <cell r="L10">
            <v>500</v>
          </cell>
          <cell r="M10">
            <v>500</v>
          </cell>
        </row>
        <row r="11">
          <cell r="A11" t="str">
            <v>B08KGYNJ8H</v>
          </cell>
          <cell r="B11">
            <v>500</v>
          </cell>
          <cell r="C11">
            <v>1000</v>
          </cell>
          <cell r="D11">
            <v>2000</v>
          </cell>
          <cell r="E11">
            <v>20000</v>
          </cell>
          <cell r="F11">
            <v>10000</v>
          </cell>
          <cell r="G11">
            <v>10000</v>
          </cell>
          <cell r="H11">
            <v>5000</v>
          </cell>
          <cell r="I11">
            <v>4000</v>
          </cell>
          <cell r="J11">
            <v>6000</v>
          </cell>
          <cell r="K11">
            <v>2000</v>
          </cell>
          <cell r="L11">
            <v>3000</v>
          </cell>
          <cell r="M11">
            <v>1000</v>
          </cell>
        </row>
        <row r="12">
          <cell r="A12" t="str">
            <v>B0168K92U4</v>
          </cell>
          <cell r="B12">
            <v>0</v>
          </cell>
          <cell r="C12">
            <v>250</v>
          </cell>
          <cell r="D12">
            <v>1000</v>
          </cell>
          <cell r="E12">
            <v>10000</v>
          </cell>
          <cell r="F12">
            <v>10000</v>
          </cell>
          <cell r="G12">
            <v>3000</v>
          </cell>
          <cell r="H12">
            <v>1000</v>
          </cell>
          <cell r="I12">
            <v>1000</v>
          </cell>
          <cell r="J12">
            <v>2000</v>
          </cell>
          <cell r="K12">
            <v>1000</v>
          </cell>
          <cell r="L12">
            <v>250</v>
          </cell>
          <cell r="M12">
            <v>250</v>
          </cell>
        </row>
        <row r="13">
          <cell r="A13" t="str">
            <v>B0BGMNB1CQ</v>
          </cell>
          <cell r="B13">
            <v>1000</v>
          </cell>
          <cell r="C13">
            <v>250</v>
          </cell>
          <cell r="D13">
            <v>250</v>
          </cell>
          <cell r="E13">
            <v>0</v>
          </cell>
          <cell r="F13">
            <v>0</v>
          </cell>
          <cell r="G13">
            <v>0</v>
          </cell>
          <cell r="H13">
            <v>0</v>
          </cell>
          <cell r="I13">
            <v>250</v>
          </cell>
          <cell r="J13">
            <v>3000</v>
          </cell>
          <cell r="K13">
            <v>10000</v>
          </cell>
          <cell r="L13">
            <v>4000</v>
          </cell>
          <cell r="M13">
            <v>2000</v>
          </cell>
        </row>
        <row r="14">
          <cell r="A14" t="str">
            <v>B077T77H9J</v>
          </cell>
          <cell r="B14">
            <v>500</v>
          </cell>
          <cell r="C14">
            <v>1000</v>
          </cell>
          <cell r="D14">
            <v>2000</v>
          </cell>
          <cell r="E14">
            <v>10000</v>
          </cell>
          <cell r="F14">
            <v>10000</v>
          </cell>
          <cell r="G14">
            <v>10000</v>
          </cell>
          <cell r="H14">
            <v>3000</v>
          </cell>
          <cell r="I14">
            <v>4000</v>
          </cell>
          <cell r="J14">
            <v>4000</v>
          </cell>
          <cell r="K14">
            <v>3000</v>
          </cell>
          <cell r="L14">
            <v>1000</v>
          </cell>
          <cell r="M14">
            <v>500</v>
          </cell>
        </row>
        <row r="15">
          <cell r="A15" t="str">
            <v>B087DVBCD1</v>
          </cell>
          <cell r="B15">
            <v>1000</v>
          </cell>
          <cell r="C15">
            <v>5000</v>
          </cell>
          <cell r="D15">
            <v>3000</v>
          </cell>
          <cell r="E15">
            <v>9000</v>
          </cell>
          <cell r="F15">
            <v>250</v>
          </cell>
          <cell r="G15">
            <v>0</v>
          </cell>
          <cell r="H15">
            <v>500</v>
          </cell>
          <cell r="I15">
            <v>1000</v>
          </cell>
          <cell r="J15">
            <v>2000</v>
          </cell>
          <cell r="K15">
            <v>0</v>
          </cell>
          <cell r="L15">
            <v>2000</v>
          </cell>
          <cell r="M15">
            <v>2000</v>
          </cell>
        </row>
        <row r="16">
          <cell r="A16" t="str">
            <v>B005W1QXQW</v>
          </cell>
          <cell r="B16">
            <v>750</v>
          </cell>
          <cell r="C16">
            <v>1000</v>
          </cell>
          <cell r="D16">
            <v>8000</v>
          </cell>
          <cell r="E16">
            <v>8000</v>
          </cell>
          <cell r="F16">
            <v>4000</v>
          </cell>
          <cell r="G16">
            <v>5000</v>
          </cell>
          <cell r="H16">
            <v>7000</v>
          </cell>
          <cell r="I16">
            <v>4000</v>
          </cell>
          <cell r="J16">
            <v>3000</v>
          </cell>
          <cell r="K16">
            <v>1000</v>
          </cell>
          <cell r="L16">
            <v>1000</v>
          </cell>
          <cell r="M16">
            <v>500</v>
          </cell>
        </row>
        <row r="17">
          <cell r="A17" t="str">
            <v>B01N6AT6BF</v>
          </cell>
          <cell r="B17">
            <v>100</v>
          </cell>
          <cell r="C17">
            <v>100</v>
          </cell>
          <cell r="D17">
            <v>100</v>
          </cell>
          <cell r="E17">
            <v>1000</v>
          </cell>
          <cell r="F17">
            <v>3000</v>
          </cell>
          <cell r="G17">
            <v>500</v>
          </cell>
          <cell r="H17">
            <v>1000</v>
          </cell>
          <cell r="I17">
            <v>1000</v>
          </cell>
          <cell r="J17">
            <v>2000</v>
          </cell>
          <cell r="K17">
            <v>400</v>
          </cell>
          <cell r="L17">
            <v>300</v>
          </cell>
          <cell r="M17">
            <v>100</v>
          </cell>
        </row>
        <row r="18">
          <cell r="A18" t="str">
            <v>B0CVQR3TC4</v>
          </cell>
          <cell r="B18">
            <v>100</v>
          </cell>
          <cell r="C18">
            <v>50</v>
          </cell>
          <cell r="D18">
            <v>0</v>
          </cell>
          <cell r="E18">
            <v>0</v>
          </cell>
          <cell r="F18">
            <v>0</v>
          </cell>
          <cell r="G18">
            <v>0</v>
          </cell>
          <cell r="H18">
            <v>0</v>
          </cell>
          <cell r="I18">
            <v>50</v>
          </cell>
          <cell r="J18">
            <v>1000</v>
          </cell>
          <cell r="K18">
            <v>2000</v>
          </cell>
          <cell r="L18">
            <v>1000</v>
          </cell>
          <cell r="M18">
            <v>400</v>
          </cell>
        </row>
        <row r="19">
          <cell r="A19" t="str">
            <v>B074P1578H</v>
          </cell>
          <cell r="B19">
            <v>200</v>
          </cell>
          <cell r="C19">
            <v>200</v>
          </cell>
          <cell r="D19">
            <v>1000</v>
          </cell>
          <cell r="E19">
            <v>5000</v>
          </cell>
          <cell r="F19">
            <v>3000</v>
          </cell>
          <cell r="G19">
            <v>1000</v>
          </cell>
          <cell r="H19">
            <v>1000</v>
          </cell>
          <cell r="I19">
            <v>1000</v>
          </cell>
          <cell r="J19">
            <v>2000</v>
          </cell>
          <cell r="K19">
            <v>1000</v>
          </cell>
          <cell r="L19">
            <v>200</v>
          </cell>
          <cell r="M19">
            <v>200</v>
          </cell>
        </row>
        <row r="20">
          <cell r="A20" t="str">
            <v>B0FMVJMR4M</v>
          </cell>
          <cell r="B20">
            <v>0</v>
          </cell>
          <cell r="C20">
            <v>0</v>
          </cell>
          <cell r="D20">
            <v>100</v>
          </cell>
          <cell r="E20">
            <v>200</v>
          </cell>
          <cell r="F20">
            <v>1000</v>
          </cell>
          <cell r="G20">
            <v>1000</v>
          </cell>
          <cell r="H20">
            <v>5000</v>
          </cell>
          <cell r="I20">
            <v>1000</v>
          </cell>
          <cell r="J20">
            <v>1000</v>
          </cell>
          <cell r="K20">
            <v>100</v>
          </cell>
          <cell r="L20">
            <v>100</v>
          </cell>
          <cell r="M20">
            <v>0</v>
          </cell>
        </row>
        <row r="21">
          <cell r="A21" t="str">
            <v>B0168K8VUQ</v>
          </cell>
          <cell r="B21">
            <v>250</v>
          </cell>
          <cell r="C21">
            <v>500</v>
          </cell>
          <cell r="D21">
            <v>2000</v>
          </cell>
          <cell r="E21">
            <v>8000</v>
          </cell>
          <cell r="F21">
            <v>5000</v>
          </cell>
          <cell r="G21">
            <v>5000</v>
          </cell>
          <cell r="H21">
            <v>10000</v>
          </cell>
          <cell r="I21">
            <v>3000</v>
          </cell>
          <cell r="J21">
            <v>3000</v>
          </cell>
          <cell r="K21">
            <v>2000</v>
          </cell>
          <cell r="L21">
            <v>750</v>
          </cell>
          <cell r="M21">
            <v>750</v>
          </cell>
        </row>
        <row r="22">
          <cell r="A22" t="str">
            <v>B0B9QBRDJF</v>
          </cell>
          <cell r="B22">
            <v>0</v>
          </cell>
          <cell r="C22">
            <v>0</v>
          </cell>
          <cell r="D22">
            <v>100</v>
          </cell>
          <cell r="E22">
            <v>1000</v>
          </cell>
          <cell r="F22">
            <v>1000</v>
          </cell>
          <cell r="G22">
            <v>1000</v>
          </cell>
          <cell r="H22">
            <v>1000</v>
          </cell>
          <cell r="I22">
            <v>300</v>
          </cell>
          <cell r="J22">
            <v>1000</v>
          </cell>
          <cell r="K22">
            <v>600</v>
          </cell>
          <cell r="L22">
            <v>100</v>
          </cell>
          <cell r="M22">
            <v>50</v>
          </cell>
        </row>
        <row r="23">
          <cell r="A23" t="str">
            <v>B00IMZVQ6M</v>
          </cell>
          <cell r="B23">
            <v>0</v>
          </cell>
          <cell r="C23">
            <v>0</v>
          </cell>
          <cell r="D23">
            <v>250</v>
          </cell>
          <cell r="E23">
            <v>500</v>
          </cell>
          <cell r="F23">
            <v>500</v>
          </cell>
          <cell r="G23">
            <v>1000</v>
          </cell>
          <cell r="H23">
            <v>8000</v>
          </cell>
          <cell r="I23">
            <v>3000</v>
          </cell>
          <cell r="J23">
            <v>2000</v>
          </cell>
          <cell r="K23">
            <v>250</v>
          </cell>
          <cell r="L23">
            <v>0</v>
          </cell>
          <cell r="M23">
            <v>0</v>
          </cell>
        </row>
        <row r="24">
          <cell r="A24" t="str">
            <v>B0B72BDSCJ</v>
          </cell>
          <cell r="B24">
            <v>250</v>
          </cell>
          <cell r="C24">
            <v>250</v>
          </cell>
          <cell r="D24">
            <v>500</v>
          </cell>
          <cell r="E24">
            <v>2000</v>
          </cell>
          <cell r="F24">
            <v>10000</v>
          </cell>
          <cell r="G24">
            <v>6000</v>
          </cell>
          <cell r="H24">
            <v>4000</v>
          </cell>
          <cell r="I24">
            <v>1000</v>
          </cell>
          <cell r="J24">
            <v>1000</v>
          </cell>
          <cell r="K24">
            <v>2000</v>
          </cell>
          <cell r="L24">
            <v>500</v>
          </cell>
          <cell r="M24">
            <v>250</v>
          </cell>
        </row>
        <row r="25">
          <cell r="A25" t="str">
            <v>B00FOMY10O</v>
          </cell>
          <cell r="B25">
            <v>0</v>
          </cell>
          <cell r="C25">
            <v>0</v>
          </cell>
          <cell r="D25">
            <v>400</v>
          </cell>
          <cell r="E25">
            <v>600</v>
          </cell>
          <cell r="F25">
            <v>500</v>
          </cell>
          <cell r="G25">
            <v>700</v>
          </cell>
          <cell r="H25">
            <v>100</v>
          </cell>
          <cell r="I25">
            <v>200</v>
          </cell>
          <cell r="J25">
            <v>1000</v>
          </cell>
          <cell r="K25">
            <v>500</v>
          </cell>
          <cell r="L25">
            <v>100</v>
          </cell>
          <cell r="M25">
            <v>50</v>
          </cell>
        </row>
        <row r="26">
          <cell r="A26" t="str">
            <v>B00DK49BXK</v>
          </cell>
          <cell r="B26">
            <v>0</v>
          </cell>
          <cell r="C26">
            <v>0</v>
          </cell>
          <cell r="D26">
            <v>500</v>
          </cell>
          <cell r="E26">
            <v>1000</v>
          </cell>
          <cell r="F26">
            <v>1000</v>
          </cell>
          <cell r="G26">
            <v>1000</v>
          </cell>
          <cell r="H26">
            <v>700</v>
          </cell>
          <cell r="I26">
            <v>1000</v>
          </cell>
          <cell r="J26">
            <v>1000</v>
          </cell>
          <cell r="K26">
            <v>0</v>
          </cell>
          <cell r="L26">
            <v>0</v>
          </cell>
          <cell r="M26">
            <v>0</v>
          </cell>
        </row>
        <row r="27">
          <cell r="A27" t="str">
            <v>B0050DW2M6</v>
          </cell>
          <cell r="B27">
            <v>400</v>
          </cell>
          <cell r="C27">
            <v>400</v>
          </cell>
          <cell r="D27">
            <v>5000</v>
          </cell>
          <cell r="E27">
            <v>6000</v>
          </cell>
          <cell r="F27">
            <v>6000</v>
          </cell>
          <cell r="G27">
            <v>1000</v>
          </cell>
          <cell r="H27">
            <v>1000</v>
          </cell>
          <cell r="I27">
            <v>1000</v>
          </cell>
          <cell r="J27">
            <v>1000</v>
          </cell>
          <cell r="K27">
            <v>600</v>
          </cell>
          <cell r="L27">
            <v>400</v>
          </cell>
          <cell r="M27">
            <v>400</v>
          </cell>
        </row>
        <row r="28">
          <cell r="A28" t="str">
            <v>B00XJM8KMQ</v>
          </cell>
          <cell r="B28">
            <v>500</v>
          </cell>
          <cell r="C28">
            <v>1000</v>
          </cell>
          <cell r="D28">
            <v>20000</v>
          </cell>
          <cell r="E28">
            <v>30000</v>
          </cell>
          <cell r="F28">
            <v>20000</v>
          </cell>
          <cell r="G28">
            <v>10000</v>
          </cell>
          <cell r="H28">
            <v>5000</v>
          </cell>
          <cell r="I28">
            <v>3000</v>
          </cell>
          <cell r="J28">
            <v>1000</v>
          </cell>
          <cell r="K28">
            <v>500</v>
          </cell>
          <cell r="L28">
            <v>0</v>
          </cell>
          <cell r="M28">
            <v>0</v>
          </cell>
        </row>
        <row r="29">
          <cell r="A29" t="str">
            <v>B002YPS1KK</v>
          </cell>
          <cell r="B29">
            <v>3000</v>
          </cell>
          <cell r="C29">
            <v>2000</v>
          </cell>
          <cell r="D29">
            <v>10000</v>
          </cell>
          <cell r="E29">
            <v>10000</v>
          </cell>
          <cell r="F29">
            <v>7000</v>
          </cell>
          <cell r="G29">
            <v>10000</v>
          </cell>
          <cell r="H29">
            <v>250</v>
          </cell>
          <cell r="I29">
            <v>250</v>
          </cell>
          <cell r="J29">
            <v>1000</v>
          </cell>
          <cell r="K29">
            <v>2000</v>
          </cell>
          <cell r="L29">
            <v>2000</v>
          </cell>
          <cell r="M29">
            <v>3000</v>
          </cell>
        </row>
        <row r="30">
          <cell r="A30" t="str">
            <v>B001H1EQO2</v>
          </cell>
          <cell r="B30">
            <v>1000</v>
          </cell>
          <cell r="C30">
            <v>2000</v>
          </cell>
          <cell r="D30">
            <v>2000</v>
          </cell>
          <cell r="E30">
            <v>5000</v>
          </cell>
          <cell r="F30">
            <v>5000</v>
          </cell>
          <cell r="G30">
            <v>1000</v>
          </cell>
          <cell r="H30">
            <v>1000</v>
          </cell>
          <cell r="I30">
            <v>1000</v>
          </cell>
          <cell r="J30">
            <v>1000</v>
          </cell>
          <cell r="K30">
            <v>2000</v>
          </cell>
          <cell r="L30">
            <v>1000</v>
          </cell>
          <cell r="M30">
            <v>2000</v>
          </cell>
        </row>
        <row r="31">
          <cell r="A31" t="str">
            <v>B0B9PYL5CJ</v>
          </cell>
          <cell r="B31">
            <v>400</v>
          </cell>
          <cell r="C31">
            <v>300</v>
          </cell>
          <cell r="D31">
            <v>700</v>
          </cell>
          <cell r="E31">
            <v>4000</v>
          </cell>
          <cell r="F31">
            <v>2000</v>
          </cell>
          <cell r="G31">
            <v>2000</v>
          </cell>
          <cell r="H31">
            <v>1000</v>
          </cell>
          <cell r="I31">
            <v>400</v>
          </cell>
          <cell r="J31">
            <v>1000</v>
          </cell>
          <cell r="K31">
            <v>1000</v>
          </cell>
          <cell r="L31">
            <v>600</v>
          </cell>
          <cell r="M31">
            <v>400</v>
          </cell>
        </row>
        <row r="32">
          <cell r="A32" t="str">
            <v>B0DSGH9YHL</v>
          </cell>
          <cell r="B32">
            <v>200</v>
          </cell>
          <cell r="C32">
            <v>200</v>
          </cell>
          <cell r="D32">
            <v>2000</v>
          </cell>
          <cell r="E32">
            <v>5000</v>
          </cell>
          <cell r="F32">
            <v>9000</v>
          </cell>
          <cell r="G32">
            <v>2000</v>
          </cell>
          <cell r="H32">
            <v>4000</v>
          </cell>
          <cell r="I32">
            <v>800</v>
          </cell>
          <cell r="J32">
            <v>1000</v>
          </cell>
          <cell r="K32">
            <v>1000</v>
          </cell>
          <cell r="L32">
            <v>800</v>
          </cell>
          <cell r="M32">
            <v>200</v>
          </cell>
        </row>
        <row r="33">
          <cell r="A33" t="str">
            <v>B005W1QYDO</v>
          </cell>
          <cell r="B33">
            <v>100</v>
          </cell>
          <cell r="C33">
            <v>100</v>
          </cell>
          <cell r="D33">
            <v>1000</v>
          </cell>
          <cell r="E33">
            <v>4000</v>
          </cell>
          <cell r="F33">
            <v>4000</v>
          </cell>
          <cell r="G33">
            <v>3000</v>
          </cell>
          <cell r="H33">
            <v>3000</v>
          </cell>
          <cell r="I33">
            <v>2000</v>
          </cell>
          <cell r="J33">
            <v>2000</v>
          </cell>
          <cell r="K33">
            <v>200</v>
          </cell>
          <cell r="L33">
            <v>200</v>
          </cell>
          <cell r="M33">
            <v>100</v>
          </cell>
        </row>
        <row r="34">
          <cell r="A34" t="str">
            <v>B000AYFU5Q</v>
          </cell>
          <cell r="B34">
            <v>0</v>
          </cell>
          <cell r="C34">
            <v>200</v>
          </cell>
          <cell r="D34">
            <v>200</v>
          </cell>
          <cell r="E34">
            <v>2000</v>
          </cell>
          <cell r="F34">
            <v>1000</v>
          </cell>
          <cell r="G34">
            <v>1000</v>
          </cell>
          <cell r="H34">
            <v>1000</v>
          </cell>
          <cell r="I34">
            <v>600</v>
          </cell>
          <cell r="J34">
            <v>600</v>
          </cell>
          <cell r="K34">
            <v>200</v>
          </cell>
          <cell r="L34">
            <v>200</v>
          </cell>
          <cell r="M34">
            <v>0</v>
          </cell>
        </row>
        <row r="35">
          <cell r="A35" t="str">
            <v>B0B9Q1MXKW</v>
          </cell>
          <cell r="B35">
            <v>100</v>
          </cell>
          <cell r="C35">
            <v>100</v>
          </cell>
          <cell r="D35">
            <v>1000</v>
          </cell>
          <cell r="E35">
            <v>3000</v>
          </cell>
          <cell r="F35">
            <v>3000</v>
          </cell>
          <cell r="G35">
            <v>1000</v>
          </cell>
          <cell r="H35">
            <v>1000</v>
          </cell>
          <cell r="I35">
            <v>1000</v>
          </cell>
          <cell r="J35">
            <v>1000</v>
          </cell>
          <cell r="K35">
            <v>1000</v>
          </cell>
          <cell r="L35">
            <v>500</v>
          </cell>
          <cell r="M35">
            <v>500</v>
          </cell>
        </row>
        <row r="36">
          <cell r="A36" t="str">
            <v>B08L6T3B4H</v>
          </cell>
          <cell r="B36">
            <v>200</v>
          </cell>
          <cell r="C36">
            <v>1000</v>
          </cell>
          <cell r="D36">
            <v>2000</v>
          </cell>
          <cell r="E36">
            <v>7000</v>
          </cell>
          <cell r="F36">
            <v>1000</v>
          </cell>
          <cell r="G36">
            <v>200</v>
          </cell>
          <cell r="H36">
            <v>200</v>
          </cell>
          <cell r="I36">
            <v>200</v>
          </cell>
          <cell r="J36">
            <v>800</v>
          </cell>
          <cell r="K36">
            <v>600</v>
          </cell>
          <cell r="L36">
            <v>200</v>
          </cell>
          <cell r="M36">
            <v>200</v>
          </cell>
        </row>
        <row r="37">
          <cell r="A37" t="str">
            <v>B00DU7Z62W</v>
          </cell>
          <cell r="B37">
            <v>0</v>
          </cell>
          <cell r="C37">
            <v>0</v>
          </cell>
          <cell r="D37">
            <v>10000</v>
          </cell>
          <cell r="E37">
            <v>6000</v>
          </cell>
          <cell r="F37">
            <v>4000</v>
          </cell>
          <cell r="G37">
            <v>1000</v>
          </cell>
          <cell r="H37">
            <v>750</v>
          </cell>
          <cell r="I37">
            <v>1000</v>
          </cell>
          <cell r="J37">
            <v>1000</v>
          </cell>
          <cell r="K37">
            <v>0</v>
          </cell>
          <cell r="L37">
            <v>0</v>
          </cell>
          <cell r="M37">
            <v>0</v>
          </cell>
        </row>
        <row r="38">
          <cell r="A38" t="str">
            <v>B0FQWJ65LF</v>
          </cell>
          <cell r="B38">
            <v>0</v>
          </cell>
          <cell r="C38">
            <v>50</v>
          </cell>
          <cell r="D38">
            <v>200</v>
          </cell>
          <cell r="E38">
            <v>700</v>
          </cell>
          <cell r="F38">
            <v>900</v>
          </cell>
          <cell r="G38">
            <v>700</v>
          </cell>
          <cell r="H38">
            <v>900</v>
          </cell>
          <cell r="I38">
            <v>700</v>
          </cell>
          <cell r="J38">
            <v>900</v>
          </cell>
          <cell r="K38">
            <v>0</v>
          </cell>
          <cell r="L38">
            <v>0</v>
          </cell>
          <cell r="M38">
            <v>0</v>
          </cell>
        </row>
        <row r="39">
          <cell r="A39" t="str">
            <v>B08KH1RYW3</v>
          </cell>
          <cell r="B39">
            <v>100</v>
          </cell>
          <cell r="C39">
            <v>100</v>
          </cell>
          <cell r="D39">
            <v>1000</v>
          </cell>
          <cell r="E39">
            <v>4000</v>
          </cell>
          <cell r="F39">
            <v>3000</v>
          </cell>
          <cell r="G39">
            <v>1000</v>
          </cell>
          <cell r="H39">
            <v>400</v>
          </cell>
          <cell r="I39">
            <v>400</v>
          </cell>
          <cell r="J39">
            <v>1000</v>
          </cell>
          <cell r="K39">
            <v>900</v>
          </cell>
          <cell r="L39">
            <v>100</v>
          </cell>
          <cell r="M39">
            <v>100</v>
          </cell>
        </row>
        <row r="40">
          <cell r="A40" t="str">
            <v>B0CVR4TJVB</v>
          </cell>
          <cell r="B40">
            <v>50</v>
          </cell>
          <cell r="C40">
            <v>50</v>
          </cell>
          <cell r="D40">
            <v>50</v>
          </cell>
          <cell r="E40">
            <v>0</v>
          </cell>
          <cell r="F40">
            <v>0</v>
          </cell>
          <cell r="G40">
            <v>0</v>
          </cell>
          <cell r="H40">
            <v>0</v>
          </cell>
          <cell r="I40">
            <v>100</v>
          </cell>
          <cell r="J40">
            <v>1000</v>
          </cell>
          <cell r="K40">
            <v>1000</v>
          </cell>
          <cell r="L40">
            <v>1000</v>
          </cell>
          <cell r="M40">
            <v>100</v>
          </cell>
        </row>
        <row r="41">
          <cell r="A41" t="str">
            <v>B000FBMI36</v>
          </cell>
          <cell r="B41">
            <v>50</v>
          </cell>
          <cell r="C41">
            <v>100</v>
          </cell>
          <cell r="D41">
            <v>1000</v>
          </cell>
          <cell r="E41">
            <v>2000</v>
          </cell>
          <cell r="F41">
            <v>2000</v>
          </cell>
          <cell r="G41">
            <v>2000</v>
          </cell>
          <cell r="H41">
            <v>1000</v>
          </cell>
          <cell r="I41">
            <v>1000</v>
          </cell>
          <cell r="J41">
            <v>900</v>
          </cell>
          <cell r="K41">
            <v>200</v>
          </cell>
          <cell r="L41">
            <v>100</v>
          </cell>
          <cell r="M41">
            <v>50</v>
          </cell>
        </row>
        <row r="42">
          <cell r="A42" t="str">
            <v>B017VN8WZI</v>
          </cell>
          <cell r="B42">
            <v>200</v>
          </cell>
          <cell r="C42">
            <v>200</v>
          </cell>
          <cell r="D42">
            <v>1000</v>
          </cell>
          <cell r="E42">
            <v>1000</v>
          </cell>
          <cell r="F42">
            <v>1000</v>
          </cell>
          <cell r="G42">
            <v>2000</v>
          </cell>
          <cell r="H42">
            <v>1000</v>
          </cell>
          <cell r="I42">
            <v>1000</v>
          </cell>
          <cell r="J42">
            <v>1000</v>
          </cell>
          <cell r="K42">
            <v>0</v>
          </cell>
          <cell r="L42">
            <v>0</v>
          </cell>
          <cell r="M42">
            <v>200</v>
          </cell>
        </row>
        <row r="43">
          <cell r="A43" t="str">
            <v>B000M2X2QU</v>
          </cell>
          <cell r="B43">
            <v>600</v>
          </cell>
          <cell r="C43">
            <v>1000</v>
          </cell>
          <cell r="D43">
            <v>3000</v>
          </cell>
          <cell r="E43">
            <v>4000</v>
          </cell>
          <cell r="F43">
            <v>3000</v>
          </cell>
          <cell r="G43">
            <v>6000</v>
          </cell>
          <cell r="H43">
            <v>2000</v>
          </cell>
          <cell r="I43">
            <v>2000</v>
          </cell>
          <cell r="J43">
            <v>1000</v>
          </cell>
          <cell r="K43">
            <v>1000</v>
          </cell>
          <cell r="L43">
            <v>600</v>
          </cell>
          <cell r="M43">
            <v>400</v>
          </cell>
        </row>
        <row r="44">
          <cell r="A44" t="str">
            <v>B0168K8Y94</v>
          </cell>
          <cell r="B44">
            <v>100</v>
          </cell>
          <cell r="C44">
            <v>200</v>
          </cell>
          <cell r="D44">
            <v>1000</v>
          </cell>
          <cell r="E44">
            <v>3000</v>
          </cell>
          <cell r="F44">
            <v>3000</v>
          </cell>
          <cell r="G44">
            <v>2000</v>
          </cell>
          <cell r="H44">
            <v>2000</v>
          </cell>
          <cell r="I44">
            <v>1000</v>
          </cell>
          <cell r="J44">
            <v>1000</v>
          </cell>
          <cell r="K44">
            <v>1000</v>
          </cell>
          <cell r="L44">
            <v>500</v>
          </cell>
          <cell r="M44">
            <v>100</v>
          </cell>
        </row>
        <row r="45">
          <cell r="A45" t="str">
            <v>B01JIRMAZS</v>
          </cell>
          <cell r="B45">
            <v>0</v>
          </cell>
          <cell r="C45">
            <v>100</v>
          </cell>
          <cell r="D45">
            <v>1000</v>
          </cell>
          <cell r="E45">
            <v>2000</v>
          </cell>
          <cell r="F45">
            <v>3000</v>
          </cell>
          <cell r="G45">
            <v>2000</v>
          </cell>
          <cell r="H45">
            <v>1000</v>
          </cell>
          <cell r="I45">
            <v>1000</v>
          </cell>
          <cell r="J45">
            <v>1000</v>
          </cell>
          <cell r="K45">
            <v>0</v>
          </cell>
          <cell r="L45">
            <v>0</v>
          </cell>
          <cell r="M45">
            <v>100</v>
          </cell>
        </row>
        <row r="46">
          <cell r="A46" t="str">
            <v>B00GTDGWAY</v>
          </cell>
          <cell r="B46">
            <v>400</v>
          </cell>
          <cell r="C46">
            <v>500</v>
          </cell>
          <cell r="D46">
            <v>1000</v>
          </cell>
          <cell r="E46">
            <v>2000</v>
          </cell>
          <cell r="F46">
            <v>1000</v>
          </cell>
          <cell r="G46">
            <v>2000</v>
          </cell>
          <cell r="H46">
            <v>2000</v>
          </cell>
          <cell r="I46">
            <v>1000</v>
          </cell>
          <cell r="J46">
            <v>1000</v>
          </cell>
          <cell r="K46">
            <v>1000</v>
          </cell>
          <cell r="L46">
            <v>600</v>
          </cell>
          <cell r="M46">
            <v>500</v>
          </cell>
        </row>
        <row r="47">
          <cell r="A47" t="str">
            <v>B00XGNUEIQ</v>
          </cell>
          <cell r="B47">
            <v>0</v>
          </cell>
          <cell r="C47">
            <v>0</v>
          </cell>
          <cell r="D47">
            <v>7000</v>
          </cell>
          <cell r="E47">
            <v>10000</v>
          </cell>
          <cell r="F47">
            <v>4000</v>
          </cell>
          <cell r="G47">
            <v>4000</v>
          </cell>
          <cell r="H47">
            <v>1000</v>
          </cell>
          <cell r="I47">
            <v>750</v>
          </cell>
          <cell r="J47">
            <v>750</v>
          </cell>
          <cell r="K47">
            <v>0</v>
          </cell>
          <cell r="L47">
            <v>0</v>
          </cell>
          <cell r="M47">
            <v>0</v>
          </cell>
        </row>
        <row r="48">
          <cell r="A48" t="str">
            <v>B0BBN6RHBY</v>
          </cell>
          <cell r="B48">
            <v>0</v>
          </cell>
          <cell r="C48">
            <v>250</v>
          </cell>
          <cell r="D48">
            <v>1000</v>
          </cell>
          <cell r="E48">
            <v>2000</v>
          </cell>
          <cell r="F48">
            <v>10000</v>
          </cell>
          <cell r="G48">
            <v>1000</v>
          </cell>
          <cell r="H48">
            <v>1000</v>
          </cell>
          <cell r="I48">
            <v>1000</v>
          </cell>
          <cell r="J48">
            <v>1000</v>
          </cell>
          <cell r="K48">
            <v>500</v>
          </cell>
          <cell r="L48">
            <v>250</v>
          </cell>
          <cell r="M48">
            <v>0</v>
          </cell>
        </row>
        <row r="49">
          <cell r="A49" t="str">
            <v>B0DSGGP4B7</v>
          </cell>
          <cell r="B49">
            <v>0</v>
          </cell>
          <cell r="C49">
            <v>50</v>
          </cell>
          <cell r="D49">
            <v>1000</v>
          </cell>
          <cell r="E49">
            <v>1000</v>
          </cell>
          <cell r="F49">
            <v>1000</v>
          </cell>
          <cell r="G49">
            <v>600</v>
          </cell>
          <cell r="H49">
            <v>1000</v>
          </cell>
          <cell r="I49">
            <v>700</v>
          </cell>
          <cell r="J49">
            <v>800</v>
          </cell>
          <cell r="K49">
            <v>1000</v>
          </cell>
          <cell r="L49">
            <v>200</v>
          </cell>
          <cell r="M49">
            <v>50</v>
          </cell>
        </row>
        <row r="50">
          <cell r="A50" t="str">
            <v>B09JVFT7N5</v>
          </cell>
          <cell r="B50">
            <v>250</v>
          </cell>
          <cell r="C50">
            <v>500</v>
          </cell>
          <cell r="D50">
            <v>2000</v>
          </cell>
          <cell r="E50">
            <v>8000</v>
          </cell>
          <cell r="F50">
            <v>7000</v>
          </cell>
          <cell r="G50">
            <v>2000</v>
          </cell>
          <cell r="H50">
            <v>2000</v>
          </cell>
          <cell r="I50">
            <v>1000</v>
          </cell>
          <cell r="J50">
            <v>1000</v>
          </cell>
          <cell r="K50">
            <v>1000</v>
          </cell>
          <cell r="L50">
            <v>500</v>
          </cell>
          <cell r="M50">
            <v>250</v>
          </cell>
        </row>
        <row r="51">
          <cell r="A51" t="str">
            <v>B000I1M5OU</v>
          </cell>
          <cell r="B51">
            <v>0</v>
          </cell>
          <cell r="C51">
            <v>0</v>
          </cell>
          <cell r="D51">
            <v>0</v>
          </cell>
          <cell r="E51">
            <v>0</v>
          </cell>
          <cell r="F51">
            <v>0</v>
          </cell>
          <cell r="G51">
            <v>0</v>
          </cell>
          <cell r="H51">
            <v>0</v>
          </cell>
          <cell r="I51">
            <v>100</v>
          </cell>
          <cell r="J51">
            <v>500</v>
          </cell>
          <cell r="K51">
            <v>0</v>
          </cell>
          <cell r="L51">
            <v>0</v>
          </cell>
          <cell r="M51">
            <v>0</v>
          </cell>
        </row>
        <row r="52">
          <cell r="A52" t="str">
            <v>B0168K96FK</v>
          </cell>
          <cell r="B52">
            <v>100</v>
          </cell>
          <cell r="C52">
            <v>100</v>
          </cell>
          <cell r="D52">
            <v>1000</v>
          </cell>
          <cell r="E52">
            <v>2000</v>
          </cell>
          <cell r="F52">
            <v>2000</v>
          </cell>
          <cell r="G52">
            <v>3000</v>
          </cell>
          <cell r="H52">
            <v>900</v>
          </cell>
          <cell r="I52">
            <v>800</v>
          </cell>
          <cell r="J52">
            <v>1000</v>
          </cell>
          <cell r="K52">
            <v>1000</v>
          </cell>
          <cell r="L52">
            <v>200</v>
          </cell>
          <cell r="M52">
            <v>100</v>
          </cell>
        </row>
        <row r="53">
          <cell r="A53" t="str">
            <v>B077T7GNDW</v>
          </cell>
          <cell r="B53">
            <v>100</v>
          </cell>
          <cell r="C53">
            <v>100</v>
          </cell>
          <cell r="D53">
            <v>1000</v>
          </cell>
          <cell r="E53">
            <v>4000</v>
          </cell>
          <cell r="F53">
            <v>5000</v>
          </cell>
          <cell r="G53">
            <v>3000</v>
          </cell>
          <cell r="H53">
            <v>1000</v>
          </cell>
          <cell r="I53">
            <v>1000</v>
          </cell>
          <cell r="J53">
            <v>700</v>
          </cell>
          <cell r="K53">
            <v>1000</v>
          </cell>
          <cell r="L53">
            <v>300</v>
          </cell>
          <cell r="M53">
            <v>100</v>
          </cell>
        </row>
        <row r="54">
          <cell r="A54" t="str">
            <v>B00GTDI6YO</v>
          </cell>
          <cell r="B54">
            <v>0</v>
          </cell>
          <cell r="C54">
            <v>0</v>
          </cell>
          <cell r="D54">
            <v>0</v>
          </cell>
          <cell r="E54">
            <v>3000</v>
          </cell>
          <cell r="F54">
            <v>50</v>
          </cell>
          <cell r="G54">
            <v>0</v>
          </cell>
          <cell r="H54">
            <v>300</v>
          </cell>
          <cell r="I54">
            <v>2000</v>
          </cell>
          <cell r="J54">
            <v>600</v>
          </cell>
          <cell r="K54">
            <v>0</v>
          </cell>
          <cell r="L54">
            <v>0</v>
          </cell>
          <cell r="M54">
            <v>0</v>
          </cell>
        </row>
        <row r="55">
          <cell r="A55" t="str">
            <v>B0BZN5843P</v>
          </cell>
          <cell r="B55">
            <v>300</v>
          </cell>
          <cell r="C55">
            <v>400</v>
          </cell>
          <cell r="D55">
            <v>2000</v>
          </cell>
          <cell r="E55">
            <v>2000</v>
          </cell>
          <cell r="F55">
            <v>2000</v>
          </cell>
          <cell r="G55">
            <v>3000</v>
          </cell>
          <cell r="H55">
            <v>2000</v>
          </cell>
          <cell r="I55">
            <v>1000</v>
          </cell>
          <cell r="J55">
            <v>900</v>
          </cell>
          <cell r="K55">
            <v>1000</v>
          </cell>
          <cell r="L55">
            <v>500</v>
          </cell>
          <cell r="M55">
            <v>200</v>
          </cell>
        </row>
        <row r="56">
          <cell r="A56" t="str">
            <v>B0FWYBFWX7</v>
          </cell>
          <cell r="B56">
            <v>0</v>
          </cell>
          <cell r="C56">
            <v>0</v>
          </cell>
          <cell r="D56">
            <v>0</v>
          </cell>
          <cell r="E56">
            <v>300</v>
          </cell>
          <cell r="F56">
            <v>400</v>
          </cell>
          <cell r="G56">
            <v>500</v>
          </cell>
          <cell r="H56">
            <v>500</v>
          </cell>
          <cell r="I56">
            <v>500</v>
          </cell>
          <cell r="J56">
            <v>800</v>
          </cell>
          <cell r="K56">
            <v>0</v>
          </cell>
          <cell r="L56">
            <v>0</v>
          </cell>
          <cell r="M56">
            <v>0</v>
          </cell>
        </row>
        <row r="57">
          <cell r="A57" t="str">
            <v>B0FNCM8V8S</v>
          </cell>
          <cell r="B57">
            <v>0</v>
          </cell>
          <cell r="C57">
            <v>100</v>
          </cell>
          <cell r="D57">
            <v>200</v>
          </cell>
          <cell r="E57">
            <v>3000</v>
          </cell>
          <cell r="F57">
            <v>1000</v>
          </cell>
          <cell r="G57">
            <v>700</v>
          </cell>
          <cell r="H57">
            <v>2000</v>
          </cell>
          <cell r="I57">
            <v>700</v>
          </cell>
          <cell r="J57">
            <v>1000</v>
          </cell>
          <cell r="K57">
            <v>200</v>
          </cell>
          <cell r="L57">
            <v>300</v>
          </cell>
          <cell r="M57">
            <v>100</v>
          </cell>
        </row>
        <row r="58">
          <cell r="A58" t="str">
            <v>B0CZSFGKMW</v>
          </cell>
          <cell r="B58">
            <v>50</v>
          </cell>
          <cell r="C58">
            <v>0</v>
          </cell>
          <cell r="D58">
            <v>0</v>
          </cell>
          <cell r="E58">
            <v>0</v>
          </cell>
          <cell r="F58">
            <v>0</v>
          </cell>
          <cell r="G58">
            <v>0</v>
          </cell>
          <cell r="H58">
            <v>0</v>
          </cell>
          <cell r="I58">
            <v>50</v>
          </cell>
          <cell r="J58">
            <v>100</v>
          </cell>
          <cell r="K58">
            <v>1000</v>
          </cell>
          <cell r="L58">
            <v>1000</v>
          </cell>
          <cell r="M58">
            <v>200</v>
          </cell>
        </row>
        <row r="59">
          <cell r="A59" t="str">
            <v>B08KGXWPHR</v>
          </cell>
          <cell r="B59">
            <v>100</v>
          </cell>
          <cell r="C59">
            <v>100</v>
          </cell>
          <cell r="D59">
            <v>1000</v>
          </cell>
          <cell r="E59">
            <v>3000</v>
          </cell>
          <cell r="F59">
            <v>2000</v>
          </cell>
          <cell r="G59">
            <v>2000</v>
          </cell>
          <cell r="H59">
            <v>1000</v>
          </cell>
          <cell r="I59">
            <v>500</v>
          </cell>
          <cell r="J59">
            <v>700</v>
          </cell>
          <cell r="K59">
            <v>700</v>
          </cell>
          <cell r="L59">
            <v>100</v>
          </cell>
          <cell r="M59">
            <v>100</v>
          </cell>
        </row>
        <row r="60">
          <cell r="A60" t="str">
            <v>B0FWY9PF18</v>
          </cell>
          <cell r="B60">
            <v>0</v>
          </cell>
          <cell r="C60">
            <v>0</v>
          </cell>
          <cell r="D60">
            <v>0</v>
          </cell>
          <cell r="E60">
            <v>2000</v>
          </cell>
          <cell r="F60">
            <v>2000</v>
          </cell>
          <cell r="G60">
            <v>2000</v>
          </cell>
          <cell r="H60">
            <v>1000</v>
          </cell>
          <cell r="I60">
            <v>800</v>
          </cell>
          <cell r="J60">
            <v>600</v>
          </cell>
          <cell r="K60">
            <v>0</v>
          </cell>
          <cell r="L60">
            <v>0</v>
          </cell>
          <cell r="M60">
            <v>0</v>
          </cell>
        </row>
        <row r="61">
          <cell r="A61" t="str">
            <v>B0FWYC56GX</v>
          </cell>
          <cell r="B61">
            <v>0</v>
          </cell>
          <cell r="C61">
            <v>0</v>
          </cell>
          <cell r="D61">
            <v>0</v>
          </cell>
          <cell r="E61">
            <v>1000</v>
          </cell>
          <cell r="F61">
            <v>2000</v>
          </cell>
          <cell r="G61">
            <v>1000</v>
          </cell>
          <cell r="H61">
            <v>1000</v>
          </cell>
          <cell r="I61">
            <v>1000</v>
          </cell>
          <cell r="J61">
            <v>700</v>
          </cell>
          <cell r="K61">
            <v>0</v>
          </cell>
          <cell r="L61">
            <v>0</v>
          </cell>
          <cell r="M61">
            <v>0</v>
          </cell>
        </row>
        <row r="62">
          <cell r="A62" t="str">
            <v>B0FWY7GYNR</v>
          </cell>
          <cell r="B62">
            <v>0</v>
          </cell>
          <cell r="C62">
            <v>0</v>
          </cell>
          <cell r="D62">
            <v>0</v>
          </cell>
          <cell r="E62">
            <v>300</v>
          </cell>
          <cell r="F62">
            <v>800</v>
          </cell>
          <cell r="G62">
            <v>1000</v>
          </cell>
          <cell r="H62">
            <v>2000</v>
          </cell>
          <cell r="I62">
            <v>1000</v>
          </cell>
          <cell r="J62">
            <v>500</v>
          </cell>
          <cell r="K62">
            <v>0</v>
          </cell>
          <cell r="L62">
            <v>0</v>
          </cell>
          <cell r="M62">
            <v>0</v>
          </cell>
        </row>
        <row r="63">
          <cell r="A63" t="str">
            <v>B0FQWFJ4QJ</v>
          </cell>
          <cell r="B63">
            <v>100</v>
          </cell>
          <cell r="C63">
            <v>100</v>
          </cell>
          <cell r="D63">
            <v>600</v>
          </cell>
          <cell r="E63">
            <v>1000</v>
          </cell>
          <cell r="F63">
            <v>1000</v>
          </cell>
          <cell r="G63">
            <v>1000</v>
          </cell>
          <cell r="H63">
            <v>1000</v>
          </cell>
          <cell r="I63">
            <v>600</v>
          </cell>
          <cell r="J63">
            <v>600</v>
          </cell>
          <cell r="K63">
            <v>0</v>
          </cell>
          <cell r="L63">
            <v>0</v>
          </cell>
          <cell r="M63">
            <v>50</v>
          </cell>
        </row>
        <row r="64">
          <cell r="A64" t="str">
            <v>B000HAAOXQ</v>
          </cell>
          <cell r="B64">
            <v>0</v>
          </cell>
          <cell r="C64">
            <v>0</v>
          </cell>
          <cell r="D64">
            <v>0</v>
          </cell>
          <cell r="E64">
            <v>0</v>
          </cell>
          <cell r="F64">
            <v>0</v>
          </cell>
          <cell r="G64">
            <v>800</v>
          </cell>
          <cell r="H64">
            <v>600</v>
          </cell>
          <cell r="I64">
            <v>600</v>
          </cell>
          <cell r="J64">
            <v>600</v>
          </cell>
          <cell r="K64">
            <v>0</v>
          </cell>
          <cell r="L64">
            <v>0</v>
          </cell>
          <cell r="M64">
            <v>0</v>
          </cell>
        </row>
        <row r="65">
          <cell r="A65" t="str">
            <v>B0168K92NG</v>
          </cell>
          <cell r="B65">
            <v>100</v>
          </cell>
          <cell r="C65">
            <v>100</v>
          </cell>
          <cell r="D65">
            <v>200</v>
          </cell>
          <cell r="E65">
            <v>1000</v>
          </cell>
          <cell r="F65">
            <v>1000</v>
          </cell>
          <cell r="G65">
            <v>700</v>
          </cell>
          <cell r="H65">
            <v>800</v>
          </cell>
          <cell r="I65">
            <v>400</v>
          </cell>
          <cell r="J65">
            <v>500</v>
          </cell>
          <cell r="K65">
            <v>300</v>
          </cell>
          <cell r="L65">
            <v>200</v>
          </cell>
          <cell r="M65">
            <v>100</v>
          </cell>
        </row>
        <row r="66">
          <cell r="A66" t="str">
            <v>B07NNWK7CT</v>
          </cell>
          <cell r="B66">
            <v>400</v>
          </cell>
          <cell r="C66">
            <v>400</v>
          </cell>
          <cell r="D66">
            <v>1000</v>
          </cell>
          <cell r="E66">
            <v>2000</v>
          </cell>
          <cell r="F66">
            <v>2000</v>
          </cell>
          <cell r="G66">
            <v>1000</v>
          </cell>
          <cell r="H66">
            <v>0</v>
          </cell>
          <cell r="I66">
            <v>400</v>
          </cell>
          <cell r="J66">
            <v>600</v>
          </cell>
          <cell r="K66">
            <v>1000</v>
          </cell>
          <cell r="L66">
            <v>600</v>
          </cell>
          <cell r="M66">
            <v>400</v>
          </cell>
        </row>
        <row r="67">
          <cell r="A67" t="str">
            <v>B0DSGH48Y8</v>
          </cell>
          <cell r="B67">
            <v>100</v>
          </cell>
          <cell r="C67">
            <v>100</v>
          </cell>
          <cell r="D67">
            <v>1000</v>
          </cell>
          <cell r="E67">
            <v>1000</v>
          </cell>
          <cell r="F67">
            <v>1000</v>
          </cell>
          <cell r="G67">
            <v>900</v>
          </cell>
          <cell r="H67">
            <v>400</v>
          </cell>
          <cell r="I67">
            <v>600</v>
          </cell>
          <cell r="J67">
            <v>500</v>
          </cell>
          <cell r="K67">
            <v>900</v>
          </cell>
          <cell r="L67">
            <v>300</v>
          </cell>
          <cell r="M67">
            <v>100</v>
          </cell>
        </row>
        <row r="68">
          <cell r="A68" t="str">
            <v>B01BF98TIE</v>
          </cell>
          <cell r="B68">
            <v>0</v>
          </cell>
          <cell r="C68">
            <v>0</v>
          </cell>
          <cell r="D68">
            <v>100</v>
          </cell>
          <cell r="E68">
            <v>300</v>
          </cell>
          <cell r="F68">
            <v>200</v>
          </cell>
          <cell r="G68">
            <v>200</v>
          </cell>
          <cell r="H68">
            <v>300</v>
          </cell>
          <cell r="I68">
            <v>100</v>
          </cell>
          <cell r="J68">
            <v>500</v>
          </cell>
          <cell r="K68">
            <v>60</v>
          </cell>
          <cell r="L68">
            <v>60</v>
          </cell>
          <cell r="M68">
            <v>60</v>
          </cell>
        </row>
        <row r="69">
          <cell r="A69" t="str">
            <v>B08KGW41BV</v>
          </cell>
          <cell r="B69">
            <v>100</v>
          </cell>
          <cell r="C69">
            <v>100</v>
          </cell>
          <cell r="D69">
            <v>1000</v>
          </cell>
          <cell r="E69">
            <v>3000</v>
          </cell>
          <cell r="F69">
            <v>2000</v>
          </cell>
          <cell r="G69">
            <v>1000</v>
          </cell>
          <cell r="H69">
            <v>1000</v>
          </cell>
          <cell r="I69">
            <v>500</v>
          </cell>
          <cell r="J69">
            <v>500</v>
          </cell>
          <cell r="K69">
            <v>600</v>
          </cell>
          <cell r="L69">
            <v>200</v>
          </cell>
          <cell r="M69">
            <v>100</v>
          </cell>
        </row>
        <row r="70">
          <cell r="A70" t="str">
            <v>B017VN8WX0</v>
          </cell>
          <cell r="B70">
            <v>0</v>
          </cell>
          <cell r="C70">
            <v>0</v>
          </cell>
          <cell r="D70">
            <v>200</v>
          </cell>
          <cell r="E70">
            <v>200</v>
          </cell>
          <cell r="F70">
            <v>500</v>
          </cell>
          <cell r="G70">
            <v>600</v>
          </cell>
          <cell r="H70">
            <v>50</v>
          </cell>
          <cell r="I70">
            <v>0</v>
          </cell>
          <cell r="J70">
            <v>500</v>
          </cell>
          <cell r="K70">
            <v>100</v>
          </cell>
          <cell r="L70">
            <v>50</v>
          </cell>
          <cell r="M70">
            <v>0</v>
          </cell>
        </row>
        <row r="71">
          <cell r="A71" t="str">
            <v>B00ARYRY1W</v>
          </cell>
          <cell r="B71">
            <v>100</v>
          </cell>
          <cell r="C71">
            <v>100</v>
          </cell>
          <cell r="D71">
            <v>900</v>
          </cell>
          <cell r="E71">
            <v>1000</v>
          </cell>
          <cell r="F71">
            <v>1000</v>
          </cell>
          <cell r="G71">
            <v>1000</v>
          </cell>
          <cell r="H71">
            <v>600</v>
          </cell>
          <cell r="I71">
            <v>600</v>
          </cell>
          <cell r="J71">
            <v>500</v>
          </cell>
          <cell r="K71">
            <v>600</v>
          </cell>
          <cell r="L71">
            <v>200</v>
          </cell>
          <cell r="M71">
            <v>100</v>
          </cell>
        </row>
        <row r="72">
          <cell r="A72" t="str">
            <v>B0B9Q8LW92</v>
          </cell>
          <cell r="B72">
            <v>200</v>
          </cell>
          <cell r="C72">
            <v>400</v>
          </cell>
          <cell r="D72">
            <v>1000</v>
          </cell>
          <cell r="E72">
            <v>2000</v>
          </cell>
          <cell r="F72">
            <v>6000</v>
          </cell>
          <cell r="G72">
            <v>5000</v>
          </cell>
          <cell r="H72">
            <v>1000</v>
          </cell>
          <cell r="I72">
            <v>1000</v>
          </cell>
          <cell r="J72">
            <v>600</v>
          </cell>
          <cell r="K72">
            <v>800</v>
          </cell>
          <cell r="L72">
            <v>400</v>
          </cell>
          <cell r="M72">
            <v>200</v>
          </cell>
        </row>
        <row r="73">
          <cell r="A73" t="str">
            <v>B08KH22BRW</v>
          </cell>
          <cell r="B73">
            <v>0</v>
          </cell>
          <cell r="C73">
            <v>50</v>
          </cell>
          <cell r="D73">
            <v>600</v>
          </cell>
          <cell r="E73">
            <v>2000</v>
          </cell>
          <cell r="F73">
            <v>2000</v>
          </cell>
          <cell r="G73">
            <v>1000</v>
          </cell>
          <cell r="H73">
            <v>200</v>
          </cell>
          <cell r="I73">
            <v>300</v>
          </cell>
          <cell r="J73">
            <v>400</v>
          </cell>
          <cell r="K73">
            <v>300</v>
          </cell>
          <cell r="L73">
            <v>200</v>
          </cell>
          <cell r="M73">
            <v>50</v>
          </cell>
        </row>
        <row r="74">
          <cell r="A74" t="str">
            <v>B001PCUU70</v>
          </cell>
          <cell r="B74">
            <v>0</v>
          </cell>
          <cell r="C74">
            <v>0</v>
          </cell>
          <cell r="D74">
            <v>1000</v>
          </cell>
          <cell r="E74">
            <v>3000</v>
          </cell>
          <cell r="F74">
            <v>3000</v>
          </cell>
          <cell r="G74">
            <v>4000</v>
          </cell>
          <cell r="H74">
            <v>1000</v>
          </cell>
          <cell r="I74">
            <v>1000</v>
          </cell>
          <cell r="J74">
            <v>500</v>
          </cell>
          <cell r="K74">
            <v>0</v>
          </cell>
          <cell r="L74">
            <v>0</v>
          </cell>
          <cell r="M74">
            <v>0</v>
          </cell>
        </row>
        <row r="75">
          <cell r="A75" t="str">
            <v>B07YM5CY3F</v>
          </cell>
          <cell r="B75">
            <v>200</v>
          </cell>
          <cell r="C75">
            <v>300</v>
          </cell>
          <cell r="D75">
            <v>1000</v>
          </cell>
          <cell r="E75">
            <v>2000</v>
          </cell>
          <cell r="F75">
            <v>1000</v>
          </cell>
          <cell r="G75">
            <v>1000</v>
          </cell>
          <cell r="H75">
            <v>400</v>
          </cell>
          <cell r="I75">
            <v>300</v>
          </cell>
          <cell r="J75">
            <v>400</v>
          </cell>
          <cell r="K75">
            <v>300</v>
          </cell>
          <cell r="L75">
            <v>200</v>
          </cell>
          <cell r="M75">
            <v>200</v>
          </cell>
        </row>
        <row r="76">
          <cell r="A76" t="str">
            <v>B004BKS110</v>
          </cell>
          <cell r="B76">
            <v>0</v>
          </cell>
          <cell r="C76">
            <v>0</v>
          </cell>
          <cell r="D76">
            <v>200</v>
          </cell>
          <cell r="E76">
            <v>900</v>
          </cell>
          <cell r="F76">
            <v>600</v>
          </cell>
          <cell r="G76">
            <v>600</v>
          </cell>
          <cell r="H76">
            <v>600</v>
          </cell>
          <cell r="I76">
            <v>400</v>
          </cell>
          <cell r="J76">
            <v>500</v>
          </cell>
          <cell r="K76">
            <v>0</v>
          </cell>
          <cell r="L76">
            <v>0</v>
          </cell>
          <cell r="M76">
            <v>0</v>
          </cell>
        </row>
        <row r="77">
          <cell r="A77" t="str">
            <v>B0D96VRSJB</v>
          </cell>
          <cell r="B77">
            <v>50</v>
          </cell>
          <cell r="C77">
            <v>100</v>
          </cell>
          <cell r="D77">
            <v>400</v>
          </cell>
          <cell r="E77">
            <v>800</v>
          </cell>
          <cell r="F77">
            <v>700</v>
          </cell>
          <cell r="G77">
            <v>900</v>
          </cell>
          <cell r="H77">
            <v>200</v>
          </cell>
          <cell r="I77">
            <v>200</v>
          </cell>
          <cell r="J77">
            <v>200</v>
          </cell>
          <cell r="K77">
            <v>600</v>
          </cell>
          <cell r="L77">
            <v>100</v>
          </cell>
          <cell r="M77">
            <v>50</v>
          </cell>
        </row>
        <row r="78">
          <cell r="A78" t="str">
            <v>B0B728996W</v>
          </cell>
          <cell r="B78">
            <v>0</v>
          </cell>
          <cell r="C78">
            <v>0</v>
          </cell>
          <cell r="D78">
            <v>400</v>
          </cell>
          <cell r="E78">
            <v>1000</v>
          </cell>
          <cell r="F78">
            <v>500</v>
          </cell>
          <cell r="G78">
            <v>200</v>
          </cell>
          <cell r="H78">
            <v>100</v>
          </cell>
          <cell r="I78">
            <v>100</v>
          </cell>
          <cell r="J78">
            <v>300</v>
          </cell>
          <cell r="K78">
            <v>500</v>
          </cell>
          <cell r="L78">
            <v>100</v>
          </cell>
          <cell r="M78">
            <v>50</v>
          </cell>
        </row>
        <row r="79">
          <cell r="A79" t="str">
            <v>B0CZSD34RB</v>
          </cell>
          <cell r="B79">
            <v>0</v>
          </cell>
          <cell r="C79">
            <v>0</v>
          </cell>
          <cell r="D79">
            <v>0</v>
          </cell>
          <cell r="E79">
            <v>0</v>
          </cell>
          <cell r="F79">
            <v>0</v>
          </cell>
          <cell r="G79">
            <v>0</v>
          </cell>
          <cell r="H79">
            <v>0</v>
          </cell>
          <cell r="I79">
            <v>0</v>
          </cell>
          <cell r="J79">
            <v>100</v>
          </cell>
          <cell r="K79">
            <v>800</v>
          </cell>
          <cell r="L79">
            <v>200</v>
          </cell>
          <cell r="M79">
            <v>60</v>
          </cell>
        </row>
        <row r="80">
          <cell r="A80" t="str">
            <v>B00GPAGO6S</v>
          </cell>
          <cell r="B80">
            <v>200</v>
          </cell>
          <cell r="C80">
            <v>200</v>
          </cell>
          <cell r="D80">
            <v>6000</v>
          </cell>
          <cell r="E80">
            <v>4000</v>
          </cell>
          <cell r="F80">
            <v>1000</v>
          </cell>
          <cell r="G80">
            <v>1000</v>
          </cell>
          <cell r="H80">
            <v>400</v>
          </cell>
          <cell r="I80">
            <v>200</v>
          </cell>
          <cell r="J80">
            <v>400</v>
          </cell>
          <cell r="K80">
            <v>400</v>
          </cell>
          <cell r="L80">
            <v>200</v>
          </cell>
          <cell r="M80">
            <v>200</v>
          </cell>
        </row>
        <row r="81">
          <cell r="A81" t="str">
            <v>B07L19YBJ8</v>
          </cell>
          <cell r="B81">
            <v>200</v>
          </cell>
          <cell r="C81">
            <v>200</v>
          </cell>
          <cell r="D81">
            <v>400</v>
          </cell>
          <cell r="E81">
            <v>600</v>
          </cell>
          <cell r="F81">
            <v>1000</v>
          </cell>
          <cell r="G81">
            <v>800</v>
          </cell>
          <cell r="H81">
            <v>300</v>
          </cell>
          <cell r="I81">
            <v>200</v>
          </cell>
          <cell r="J81">
            <v>300</v>
          </cell>
          <cell r="K81">
            <v>600</v>
          </cell>
          <cell r="L81">
            <v>200</v>
          </cell>
          <cell r="M81">
            <v>200</v>
          </cell>
        </row>
        <row r="82">
          <cell r="A82" t="str">
            <v>B09JVCSXJC</v>
          </cell>
          <cell r="B82">
            <v>100</v>
          </cell>
          <cell r="C82">
            <v>100</v>
          </cell>
          <cell r="D82">
            <v>4000</v>
          </cell>
          <cell r="E82">
            <v>5000</v>
          </cell>
          <cell r="F82">
            <v>4000</v>
          </cell>
          <cell r="G82">
            <v>1000</v>
          </cell>
          <cell r="H82">
            <v>1000</v>
          </cell>
          <cell r="I82">
            <v>500</v>
          </cell>
          <cell r="J82">
            <v>500</v>
          </cell>
          <cell r="K82">
            <v>300</v>
          </cell>
          <cell r="L82">
            <v>100</v>
          </cell>
          <cell r="M82">
            <v>100</v>
          </cell>
        </row>
        <row r="83">
          <cell r="A83" t="str">
            <v>B07KXLD8VL</v>
          </cell>
          <cell r="B83">
            <v>100</v>
          </cell>
          <cell r="C83">
            <v>400</v>
          </cell>
          <cell r="D83">
            <v>3000</v>
          </cell>
          <cell r="E83">
            <v>3000</v>
          </cell>
          <cell r="F83">
            <v>1000</v>
          </cell>
          <cell r="G83">
            <v>400</v>
          </cell>
          <cell r="H83">
            <v>300</v>
          </cell>
          <cell r="I83">
            <v>300</v>
          </cell>
          <cell r="J83">
            <v>400</v>
          </cell>
          <cell r="K83">
            <v>1000</v>
          </cell>
          <cell r="L83">
            <v>200</v>
          </cell>
          <cell r="M83">
            <v>100</v>
          </cell>
        </row>
        <row r="84">
          <cell r="A84" t="str">
            <v>B07YM5J72D</v>
          </cell>
          <cell r="B84">
            <v>100</v>
          </cell>
          <cell r="C84">
            <v>100</v>
          </cell>
          <cell r="D84">
            <v>800</v>
          </cell>
          <cell r="E84">
            <v>600</v>
          </cell>
          <cell r="F84">
            <v>700</v>
          </cell>
          <cell r="G84">
            <v>400</v>
          </cell>
          <cell r="H84">
            <v>300</v>
          </cell>
          <cell r="I84">
            <v>500</v>
          </cell>
          <cell r="J84">
            <v>400</v>
          </cell>
          <cell r="K84">
            <v>100</v>
          </cell>
          <cell r="L84">
            <v>50</v>
          </cell>
          <cell r="M84">
            <v>50</v>
          </cell>
        </row>
        <row r="85">
          <cell r="A85" t="str">
            <v>B0FNCJXFV3</v>
          </cell>
          <cell r="B85">
            <v>100</v>
          </cell>
          <cell r="C85">
            <v>100</v>
          </cell>
          <cell r="D85">
            <v>400</v>
          </cell>
          <cell r="E85">
            <v>4000</v>
          </cell>
          <cell r="F85">
            <v>1000</v>
          </cell>
          <cell r="G85">
            <v>500</v>
          </cell>
          <cell r="H85">
            <v>700</v>
          </cell>
          <cell r="I85">
            <v>500</v>
          </cell>
          <cell r="J85">
            <v>1000</v>
          </cell>
          <cell r="K85">
            <v>300</v>
          </cell>
          <cell r="L85">
            <v>400</v>
          </cell>
          <cell r="M85">
            <v>100</v>
          </cell>
        </row>
        <row r="86">
          <cell r="A86" t="str">
            <v>B0H2BWJ6GR</v>
          </cell>
          <cell r="B86">
            <v>0</v>
          </cell>
          <cell r="C86">
            <v>0</v>
          </cell>
          <cell r="D86">
            <v>0</v>
          </cell>
          <cell r="E86">
            <v>0</v>
          </cell>
          <cell r="F86">
            <v>0</v>
          </cell>
          <cell r="G86">
            <v>0</v>
          </cell>
          <cell r="H86">
            <v>0</v>
          </cell>
          <cell r="I86">
            <v>100</v>
          </cell>
          <cell r="J86">
            <v>400</v>
          </cell>
          <cell r="K86">
            <v>0</v>
          </cell>
          <cell r="L86">
            <v>0</v>
          </cell>
          <cell r="M86">
            <v>0</v>
          </cell>
        </row>
        <row r="87">
          <cell r="A87" t="str">
            <v>B009QAJ6VO</v>
          </cell>
          <cell r="B87">
            <v>0</v>
          </cell>
          <cell r="C87">
            <v>0</v>
          </cell>
          <cell r="D87">
            <v>100</v>
          </cell>
          <cell r="E87">
            <v>600</v>
          </cell>
          <cell r="F87">
            <v>400</v>
          </cell>
          <cell r="G87">
            <v>1000</v>
          </cell>
          <cell r="H87">
            <v>100</v>
          </cell>
          <cell r="I87">
            <v>100</v>
          </cell>
          <cell r="J87">
            <v>100</v>
          </cell>
          <cell r="K87">
            <v>900</v>
          </cell>
          <cell r="L87">
            <v>200</v>
          </cell>
          <cell r="M87">
            <v>50</v>
          </cell>
        </row>
        <row r="88">
          <cell r="A88" t="str">
            <v>B0DSGHCRS8</v>
          </cell>
          <cell r="B88">
            <v>50</v>
          </cell>
          <cell r="C88">
            <v>50</v>
          </cell>
          <cell r="D88">
            <v>600</v>
          </cell>
          <cell r="E88">
            <v>800</v>
          </cell>
          <cell r="F88">
            <v>1000</v>
          </cell>
          <cell r="G88">
            <v>500</v>
          </cell>
          <cell r="H88">
            <v>300</v>
          </cell>
          <cell r="I88">
            <v>700</v>
          </cell>
          <cell r="J88">
            <v>300</v>
          </cell>
          <cell r="K88">
            <v>600</v>
          </cell>
          <cell r="L88">
            <v>100</v>
          </cell>
          <cell r="M88">
            <v>50</v>
          </cell>
        </row>
        <row r="89">
          <cell r="A89" t="str">
            <v>B0191J9EZC</v>
          </cell>
          <cell r="B89">
            <v>50</v>
          </cell>
          <cell r="C89">
            <v>50</v>
          </cell>
          <cell r="D89">
            <v>100</v>
          </cell>
          <cell r="E89">
            <v>400</v>
          </cell>
          <cell r="F89">
            <v>500</v>
          </cell>
          <cell r="G89">
            <v>900</v>
          </cell>
          <cell r="H89">
            <v>300</v>
          </cell>
          <cell r="I89">
            <v>800</v>
          </cell>
          <cell r="J89">
            <v>300</v>
          </cell>
          <cell r="K89">
            <v>400</v>
          </cell>
          <cell r="L89">
            <v>100</v>
          </cell>
          <cell r="M89">
            <v>50</v>
          </cell>
        </row>
        <row r="90">
          <cell r="A90" t="str">
            <v>B07YM5X6VL</v>
          </cell>
          <cell r="B90">
            <v>300</v>
          </cell>
          <cell r="C90">
            <v>1000</v>
          </cell>
          <cell r="D90">
            <v>1000</v>
          </cell>
          <cell r="E90">
            <v>1000</v>
          </cell>
          <cell r="F90">
            <v>1000</v>
          </cell>
          <cell r="G90">
            <v>600</v>
          </cell>
          <cell r="H90">
            <v>200</v>
          </cell>
          <cell r="I90">
            <v>300</v>
          </cell>
          <cell r="J90">
            <v>300</v>
          </cell>
          <cell r="K90">
            <v>500</v>
          </cell>
          <cell r="L90">
            <v>400</v>
          </cell>
          <cell r="M90">
            <v>300</v>
          </cell>
        </row>
        <row r="91">
          <cell r="A91" t="str">
            <v>B07YM66RXF</v>
          </cell>
          <cell r="B91">
            <v>50</v>
          </cell>
          <cell r="C91">
            <v>50</v>
          </cell>
          <cell r="D91">
            <v>100</v>
          </cell>
          <cell r="E91">
            <v>1000</v>
          </cell>
          <cell r="F91">
            <v>1000</v>
          </cell>
          <cell r="G91">
            <v>200</v>
          </cell>
          <cell r="H91">
            <v>100</v>
          </cell>
          <cell r="I91">
            <v>100</v>
          </cell>
          <cell r="J91">
            <v>200</v>
          </cell>
          <cell r="K91">
            <v>200</v>
          </cell>
          <cell r="L91">
            <v>200</v>
          </cell>
          <cell r="M91">
            <v>200</v>
          </cell>
        </row>
        <row r="92">
          <cell r="A92" t="str">
            <v>B0DNRFWG7Q</v>
          </cell>
          <cell r="B92">
            <v>50</v>
          </cell>
          <cell r="C92">
            <v>100</v>
          </cell>
          <cell r="D92">
            <v>1000</v>
          </cell>
          <cell r="E92">
            <v>1000</v>
          </cell>
          <cell r="F92">
            <v>1000</v>
          </cell>
          <cell r="G92">
            <v>1000</v>
          </cell>
          <cell r="H92">
            <v>1000</v>
          </cell>
          <cell r="I92">
            <v>200</v>
          </cell>
          <cell r="J92">
            <v>200</v>
          </cell>
          <cell r="K92">
            <v>1000</v>
          </cell>
          <cell r="L92">
            <v>100</v>
          </cell>
          <cell r="M92">
            <v>50</v>
          </cell>
        </row>
        <row r="93">
          <cell r="A93" t="str">
            <v>B0B72BDF86</v>
          </cell>
          <cell r="B93">
            <v>50</v>
          </cell>
          <cell r="C93">
            <v>50</v>
          </cell>
          <cell r="D93">
            <v>1000</v>
          </cell>
          <cell r="E93">
            <v>1000</v>
          </cell>
          <cell r="F93">
            <v>1000</v>
          </cell>
          <cell r="G93">
            <v>1000</v>
          </cell>
          <cell r="H93">
            <v>700</v>
          </cell>
          <cell r="I93">
            <v>400</v>
          </cell>
          <cell r="J93">
            <v>400</v>
          </cell>
          <cell r="K93">
            <v>500</v>
          </cell>
          <cell r="L93">
            <v>100</v>
          </cell>
          <cell r="M93">
            <v>100</v>
          </cell>
        </row>
        <row r="94">
          <cell r="A94" t="str">
            <v>B077Y8GVJN</v>
          </cell>
          <cell r="B94">
            <v>0</v>
          </cell>
          <cell r="C94">
            <v>0</v>
          </cell>
          <cell r="D94">
            <v>100</v>
          </cell>
          <cell r="E94">
            <v>200</v>
          </cell>
          <cell r="F94">
            <v>900</v>
          </cell>
          <cell r="G94">
            <v>100</v>
          </cell>
          <cell r="H94">
            <v>100</v>
          </cell>
          <cell r="I94">
            <v>100</v>
          </cell>
          <cell r="J94">
            <v>300</v>
          </cell>
          <cell r="K94">
            <v>100</v>
          </cell>
          <cell r="L94">
            <v>50</v>
          </cell>
          <cell r="M94">
            <v>0</v>
          </cell>
        </row>
        <row r="95">
          <cell r="A95" t="str">
            <v>B0BGMLFMMW</v>
          </cell>
          <cell r="B95">
            <v>50</v>
          </cell>
          <cell r="C95">
            <v>50</v>
          </cell>
          <cell r="D95">
            <v>0</v>
          </cell>
          <cell r="E95">
            <v>0</v>
          </cell>
          <cell r="F95">
            <v>0</v>
          </cell>
          <cell r="G95">
            <v>0</v>
          </cell>
          <cell r="H95">
            <v>0</v>
          </cell>
          <cell r="I95">
            <v>0</v>
          </cell>
          <cell r="J95">
            <v>500</v>
          </cell>
          <cell r="K95">
            <v>2000</v>
          </cell>
          <cell r="L95">
            <v>300</v>
          </cell>
          <cell r="M95">
            <v>200</v>
          </cell>
        </row>
        <row r="96">
          <cell r="A96" t="str">
            <v>B08Z8GM3RW</v>
          </cell>
          <cell r="B96">
            <v>50</v>
          </cell>
          <cell r="C96">
            <v>100</v>
          </cell>
          <cell r="D96">
            <v>300</v>
          </cell>
          <cell r="E96">
            <v>500</v>
          </cell>
          <cell r="F96">
            <v>800</v>
          </cell>
          <cell r="G96">
            <v>1000</v>
          </cell>
          <cell r="H96">
            <v>1000</v>
          </cell>
          <cell r="I96">
            <v>1000</v>
          </cell>
          <cell r="J96">
            <v>200</v>
          </cell>
          <cell r="K96">
            <v>500</v>
          </cell>
          <cell r="L96">
            <v>100</v>
          </cell>
          <cell r="M96">
            <v>50</v>
          </cell>
        </row>
        <row r="97">
          <cell r="A97" t="str">
            <v>B0D96VL94N</v>
          </cell>
          <cell r="B97">
            <v>0</v>
          </cell>
          <cell r="C97">
            <v>0</v>
          </cell>
          <cell r="D97">
            <v>700</v>
          </cell>
          <cell r="E97">
            <v>800</v>
          </cell>
          <cell r="F97">
            <v>200</v>
          </cell>
          <cell r="G97">
            <v>100</v>
          </cell>
          <cell r="H97">
            <v>1000</v>
          </cell>
          <cell r="I97">
            <v>100</v>
          </cell>
          <cell r="J97">
            <v>200</v>
          </cell>
          <cell r="K97">
            <v>1000</v>
          </cell>
          <cell r="L97">
            <v>50</v>
          </cell>
          <cell r="M97">
            <v>50</v>
          </cell>
        </row>
        <row r="98">
          <cell r="A98" t="str">
            <v>B0FMV5C4WX</v>
          </cell>
          <cell r="B98">
            <v>0</v>
          </cell>
          <cell r="C98">
            <v>0</v>
          </cell>
          <cell r="D98">
            <v>100</v>
          </cell>
          <cell r="E98">
            <v>1000</v>
          </cell>
          <cell r="F98">
            <v>200</v>
          </cell>
          <cell r="G98">
            <v>100</v>
          </cell>
          <cell r="H98">
            <v>200</v>
          </cell>
          <cell r="I98">
            <v>50</v>
          </cell>
          <cell r="J98">
            <v>100</v>
          </cell>
          <cell r="K98">
            <v>0</v>
          </cell>
          <cell r="L98">
            <v>0</v>
          </cell>
          <cell r="M98">
            <v>0</v>
          </cell>
        </row>
        <row r="99">
          <cell r="A99" t="str">
            <v>B0FWYF4C6D</v>
          </cell>
          <cell r="B99">
            <v>0</v>
          </cell>
          <cell r="C99">
            <v>0</v>
          </cell>
          <cell r="D99">
            <v>0</v>
          </cell>
          <cell r="E99">
            <v>200</v>
          </cell>
          <cell r="F99">
            <v>400</v>
          </cell>
          <cell r="G99">
            <v>500</v>
          </cell>
          <cell r="H99">
            <v>200</v>
          </cell>
          <cell r="I99">
            <v>200</v>
          </cell>
          <cell r="J99">
            <v>200</v>
          </cell>
          <cell r="K99">
            <v>0</v>
          </cell>
          <cell r="L99">
            <v>0</v>
          </cell>
          <cell r="M99">
            <v>0</v>
          </cell>
        </row>
        <row r="100">
          <cell r="A100" t="str">
            <v>B0B9PS6J6T</v>
          </cell>
          <cell r="B100">
            <v>0</v>
          </cell>
          <cell r="C100">
            <v>100</v>
          </cell>
          <cell r="D100">
            <v>1000</v>
          </cell>
          <cell r="E100">
            <v>1000</v>
          </cell>
          <cell r="F100">
            <v>1000</v>
          </cell>
          <cell r="G100">
            <v>1000</v>
          </cell>
          <cell r="H100">
            <v>1000</v>
          </cell>
          <cell r="I100">
            <v>400</v>
          </cell>
          <cell r="J100">
            <v>300</v>
          </cell>
          <cell r="K100">
            <v>100</v>
          </cell>
          <cell r="L100">
            <v>50</v>
          </cell>
          <cell r="M100">
            <v>50</v>
          </cell>
        </row>
        <row r="101">
          <cell r="A101" t="str">
            <v>B0DNRGGDD9</v>
          </cell>
          <cell r="B101">
            <v>0</v>
          </cell>
          <cell r="C101">
            <v>0</v>
          </cell>
          <cell r="D101">
            <v>200</v>
          </cell>
          <cell r="E101">
            <v>800</v>
          </cell>
          <cell r="F101">
            <v>500</v>
          </cell>
          <cell r="G101">
            <v>300</v>
          </cell>
          <cell r="H101">
            <v>600</v>
          </cell>
          <cell r="I101">
            <v>700</v>
          </cell>
          <cell r="J101">
            <v>100</v>
          </cell>
          <cell r="K101">
            <v>100</v>
          </cell>
          <cell r="L101">
            <v>60</v>
          </cell>
          <cell r="M101">
            <v>0</v>
          </cell>
        </row>
        <row r="102">
          <cell r="A102" t="str">
            <v>B084MNP9Y3</v>
          </cell>
          <cell r="B102">
            <v>0</v>
          </cell>
          <cell r="C102">
            <v>0</v>
          </cell>
          <cell r="D102">
            <v>100</v>
          </cell>
          <cell r="E102">
            <v>200</v>
          </cell>
          <cell r="F102">
            <v>200</v>
          </cell>
          <cell r="G102">
            <v>300</v>
          </cell>
          <cell r="H102">
            <v>200</v>
          </cell>
          <cell r="I102">
            <v>300</v>
          </cell>
          <cell r="J102">
            <v>200</v>
          </cell>
          <cell r="K102">
            <v>100</v>
          </cell>
          <cell r="L102">
            <v>60</v>
          </cell>
          <cell r="M102">
            <v>0</v>
          </cell>
        </row>
        <row r="103">
          <cell r="A103" t="str">
            <v>B00004RA3E</v>
          </cell>
          <cell r="B103">
            <v>0</v>
          </cell>
          <cell r="C103">
            <v>0</v>
          </cell>
          <cell r="D103">
            <v>60</v>
          </cell>
          <cell r="E103">
            <v>400</v>
          </cell>
          <cell r="F103">
            <v>700</v>
          </cell>
          <cell r="G103">
            <v>400</v>
          </cell>
          <cell r="H103">
            <v>200</v>
          </cell>
          <cell r="I103">
            <v>100</v>
          </cell>
          <cell r="J103">
            <v>200</v>
          </cell>
          <cell r="K103">
            <v>100</v>
          </cell>
          <cell r="L103">
            <v>60</v>
          </cell>
          <cell r="M103">
            <v>0</v>
          </cell>
        </row>
        <row r="104">
          <cell r="A104" t="str">
            <v>B077T7CRR9</v>
          </cell>
          <cell r="B104">
            <v>0</v>
          </cell>
          <cell r="C104">
            <v>0</v>
          </cell>
          <cell r="D104">
            <v>0</v>
          </cell>
          <cell r="E104">
            <v>100</v>
          </cell>
          <cell r="F104">
            <v>100</v>
          </cell>
          <cell r="G104">
            <v>100</v>
          </cell>
          <cell r="H104">
            <v>50</v>
          </cell>
          <cell r="I104">
            <v>50</v>
          </cell>
          <cell r="J104">
            <v>200</v>
          </cell>
          <cell r="K104">
            <v>50</v>
          </cell>
          <cell r="L104">
            <v>0</v>
          </cell>
          <cell r="M104">
            <v>0</v>
          </cell>
        </row>
        <row r="105">
          <cell r="A105" t="str">
            <v>B005W1Q6YG</v>
          </cell>
          <cell r="B105">
            <v>0</v>
          </cell>
          <cell r="C105">
            <v>0</v>
          </cell>
          <cell r="D105">
            <v>700</v>
          </cell>
          <cell r="E105">
            <v>1000</v>
          </cell>
          <cell r="F105">
            <v>1000</v>
          </cell>
          <cell r="G105">
            <v>200</v>
          </cell>
          <cell r="H105">
            <v>100</v>
          </cell>
          <cell r="I105">
            <v>50</v>
          </cell>
          <cell r="J105">
            <v>100</v>
          </cell>
          <cell r="K105">
            <v>0</v>
          </cell>
          <cell r="L105">
            <v>0</v>
          </cell>
          <cell r="M105">
            <v>0</v>
          </cell>
        </row>
        <row r="106">
          <cell r="A106" t="str">
            <v>B08KGYRHG1</v>
          </cell>
          <cell r="B106">
            <v>50</v>
          </cell>
          <cell r="C106">
            <v>50</v>
          </cell>
          <cell r="D106">
            <v>100</v>
          </cell>
          <cell r="E106">
            <v>100</v>
          </cell>
          <cell r="F106">
            <v>100</v>
          </cell>
          <cell r="G106">
            <v>100</v>
          </cell>
          <cell r="H106">
            <v>50</v>
          </cell>
          <cell r="I106">
            <v>100</v>
          </cell>
          <cell r="J106">
            <v>100</v>
          </cell>
          <cell r="K106">
            <v>200</v>
          </cell>
          <cell r="L106">
            <v>100</v>
          </cell>
          <cell r="M106">
            <v>50</v>
          </cell>
        </row>
        <row r="107">
          <cell r="A107" t="str">
            <v>B0B6CY8FLH</v>
          </cell>
          <cell r="B107">
            <v>0</v>
          </cell>
          <cell r="C107">
            <v>0</v>
          </cell>
          <cell r="D107">
            <v>100</v>
          </cell>
          <cell r="E107">
            <v>200</v>
          </cell>
          <cell r="F107">
            <v>500</v>
          </cell>
          <cell r="G107">
            <v>400</v>
          </cell>
          <cell r="H107">
            <v>300</v>
          </cell>
          <cell r="I107">
            <v>200</v>
          </cell>
          <cell r="J107">
            <v>200</v>
          </cell>
          <cell r="K107">
            <v>200</v>
          </cell>
          <cell r="L107">
            <v>50</v>
          </cell>
          <cell r="M107">
            <v>0</v>
          </cell>
        </row>
        <row r="108">
          <cell r="A108" t="str">
            <v>B07J5HTH37</v>
          </cell>
          <cell r="B108">
            <v>0</v>
          </cell>
          <cell r="C108">
            <v>0</v>
          </cell>
          <cell r="D108">
            <v>0</v>
          </cell>
          <cell r="E108">
            <v>100</v>
          </cell>
          <cell r="F108">
            <v>100</v>
          </cell>
          <cell r="G108">
            <v>200</v>
          </cell>
          <cell r="H108">
            <v>200</v>
          </cell>
          <cell r="I108">
            <v>100</v>
          </cell>
          <cell r="J108">
            <v>200</v>
          </cell>
          <cell r="K108">
            <v>300</v>
          </cell>
          <cell r="L108">
            <v>400</v>
          </cell>
          <cell r="M108">
            <v>0</v>
          </cell>
        </row>
        <row r="109">
          <cell r="A109" t="str">
            <v>B0CJL2CCJX</v>
          </cell>
          <cell r="B109">
            <v>0</v>
          </cell>
          <cell r="C109">
            <v>0</v>
          </cell>
          <cell r="D109">
            <v>50</v>
          </cell>
          <cell r="E109">
            <v>100</v>
          </cell>
          <cell r="F109">
            <v>200</v>
          </cell>
          <cell r="G109">
            <v>400</v>
          </cell>
          <cell r="H109">
            <v>200</v>
          </cell>
          <cell r="I109">
            <v>200</v>
          </cell>
          <cell r="J109">
            <v>200</v>
          </cell>
          <cell r="K109">
            <v>100</v>
          </cell>
          <cell r="L109">
            <v>50</v>
          </cell>
          <cell r="M109">
            <v>0</v>
          </cell>
        </row>
        <row r="110">
          <cell r="A110" t="str">
            <v>B0B72FGY27</v>
          </cell>
          <cell r="B110">
            <v>0</v>
          </cell>
          <cell r="C110">
            <v>0</v>
          </cell>
          <cell r="D110">
            <v>100</v>
          </cell>
          <cell r="E110">
            <v>400</v>
          </cell>
          <cell r="F110">
            <v>200</v>
          </cell>
          <cell r="G110">
            <v>200</v>
          </cell>
          <cell r="H110">
            <v>50</v>
          </cell>
          <cell r="I110">
            <v>100</v>
          </cell>
          <cell r="J110">
            <v>100</v>
          </cell>
          <cell r="K110">
            <v>100</v>
          </cell>
          <cell r="L110">
            <v>50</v>
          </cell>
          <cell r="M110">
            <v>0</v>
          </cell>
        </row>
        <row r="111">
          <cell r="A111" t="str">
            <v>B0B9PWX1TN</v>
          </cell>
          <cell r="B111">
            <v>0</v>
          </cell>
          <cell r="C111">
            <v>0</v>
          </cell>
          <cell r="D111">
            <v>800</v>
          </cell>
          <cell r="E111">
            <v>400</v>
          </cell>
          <cell r="F111">
            <v>200</v>
          </cell>
          <cell r="G111">
            <v>200</v>
          </cell>
          <cell r="H111">
            <v>100</v>
          </cell>
          <cell r="I111">
            <v>100</v>
          </cell>
          <cell r="J111">
            <v>100</v>
          </cell>
          <cell r="K111">
            <v>200</v>
          </cell>
          <cell r="L111">
            <v>100</v>
          </cell>
          <cell r="M111">
            <v>50</v>
          </cell>
        </row>
        <row r="112">
          <cell r="A112" t="str">
            <v>B0FSF7TD6R</v>
          </cell>
          <cell r="B112">
            <v>0</v>
          </cell>
          <cell r="C112">
            <v>0</v>
          </cell>
          <cell r="D112">
            <v>100</v>
          </cell>
          <cell r="E112">
            <v>400</v>
          </cell>
          <cell r="F112">
            <v>400</v>
          </cell>
          <cell r="G112">
            <v>300</v>
          </cell>
          <cell r="H112">
            <v>100</v>
          </cell>
          <cell r="I112">
            <v>100</v>
          </cell>
          <cell r="J112">
            <v>100</v>
          </cell>
          <cell r="K112">
            <v>0</v>
          </cell>
          <cell r="L112">
            <v>0</v>
          </cell>
          <cell r="M112">
            <v>0</v>
          </cell>
        </row>
        <row r="113">
          <cell r="A113" t="str">
            <v>B0168K92Z4</v>
          </cell>
          <cell r="B113">
            <v>0</v>
          </cell>
          <cell r="C113">
            <v>0</v>
          </cell>
          <cell r="D113">
            <v>0</v>
          </cell>
          <cell r="E113">
            <v>100</v>
          </cell>
          <cell r="F113">
            <v>50</v>
          </cell>
          <cell r="G113">
            <v>50</v>
          </cell>
          <cell r="H113">
            <v>50</v>
          </cell>
          <cell r="I113">
            <v>100</v>
          </cell>
          <cell r="J113">
            <v>100</v>
          </cell>
          <cell r="K113">
            <v>50</v>
          </cell>
          <cell r="L113">
            <v>0</v>
          </cell>
          <cell r="M113">
            <v>0</v>
          </cell>
        </row>
        <row r="114">
          <cell r="A114" t="str">
            <v>B0D2PCPZ7S</v>
          </cell>
          <cell r="B114">
            <v>0</v>
          </cell>
          <cell r="C114">
            <v>0</v>
          </cell>
          <cell r="D114">
            <v>0</v>
          </cell>
          <cell r="E114">
            <v>0</v>
          </cell>
          <cell r="F114">
            <v>0</v>
          </cell>
          <cell r="G114">
            <v>0</v>
          </cell>
          <cell r="H114">
            <v>0</v>
          </cell>
          <cell r="I114">
            <v>0</v>
          </cell>
          <cell r="J114">
            <v>50</v>
          </cell>
          <cell r="K114">
            <v>200</v>
          </cell>
          <cell r="L114">
            <v>50</v>
          </cell>
          <cell r="M114">
            <v>0</v>
          </cell>
        </row>
        <row r="115">
          <cell r="A115" t="str">
            <v>B087QT2LFM</v>
          </cell>
          <cell r="B115">
            <v>100</v>
          </cell>
          <cell r="C115">
            <v>1000</v>
          </cell>
          <cell r="D115">
            <v>1000</v>
          </cell>
          <cell r="E115">
            <v>400</v>
          </cell>
          <cell r="F115">
            <v>100</v>
          </cell>
          <cell r="G115">
            <v>50</v>
          </cell>
          <cell r="H115">
            <v>50</v>
          </cell>
          <cell r="I115">
            <v>100</v>
          </cell>
          <cell r="J115">
            <v>100</v>
          </cell>
          <cell r="K115">
            <v>300</v>
          </cell>
          <cell r="L115">
            <v>100</v>
          </cell>
          <cell r="M115">
            <v>50</v>
          </cell>
        </row>
        <row r="116">
          <cell r="A116" t="str">
            <v>B0B3LM1WNG</v>
          </cell>
          <cell r="B116">
            <v>0</v>
          </cell>
          <cell r="C116">
            <v>0</v>
          </cell>
          <cell r="D116">
            <v>100</v>
          </cell>
          <cell r="E116">
            <v>100</v>
          </cell>
          <cell r="F116">
            <v>50</v>
          </cell>
          <cell r="G116">
            <v>0</v>
          </cell>
          <cell r="H116">
            <v>0</v>
          </cell>
          <cell r="I116">
            <v>50</v>
          </cell>
          <cell r="J116">
            <v>100</v>
          </cell>
          <cell r="K116">
            <v>50</v>
          </cell>
          <cell r="L116">
            <v>0</v>
          </cell>
          <cell r="M116">
            <v>0</v>
          </cell>
        </row>
        <row r="117">
          <cell r="A117" t="str">
            <v>B00L0LJ3N8</v>
          </cell>
          <cell r="B117">
            <v>0</v>
          </cell>
          <cell r="C117">
            <v>0</v>
          </cell>
          <cell r="D117">
            <v>800</v>
          </cell>
          <cell r="E117">
            <v>700</v>
          </cell>
          <cell r="F117">
            <v>700</v>
          </cell>
          <cell r="G117">
            <v>400</v>
          </cell>
          <cell r="H117">
            <v>200</v>
          </cell>
          <cell r="I117">
            <v>200</v>
          </cell>
          <cell r="J117">
            <v>100</v>
          </cell>
          <cell r="K117">
            <v>100</v>
          </cell>
          <cell r="L117">
            <v>50</v>
          </cell>
          <cell r="M117">
            <v>0</v>
          </cell>
        </row>
        <row r="118">
          <cell r="A118" t="str">
            <v>B000UGU59K</v>
          </cell>
          <cell r="B118">
            <v>0</v>
          </cell>
          <cell r="C118">
            <v>0</v>
          </cell>
          <cell r="D118">
            <v>500</v>
          </cell>
          <cell r="E118">
            <v>400</v>
          </cell>
          <cell r="F118">
            <v>600</v>
          </cell>
          <cell r="G118">
            <v>300</v>
          </cell>
          <cell r="H118">
            <v>1000</v>
          </cell>
          <cell r="I118">
            <v>200</v>
          </cell>
          <cell r="J118">
            <v>100</v>
          </cell>
          <cell r="K118">
            <v>50</v>
          </cell>
          <cell r="L118">
            <v>0</v>
          </cell>
          <cell r="M118">
            <v>0</v>
          </cell>
        </row>
        <row r="119">
          <cell r="A119" t="str">
            <v>B07YM52XZX</v>
          </cell>
          <cell r="B119">
            <v>0</v>
          </cell>
          <cell r="C119">
            <v>0</v>
          </cell>
          <cell r="D119">
            <v>50</v>
          </cell>
          <cell r="E119">
            <v>50</v>
          </cell>
          <cell r="F119">
            <v>50</v>
          </cell>
          <cell r="G119">
            <v>50</v>
          </cell>
          <cell r="H119">
            <v>100</v>
          </cell>
          <cell r="I119">
            <v>100</v>
          </cell>
          <cell r="J119">
            <v>100</v>
          </cell>
          <cell r="K119">
            <v>100</v>
          </cell>
          <cell r="L119">
            <v>100</v>
          </cell>
          <cell r="M119">
            <v>50</v>
          </cell>
        </row>
        <row r="120">
          <cell r="A120" t="str">
            <v>B0168K931W</v>
          </cell>
          <cell r="B120">
            <v>0</v>
          </cell>
          <cell r="C120">
            <v>0</v>
          </cell>
          <cell r="D120">
            <v>100</v>
          </cell>
          <cell r="E120">
            <v>200</v>
          </cell>
          <cell r="F120">
            <v>200</v>
          </cell>
          <cell r="G120">
            <v>100</v>
          </cell>
          <cell r="H120">
            <v>300</v>
          </cell>
          <cell r="I120">
            <v>100</v>
          </cell>
          <cell r="J120">
            <v>100</v>
          </cell>
          <cell r="K120">
            <v>100</v>
          </cell>
          <cell r="L120">
            <v>50</v>
          </cell>
          <cell r="M120">
            <v>0</v>
          </cell>
        </row>
        <row r="121">
          <cell r="A121" t="str">
            <v>B0FSF7RBG1</v>
          </cell>
          <cell r="B121">
            <v>0</v>
          </cell>
          <cell r="C121">
            <v>0</v>
          </cell>
          <cell r="D121">
            <v>0</v>
          </cell>
          <cell r="E121">
            <v>0</v>
          </cell>
          <cell r="F121">
            <v>100</v>
          </cell>
          <cell r="G121">
            <v>100</v>
          </cell>
          <cell r="H121">
            <v>50</v>
          </cell>
          <cell r="I121">
            <v>50</v>
          </cell>
          <cell r="J121">
            <v>100</v>
          </cell>
          <cell r="K121">
            <v>0</v>
          </cell>
          <cell r="L121">
            <v>0</v>
          </cell>
          <cell r="M121">
            <v>0</v>
          </cell>
        </row>
        <row r="122">
          <cell r="A122" t="str">
            <v>B09HSXPN3J</v>
          </cell>
          <cell r="B122">
            <v>0</v>
          </cell>
          <cell r="C122">
            <v>50</v>
          </cell>
          <cell r="D122">
            <v>100</v>
          </cell>
          <cell r="E122">
            <v>1000</v>
          </cell>
          <cell r="F122">
            <v>900</v>
          </cell>
          <cell r="G122">
            <v>500</v>
          </cell>
          <cell r="H122">
            <v>300</v>
          </cell>
          <cell r="I122">
            <v>200</v>
          </cell>
          <cell r="J122">
            <v>100</v>
          </cell>
          <cell r="K122">
            <v>50</v>
          </cell>
          <cell r="L122">
            <v>50</v>
          </cell>
          <cell r="M122">
            <v>0</v>
          </cell>
        </row>
        <row r="123">
          <cell r="A123" t="str">
            <v>B09JXZH5WM</v>
          </cell>
          <cell r="B123">
            <v>0</v>
          </cell>
          <cell r="C123">
            <v>100</v>
          </cell>
          <cell r="D123">
            <v>400</v>
          </cell>
          <cell r="E123">
            <v>1000</v>
          </cell>
          <cell r="F123">
            <v>2000</v>
          </cell>
          <cell r="G123">
            <v>2000</v>
          </cell>
          <cell r="H123">
            <v>1000</v>
          </cell>
          <cell r="I123">
            <v>200</v>
          </cell>
          <cell r="J123">
            <v>100</v>
          </cell>
          <cell r="K123">
            <v>100</v>
          </cell>
          <cell r="L123">
            <v>50</v>
          </cell>
          <cell r="M123">
            <v>50</v>
          </cell>
        </row>
        <row r="124">
          <cell r="A124" t="str">
            <v>B0026T3O6A</v>
          </cell>
          <cell r="B124">
            <v>0</v>
          </cell>
          <cell r="C124">
            <v>0</v>
          </cell>
          <cell r="D124">
            <v>100</v>
          </cell>
          <cell r="E124">
            <v>400</v>
          </cell>
          <cell r="F124">
            <v>400</v>
          </cell>
          <cell r="G124">
            <v>100</v>
          </cell>
          <cell r="H124">
            <v>50</v>
          </cell>
          <cell r="I124">
            <v>50</v>
          </cell>
          <cell r="J124">
            <v>100</v>
          </cell>
          <cell r="K124">
            <v>0</v>
          </cell>
          <cell r="L124">
            <v>0</v>
          </cell>
          <cell r="M124">
            <v>0</v>
          </cell>
        </row>
        <row r="125">
          <cell r="A125" t="str">
            <v>B077T3X45R</v>
          </cell>
          <cell r="B125">
            <v>0</v>
          </cell>
          <cell r="C125">
            <v>0</v>
          </cell>
          <cell r="D125">
            <v>0</v>
          </cell>
          <cell r="E125">
            <v>100</v>
          </cell>
          <cell r="F125">
            <v>100</v>
          </cell>
          <cell r="G125">
            <v>100</v>
          </cell>
          <cell r="H125">
            <v>100</v>
          </cell>
          <cell r="I125">
            <v>100</v>
          </cell>
          <cell r="J125">
            <v>200</v>
          </cell>
          <cell r="K125">
            <v>100</v>
          </cell>
          <cell r="L125">
            <v>50</v>
          </cell>
          <cell r="M125">
            <v>0</v>
          </cell>
        </row>
        <row r="126">
          <cell r="A126" t="str">
            <v>B0B9Q23CWX</v>
          </cell>
          <cell r="B126">
            <v>60</v>
          </cell>
          <cell r="C126">
            <v>60</v>
          </cell>
          <cell r="D126">
            <v>100</v>
          </cell>
          <cell r="E126">
            <v>200</v>
          </cell>
          <cell r="F126">
            <v>100</v>
          </cell>
          <cell r="G126">
            <v>100</v>
          </cell>
          <cell r="H126">
            <v>60</v>
          </cell>
          <cell r="I126">
            <v>0</v>
          </cell>
          <cell r="J126">
            <v>60</v>
          </cell>
          <cell r="K126">
            <v>400</v>
          </cell>
          <cell r="L126">
            <v>300</v>
          </cell>
          <cell r="M126">
            <v>100</v>
          </cell>
        </row>
        <row r="127">
          <cell r="A127" t="str">
            <v>B07YM4VXQC</v>
          </cell>
          <cell r="B127">
            <v>0</v>
          </cell>
          <cell r="C127">
            <v>0</v>
          </cell>
          <cell r="D127">
            <v>400</v>
          </cell>
          <cell r="E127">
            <v>400</v>
          </cell>
          <cell r="F127">
            <v>500</v>
          </cell>
          <cell r="G127">
            <v>300</v>
          </cell>
          <cell r="H127">
            <v>200</v>
          </cell>
          <cell r="I127">
            <v>100</v>
          </cell>
          <cell r="J127">
            <v>100</v>
          </cell>
          <cell r="K127">
            <v>50</v>
          </cell>
          <cell r="L127">
            <v>50</v>
          </cell>
          <cell r="M127">
            <v>0</v>
          </cell>
        </row>
        <row r="128">
          <cell r="A128" t="str">
            <v>B0758L58YY</v>
          </cell>
          <cell r="B128">
            <v>100</v>
          </cell>
          <cell r="C128">
            <v>100</v>
          </cell>
          <cell r="D128">
            <v>1000</v>
          </cell>
          <cell r="E128">
            <v>500</v>
          </cell>
          <cell r="F128">
            <v>400</v>
          </cell>
          <cell r="G128">
            <v>400</v>
          </cell>
          <cell r="H128">
            <v>400</v>
          </cell>
          <cell r="I128">
            <v>100</v>
          </cell>
          <cell r="J128">
            <v>100</v>
          </cell>
          <cell r="K128">
            <v>300</v>
          </cell>
          <cell r="L128">
            <v>100</v>
          </cell>
          <cell r="M128">
            <v>100</v>
          </cell>
        </row>
        <row r="129">
          <cell r="A129" t="str">
            <v>B075G283GS</v>
          </cell>
          <cell r="B129">
            <v>50</v>
          </cell>
          <cell r="C129">
            <v>100</v>
          </cell>
          <cell r="D129">
            <v>700</v>
          </cell>
          <cell r="E129">
            <v>1000</v>
          </cell>
          <cell r="F129">
            <v>400</v>
          </cell>
          <cell r="G129">
            <v>200</v>
          </cell>
          <cell r="H129">
            <v>100</v>
          </cell>
          <cell r="I129">
            <v>100</v>
          </cell>
          <cell r="J129">
            <v>100</v>
          </cell>
          <cell r="K129">
            <v>300</v>
          </cell>
          <cell r="L129">
            <v>100</v>
          </cell>
          <cell r="M129">
            <v>50</v>
          </cell>
        </row>
        <row r="130">
          <cell r="A130" t="str">
            <v>B0BDJJY49Z</v>
          </cell>
          <cell r="B130">
            <v>0</v>
          </cell>
          <cell r="C130">
            <v>0</v>
          </cell>
          <cell r="D130">
            <v>100</v>
          </cell>
          <cell r="E130">
            <v>400</v>
          </cell>
          <cell r="F130">
            <v>400</v>
          </cell>
          <cell r="G130">
            <v>300</v>
          </cell>
          <cell r="H130">
            <v>100</v>
          </cell>
          <cell r="I130">
            <v>100</v>
          </cell>
          <cell r="J130">
            <v>100</v>
          </cell>
          <cell r="K130">
            <v>100</v>
          </cell>
          <cell r="L130">
            <v>50</v>
          </cell>
          <cell r="M130">
            <v>0</v>
          </cell>
        </row>
        <row r="131">
          <cell r="A131" t="str">
            <v>B0GFXY17XW</v>
          </cell>
          <cell r="B131">
            <v>0</v>
          </cell>
          <cell r="C131">
            <v>0</v>
          </cell>
          <cell r="D131">
            <v>0</v>
          </cell>
          <cell r="E131">
            <v>1000</v>
          </cell>
          <cell r="F131">
            <v>1000</v>
          </cell>
          <cell r="G131">
            <v>500</v>
          </cell>
          <cell r="H131">
            <v>700</v>
          </cell>
          <cell r="I131">
            <v>100</v>
          </cell>
          <cell r="J131">
            <v>100</v>
          </cell>
          <cell r="K131">
            <v>0</v>
          </cell>
          <cell r="L131">
            <v>0</v>
          </cell>
          <cell r="M131">
            <v>0</v>
          </cell>
        </row>
        <row r="132">
          <cell r="A132" t="str">
            <v>B0GLJY3CWH</v>
          </cell>
          <cell r="B132">
            <v>0</v>
          </cell>
          <cell r="C132">
            <v>0</v>
          </cell>
          <cell r="D132">
            <v>0</v>
          </cell>
          <cell r="E132">
            <v>60</v>
          </cell>
          <cell r="F132">
            <v>700</v>
          </cell>
          <cell r="G132">
            <v>400</v>
          </cell>
          <cell r="H132">
            <v>100</v>
          </cell>
          <cell r="I132">
            <v>60</v>
          </cell>
          <cell r="J132">
            <v>100</v>
          </cell>
          <cell r="K132">
            <v>0</v>
          </cell>
          <cell r="L132">
            <v>0</v>
          </cell>
          <cell r="M132">
            <v>0</v>
          </cell>
        </row>
        <row r="133">
          <cell r="A133" t="str">
            <v>B0B9Q6SRZK</v>
          </cell>
          <cell r="B133">
            <v>0</v>
          </cell>
          <cell r="C133">
            <v>0</v>
          </cell>
          <cell r="D133">
            <v>50</v>
          </cell>
          <cell r="E133">
            <v>100</v>
          </cell>
          <cell r="F133">
            <v>50</v>
          </cell>
          <cell r="G133">
            <v>50</v>
          </cell>
          <cell r="H133">
            <v>50</v>
          </cell>
          <cell r="I133">
            <v>50</v>
          </cell>
          <cell r="J133">
            <v>50</v>
          </cell>
          <cell r="K133">
            <v>100</v>
          </cell>
          <cell r="L133">
            <v>50</v>
          </cell>
          <cell r="M133">
            <v>0</v>
          </cell>
        </row>
        <row r="134">
          <cell r="A134" t="str">
            <v>B0B9PWMJFD</v>
          </cell>
          <cell r="B134">
            <v>0</v>
          </cell>
          <cell r="C134">
            <v>0</v>
          </cell>
          <cell r="D134">
            <v>100</v>
          </cell>
          <cell r="E134">
            <v>100</v>
          </cell>
          <cell r="F134">
            <v>200</v>
          </cell>
          <cell r="G134">
            <v>100</v>
          </cell>
          <cell r="H134">
            <v>100</v>
          </cell>
          <cell r="I134">
            <v>100</v>
          </cell>
          <cell r="J134">
            <v>100</v>
          </cell>
          <cell r="K134">
            <v>100</v>
          </cell>
          <cell r="L134">
            <v>50</v>
          </cell>
          <cell r="M134">
            <v>0</v>
          </cell>
        </row>
        <row r="135">
          <cell r="A135" t="str">
            <v>B01N0TGIMO</v>
          </cell>
          <cell r="B135">
            <v>0</v>
          </cell>
          <cell r="C135">
            <v>0</v>
          </cell>
          <cell r="D135">
            <v>50</v>
          </cell>
          <cell r="E135">
            <v>100</v>
          </cell>
          <cell r="F135">
            <v>100</v>
          </cell>
          <cell r="G135">
            <v>200</v>
          </cell>
          <cell r="H135">
            <v>50</v>
          </cell>
          <cell r="I135">
            <v>50</v>
          </cell>
          <cell r="J135">
            <v>100</v>
          </cell>
          <cell r="K135">
            <v>0</v>
          </cell>
          <cell r="L135">
            <v>0</v>
          </cell>
          <cell r="M135">
            <v>0</v>
          </cell>
        </row>
        <row r="136">
          <cell r="A136" t="str">
            <v>B071S2QGLN</v>
          </cell>
          <cell r="B136">
            <v>0</v>
          </cell>
          <cell r="C136">
            <v>0</v>
          </cell>
          <cell r="D136">
            <v>50</v>
          </cell>
          <cell r="E136">
            <v>200</v>
          </cell>
          <cell r="F136">
            <v>200</v>
          </cell>
          <cell r="G136">
            <v>200</v>
          </cell>
          <cell r="H136">
            <v>200</v>
          </cell>
          <cell r="I136">
            <v>100</v>
          </cell>
          <cell r="J136">
            <v>100</v>
          </cell>
          <cell r="K136">
            <v>100</v>
          </cell>
          <cell r="L136">
            <v>50</v>
          </cell>
          <cell r="M136">
            <v>50</v>
          </cell>
        </row>
        <row r="137">
          <cell r="A137" t="str">
            <v>B00ARYORQC</v>
          </cell>
          <cell r="B137">
            <v>0</v>
          </cell>
          <cell r="C137">
            <v>0</v>
          </cell>
          <cell r="D137">
            <v>500</v>
          </cell>
          <cell r="E137">
            <v>1000</v>
          </cell>
          <cell r="F137">
            <v>800</v>
          </cell>
          <cell r="G137">
            <v>800</v>
          </cell>
          <cell r="H137">
            <v>200</v>
          </cell>
          <cell r="I137">
            <v>100</v>
          </cell>
          <cell r="J137">
            <v>100</v>
          </cell>
          <cell r="K137">
            <v>0</v>
          </cell>
          <cell r="L137">
            <v>0</v>
          </cell>
          <cell r="M137">
            <v>0</v>
          </cell>
        </row>
        <row r="138">
          <cell r="A138" t="str">
            <v>B0FWY7JWHD</v>
          </cell>
          <cell r="B138">
            <v>0</v>
          </cell>
          <cell r="C138">
            <v>0</v>
          </cell>
          <cell r="D138">
            <v>0</v>
          </cell>
          <cell r="E138">
            <v>0</v>
          </cell>
          <cell r="F138">
            <v>100</v>
          </cell>
          <cell r="G138">
            <v>100</v>
          </cell>
          <cell r="H138">
            <v>50</v>
          </cell>
          <cell r="I138">
            <v>50</v>
          </cell>
          <cell r="J138">
            <v>100</v>
          </cell>
          <cell r="K138">
            <v>0</v>
          </cell>
          <cell r="L138">
            <v>0</v>
          </cell>
          <cell r="M138">
            <v>0</v>
          </cell>
        </row>
        <row r="139">
          <cell r="A139" t="str">
            <v>B0GN7TJ2X3</v>
          </cell>
          <cell r="B139">
            <v>0</v>
          </cell>
          <cell r="C139">
            <v>0</v>
          </cell>
          <cell r="D139">
            <v>0</v>
          </cell>
          <cell r="E139">
            <v>50</v>
          </cell>
          <cell r="F139">
            <v>1000</v>
          </cell>
          <cell r="G139">
            <v>1000</v>
          </cell>
          <cell r="H139">
            <v>700</v>
          </cell>
          <cell r="I139">
            <v>600</v>
          </cell>
          <cell r="J139">
            <v>100</v>
          </cell>
          <cell r="K139">
            <v>0</v>
          </cell>
          <cell r="L139">
            <v>0</v>
          </cell>
          <cell r="M139">
            <v>0</v>
          </cell>
        </row>
        <row r="140">
          <cell r="A140" t="str">
            <v>B0FWYDW4ZW</v>
          </cell>
          <cell r="B140">
            <v>0</v>
          </cell>
          <cell r="C140">
            <v>0</v>
          </cell>
          <cell r="D140">
            <v>0</v>
          </cell>
          <cell r="E140">
            <v>0</v>
          </cell>
          <cell r="F140">
            <v>100</v>
          </cell>
          <cell r="G140">
            <v>50</v>
          </cell>
          <cell r="H140">
            <v>100</v>
          </cell>
          <cell r="I140">
            <v>100</v>
          </cell>
          <cell r="J140">
            <v>50</v>
          </cell>
          <cell r="K140">
            <v>0</v>
          </cell>
          <cell r="L140">
            <v>0</v>
          </cell>
          <cell r="M140">
            <v>0</v>
          </cell>
        </row>
        <row r="141">
          <cell r="A141" t="str">
            <v>B002RBB0HC</v>
          </cell>
          <cell r="B141">
            <v>0</v>
          </cell>
          <cell r="C141">
            <v>0</v>
          </cell>
          <cell r="D141">
            <v>300</v>
          </cell>
          <cell r="E141">
            <v>100</v>
          </cell>
          <cell r="F141">
            <v>200</v>
          </cell>
          <cell r="G141">
            <v>100</v>
          </cell>
          <cell r="H141">
            <v>50</v>
          </cell>
          <cell r="I141">
            <v>50</v>
          </cell>
          <cell r="J141">
            <v>100</v>
          </cell>
          <cell r="K141">
            <v>0</v>
          </cell>
          <cell r="L141">
            <v>0</v>
          </cell>
          <cell r="M141">
            <v>0</v>
          </cell>
        </row>
        <row r="142">
          <cell r="A142" t="str">
            <v>B08J1NSPCB</v>
          </cell>
          <cell r="B142">
            <v>0</v>
          </cell>
          <cell r="C142">
            <v>0</v>
          </cell>
          <cell r="D142">
            <v>0</v>
          </cell>
          <cell r="E142">
            <v>0</v>
          </cell>
          <cell r="F142">
            <v>100</v>
          </cell>
          <cell r="G142">
            <v>200</v>
          </cell>
          <cell r="H142">
            <v>200</v>
          </cell>
          <cell r="I142">
            <v>100</v>
          </cell>
          <cell r="J142">
            <v>100</v>
          </cell>
          <cell r="K142">
            <v>50</v>
          </cell>
          <cell r="L142">
            <v>50</v>
          </cell>
          <cell r="M142">
            <v>0</v>
          </cell>
        </row>
        <row r="143">
          <cell r="A143" t="str">
            <v>B09V8HSZNG</v>
          </cell>
          <cell r="B143">
            <v>0</v>
          </cell>
          <cell r="C143">
            <v>0</v>
          </cell>
          <cell r="D143">
            <v>0</v>
          </cell>
          <cell r="E143">
            <v>0</v>
          </cell>
          <cell r="F143">
            <v>100</v>
          </cell>
          <cell r="G143">
            <v>100</v>
          </cell>
          <cell r="H143">
            <v>0</v>
          </cell>
          <cell r="I143">
            <v>0</v>
          </cell>
          <cell r="J143">
            <v>0</v>
          </cell>
          <cell r="K143">
            <v>0</v>
          </cell>
          <cell r="L143">
            <v>0</v>
          </cell>
          <cell r="M143">
            <v>0</v>
          </cell>
        </row>
        <row r="144">
          <cell r="A144" t="str">
            <v>B08Q1XRCQY</v>
          </cell>
          <cell r="B144">
            <v>0</v>
          </cell>
          <cell r="C144">
            <v>0</v>
          </cell>
          <cell r="D144">
            <v>0</v>
          </cell>
          <cell r="E144">
            <v>50</v>
          </cell>
          <cell r="F144">
            <v>50</v>
          </cell>
          <cell r="G144">
            <v>0</v>
          </cell>
          <cell r="H144">
            <v>0</v>
          </cell>
          <cell r="I144">
            <v>0</v>
          </cell>
          <cell r="J144">
            <v>0</v>
          </cell>
          <cell r="K144">
            <v>0</v>
          </cell>
          <cell r="L144">
            <v>0</v>
          </cell>
          <cell r="M144">
            <v>0</v>
          </cell>
        </row>
        <row r="145">
          <cell r="A145" t="str">
            <v>B0BXQRXCZH</v>
          </cell>
          <cell r="B145">
            <v>0</v>
          </cell>
          <cell r="C145">
            <v>0</v>
          </cell>
          <cell r="D145">
            <v>100</v>
          </cell>
          <cell r="E145">
            <v>200</v>
          </cell>
          <cell r="F145">
            <v>300</v>
          </cell>
          <cell r="G145">
            <v>400</v>
          </cell>
          <cell r="H145">
            <v>300</v>
          </cell>
          <cell r="I145">
            <v>100</v>
          </cell>
          <cell r="J145">
            <v>50</v>
          </cell>
          <cell r="K145">
            <v>50</v>
          </cell>
          <cell r="L145">
            <v>50</v>
          </cell>
          <cell r="M145">
            <v>50</v>
          </cell>
        </row>
        <row r="146">
          <cell r="A146" t="str">
            <v>B0BBN199N4</v>
          </cell>
          <cell r="B146">
            <v>500</v>
          </cell>
          <cell r="C146">
            <v>500</v>
          </cell>
          <cell r="D146">
            <v>4000</v>
          </cell>
          <cell r="E146">
            <v>3000</v>
          </cell>
          <cell r="F146">
            <v>10000</v>
          </cell>
          <cell r="G146">
            <v>10000</v>
          </cell>
          <cell r="H146">
            <v>0</v>
          </cell>
          <cell r="I146">
            <v>0</v>
          </cell>
          <cell r="J146">
            <v>0</v>
          </cell>
          <cell r="K146">
            <v>1000</v>
          </cell>
          <cell r="L146">
            <v>750</v>
          </cell>
          <cell r="M146">
            <v>250</v>
          </cell>
        </row>
        <row r="147">
          <cell r="A147" t="str">
            <v>B077SXJDJP</v>
          </cell>
          <cell r="B147">
            <v>0</v>
          </cell>
          <cell r="C147">
            <v>500</v>
          </cell>
          <cell r="D147">
            <v>7000</v>
          </cell>
          <cell r="E147">
            <v>6000</v>
          </cell>
          <cell r="F147">
            <v>9000</v>
          </cell>
          <cell r="G147">
            <v>3000</v>
          </cell>
          <cell r="H147">
            <v>2000</v>
          </cell>
          <cell r="I147">
            <v>1000</v>
          </cell>
          <cell r="J147">
            <v>0</v>
          </cell>
          <cell r="K147">
            <v>3000</v>
          </cell>
          <cell r="L147">
            <v>500</v>
          </cell>
          <cell r="M147">
            <v>500</v>
          </cell>
        </row>
        <row r="148">
          <cell r="A148" t="str">
            <v>B0CS8MBLGW</v>
          </cell>
          <cell r="B148">
            <v>100</v>
          </cell>
          <cell r="C148">
            <v>100</v>
          </cell>
          <cell r="D148">
            <v>200</v>
          </cell>
          <cell r="E148">
            <v>300</v>
          </cell>
          <cell r="F148">
            <v>1000</v>
          </cell>
          <cell r="G148">
            <v>500</v>
          </cell>
          <cell r="H148">
            <v>100</v>
          </cell>
          <cell r="I148">
            <v>100</v>
          </cell>
          <cell r="J148">
            <v>100</v>
          </cell>
          <cell r="K148">
            <v>400</v>
          </cell>
          <cell r="L148">
            <v>100</v>
          </cell>
          <cell r="M148">
            <v>50</v>
          </cell>
        </row>
        <row r="149">
          <cell r="A149" t="str">
            <v>B07YM5YLP5</v>
          </cell>
          <cell r="B149">
            <v>0</v>
          </cell>
          <cell r="C149">
            <v>60</v>
          </cell>
          <cell r="D149">
            <v>60</v>
          </cell>
          <cell r="E149">
            <v>100</v>
          </cell>
          <cell r="F149">
            <v>600</v>
          </cell>
          <cell r="G149">
            <v>500</v>
          </cell>
          <cell r="H149">
            <v>300</v>
          </cell>
          <cell r="I149">
            <v>300</v>
          </cell>
          <cell r="J149">
            <v>60</v>
          </cell>
          <cell r="K149">
            <v>100</v>
          </cell>
          <cell r="L149">
            <v>60</v>
          </cell>
          <cell r="M149">
            <v>60</v>
          </cell>
        </row>
        <row r="150">
          <cell r="A150" t="str">
            <v>B01BF98TPM</v>
          </cell>
          <cell r="B150">
            <v>0</v>
          </cell>
          <cell r="C150">
            <v>0</v>
          </cell>
          <cell r="D150">
            <v>0</v>
          </cell>
          <cell r="E150">
            <v>0</v>
          </cell>
          <cell r="F150">
            <v>0</v>
          </cell>
          <cell r="G150">
            <v>0</v>
          </cell>
          <cell r="H150">
            <v>100</v>
          </cell>
          <cell r="I150">
            <v>0</v>
          </cell>
          <cell r="J150">
            <v>0</v>
          </cell>
          <cell r="K150">
            <v>50</v>
          </cell>
          <cell r="L150">
            <v>0</v>
          </cell>
          <cell r="M150">
            <v>0</v>
          </cell>
        </row>
        <row r="151">
          <cell r="A151" t="str">
            <v>B0BYH7F39D</v>
          </cell>
          <cell r="B151">
            <v>50</v>
          </cell>
          <cell r="C151">
            <v>50</v>
          </cell>
          <cell r="D151">
            <v>1000</v>
          </cell>
          <cell r="E151">
            <v>300</v>
          </cell>
          <cell r="F151">
            <v>100</v>
          </cell>
          <cell r="G151">
            <v>50</v>
          </cell>
          <cell r="H151">
            <v>0</v>
          </cell>
          <cell r="I151">
            <v>0</v>
          </cell>
          <cell r="J151">
            <v>50</v>
          </cell>
          <cell r="K151">
            <v>50</v>
          </cell>
          <cell r="L151">
            <v>50</v>
          </cell>
          <cell r="M151">
            <v>0</v>
          </cell>
        </row>
        <row r="152">
          <cell r="A152" t="str">
            <v>B08KGYF4RX</v>
          </cell>
          <cell r="B152">
            <v>500</v>
          </cell>
          <cell r="C152">
            <v>750</v>
          </cell>
          <cell r="D152">
            <v>2000</v>
          </cell>
          <cell r="E152">
            <v>3000</v>
          </cell>
          <cell r="F152">
            <v>10000</v>
          </cell>
          <cell r="G152">
            <v>9000</v>
          </cell>
          <cell r="H152">
            <v>2000</v>
          </cell>
          <cell r="I152">
            <v>250</v>
          </cell>
          <cell r="J152">
            <v>250</v>
          </cell>
          <cell r="K152">
            <v>3000</v>
          </cell>
          <cell r="L152">
            <v>1000</v>
          </cell>
          <cell r="M152">
            <v>500</v>
          </cell>
        </row>
        <row r="153">
          <cell r="A153" t="str">
            <v>B07YM6XT69</v>
          </cell>
          <cell r="B153">
            <v>0</v>
          </cell>
          <cell r="C153">
            <v>0</v>
          </cell>
          <cell r="D153">
            <v>0</v>
          </cell>
          <cell r="E153">
            <v>50</v>
          </cell>
          <cell r="F153">
            <v>0</v>
          </cell>
          <cell r="G153">
            <v>50</v>
          </cell>
          <cell r="H153">
            <v>0</v>
          </cell>
          <cell r="I153">
            <v>0</v>
          </cell>
          <cell r="J153">
            <v>0</v>
          </cell>
          <cell r="K153">
            <v>0</v>
          </cell>
          <cell r="L153">
            <v>0</v>
          </cell>
          <cell r="M153">
            <v>0</v>
          </cell>
        </row>
        <row r="154">
          <cell r="A154" t="str">
            <v>B00HJBOPK4</v>
          </cell>
          <cell r="B154">
            <v>0</v>
          </cell>
          <cell r="C154">
            <v>0</v>
          </cell>
          <cell r="D154">
            <v>100</v>
          </cell>
          <cell r="E154">
            <v>100</v>
          </cell>
          <cell r="F154">
            <v>100</v>
          </cell>
          <cell r="G154">
            <v>1000</v>
          </cell>
          <cell r="H154">
            <v>3000</v>
          </cell>
          <cell r="I154">
            <v>1000</v>
          </cell>
          <cell r="J154">
            <v>100</v>
          </cell>
          <cell r="K154">
            <v>0</v>
          </cell>
          <cell r="L154">
            <v>0</v>
          </cell>
          <cell r="M154">
            <v>0</v>
          </cell>
        </row>
        <row r="155">
          <cell r="A155" t="str">
            <v>B0FSF2LK5Q</v>
          </cell>
          <cell r="B155">
            <v>0</v>
          </cell>
          <cell r="C155">
            <v>0</v>
          </cell>
          <cell r="D155">
            <v>50</v>
          </cell>
          <cell r="E155">
            <v>100</v>
          </cell>
          <cell r="F155">
            <v>100</v>
          </cell>
          <cell r="G155">
            <v>100</v>
          </cell>
          <cell r="H155">
            <v>50</v>
          </cell>
          <cell r="I155">
            <v>50</v>
          </cell>
          <cell r="J155">
            <v>50</v>
          </cell>
          <cell r="K155">
            <v>0</v>
          </cell>
          <cell r="L155">
            <v>0</v>
          </cell>
          <cell r="M155">
            <v>0</v>
          </cell>
        </row>
        <row r="156">
          <cell r="A156" t="str">
            <v>B0B3LYVL3S</v>
          </cell>
          <cell r="B156">
            <v>0</v>
          </cell>
          <cell r="C156">
            <v>50</v>
          </cell>
          <cell r="D156">
            <v>1000</v>
          </cell>
          <cell r="E156">
            <v>1000</v>
          </cell>
          <cell r="F156">
            <v>1000</v>
          </cell>
          <cell r="G156">
            <v>100</v>
          </cell>
          <cell r="H156">
            <v>50</v>
          </cell>
          <cell r="I156">
            <v>50</v>
          </cell>
          <cell r="J156">
            <v>50</v>
          </cell>
          <cell r="K156">
            <v>200</v>
          </cell>
          <cell r="L156">
            <v>50</v>
          </cell>
          <cell r="M156">
            <v>0</v>
          </cell>
        </row>
        <row r="157">
          <cell r="A157" t="str">
            <v>B0FWYGXSM7</v>
          </cell>
          <cell r="B157">
            <v>0</v>
          </cell>
          <cell r="C157">
            <v>0</v>
          </cell>
          <cell r="D157">
            <v>100</v>
          </cell>
          <cell r="E157">
            <v>500</v>
          </cell>
          <cell r="F157">
            <v>500</v>
          </cell>
          <cell r="G157">
            <v>300</v>
          </cell>
          <cell r="H157">
            <v>200</v>
          </cell>
          <cell r="I157">
            <v>100</v>
          </cell>
          <cell r="J157">
            <v>100</v>
          </cell>
          <cell r="K157">
            <v>0</v>
          </cell>
          <cell r="L157">
            <v>0</v>
          </cell>
          <cell r="M157">
            <v>0</v>
          </cell>
        </row>
        <row r="158">
          <cell r="A158" t="str">
            <v>B0D49NJTS1</v>
          </cell>
          <cell r="B158">
            <v>0</v>
          </cell>
          <cell r="C158">
            <v>0</v>
          </cell>
          <cell r="D158">
            <v>100</v>
          </cell>
          <cell r="E158">
            <v>200</v>
          </cell>
          <cell r="F158">
            <v>400</v>
          </cell>
          <cell r="G158">
            <v>100</v>
          </cell>
          <cell r="H158">
            <v>50</v>
          </cell>
          <cell r="I158">
            <v>100</v>
          </cell>
          <cell r="J158">
            <v>50</v>
          </cell>
          <cell r="K158">
            <v>0</v>
          </cell>
          <cell r="L158">
            <v>0</v>
          </cell>
          <cell r="M158">
            <v>0</v>
          </cell>
        </row>
        <row r="159">
          <cell r="A159" t="str">
            <v>B0DJCJNCBM</v>
          </cell>
          <cell r="B159">
            <v>0</v>
          </cell>
          <cell r="C159">
            <v>100</v>
          </cell>
          <cell r="D159">
            <v>400</v>
          </cell>
          <cell r="E159">
            <v>1000</v>
          </cell>
          <cell r="F159">
            <v>1000</v>
          </cell>
          <cell r="G159">
            <v>50</v>
          </cell>
          <cell r="H159">
            <v>50</v>
          </cell>
          <cell r="I159">
            <v>50</v>
          </cell>
          <cell r="J159">
            <v>50</v>
          </cell>
          <cell r="K159">
            <v>50</v>
          </cell>
          <cell r="L159">
            <v>0</v>
          </cell>
          <cell r="M159">
            <v>50</v>
          </cell>
        </row>
        <row r="160">
          <cell r="A160" t="str">
            <v>B0B9PSR96K</v>
          </cell>
          <cell r="B160">
            <v>0</v>
          </cell>
          <cell r="C160">
            <v>50</v>
          </cell>
          <cell r="D160">
            <v>100</v>
          </cell>
          <cell r="E160">
            <v>1000</v>
          </cell>
          <cell r="F160">
            <v>200</v>
          </cell>
          <cell r="G160">
            <v>500</v>
          </cell>
          <cell r="H160">
            <v>400</v>
          </cell>
          <cell r="I160">
            <v>100</v>
          </cell>
          <cell r="J160">
            <v>50</v>
          </cell>
          <cell r="K160">
            <v>50</v>
          </cell>
          <cell r="L160">
            <v>50</v>
          </cell>
          <cell r="M160">
            <v>0</v>
          </cell>
        </row>
        <row r="161">
          <cell r="A161" t="str">
            <v>B0B9PNVDGZ</v>
          </cell>
          <cell r="B161">
            <v>0</v>
          </cell>
          <cell r="C161">
            <v>0</v>
          </cell>
          <cell r="D161">
            <v>50</v>
          </cell>
          <cell r="E161">
            <v>200</v>
          </cell>
          <cell r="F161">
            <v>50</v>
          </cell>
          <cell r="G161">
            <v>100</v>
          </cell>
          <cell r="H161">
            <v>50</v>
          </cell>
          <cell r="I161">
            <v>50</v>
          </cell>
          <cell r="J161">
            <v>0</v>
          </cell>
          <cell r="K161">
            <v>50</v>
          </cell>
          <cell r="L161">
            <v>0</v>
          </cell>
          <cell r="M161">
            <v>0</v>
          </cell>
        </row>
        <row r="162">
          <cell r="A162" t="str">
            <v>B0B9Q6T778</v>
          </cell>
          <cell r="B162">
            <v>0</v>
          </cell>
          <cell r="C162">
            <v>0</v>
          </cell>
          <cell r="D162">
            <v>0</v>
          </cell>
          <cell r="E162">
            <v>0</v>
          </cell>
          <cell r="F162">
            <v>100</v>
          </cell>
          <cell r="G162">
            <v>100</v>
          </cell>
          <cell r="H162">
            <v>50</v>
          </cell>
          <cell r="I162">
            <v>100</v>
          </cell>
          <cell r="J162">
            <v>100</v>
          </cell>
          <cell r="K162">
            <v>100</v>
          </cell>
          <cell r="L162">
            <v>100</v>
          </cell>
          <cell r="M162">
            <v>50</v>
          </cell>
        </row>
        <row r="163">
          <cell r="A163" t="str">
            <v>B0B9PS48W5</v>
          </cell>
          <cell r="B163">
            <v>0</v>
          </cell>
          <cell r="C163">
            <v>0</v>
          </cell>
          <cell r="D163">
            <v>60</v>
          </cell>
          <cell r="E163">
            <v>100</v>
          </cell>
          <cell r="F163">
            <v>100</v>
          </cell>
          <cell r="G163">
            <v>100</v>
          </cell>
          <cell r="H163">
            <v>60</v>
          </cell>
          <cell r="I163">
            <v>60</v>
          </cell>
          <cell r="J163">
            <v>60</v>
          </cell>
          <cell r="K163">
            <v>60</v>
          </cell>
          <cell r="L163">
            <v>60</v>
          </cell>
          <cell r="M163">
            <v>0</v>
          </cell>
        </row>
        <row r="164">
          <cell r="A164" t="str">
            <v>B0B9Q58TYD</v>
          </cell>
          <cell r="B164">
            <v>0</v>
          </cell>
          <cell r="C164">
            <v>0</v>
          </cell>
          <cell r="D164">
            <v>50</v>
          </cell>
          <cell r="E164">
            <v>50</v>
          </cell>
          <cell r="F164">
            <v>50</v>
          </cell>
          <cell r="G164">
            <v>50</v>
          </cell>
          <cell r="H164">
            <v>50</v>
          </cell>
          <cell r="I164">
            <v>50</v>
          </cell>
          <cell r="J164">
            <v>50</v>
          </cell>
          <cell r="K164">
            <v>50</v>
          </cell>
          <cell r="L164">
            <v>50</v>
          </cell>
          <cell r="M164">
            <v>0</v>
          </cell>
        </row>
        <row r="165">
          <cell r="A165" t="str">
            <v>B01MQYMWGT</v>
          </cell>
          <cell r="B165">
            <v>0</v>
          </cell>
          <cell r="C165">
            <v>0</v>
          </cell>
          <cell r="D165">
            <v>200</v>
          </cell>
          <cell r="E165">
            <v>400</v>
          </cell>
          <cell r="F165">
            <v>400</v>
          </cell>
          <cell r="G165">
            <v>300</v>
          </cell>
          <cell r="H165">
            <v>200</v>
          </cell>
          <cell r="I165">
            <v>200</v>
          </cell>
          <cell r="J165">
            <v>100</v>
          </cell>
          <cell r="K165">
            <v>0</v>
          </cell>
          <cell r="L165">
            <v>0</v>
          </cell>
          <cell r="M165">
            <v>0</v>
          </cell>
        </row>
        <row r="166">
          <cell r="A166" t="str">
            <v>B01NBN8LIY</v>
          </cell>
          <cell r="B166">
            <v>0</v>
          </cell>
          <cell r="C166">
            <v>0</v>
          </cell>
          <cell r="D166">
            <v>0</v>
          </cell>
          <cell r="E166">
            <v>100</v>
          </cell>
          <cell r="F166">
            <v>300</v>
          </cell>
          <cell r="G166">
            <v>200</v>
          </cell>
          <cell r="H166">
            <v>100</v>
          </cell>
          <cell r="I166">
            <v>50</v>
          </cell>
          <cell r="J166">
            <v>50</v>
          </cell>
          <cell r="K166">
            <v>0</v>
          </cell>
          <cell r="L166">
            <v>0</v>
          </cell>
          <cell r="M166">
            <v>0</v>
          </cell>
        </row>
        <row r="167">
          <cell r="A167" t="str">
            <v>B0GLKLZHM9</v>
          </cell>
          <cell r="B167">
            <v>0</v>
          </cell>
          <cell r="C167">
            <v>0</v>
          </cell>
          <cell r="D167">
            <v>0</v>
          </cell>
          <cell r="E167">
            <v>100</v>
          </cell>
          <cell r="F167">
            <v>200</v>
          </cell>
          <cell r="G167">
            <v>100</v>
          </cell>
          <cell r="H167">
            <v>100</v>
          </cell>
          <cell r="I167">
            <v>50</v>
          </cell>
          <cell r="J167">
            <v>50</v>
          </cell>
          <cell r="K167">
            <v>0</v>
          </cell>
          <cell r="L167">
            <v>0</v>
          </cell>
          <cell r="M167">
            <v>0</v>
          </cell>
        </row>
        <row r="168">
          <cell r="A168" t="str">
            <v>B0FWYBFT3V</v>
          </cell>
          <cell r="B168">
            <v>0</v>
          </cell>
          <cell r="C168">
            <v>0</v>
          </cell>
          <cell r="D168">
            <v>0</v>
          </cell>
          <cell r="E168">
            <v>100</v>
          </cell>
          <cell r="F168">
            <v>300</v>
          </cell>
          <cell r="G168">
            <v>200</v>
          </cell>
          <cell r="H168">
            <v>100</v>
          </cell>
          <cell r="I168">
            <v>100</v>
          </cell>
          <cell r="J168">
            <v>100</v>
          </cell>
          <cell r="K168">
            <v>0</v>
          </cell>
          <cell r="L168">
            <v>0</v>
          </cell>
          <cell r="M168">
            <v>0</v>
          </cell>
        </row>
        <row r="169">
          <cell r="A169" t="str">
            <v>B00DU82CEG</v>
          </cell>
          <cell r="B169">
            <v>0</v>
          </cell>
          <cell r="C169">
            <v>0</v>
          </cell>
          <cell r="D169">
            <v>0</v>
          </cell>
          <cell r="E169">
            <v>100</v>
          </cell>
          <cell r="F169">
            <v>200</v>
          </cell>
          <cell r="G169">
            <v>50</v>
          </cell>
          <cell r="H169">
            <v>50</v>
          </cell>
          <cell r="I169">
            <v>50</v>
          </cell>
          <cell r="J169">
            <v>50</v>
          </cell>
          <cell r="K169">
            <v>0</v>
          </cell>
          <cell r="L169">
            <v>0</v>
          </cell>
          <cell r="M169">
            <v>0</v>
          </cell>
        </row>
        <row r="170">
          <cell r="A170" t="str">
            <v>B07F9F7QWN</v>
          </cell>
          <cell r="B170">
            <v>100</v>
          </cell>
          <cell r="C170">
            <v>0</v>
          </cell>
          <cell r="D170">
            <v>50</v>
          </cell>
          <cell r="E170">
            <v>200</v>
          </cell>
          <cell r="F170">
            <v>100</v>
          </cell>
          <cell r="G170">
            <v>50</v>
          </cell>
          <cell r="H170">
            <v>0</v>
          </cell>
          <cell r="I170">
            <v>50</v>
          </cell>
          <cell r="J170">
            <v>50</v>
          </cell>
          <cell r="K170">
            <v>1000</v>
          </cell>
          <cell r="L170">
            <v>1000</v>
          </cell>
          <cell r="M170">
            <v>1000</v>
          </cell>
        </row>
        <row r="171">
          <cell r="A171" t="str">
            <v>B0B9PQLSH8</v>
          </cell>
          <cell r="B171">
            <v>0</v>
          </cell>
          <cell r="C171">
            <v>0</v>
          </cell>
          <cell r="D171">
            <v>0</v>
          </cell>
          <cell r="E171">
            <v>0</v>
          </cell>
          <cell r="F171">
            <v>0</v>
          </cell>
          <cell r="G171">
            <v>0</v>
          </cell>
          <cell r="H171">
            <v>0</v>
          </cell>
          <cell r="I171">
            <v>0</v>
          </cell>
          <cell r="J171">
            <v>0</v>
          </cell>
          <cell r="K171">
            <v>50</v>
          </cell>
          <cell r="L171">
            <v>0</v>
          </cell>
          <cell r="M171">
            <v>0</v>
          </cell>
        </row>
        <row r="172">
          <cell r="A172" t="str">
            <v>B0B72CRFRR</v>
          </cell>
          <cell r="B172">
            <v>0</v>
          </cell>
          <cell r="C172">
            <v>0</v>
          </cell>
          <cell r="D172">
            <v>100</v>
          </cell>
          <cell r="E172">
            <v>300</v>
          </cell>
          <cell r="F172">
            <v>300</v>
          </cell>
          <cell r="G172">
            <v>800</v>
          </cell>
          <cell r="H172">
            <v>50</v>
          </cell>
          <cell r="I172">
            <v>50</v>
          </cell>
          <cell r="J172">
            <v>50</v>
          </cell>
          <cell r="K172">
            <v>100</v>
          </cell>
          <cell r="L172">
            <v>50</v>
          </cell>
          <cell r="M172">
            <v>0</v>
          </cell>
        </row>
        <row r="173">
          <cell r="A173" t="str">
            <v>B07J5HK5X2</v>
          </cell>
          <cell r="B173">
            <v>0</v>
          </cell>
          <cell r="C173">
            <v>0</v>
          </cell>
          <cell r="D173">
            <v>0</v>
          </cell>
          <cell r="E173">
            <v>100</v>
          </cell>
          <cell r="F173">
            <v>100</v>
          </cell>
          <cell r="G173">
            <v>400</v>
          </cell>
          <cell r="H173">
            <v>200</v>
          </cell>
          <cell r="I173">
            <v>100</v>
          </cell>
          <cell r="J173">
            <v>100</v>
          </cell>
          <cell r="K173">
            <v>50</v>
          </cell>
          <cell r="L173">
            <v>0</v>
          </cell>
          <cell r="M173">
            <v>0</v>
          </cell>
        </row>
        <row r="174">
          <cell r="A174" t="str">
            <v>B07NLR222X</v>
          </cell>
          <cell r="B174">
            <v>60</v>
          </cell>
          <cell r="C174">
            <v>0</v>
          </cell>
          <cell r="D174">
            <v>0</v>
          </cell>
          <cell r="E174">
            <v>0</v>
          </cell>
          <cell r="F174">
            <v>0</v>
          </cell>
          <cell r="G174">
            <v>60</v>
          </cell>
          <cell r="H174">
            <v>60</v>
          </cell>
          <cell r="I174">
            <v>60</v>
          </cell>
          <cell r="J174">
            <v>60</v>
          </cell>
          <cell r="K174">
            <v>400</v>
          </cell>
          <cell r="L174">
            <v>200</v>
          </cell>
          <cell r="M174">
            <v>200</v>
          </cell>
        </row>
        <row r="175">
          <cell r="A175" t="str">
            <v>B00J43J9OW</v>
          </cell>
          <cell r="B175">
            <v>0</v>
          </cell>
          <cell r="C175">
            <v>0</v>
          </cell>
          <cell r="D175">
            <v>0</v>
          </cell>
          <cell r="E175">
            <v>0</v>
          </cell>
          <cell r="F175">
            <v>0</v>
          </cell>
          <cell r="G175">
            <v>0</v>
          </cell>
          <cell r="H175">
            <v>0</v>
          </cell>
          <cell r="I175">
            <v>0</v>
          </cell>
          <cell r="J175">
            <v>50</v>
          </cell>
          <cell r="K175">
            <v>50</v>
          </cell>
          <cell r="L175">
            <v>0</v>
          </cell>
          <cell r="M175">
            <v>0</v>
          </cell>
        </row>
        <row r="176">
          <cell r="A176" t="str">
            <v>B07J5HJZRM</v>
          </cell>
          <cell r="B176">
            <v>50</v>
          </cell>
          <cell r="C176">
            <v>0</v>
          </cell>
          <cell r="D176">
            <v>0</v>
          </cell>
          <cell r="E176">
            <v>50</v>
          </cell>
          <cell r="F176">
            <v>0</v>
          </cell>
          <cell r="G176">
            <v>0</v>
          </cell>
          <cell r="H176">
            <v>50</v>
          </cell>
          <cell r="I176">
            <v>0</v>
          </cell>
          <cell r="J176">
            <v>50</v>
          </cell>
          <cell r="K176">
            <v>50</v>
          </cell>
          <cell r="L176">
            <v>50</v>
          </cell>
          <cell r="M176">
            <v>50</v>
          </cell>
        </row>
        <row r="177">
          <cell r="A177" t="str">
            <v>B0HDLZJPVM</v>
          </cell>
          <cell r="B177">
            <v>0</v>
          </cell>
          <cell r="C177">
            <v>0</v>
          </cell>
          <cell r="D177">
            <v>0</v>
          </cell>
          <cell r="E177">
            <v>0</v>
          </cell>
          <cell r="F177">
            <v>0</v>
          </cell>
          <cell r="G177">
            <v>0</v>
          </cell>
          <cell r="H177">
            <v>0</v>
          </cell>
          <cell r="I177">
            <v>0</v>
          </cell>
          <cell r="J177">
            <v>50</v>
          </cell>
          <cell r="K177">
            <v>0</v>
          </cell>
          <cell r="L177">
            <v>0</v>
          </cell>
          <cell r="M177">
            <v>0</v>
          </cell>
        </row>
        <row r="178">
          <cell r="A178" t="str">
            <v>B0GZYNN2WL</v>
          </cell>
          <cell r="B178">
            <v>0</v>
          </cell>
          <cell r="C178">
            <v>0</v>
          </cell>
          <cell r="D178">
            <v>0</v>
          </cell>
          <cell r="E178">
            <v>0</v>
          </cell>
          <cell r="F178">
            <v>0</v>
          </cell>
          <cell r="G178">
            <v>0</v>
          </cell>
          <cell r="H178">
            <v>50</v>
          </cell>
          <cell r="I178">
            <v>50</v>
          </cell>
          <cell r="J178">
            <v>50</v>
          </cell>
          <cell r="K178">
            <v>0</v>
          </cell>
          <cell r="L178">
            <v>0</v>
          </cell>
          <cell r="M178">
            <v>0</v>
          </cell>
        </row>
        <row r="179">
          <cell r="A179" t="str">
            <v>B0DQRB8RVB</v>
          </cell>
          <cell r="B179">
            <v>0</v>
          </cell>
          <cell r="C179">
            <v>0</v>
          </cell>
          <cell r="D179">
            <v>100</v>
          </cell>
          <cell r="E179">
            <v>300</v>
          </cell>
          <cell r="F179">
            <v>300</v>
          </cell>
          <cell r="G179">
            <v>300</v>
          </cell>
          <cell r="H179">
            <v>100</v>
          </cell>
          <cell r="I179">
            <v>50</v>
          </cell>
          <cell r="J179">
            <v>100</v>
          </cell>
          <cell r="K179">
            <v>50</v>
          </cell>
          <cell r="L179">
            <v>50</v>
          </cell>
          <cell r="M179">
            <v>0</v>
          </cell>
        </row>
        <row r="180">
          <cell r="A180" t="str">
            <v>B00OHRYOZO</v>
          </cell>
          <cell r="B180">
            <v>0</v>
          </cell>
          <cell r="C180">
            <v>0</v>
          </cell>
          <cell r="D180">
            <v>0</v>
          </cell>
          <cell r="E180">
            <v>50</v>
          </cell>
          <cell r="F180">
            <v>0</v>
          </cell>
          <cell r="G180">
            <v>50</v>
          </cell>
          <cell r="H180">
            <v>50</v>
          </cell>
          <cell r="I180">
            <v>50</v>
          </cell>
          <cell r="J180">
            <v>50</v>
          </cell>
          <cell r="K180">
            <v>0</v>
          </cell>
          <cell r="L180">
            <v>0</v>
          </cell>
          <cell r="M180">
            <v>0</v>
          </cell>
        </row>
        <row r="181">
          <cell r="A181" t="str">
            <v>B0077AQ6FY</v>
          </cell>
          <cell r="B181">
            <v>0</v>
          </cell>
          <cell r="C181">
            <v>0</v>
          </cell>
          <cell r="D181">
            <v>100</v>
          </cell>
          <cell r="E181">
            <v>100</v>
          </cell>
          <cell r="F181">
            <v>200</v>
          </cell>
          <cell r="G181">
            <v>100</v>
          </cell>
          <cell r="H181">
            <v>100</v>
          </cell>
          <cell r="I181">
            <v>100</v>
          </cell>
          <cell r="J181">
            <v>200</v>
          </cell>
          <cell r="K181">
            <v>0</v>
          </cell>
          <cell r="L181">
            <v>0</v>
          </cell>
          <cell r="M181">
            <v>0</v>
          </cell>
        </row>
        <row r="182">
          <cell r="A182" t="str">
            <v>B00AUN6ZTW</v>
          </cell>
          <cell r="B182">
            <v>0</v>
          </cell>
          <cell r="C182">
            <v>0</v>
          </cell>
          <cell r="D182">
            <v>50</v>
          </cell>
          <cell r="E182">
            <v>200</v>
          </cell>
          <cell r="F182">
            <v>200</v>
          </cell>
          <cell r="G182">
            <v>100</v>
          </cell>
          <cell r="H182">
            <v>50</v>
          </cell>
          <cell r="I182">
            <v>50</v>
          </cell>
          <cell r="J182">
            <v>50</v>
          </cell>
          <cell r="K182">
            <v>100</v>
          </cell>
          <cell r="L182">
            <v>50</v>
          </cell>
          <cell r="M182">
            <v>0</v>
          </cell>
        </row>
        <row r="183">
          <cell r="A183" t="str">
            <v>B0049PNEDW</v>
          </cell>
          <cell r="B183">
            <v>0</v>
          </cell>
          <cell r="C183">
            <v>0</v>
          </cell>
          <cell r="D183">
            <v>0</v>
          </cell>
          <cell r="E183">
            <v>100</v>
          </cell>
          <cell r="F183">
            <v>400</v>
          </cell>
          <cell r="G183">
            <v>100</v>
          </cell>
          <cell r="H183">
            <v>100</v>
          </cell>
          <cell r="I183">
            <v>100</v>
          </cell>
          <cell r="J183">
            <v>100</v>
          </cell>
          <cell r="K183">
            <v>0</v>
          </cell>
          <cell r="L183">
            <v>0</v>
          </cell>
          <cell r="M183">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B0CQ8RSTC9</v>
          </cell>
          <cell r="B2">
            <v>20000</v>
          </cell>
          <cell r="C2">
            <v>10000</v>
          </cell>
          <cell r="D2">
            <v>10000</v>
          </cell>
          <cell r="E2">
            <v>20000</v>
          </cell>
          <cell r="F2">
            <v>20000</v>
          </cell>
          <cell r="G2">
            <v>20000</v>
          </cell>
          <cell r="H2">
            <v>20000</v>
          </cell>
          <cell r="I2">
            <v>10000</v>
          </cell>
          <cell r="J2">
            <v>10000</v>
          </cell>
          <cell r="K2">
            <v>20000</v>
          </cell>
          <cell r="L2">
            <v>30000</v>
          </cell>
          <cell r="M2">
            <v>30000</v>
          </cell>
        </row>
        <row r="3">
          <cell r="A3" t="str">
            <v>B0CQ8SQCP3</v>
          </cell>
          <cell r="B3">
            <v>10000</v>
          </cell>
          <cell r="C3">
            <v>9000</v>
          </cell>
          <cell r="D3">
            <v>8000</v>
          </cell>
          <cell r="E3">
            <v>5000</v>
          </cell>
          <cell r="F3">
            <v>7000</v>
          </cell>
          <cell r="G3">
            <v>8000</v>
          </cell>
          <cell r="H3">
            <v>8000</v>
          </cell>
          <cell r="I3">
            <v>10000</v>
          </cell>
          <cell r="J3">
            <v>10000</v>
          </cell>
          <cell r="K3">
            <v>9000</v>
          </cell>
          <cell r="L3">
            <v>10000</v>
          </cell>
          <cell r="M3">
            <v>10000</v>
          </cell>
        </row>
        <row r="4">
          <cell r="A4" t="str">
            <v>B083WPSXPZ</v>
          </cell>
          <cell r="B4">
            <v>9000</v>
          </cell>
          <cell r="C4">
            <v>8000</v>
          </cell>
          <cell r="D4">
            <v>9000</v>
          </cell>
          <cell r="E4">
            <v>10000</v>
          </cell>
          <cell r="F4">
            <v>10000</v>
          </cell>
          <cell r="G4">
            <v>7000</v>
          </cell>
          <cell r="H4">
            <v>10000</v>
          </cell>
          <cell r="I4">
            <v>10000</v>
          </cell>
          <cell r="J4">
            <v>10000</v>
          </cell>
          <cell r="K4">
            <v>10000</v>
          </cell>
          <cell r="L4">
            <v>10000</v>
          </cell>
          <cell r="M4">
            <v>10000</v>
          </cell>
        </row>
        <row r="5">
          <cell r="A5" t="str">
            <v>B0CQ8S545V</v>
          </cell>
          <cell r="B5">
            <v>7000</v>
          </cell>
          <cell r="C5">
            <v>3000</v>
          </cell>
          <cell r="D5">
            <v>4000</v>
          </cell>
          <cell r="E5">
            <v>3000</v>
          </cell>
          <cell r="F5">
            <v>4000</v>
          </cell>
          <cell r="G5">
            <v>6000</v>
          </cell>
          <cell r="H5">
            <v>7000</v>
          </cell>
          <cell r="I5">
            <v>8000</v>
          </cell>
          <cell r="J5">
            <v>7000</v>
          </cell>
          <cell r="K5">
            <v>7000</v>
          </cell>
          <cell r="L5">
            <v>8000</v>
          </cell>
          <cell r="M5">
            <v>9000</v>
          </cell>
        </row>
        <row r="6">
          <cell r="A6" t="str">
            <v>B09LDZKCN7</v>
          </cell>
          <cell r="B6">
            <v>2000</v>
          </cell>
          <cell r="C6">
            <v>1000</v>
          </cell>
          <cell r="D6">
            <v>1000</v>
          </cell>
          <cell r="E6">
            <v>2000</v>
          </cell>
          <cell r="F6">
            <v>2000</v>
          </cell>
          <cell r="G6">
            <v>2000</v>
          </cell>
          <cell r="H6">
            <v>1000</v>
          </cell>
          <cell r="I6">
            <v>4000</v>
          </cell>
          <cell r="J6">
            <v>4000</v>
          </cell>
          <cell r="K6">
            <v>4000</v>
          </cell>
          <cell r="L6">
            <v>5000</v>
          </cell>
          <cell r="M6">
            <v>5000</v>
          </cell>
        </row>
        <row r="7">
          <cell r="A7" t="str">
            <v>B07QCK7BPT</v>
          </cell>
          <cell r="B7">
            <v>400</v>
          </cell>
          <cell r="C7">
            <v>400</v>
          </cell>
          <cell r="D7">
            <v>1000</v>
          </cell>
          <cell r="E7">
            <v>7000</v>
          </cell>
          <cell r="F7">
            <v>7000</v>
          </cell>
          <cell r="G7">
            <v>7000</v>
          </cell>
          <cell r="H7">
            <v>5000</v>
          </cell>
          <cell r="I7">
            <v>6000</v>
          </cell>
          <cell r="J7">
            <v>4000</v>
          </cell>
          <cell r="K7">
            <v>3000</v>
          </cell>
          <cell r="L7">
            <v>1000</v>
          </cell>
          <cell r="M7">
            <v>1000</v>
          </cell>
        </row>
        <row r="8">
          <cell r="A8" t="str">
            <v>B0CH3V9XYL</v>
          </cell>
          <cell r="B8">
            <v>1000</v>
          </cell>
          <cell r="C8">
            <v>2000</v>
          </cell>
          <cell r="D8">
            <v>2000</v>
          </cell>
          <cell r="E8">
            <v>2000</v>
          </cell>
          <cell r="F8">
            <v>2000</v>
          </cell>
          <cell r="G8">
            <v>3000</v>
          </cell>
          <cell r="H8">
            <v>3000</v>
          </cell>
          <cell r="I8">
            <v>4000</v>
          </cell>
          <cell r="J8">
            <v>4000</v>
          </cell>
          <cell r="K8">
            <v>1000</v>
          </cell>
          <cell r="L8">
            <v>2000</v>
          </cell>
          <cell r="M8">
            <v>2000</v>
          </cell>
        </row>
        <row r="9">
          <cell r="A9" t="str">
            <v>B07WLSX6LZ</v>
          </cell>
          <cell r="B9">
            <v>2000</v>
          </cell>
          <cell r="C9">
            <v>2000</v>
          </cell>
          <cell r="D9">
            <v>3000</v>
          </cell>
          <cell r="E9">
            <v>4000</v>
          </cell>
          <cell r="F9">
            <v>4000</v>
          </cell>
          <cell r="G9">
            <v>6000</v>
          </cell>
          <cell r="H9">
            <v>6000</v>
          </cell>
          <cell r="I9">
            <v>4000</v>
          </cell>
          <cell r="J9">
            <v>4000</v>
          </cell>
          <cell r="K9">
            <v>3000</v>
          </cell>
          <cell r="L9">
            <v>3000</v>
          </cell>
          <cell r="M9">
            <v>2000</v>
          </cell>
        </row>
        <row r="10">
          <cell r="A10" t="str">
            <v>B09R9DBWH6</v>
          </cell>
          <cell r="B10">
            <v>4000</v>
          </cell>
          <cell r="C10">
            <v>3000</v>
          </cell>
          <cell r="D10">
            <v>2000</v>
          </cell>
          <cell r="E10">
            <v>1000</v>
          </cell>
          <cell r="F10">
            <v>1000</v>
          </cell>
          <cell r="G10">
            <v>1000</v>
          </cell>
          <cell r="H10">
            <v>1000</v>
          </cell>
          <cell r="I10">
            <v>4000</v>
          </cell>
          <cell r="J10">
            <v>3000</v>
          </cell>
          <cell r="K10">
            <v>2000</v>
          </cell>
          <cell r="L10">
            <v>3000</v>
          </cell>
          <cell r="M10">
            <v>3000</v>
          </cell>
        </row>
        <row r="11">
          <cell r="A11" t="str">
            <v>B0CQ8QTXS9</v>
          </cell>
          <cell r="B11">
            <v>2000</v>
          </cell>
          <cell r="C11">
            <v>1000</v>
          </cell>
          <cell r="D11">
            <v>1000</v>
          </cell>
          <cell r="E11">
            <v>1000</v>
          </cell>
          <cell r="F11">
            <v>1000</v>
          </cell>
          <cell r="G11">
            <v>2000</v>
          </cell>
          <cell r="H11">
            <v>1000</v>
          </cell>
          <cell r="I11">
            <v>3000</v>
          </cell>
          <cell r="J11">
            <v>3000</v>
          </cell>
          <cell r="K11">
            <v>1000</v>
          </cell>
          <cell r="L11">
            <v>2000</v>
          </cell>
          <cell r="M11">
            <v>1000</v>
          </cell>
        </row>
        <row r="12">
          <cell r="A12" t="str">
            <v>B09LDHP97G</v>
          </cell>
          <cell r="B12">
            <v>3000</v>
          </cell>
          <cell r="C12">
            <v>3000</v>
          </cell>
          <cell r="D12">
            <v>2000</v>
          </cell>
          <cell r="E12">
            <v>2000</v>
          </cell>
          <cell r="F12">
            <v>2000</v>
          </cell>
          <cell r="G12">
            <v>2000</v>
          </cell>
          <cell r="H12">
            <v>2000</v>
          </cell>
          <cell r="I12">
            <v>2000</v>
          </cell>
          <cell r="J12">
            <v>2000</v>
          </cell>
          <cell r="K12">
            <v>3000</v>
          </cell>
          <cell r="L12">
            <v>3000</v>
          </cell>
          <cell r="M12">
            <v>3000</v>
          </cell>
        </row>
        <row r="13">
          <cell r="A13" t="str">
            <v>B0GTBL5T1G</v>
          </cell>
          <cell r="B13">
            <v>0</v>
          </cell>
          <cell r="C13">
            <v>0</v>
          </cell>
          <cell r="D13">
            <v>0</v>
          </cell>
          <cell r="E13">
            <v>0</v>
          </cell>
          <cell r="F13">
            <v>600</v>
          </cell>
          <cell r="G13">
            <v>2000</v>
          </cell>
          <cell r="H13">
            <v>2000</v>
          </cell>
          <cell r="I13">
            <v>2000</v>
          </cell>
          <cell r="J13">
            <v>3000</v>
          </cell>
          <cell r="K13">
            <v>0</v>
          </cell>
          <cell r="L13">
            <v>0</v>
          </cell>
          <cell r="M13">
            <v>0</v>
          </cell>
        </row>
        <row r="14">
          <cell r="A14" t="str">
            <v>B07N1GMVWL</v>
          </cell>
          <cell r="B14">
            <v>200</v>
          </cell>
          <cell r="C14">
            <v>200</v>
          </cell>
          <cell r="D14">
            <v>1000</v>
          </cell>
          <cell r="E14">
            <v>2000</v>
          </cell>
          <cell r="F14">
            <v>3000</v>
          </cell>
          <cell r="G14">
            <v>3000</v>
          </cell>
          <cell r="H14">
            <v>2000</v>
          </cell>
          <cell r="I14">
            <v>2000</v>
          </cell>
          <cell r="J14">
            <v>2000</v>
          </cell>
          <cell r="K14">
            <v>1000</v>
          </cell>
          <cell r="L14">
            <v>1000</v>
          </cell>
          <cell r="M14">
            <v>400</v>
          </cell>
        </row>
        <row r="15">
          <cell r="A15" t="str">
            <v>B00CAO1RH4</v>
          </cell>
          <cell r="B15">
            <v>0</v>
          </cell>
          <cell r="C15">
            <v>0</v>
          </cell>
          <cell r="D15">
            <v>700</v>
          </cell>
          <cell r="E15">
            <v>800</v>
          </cell>
          <cell r="F15">
            <v>1000</v>
          </cell>
          <cell r="G15">
            <v>1000</v>
          </cell>
          <cell r="H15">
            <v>1000</v>
          </cell>
          <cell r="I15">
            <v>1000</v>
          </cell>
          <cell r="J15">
            <v>1000</v>
          </cell>
          <cell r="K15">
            <v>0</v>
          </cell>
          <cell r="L15">
            <v>0</v>
          </cell>
          <cell r="M15">
            <v>0</v>
          </cell>
        </row>
        <row r="16">
          <cell r="A16" t="str">
            <v>B0CCWRKQ56</v>
          </cell>
          <cell r="B16">
            <v>1000</v>
          </cell>
          <cell r="C16">
            <v>1000</v>
          </cell>
          <cell r="D16">
            <v>1000</v>
          </cell>
          <cell r="E16">
            <v>1000</v>
          </cell>
          <cell r="F16">
            <v>1000</v>
          </cell>
          <cell r="G16">
            <v>1000</v>
          </cell>
          <cell r="H16">
            <v>2000</v>
          </cell>
          <cell r="I16">
            <v>2000</v>
          </cell>
          <cell r="J16">
            <v>2000</v>
          </cell>
          <cell r="K16">
            <v>1000</v>
          </cell>
          <cell r="L16">
            <v>1000</v>
          </cell>
          <cell r="M16">
            <v>900</v>
          </cell>
        </row>
        <row r="17">
          <cell r="A17" t="str">
            <v>B0CQ8RTXRT</v>
          </cell>
          <cell r="B17">
            <v>800</v>
          </cell>
          <cell r="C17">
            <v>700</v>
          </cell>
          <cell r="D17">
            <v>700</v>
          </cell>
          <cell r="E17">
            <v>1000</v>
          </cell>
          <cell r="F17">
            <v>1000</v>
          </cell>
          <cell r="G17">
            <v>1000</v>
          </cell>
          <cell r="H17">
            <v>1000</v>
          </cell>
          <cell r="I17">
            <v>2000</v>
          </cell>
          <cell r="J17">
            <v>1000</v>
          </cell>
          <cell r="K17">
            <v>1000</v>
          </cell>
          <cell r="L17">
            <v>1000</v>
          </cell>
          <cell r="M17">
            <v>1000</v>
          </cell>
        </row>
        <row r="18">
          <cell r="A18" t="str">
            <v>B0DH58VZ26</v>
          </cell>
          <cell r="B18">
            <v>700</v>
          </cell>
          <cell r="C18">
            <v>100</v>
          </cell>
          <cell r="D18">
            <v>100</v>
          </cell>
          <cell r="E18">
            <v>600</v>
          </cell>
          <cell r="F18">
            <v>600</v>
          </cell>
          <cell r="G18">
            <v>1000</v>
          </cell>
          <cell r="H18">
            <v>2000</v>
          </cell>
          <cell r="I18">
            <v>1000</v>
          </cell>
          <cell r="J18">
            <v>1000</v>
          </cell>
          <cell r="K18">
            <v>1000</v>
          </cell>
          <cell r="L18">
            <v>1000</v>
          </cell>
          <cell r="M18">
            <v>1000</v>
          </cell>
        </row>
        <row r="19">
          <cell r="A19" t="str">
            <v>B07KMXG47F</v>
          </cell>
          <cell r="B19">
            <v>400</v>
          </cell>
          <cell r="C19">
            <v>200</v>
          </cell>
          <cell r="D19">
            <v>500</v>
          </cell>
          <cell r="E19">
            <v>1000</v>
          </cell>
          <cell r="F19">
            <v>2000</v>
          </cell>
          <cell r="G19">
            <v>2000</v>
          </cell>
          <cell r="H19">
            <v>2000</v>
          </cell>
          <cell r="I19">
            <v>1000</v>
          </cell>
          <cell r="J19">
            <v>1000</v>
          </cell>
          <cell r="K19">
            <v>900</v>
          </cell>
          <cell r="L19">
            <v>700</v>
          </cell>
          <cell r="M19">
            <v>300</v>
          </cell>
        </row>
        <row r="20">
          <cell r="A20" t="str">
            <v>B00Q71KSG2</v>
          </cell>
          <cell r="B20">
            <v>500</v>
          </cell>
          <cell r="C20">
            <v>700</v>
          </cell>
          <cell r="D20">
            <v>800</v>
          </cell>
          <cell r="E20">
            <v>800</v>
          </cell>
          <cell r="F20">
            <v>900</v>
          </cell>
          <cell r="G20">
            <v>1000</v>
          </cell>
          <cell r="H20">
            <v>1000</v>
          </cell>
          <cell r="I20">
            <v>1000</v>
          </cell>
          <cell r="J20">
            <v>1000</v>
          </cell>
          <cell r="K20">
            <v>900</v>
          </cell>
          <cell r="L20">
            <v>1000</v>
          </cell>
          <cell r="M20">
            <v>600</v>
          </cell>
        </row>
        <row r="21">
          <cell r="A21" t="str">
            <v>B0BCMSRSNC</v>
          </cell>
          <cell r="B21">
            <v>100</v>
          </cell>
          <cell r="C21">
            <v>100</v>
          </cell>
          <cell r="D21">
            <v>200</v>
          </cell>
          <cell r="E21">
            <v>300</v>
          </cell>
          <cell r="F21">
            <v>400</v>
          </cell>
          <cell r="G21">
            <v>500</v>
          </cell>
          <cell r="H21">
            <v>500</v>
          </cell>
          <cell r="I21">
            <v>600</v>
          </cell>
          <cell r="J21">
            <v>900</v>
          </cell>
          <cell r="K21">
            <v>200</v>
          </cell>
          <cell r="L21">
            <v>300</v>
          </cell>
          <cell r="M21">
            <v>200</v>
          </cell>
        </row>
        <row r="22">
          <cell r="A22" t="str">
            <v>B07KMWZQYS</v>
          </cell>
          <cell r="B22">
            <v>400</v>
          </cell>
          <cell r="C22">
            <v>300</v>
          </cell>
          <cell r="D22">
            <v>600</v>
          </cell>
          <cell r="E22">
            <v>700</v>
          </cell>
          <cell r="F22">
            <v>500</v>
          </cell>
          <cell r="G22">
            <v>800</v>
          </cell>
          <cell r="H22">
            <v>800</v>
          </cell>
          <cell r="I22">
            <v>500</v>
          </cell>
          <cell r="J22">
            <v>500</v>
          </cell>
          <cell r="K22">
            <v>700</v>
          </cell>
          <cell r="L22">
            <v>600</v>
          </cell>
          <cell r="M22">
            <v>300</v>
          </cell>
        </row>
        <row r="23">
          <cell r="A23" t="str">
            <v>B07VC9KSJ7</v>
          </cell>
          <cell r="B23">
            <v>500</v>
          </cell>
          <cell r="C23">
            <v>400</v>
          </cell>
          <cell r="D23">
            <v>100</v>
          </cell>
          <cell r="E23">
            <v>300</v>
          </cell>
          <cell r="F23">
            <v>500</v>
          </cell>
          <cell r="G23">
            <v>500</v>
          </cell>
          <cell r="H23">
            <v>400</v>
          </cell>
          <cell r="I23">
            <v>500</v>
          </cell>
          <cell r="J23">
            <v>600</v>
          </cell>
          <cell r="K23">
            <v>400</v>
          </cell>
          <cell r="L23">
            <v>600</v>
          </cell>
          <cell r="M23">
            <v>300</v>
          </cell>
        </row>
        <row r="24">
          <cell r="A24" t="str">
            <v>B000VYD0MA</v>
          </cell>
          <cell r="B24">
            <v>500</v>
          </cell>
          <cell r="C24">
            <v>500</v>
          </cell>
          <cell r="D24">
            <v>500</v>
          </cell>
          <cell r="E24">
            <v>800</v>
          </cell>
          <cell r="F24">
            <v>1000</v>
          </cell>
          <cell r="G24">
            <v>900</v>
          </cell>
          <cell r="H24">
            <v>800</v>
          </cell>
          <cell r="I24">
            <v>800</v>
          </cell>
          <cell r="J24">
            <v>700</v>
          </cell>
          <cell r="K24">
            <v>600</v>
          </cell>
          <cell r="L24">
            <v>700</v>
          </cell>
          <cell r="M24">
            <v>500</v>
          </cell>
        </row>
        <row r="25">
          <cell r="A25" t="str">
            <v>B002665ZTC</v>
          </cell>
          <cell r="B25">
            <v>0</v>
          </cell>
          <cell r="C25">
            <v>0</v>
          </cell>
          <cell r="D25">
            <v>300</v>
          </cell>
          <cell r="E25">
            <v>400</v>
          </cell>
          <cell r="F25">
            <v>500</v>
          </cell>
          <cell r="G25">
            <v>600</v>
          </cell>
          <cell r="H25">
            <v>600</v>
          </cell>
          <cell r="I25">
            <v>600</v>
          </cell>
          <cell r="J25">
            <v>500</v>
          </cell>
          <cell r="K25">
            <v>0</v>
          </cell>
          <cell r="L25">
            <v>0</v>
          </cell>
          <cell r="M25">
            <v>0</v>
          </cell>
        </row>
        <row r="26">
          <cell r="A26" t="str">
            <v>B07QSC43X9</v>
          </cell>
          <cell r="B26">
            <v>200</v>
          </cell>
          <cell r="C26">
            <v>200</v>
          </cell>
          <cell r="D26">
            <v>400</v>
          </cell>
          <cell r="E26">
            <v>400</v>
          </cell>
          <cell r="F26">
            <v>500</v>
          </cell>
          <cell r="G26">
            <v>400</v>
          </cell>
          <cell r="H26">
            <v>300</v>
          </cell>
          <cell r="I26">
            <v>400</v>
          </cell>
          <cell r="J26">
            <v>400</v>
          </cell>
          <cell r="K26">
            <v>600</v>
          </cell>
          <cell r="L26">
            <v>500</v>
          </cell>
          <cell r="M26">
            <v>300</v>
          </cell>
        </row>
        <row r="27">
          <cell r="A27" t="str">
            <v>B07Q7DN41N</v>
          </cell>
          <cell r="B27">
            <v>500</v>
          </cell>
          <cell r="C27">
            <v>400</v>
          </cell>
          <cell r="D27">
            <v>500</v>
          </cell>
          <cell r="E27">
            <v>400</v>
          </cell>
          <cell r="F27">
            <v>400</v>
          </cell>
          <cell r="G27">
            <v>400</v>
          </cell>
          <cell r="H27">
            <v>400</v>
          </cell>
          <cell r="I27">
            <v>500</v>
          </cell>
          <cell r="J27">
            <v>600</v>
          </cell>
          <cell r="K27">
            <v>700</v>
          </cell>
          <cell r="L27">
            <v>1000</v>
          </cell>
          <cell r="M27">
            <v>600</v>
          </cell>
        </row>
        <row r="28">
          <cell r="A28" t="str">
            <v>B07KMX9PKY</v>
          </cell>
          <cell r="B28">
            <v>200</v>
          </cell>
          <cell r="C28">
            <v>100</v>
          </cell>
          <cell r="D28">
            <v>200</v>
          </cell>
          <cell r="E28">
            <v>700</v>
          </cell>
          <cell r="F28">
            <v>800</v>
          </cell>
          <cell r="G28">
            <v>900</v>
          </cell>
          <cell r="H28">
            <v>900</v>
          </cell>
          <cell r="I28">
            <v>400</v>
          </cell>
          <cell r="J28">
            <v>400</v>
          </cell>
          <cell r="K28">
            <v>50</v>
          </cell>
          <cell r="L28">
            <v>50</v>
          </cell>
          <cell r="M28">
            <v>100</v>
          </cell>
        </row>
        <row r="29">
          <cell r="A29" t="str">
            <v>B0CQ8SGK6W</v>
          </cell>
          <cell r="B29">
            <v>800</v>
          </cell>
          <cell r="C29">
            <v>700</v>
          </cell>
          <cell r="D29">
            <v>600</v>
          </cell>
          <cell r="E29">
            <v>500</v>
          </cell>
          <cell r="F29">
            <v>700</v>
          </cell>
          <cell r="G29">
            <v>700</v>
          </cell>
          <cell r="H29">
            <v>700</v>
          </cell>
          <cell r="I29">
            <v>1000</v>
          </cell>
          <cell r="J29">
            <v>900</v>
          </cell>
          <cell r="K29">
            <v>700</v>
          </cell>
          <cell r="L29">
            <v>900</v>
          </cell>
          <cell r="M29">
            <v>900</v>
          </cell>
        </row>
        <row r="30">
          <cell r="A30" t="str">
            <v>B0FV5761ML</v>
          </cell>
          <cell r="B30">
            <v>0</v>
          </cell>
          <cell r="C30">
            <v>50</v>
          </cell>
          <cell r="D30">
            <v>300</v>
          </cell>
          <cell r="E30">
            <v>200</v>
          </cell>
          <cell r="F30">
            <v>300</v>
          </cell>
          <cell r="G30">
            <v>400</v>
          </cell>
          <cell r="H30">
            <v>900</v>
          </cell>
          <cell r="I30">
            <v>600</v>
          </cell>
          <cell r="J30">
            <v>500</v>
          </cell>
          <cell r="K30">
            <v>0</v>
          </cell>
          <cell r="L30">
            <v>0</v>
          </cell>
          <cell r="M30">
            <v>0</v>
          </cell>
        </row>
        <row r="31">
          <cell r="A31" t="str">
            <v>B07QR77XDK</v>
          </cell>
          <cell r="B31">
            <v>50</v>
          </cell>
          <cell r="C31">
            <v>50</v>
          </cell>
          <cell r="D31">
            <v>700</v>
          </cell>
          <cell r="E31">
            <v>800</v>
          </cell>
          <cell r="F31">
            <v>800</v>
          </cell>
          <cell r="G31">
            <v>800</v>
          </cell>
          <cell r="H31">
            <v>700</v>
          </cell>
          <cell r="I31">
            <v>600</v>
          </cell>
          <cell r="J31">
            <v>600</v>
          </cell>
          <cell r="K31">
            <v>200</v>
          </cell>
          <cell r="L31">
            <v>100</v>
          </cell>
          <cell r="M31">
            <v>50</v>
          </cell>
        </row>
        <row r="32">
          <cell r="A32" t="str">
            <v>B07CML1TM4</v>
          </cell>
          <cell r="B32">
            <v>100</v>
          </cell>
          <cell r="C32">
            <v>50</v>
          </cell>
          <cell r="D32">
            <v>50</v>
          </cell>
          <cell r="E32">
            <v>100</v>
          </cell>
          <cell r="F32">
            <v>100</v>
          </cell>
          <cell r="G32">
            <v>200</v>
          </cell>
          <cell r="H32">
            <v>100</v>
          </cell>
          <cell r="I32">
            <v>100</v>
          </cell>
          <cell r="J32">
            <v>200</v>
          </cell>
          <cell r="K32">
            <v>300</v>
          </cell>
          <cell r="L32">
            <v>300</v>
          </cell>
          <cell r="M32">
            <v>100</v>
          </cell>
        </row>
        <row r="33">
          <cell r="A33" t="str">
            <v>B07N1F385G</v>
          </cell>
          <cell r="B33">
            <v>0</v>
          </cell>
          <cell r="C33">
            <v>0</v>
          </cell>
          <cell r="D33">
            <v>50</v>
          </cell>
          <cell r="E33">
            <v>100</v>
          </cell>
          <cell r="F33">
            <v>100</v>
          </cell>
          <cell r="G33">
            <v>100</v>
          </cell>
          <cell r="H33">
            <v>100</v>
          </cell>
          <cell r="I33">
            <v>200</v>
          </cell>
          <cell r="J33">
            <v>200</v>
          </cell>
          <cell r="K33">
            <v>200</v>
          </cell>
          <cell r="L33">
            <v>100</v>
          </cell>
          <cell r="M33">
            <v>50</v>
          </cell>
        </row>
        <row r="34">
          <cell r="A34" t="str">
            <v>B07N1GGPRP</v>
          </cell>
          <cell r="B34">
            <v>0</v>
          </cell>
          <cell r="C34">
            <v>0</v>
          </cell>
          <cell r="D34">
            <v>100</v>
          </cell>
          <cell r="E34">
            <v>300</v>
          </cell>
          <cell r="F34">
            <v>400</v>
          </cell>
          <cell r="G34">
            <v>400</v>
          </cell>
          <cell r="H34">
            <v>400</v>
          </cell>
          <cell r="I34">
            <v>200</v>
          </cell>
          <cell r="J34">
            <v>200</v>
          </cell>
          <cell r="K34">
            <v>500</v>
          </cell>
          <cell r="L34">
            <v>50</v>
          </cell>
          <cell r="M34">
            <v>50</v>
          </cell>
        </row>
        <row r="35">
          <cell r="A35" t="str">
            <v>B0CM51TLC5</v>
          </cell>
          <cell r="B35">
            <v>50</v>
          </cell>
          <cell r="C35">
            <v>50</v>
          </cell>
          <cell r="D35">
            <v>100</v>
          </cell>
          <cell r="E35">
            <v>100</v>
          </cell>
          <cell r="F35">
            <v>100</v>
          </cell>
          <cell r="G35">
            <v>200</v>
          </cell>
          <cell r="H35">
            <v>300</v>
          </cell>
          <cell r="I35">
            <v>300</v>
          </cell>
          <cell r="J35">
            <v>200</v>
          </cell>
          <cell r="K35">
            <v>50</v>
          </cell>
          <cell r="L35">
            <v>50</v>
          </cell>
          <cell r="M35">
            <v>50</v>
          </cell>
        </row>
        <row r="36">
          <cell r="A36" t="str">
            <v>B00SDTPS3E</v>
          </cell>
          <cell r="B36">
            <v>100</v>
          </cell>
          <cell r="C36">
            <v>100</v>
          </cell>
          <cell r="D36">
            <v>100</v>
          </cell>
          <cell r="E36">
            <v>50</v>
          </cell>
          <cell r="F36">
            <v>50</v>
          </cell>
          <cell r="G36">
            <v>100</v>
          </cell>
          <cell r="H36">
            <v>100</v>
          </cell>
          <cell r="I36">
            <v>100</v>
          </cell>
          <cell r="J36">
            <v>200</v>
          </cell>
          <cell r="K36">
            <v>100</v>
          </cell>
          <cell r="L36">
            <v>200</v>
          </cell>
          <cell r="M36">
            <v>100</v>
          </cell>
        </row>
        <row r="37">
          <cell r="A37" t="str">
            <v>B078216C9T</v>
          </cell>
          <cell r="B37">
            <v>200</v>
          </cell>
          <cell r="C37">
            <v>200</v>
          </cell>
          <cell r="D37">
            <v>200</v>
          </cell>
          <cell r="E37">
            <v>300</v>
          </cell>
          <cell r="F37">
            <v>200</v>
          </cell>
          <cell r="G37">
            <v>200</v>
          </cell>
          <cell r="H37">
            <v>200</v>
          </cell>
          <cell r="I37">
            <v>200</v>
          </cell>
          <cell r="J37">
            <v>200</v>
          </cell>
          <cell r="K37">
            <v>200</v>
          </cell>
          <cell r="L37">
            <v>400</v>
          </cell>
          <cell r="M37">
            <v>500</v>
          </cell>
        </row>
        <row r="38">
          <cell r="A38" t="str">
            <v>B01C3B82P8</v>
          </cell>
          <cell r="B38">
            <v>100</v>
          </cell>
          <cell r="C38">
            <v>50</v>
          </cell>
          <cell r="D38">
            <v>100</v>
          </cell>
          <cell r="E38">
            <v>200</v>
          </cell>
          <cell r="F38">
            <v>200</v>
          </cell>
          <cell r="G38">
            <v>50</v>
          </cell>
          <cell r="H38">
            <v>50</v>
          </cell>
          <cell r="I38">
            <v>200</v>
          </cell>
          <cell r="J38">
            <v>200</v>
          </cell>
          <cell r="K38">
            <v>100</v>
          </cell>
          <cell r="L38">
            <v>100</v>
          </cell>
          <cell r="M38">
            <v>50</v>
          </cell>
        </row>
        <row r="39">
          <cell r="A39" t="str">
            <v>B001B1OI0A</v>
          </cell>
          <cell r="B39">
            <v>0</v>
          </cell>
          <cell r="C39">
            <v>0</v>
          </cell>
          <cell r="D39">
            <v>100</v>
          </cell>
          <cell r="E39">
            <v>100</v>
          </cell>
          <cell r="F39">
            <v>100</v>
          </cell>
          <cell r="G39">
            <v>200</v>
          </cell>
          <cell r="H39">
            <v>100</v>
          </cell>
          <cell r="I39">
            <v>200</v>
          </cell>
          <cell r="J39">
            <v>200</v>
          </cell>
          <cell r="K39">
            <v>0</v>
          </cell>
          <cell r="L39">
            <v>0</v>
          </cell>
          <cell r="M39">
            <v>0</v>
          </cell>
        </row>
        <row r="40">
          <cell r="A40" t="str">
            <v>B07RJTFX87</v>
          </cell>
          <cell r="B40">
            <v>0</v>
          </cell>
          <cell r="C40">
            <v>50</v>
          </cell>
          <cell r="D40">
            <v>50</v>
          </cell>
          <cell r="E40">
            <v>0</v>
          </cell>
          <cell r="F40">
            <v>50</v>
          </cell>
          <cell r="G40">
            <v>50</v>
          </cell>
          <cell r="H40">
            <v>100</v>
          </cell>
          <cell r="I40">
            <v>100</v>
          </cell>
          <cell r="J40">
            <v>100</v>
          </cell>
          <cell r="K40">
            <v>100</v>
          </cell>
          <cell r="L40">
            <v>50</v>
          </cell>
          <cell r="M40">
            <v>50</v>
          </cell>
        </row>
        <row r="41">
          <cell r="A41" t="str">
            <v>B01MSJJKKA</v>
          </cell>
          <cell r="B41">
            <v>300</v>
          </cell>
          <cell r="C41">
            <v>200</v>
          </cell>
          <cell r="D41">
            <v>200</v>
          </cell>
          <cell r="E41">
            <v>200</v>
          </cell>
          <cell r="F41">
            <v>100</v>
          </cell>
          <cell r="G41">
            <v>100</v>
          </cell>
          <cell r="H41">
            <v>100</v>
          </cell>
          <cell r="I41">
            <v>200</v>
          </cell>
          <cell r="J41">
            <v>200</v>
          </cell>
          <cell r="K41">
            <v>300</v>
          </cell>
          <cell r="L41">
            <v>400</v>
          </cell>
          <cell r="M41">
            <v>100</v>
          </cell>
        </row>
        <row r="42">
          <cell r="A42" t="str">
            <v>B0049GSQUM</v>
          </cell>
          <cell r="B42">
            <v>100</v>
          </cell>
          <cell r="C42">
            <v>100</v>
          </cell>
          <cell r="D42">
            <v>100</v>
          </cell>
          <cell r="E42">
            <v>100</v>
          </cell>
          <cell r="F42">
            <v>100</v>
          </cell>
          <cell r="G42">
            <v>100</v>
          </cell>
          <cell r="H42">
            <v>100</v>
          </cell>
          <cell r="I42">
            <v>200</v>
          </cell>
          <cell r="J42">
            <v>200</v>
          </cell>
          <cell r="K42">
            <v>200</v>
          </cell>
          <cell r="L42">
            <v>100</v>
          </cell>
          <cell r="M42">
            <v>100</v>
          </cell>
        </row>
        <row r="43">
          <cell r="A43" t="str">
            <v>B01BDST9BS</v>
          </cell>
          <cell r="B43">
            <v>0</v>
          </cell>
          <cell r="C43">
            <v>50</v>
          </cell>
          <cell r="D43">
            <v>50</v>
          </cell>
          <cell r="E43">
            <v>50</v>
          </cell>
          <cell r="F43">
            <v>100</v>
          </cell>
          <cell r="G43">
            <v>100</v>
          </cell>
          <cell r="H43">
            <v>200</v>
          </cell>
          <cell r="I43">
            <v>100</v>
          </cell>
          <cell r="J43">
            <v>100</v>
          </cell>
          <cell r="K43">
            <v>0</v>
          </cell>
          <cell r="L43">
            <v>0</v>
          </cell>
          <cell r="M43">
            <v>0</v>
          </cell>
        </row>
        <row r="44">
          <cell r="A44" t="str">
            <v>B07KMXBM74</v>
          </cell>
          <cell r="B44">
            <v>100</v>
          </cell>
          <cell r="C44">
            <v>100</v>
          </cell>
          <cell r="D44">
            <v>200</v>
          </cell>
          <cell r="E44">
            <v>100</v>
          </cell>
          <cell r="F44">
            <v>300</v>
          </cell>
          <cell r="G44">
            <v>400</v>
          </cell>
          <cell r="H44">
            <v>100</v>
          </cell>
          <cell r="I44">
            <v>200</v>
          </cell>
          <cell r="J44">
            <v>100</v>
          </cell>
          <cell r="K44">
            <v>200</v>
          </cell>
          <cell r="L44">
            <v>100</v>
          </cell>
          <cell r="M44">
            <v>100</v>
          </cell>
        </row>
        <row r="45">
          <cell r="A45" t="str">
            <v>B0CCWPCCSM</v>
          </cell>
          <cell r="B45">
            <v>1000</v>
          </cell>
          <cell r="C45">
            <v>0</v>
          </cell>
          <cell r="D45">
            <v>0</v>
          </cell>
          <cell r="E45">
            <v>0</v>
          </cell>
          <cell r="F45">
            <v>0</v>
          </cell>
          <cell r="G45">
            <v>200</v>
          </cell>
          <cell r="H45">
            <v>900</v>
          </cell>
          <cell r="I45">
            <v>50</v>
          </cell>
          <cell r="J45">
            <v>0</v>
          </cell>
          <cell r="K45">
            <v>700</v>
          </cell>
          <cell r="L45">
            <v>200</v>
          </cell>
          <cell r="M45">
            <v>200</v>
          </cell>
        </row>
        <row r="46">
          <cell r="A46" t="str">
            <v>B0CQ8S3BJT</v>
          </cell>
          <cell r="B46">
            <v>300</v>
          </cell>
          <cell r="C46">
            <v>200</v>
          </cell>
          <cell r="D46">
            <v>100</v>
          </cell>
          <cell r="E46">
            <v>50</v>
          </cell>
          <cell r="F46">
            <v>50</v>
          </cell>
          <cell r="G46">
            <v>100</v>
          </cell>
          <cell r="H46">
            <v>50</v>
          </cell>
          <cell r="I46">
            <v>200</v>
          </cell>
          <cell r="J46">
            <v>100</v>
          </cell>
          <cell r="K46">
            <v>200</v>
          </cell>
          <cell r="L46">
            <v>300</v>
          </cell>
          <cell r="M46">
            <v>300</v>
          </cell>
        </row>
        <row r="47">
          <cell r="A47" t="str">
            <v>B010RJ7VPA</v>
          </cell>
          <cell r="B47">
            <v>50</v>
          </cell>
          <cell r="C47">
            <v>50</v>
          </cell>
          <cell r="D47">
            <v>50</v>
          </cell>
          <cell r="E47">
            <v>0</v>
          </cell>
          <cell r="F47">
            <v>0</v>
          </cell>
          <cell r="G47">
            <v>50</v>
          </cell>
          <cell r="H47">
            <v>50</v>
          </cell>
          <cell r="I47">
            <v>100</v>
          </cell>
          <cell r="J47">
            <v>100</v>
          </cell>
          <cell r="K47">
            <v>0</v>
          </cell>
          <cell r="L47">
            <v>50</v>
          </cell>
          <cell r="M47">
            <v>50</v>
          </cell>
        </row>
        <row r="48">
          <cell r="A48" t="str">
            <v>B00004RAN4</v>
          </cell>
          <cell r="B48">
            <v>0</v>
          </cell>
          <cell r="C48">
            <v>0</v>
          </cell>
          <cell r="D48">
            <v>0</v>
          </cell>
          <cell r="E48">
            <v>0</v>
          </cell>
          <cell r="F48">
            <v>50</v>
          </cell>
          <cell r="G48">
            <v>50</v>
          </cell>
          <cell r="H48">
            <v>50</v>
          </cell>
          <cell r="I48">
            <v>50</v>
          </cell>
          <cell r="J48">
            <v>100</v>
          </cell>
          <cell r="K48">
            <v>0</v>
          </cell>
          <cell r="L48">
            <v>0</v>
          </cell>
          <cell r="M48">
            <v>0</v>
          </cell>
        </row>
        <row r="49">
          <cell r="A49" t="str">
            <v>B07H57FS1H</v>
          </cell>
          <cell r="B49">
            <v>200</v>
          </cell>
          <cell r="C49">
            <v>100</v>
          </cell>
          <cell r="D49">
            <v>100</v>
          </cell>
          <cell r="E49">
            <v>100</v>
          </cell>
          <cell r="F49">
            <v>100</v>
          </cell>
          <cell r="G49">
            <v>100</v>
          </cell>
          <cell r="H49">
            <v>100</v>
          </cell>
          <cell r="I49">
            <v>100</v>
          </cell>
          <cell r="J49">
            <v>100</v>
          </cell>
          <cell r="K49">
            <v>300</v>
          </cell>
          <cell r="L49">
            <v>300</v>
          </cell>
          <cell r="M49">
            <v>200</v>
          </cell>
        </row>
        <row r="50">
          <cell r="A50" t="str">
            <v>B0CQ8S7QH8</v>
          </cell>
          <cell r="B50">
            <v>200</v>
          </cell>
          <cell r="C50">
            <v>300</v>
          </cell>
          <cell r="D50">
            <v>400</v>
          </cell>
          <cell r="E50">
            <v>400</v>
          </cell>
          <cell r="F50">
            <v>300</v>
          </cell>
          <cell r="G50">
            <v>200</v>
          </cell>
          <cell r="H50">
            <v>200</v>
          </cell>
          <cell r="I50">
            <v>100</v>
          </cell>
          <cell r="J50">
            <v>50</v>
          </cell>
          <cell r="K50">
            <v>300</v>
          </cell>
          <cell r="L50">
            <v>400</v>
          </cell>
          <cell r="M50">
            <v>200</v>
          </cell>
        </row>
        <row r="51">
          <cell r="A51" t="str">
            <v>B0C7XK7PW4</v>
          </cell>
          <cell r="B51">
            <v>50</v>
          </cell>
          <cell r="C51">
            <v>0</v>
          </cell>
          <cell r="D51">
            <v>0</v>
          </cell>
          <cell r="E51">
            <v>50</v>
          </cell>
          <cell r="F51">
            <v>50</v>
          </cell>
          <cell r="G51">
            <v>100</v>
          </cell>
          <cell r="H51">
            <v>100</v>
          </cell>
          <cell r="I51">
            <v>100</v>
          </cell>
          <cell r="J51">
            <v>100</v>
          </cell>
          <cell r="K51">
            <v>200</v>
          </cell>
          <cell r="L51">
            <v>400</v>
          </cell>
          <cell r="M51">
            <v>100</v>
          </cell>
        </row>
        <row r="52">
          <cell r="A52" t="str">
            <v>B000NCTMCW</v>
          </cell>
          <cell r="B52">
            <v>0</v>
          </cell>
          <cell r="C52">
            <v>0</v>
          </cell>
          <cell r="D52">
            <v>0</v>
          </cell>
          <cell r="E52">
            <v>100</v>
          </cell>
          <cell r="F52">
            <v>50</v>
          </cell>
          <cell r="G52">
            <v>100</v>
          </cell>
          <cell r="H52">
            <v>100</v>
          </cell>
          <cell r="I52">
            <v>100</v>
          </cell>
          <cell r="J52">
            <v>100</v>
          </cell>
          <cell r="K52">
            <v>0</v>
          </cell>
          <cell r="L52">
            <v>0</v>
          </cell>
          <cell r="M52">
            <v>0</v>
          </cell>
        </row>
        <row r="53">
          <cell r="A53" t="str">
            <v>B07YNHYG8M</v>
          </cell>
          <cell r="B53">
            <v>400</v>
          </cell>
          <cell r="C53">
            <v>200</v>
          </cell>
          <cell r="D53">
            <v>200</v>
          </cell>
          <cell r="E53">
            <v>200</v>
          </cell>
          <cell r="F53">
            <v>200</v>
          </cell>
          <cell r="G53">
            <v>100</v>
          </cell>
          <cell r="H53">
            <v>100</v>
          </cell>
          <cell r="I53">
            <v>100</v>
          </cell>
          <cell r="J53">
            <v>100</v>
          </cell>
          <cell r="K53">
            <v>500</v>
          </cell>
          <cell r="L53">
            <v>1000</v>
          </cell>
          <cell r="M53">
            <v>300</v>
          </cell>
        </row>
        <row r="54">
          <cell r="A54" t="str">
            <v>B07KMXRWQY</v>
          </cell>
          <cell r="B54">
            <v>0</v>
          </cell>
          <cell r="C54">
            <v>0</v>
          </cell>
          <cell r="D54">
            <v>0</v>
          </cell>
          <cell r="E54">
            <v>100</v>
          </cell>
          <cell r="F54">
            <v>100</v>
          </cell>
          <cell r="G54">
            <v>200</v>
          </cell>
          <cell r="H54">
            <v>100</v>
          </cell>
          <cell r="I54">
            <v>100</v>
          </cell>
          <cell r="J54">
            <v>100</v>
          </cell>
          <cell r="K54">
            <v>50</v>
          </cell>
          <cell r="L54">
            <v>50</v>
          </cell>
          <cell r="M54">
            <v>0</v>
          </cell>
        </row>
        <row r="55">
          <cell r="A55" t="str">
            <v>B00C1NN4B6</v>
          </cell>
          <cell r="B55">
            <v>200</v>
          </cell>
          <cell r="C55">
            <v>200</v>
          </cell>
          <cell r="D55">
            <v>300</v>
          </cell>
          <cell r="E55">
            <v>600</v>
          </cell>
          <cell r="F55">
            <v>100</v>
          </cell>
          <cell r="G55">
            <v>60</v>
          </cell>
          <cell r="H55">
            <v>0</v>
          </cell>
          <cell r="I55">
            <v>60</v>
          </cell>
          <cell r="J55">
            <v>60</v>
          </cell>
          <cell r="K55">
            <v>0</v>
          </cell>
          <cell r="L55">
            <v>100</v>
          </cell>
          <cell r="M55">
            <v>200</v>
          </cell>
        </row>
        <row r="56">
          <cell r="A56" t="str">
            <v>B0CQ8T7T37</v>
          </cell>
          <cell r="B56">
            <v>100</v>
          </cell>
          <cell r="C56">
            <v>100</v>
          </cell>
          <cell r="D56">
            <v>50</v>
          </cell>
          <cell r="E56">
            <v>0</v>
          </cell>
          <cell r="F56">
            <v>50</v>
          </cell>
          <cell r="G56">
            <v>50</v>
          </cell>
          <cell r="H56">
            <v>50</v>
          </cell>
          <cell r="I56">
            <v>50</v>
          </cell>
          <cell r="J56">
            <v>50</v>
          </cell>
          <cell r="K56">
            <v>100</v>
          </cell>
          <cell r="L56">
            <v>100</v>
          </cell>
          <cell r="M56">
            <v>100</v>
          </cell>
        </row>
        <row r="57">
          <cell r="A57" t="str">
            <v>B075QRXRGH</v>
          </cell>
          <cell r="B57">
            <v>0</v>
          </cell>
          <cell r="C57">
            <v>0</v>
          </cell>
          <cell r="D57">
            <v>60</v>
          </cell>
          <cell r="E57">
            <v>60</v>
          </cell>
          <cell r="F57">
            <v>60</v>
          </cell>
          <cell r="G57">
            <v>60</v>
          </cell>
          <cell r="H57">
            <v>60</v>
          </cell>
          <cell r="I57">
            <v>60</v>
          </cell>
          <cell r="J57">
            <v>60</v>
          </cell>
          <cell r="K57">
            <v>0</v>
          </cell>
          <cell r="L57">
            <v>0</v>
          </cell>
          <cell r="M57">
            <v>0</v>
          </cell>
        </row>
        <row r="58">
          <cell r="A58" t="str">
            <v>B07QHPSJBP</v>
          </cell>
          <cell r="B58">
            <v>50</v>
          </cell>
          <cell r="C58">
            <v>50</v>
          </cell>
          <cell r="D58">
            <v>50</v>
          </cell>
          <cell r="E58">
            <v>0</v>
          </cell>
          <cell r="F58">
            <v>50</v>
          </cell>
          <cell r="G58">
            <v>50</v>
          </cell>
          <cell r="H58">
            <v>50</v>
          </cell>
          <cell r="I58">
            <v>50</v>
          </cell>
          <cell r="J58">
            <v>100</v>
          </cell>
          <cell r="K58">
            <v>100</v>
          </cell>
          <cell r="L58">
            <v>50</v>
          </cell>
          <cell r="M58">
            <v>0</v>
          </cell>
        </row>
        <row r="59">
          <cell r="A59" t="str">
            <v>B07BZVXJB4</v>
          </cell>
          <cell r="B59">
            <v>50</v>
          </cell>
          <cell r="C59">
            <v>0</v>
          </cell>
          <cell r="D59">
            <v>0</v>
          </cell>
          <cell r="E59">
            <v>50</v>
          </cell>
          <cell r="F59">
            <v>0</v>
          </cell>
          <cell r="G59">
            <v>50</v>
          </cell>
          <cell r="H59">
            <v>50</v>
          </cell>
          <cell r="I59">
            <v>50</v>
          </cell>
          <cell r="J59">
            <v>50</v>
          </cell>
          <cell r="K59">
            <v>100</v>
          </cell>
          <cell r="L59">
            <v>200</v>
          </cell>
          <cell r="M59">
            <v>100</v>
          </cell>
        </row>
        <row r="60">
          <cell r="A60" t="str">
            <v>B0C7XVCDCW</v>
          </cell>
          <cell r="B60">
            <v>0</v>
          </cell>
          <cell r="C60">
            <v>0</v>
          </cell>
          <cell r="D60">
            <v>0</v>
          </cell>
          <cell r="E60">
            <v>0</v>
          </cell>
          <cell r="F60">
            <v>0</v>
          </cell>
          <cell r="G60">
            <v>0</v>
          </cell>
          <cell r="H60">
            <v>0</v>
          </cell>
          <cell r="I60">
            <v>50</v>
          </cell>
          <cell r="J60">
            <v>50</v>
          </cell>
          <cell r="K60">
            <v>300</v>
          </cell>
          <cell r="L60">
            <v>200</v>
          </cell>
          <cell r="M60">
            <v>0</v>
          </cell>
        </row>
        <row r="61">
          <cell r="A61" t="str">
            <v>B0CTL12488</v>
          </cell>
          <cell r="B61">
            <v>50</v>
          </cell>
          <cell r="C61">
            <v>100</v>
          </cell>
          <cell r="D61">
            <v>100</v>
          </cell>
          <cell r="E61">
            <v>200</v>
          </cell>
          <cell r="F61">
            <v>100</v>
          </cell>
          <cell r="G61">
            <v>200</v>
          </cell>
          <cell r="H61">
            <v>50</v>
          </cell>
          <cell r="I61">
            <v>50</v>
          </cell>
          <cell r="J61">
            <v>50</v>
          </cell>
          <cell r="K61">
            <v>100</v>
          </cell>
          <cell r="L61">
            <v>0</v>
          </cell>
          <cell r="M61">
            <v>0</v>
          </cell>
        </row>
        <row r="62">
          <cell r="A62" t="str">
            <v>B00004RAMU</v>
          </cell>
          <cell r="B62">
            <v>0</v>
          </cell>
          <cell r="C62">
            <v>0</v>
          </cell>
          <cell r="D62">
            <v>100</v>
          </cell>
          <cell r="E62">
            <v>100</v>
          </cell>
          <cell r="F62">
            <v>100</v>
          </cell>
          <cell r="G62">
            <v>50</v>
          </cell>
          <cell r="H62">
            <v>50</v>
          </cell>
          <cell r="I62">
            <v>50</v>
          </cell>
          <cell r="J62">
            <v>50</v>
          </cell>
          <cell r="K62">
            <v>0</v>
          </cell>
          <cell r="L62">
            <v>0</v>
          </cell>
          <cell r="M62">
            <v>0</v>
          </cell>
        </row>
        <row r="63">
          <cell r="A63" t="str">
            <v>B0035AS5K4</v>
          </cell>
          <cell r="B63">
            <v>0</v>
          </cell>
          <cell r="C63">
            <v>0</v>
          </cell>
          <cell r="D63">
            <v>0</v>
          </cell>
          <cell r="E63">
            <v>0</v>
          </cell>
          <cell r="F63">
            <v>50</v>
          </cell>
          <cell r="G63">
            <v>50</v>
          </cell>
          <cell r="H63">
            <v>50</v>
          </cell>
          <cell r="I63">
            <v>50</v>
          </cell>
          <cell r="J63">
            <v>50</v>
          </cell>
          <cell r="K63">
            <v>0</v>
          </cell>
          <cell r="L63">
            <v>0</v>
          </cell>
          <cell r="M63">
            <v>0</v>
          </cell>
        </row>
        <row r="64">
          <cell r="A64" t="str">
            <v>B0815GYYZ8</v>
          </cell>
          <cell r="B64">
            <v>0</v>
          </cell>
          <cell r="C64">
            <v>0</v>
          </cell>
          <cell r="D64">
            <v>0</v>
          </cell>
          <cell r="E64">
            <v>0</v>
          </cell>
          <cell r="F64">
            <v>0</v>
          </cell>
          <cell r="G64">
            <v>0</v>
          </cell>
          <cell r="H64">
            <v>0</v>
          </cell>
          <cell r="I64">
            <v>0</v>
          </cell>
          <cell r="J64">
            <v>0</v>
          </cell>
          <cell r="K64">
            <v>0</v>
          </cell>
          <cell r="L64">
            <v>0</v>
          </cell>
          <cell r="M64">
            <v>0</v>
          </cell>
        </row>
        <row r="65">
          <cell r="A65" t="str">
            <v>B0CQ8KQ5HV</v>
          </cell>
          <cell r="B65">
            <v>50</v>
          </cell>
          <cell r="C65">
            <v>50</v>
          </cell>
          <cell r="D65">
            <v>50</v>
          </cell>
          <cell r="E65">
            <v>50</v>
          </cell>
          <cell r="F65">
            <v>50</v>
          </cell>
          <cell r="G65">
            <v>50</v>
          </cell>
          <cell r="H65">
            <v>50</v>
          </cell>
          <cell r="I65">
            <v>50</v>
          </cell>
          <cell r="J65">
            <v>50</v>
          </cell>
          <cell r="K65">
            <v>50</v>
          </cell>
          <cell r="L65">
            <v>50</v>
          </cell>
          <cell r="M65">
            <v>50</v>
          </cell>
        </row>
        <row r="66">
          <cell r="A66" t="str">
            <v>B001JJCW0M</v>
          </cell>
          <cell r="B66">
            <v>50</v>
          </cell>
          <cell r="C66">
            <v>50</v>
          </cell>
          <cell r="D66">
            <v>50</v>
          </cell>
          <cell r="E66">
            <v>50</v>
          </cell>
          <cell r="F66">
            <v>50</v>
          </cell>
          <cell r="G66">
            <v>50</v>
          </cell>
          <cell r="H66">
            <v>50</v>
          </cell>
          <cell r="I66">
            <v>50</v>
          </cell>
          <cell r="J66">
            <v>50</v>
          </cell>
          <cell r="K66">
            <v>0</v>
          </cell>
          <cell r="L66">
            <v>0</v>
          </cell>
          <cell r="M66">
            <v>0</v>
          </cell>
        </row>
        <row r="67">
          <cell r="A67" t="str">
            <v>B00OL1WVVK</v>
          </cell>
          <cell r="B67">
            <v>100</v>
          </cell>
          <cell r="C67">
            <v>50</v>
          </cell>
          <cell r="D67">
            <v>50</v>
          </cell>
          <cell r="E67">
            <v>50</v>
          </cell>
          <cell r="F67">
            <v>100</v>
          </cell>
          <cell r="G67">
            <v>100</v>
          </cell>
          <cell r="H67">
            <v>100</v>
          </cell>
          <cell r="I67">
            <v>100</v>
          </cell>
          <cell r="J67">
            <v>100</v>
          </cell>
          <cell r="K67">
            <v>100</v>
          </cell>
          <cell r="L67">
            <v>100</v>
          </cell>
          <cell r="M67">
            <v>100</v>
          </cell>
        </row>
        <row r="68">
          <cell r="A68" t="str">
            <v>B07RGLY1BK</v>
          </cell>
          <cell r="B68">
            <v>0</v>
          </cell>
          <cell r="C68">
            <v>0</v>
          </cell>
          <cell r="D68">
            <v>50</v>
          </cell>
          <cell r="E68">
            <v>50</v>
          </cell>
          <cell r="F68">
            <v>100</v>
          </cell>
          <cell r="G68">
            <v>100</v>
          </cell>
          <cell r="H68">
            <v>50</v>
          </cell>
          <cell r="I68">
            <v>50</v>
          </cell>
          <cell r="J68">
            <v>50</v>
          </cell>
          <cell r="K68">
            <v>50</v>
          </cell>
          <cell r="L68">
            <v>50</v>
          </cell>
          <cell r="M68">
            <v>0</v>
          </cell>
        </row>
        <row r="69">
          <cell r="A69" t="str">
            <v>B0C7XS9252</v>
          </cell>
          <cell r="B69">
            <v>900</v>
          </cell>
          <cell r="C69">
            <v>600</v>
          </cell>
          <cell r="D69">
            <v>800</v>
          </cell>
          <cell r="E69">
            <v>700</v>
          </cell>
          <cell r="F69">
            <v>700</v>
          </cell>
          <cell r="G69">
            <v>800</v>
          </cell>
          <cell r="H69">
            <v>800</v>
          </cell>
          <cell r="I69">
            <v>1000</v>
          </cell>
          <cell r="J69">
            <v>50</v>
          </cell>
          <cell r="K69">
            <v>600</v>
          </cell>
          <cell r="L69">
            <v>1000</v>
          </cell>
          <cell r="M69">
            <v>1000</v>
          </cell>
        </row>
        <row r="70">
          <cell r="A70" t="str">
            <v>B0G55YRFHP</v>
          </cell>
          <cell r="B70">
            <v>0</v>
          </cell>
          <cell r="C70">
            <v>0</v>
          </cell>
          <cell r="D70">
            <v>0</v>
          </cell>
          <cell r="E70">
            <v>0</v>
          </cell>
          <cell r="F70">
            <v>0</v>
          </cell>
          <cell r="G70">
            <v>0</v>
          </cell>
          <cell r="H70">
            <v>0</v>
          </cell>
          <cell r="I70">
            <v>0</v>
          </cell>
          <cell r="J70">
            <v>50</v>
          </cell>
          <cell r="K70">
            <v>0</v>
          </cell>
          <cell r="L70">
            <v>0</v>
          </cell>
          <cell r="M70">
            <v>0</v>
          </cell>
        </row>
        <row r="71">
          <cell r="A71" t="str">
            <v>B07HR987YB</v>
          </cell>
          <cell r="B71">
            <v>50</v>
          </cell>
          <cell r="C71">
            <v>50</v>
          </cell>
          <cell r="D71">
            <v>50</v>
          </cell>
          <cell r="E71">
            <v>50</v>
          </cell>
          <cell r="F71">
            <v>100</v>
          </cell>
          <cell r="G71">
            <v>100</v>
          </cell>
          <cell r="H71">
            <v>100</v>
          </cell>
          <cell r="I71">
            <v>50</v>
          </cell>
          <cell r="J71">
            <v>50</v>
          </cell>
          <cell r="K71">
            <v>50</v>
          </cell>
          <cell r="L71">
            <v>50</v>
          </cell>
          <cell r="M71">
            <v>100</v>
          </cell>
        </row>
        <row r="72">
          <cell r="A72" t="str">
            <v>B00DV6LO0A</v>
          </cell>
          <cell r="B72">
            <v>50</v>
          </cell>
          <cell r="C72">
            <v>50</v>
          </cell>
          <cell r="D72">
            <v>0</v>
          </cell>
          <cell r="E72">
            <v>50</v>
          </cell>
          <cell r="F72">
            <v>50</v>
          </cell>
          <cell r="G72">
            <v>50</v>
          </cell>
          <cell r="H72">
            <v>50</v>
          </cell>
          <cell r="I72">
            <v>50</v>
          </cell>
          <cell r="J72">
            <v>100</v>
          </cell>
          <cell r="K72">
            <v>100</v>
          </cell>
          <cell r="L72">
            <v>100</v>
          </cell>
          <cell r="M72">
            <v>50</v>
          </cell>
        </row>
        <row r="73">
          <cell r="A73" t="str">
            <v>B0CQ8SW3N1</v>
          </cell>
          <cell r="B73">
            <v>0</v>
          </cell>
          <cell r="C73">
            <v>0</v>
          </cell>
          <cell r="D73">
            <v>50</v>
          </cell>
          <cell r="E73">
            <v>50</v>
          </cell>
          <cell r="F73">
            <v>0</v>
          </cell>
          <cell r="G73">
            <v>50</v>
          </cell>
          <cell r="H73">
            <v>0</v>
          </cell>
          <cell r="I73">
            <v>50</v>
          </cell>
          <cell r="J73">
            <v>50</v>
          </cell>
          <cell r="K73">
            <v>0</v>
          </cell>
          <cell r="L73">
            <v>0</v>
          </cell>
          <cell r="M73">
            <v>0</v>
          </cell>
        </row>
        <row r="74">
          <cell r="A74" t="str">
            <v>B076BVPL2M</v>
          </cell>
          <cell r="B74">
            <v>0</v>
          </cell>
          <cell r="C74">
            <v>0</v>
          </cell>
          <cell r="D74">
            <v>0</v>
          </cell>
          <cell r="E74">
            <v>0</v>
          </cell>
          <cell r="F74">
            <v>0</v>
          </cell>
          <cell r="G74">
            <v>0</v>
          </cell>
          <cell r="H74">
            <v>50</v>
          </cell>
          <cell r="I74">
            <v>50</v>
          </cell>
          <cell r="J74">
            <v>50</v>
          </cell>
          <cell r="K74">
            <v>0</v>
          </cell>
          <cell r="L74">
            <v>0</v>
          </cell>
          <cell r="M74">
            <v>0</v>
          </cell>
        </row>
        <row r="75">
          <cell r="A75" t="str">
            <v>B087PH89MD</v>
          </cell>
          <cell r="B75">
            <v>0</v>
          </cell>
          <cell r="C75">
            <v>0</v>
          </cell>
          <cell r="D75">
            <v>0</v>
          </cell>
          <cell r="E75">
            <v>50</v>
          </cell>
          <cell r="F75">
            <v>100</v>
          </cell>
          <cell r="G75">
            <v>100</v>
          </cell>
          <cell r="H75">
            <v>100</v>
          </cell>
          <cell r="I75">
            <v>50</v>
          </cell>
          <cell r="J75">
            <v>50</v>
          </cell>
          <cell r="K75">
            <v>0</v>
          </cell>
          <cell r="L75">
            <v>0</v>
          </cell>
          <cell r="M75">
            <v>0</v>
          </cell>
        </row>
        <row r="76">
          <cell r="A76" t="str">
            <v>B004RVNNA2</v>
          </cell>
          <cell r="B76">
            <v>0</v>
          </cell>
          <cell r="C76">
            <v>0</v>
          </cell>
          <cell r="D76">
            <v>0</v>
          </cell>
          <cell r="E76">
            <v>0</v>
          </cell>
          <cell r="F76">
            <v>0</v>
          </cell>
          <cell r="G76">
            <v>0</v>
          </cell>
          <cell r="H76">
            <v>50</v>
          </cell>
          <cell r="I76">
            <v>0</v>
          </cell>
          <cell r="J76">
            <v>50</v>
          </cell>
          <cell r="K76">
            <v>0</v>
          </cell>
          <cell r="L76">
            <v>0</v>
          </cell>
          <cell r="M76">
            <v>0</v>
          </cell>
        </row>
        <row r="77">
          <cell r="A77" t="str">
            <v>B01DL410JQ</v>
          </cell>
          <cell r="B77">
            <v>0</v>
          </cell>
          <cell r="C77">
            <v>0</v>
          </cell>
          <cell r="D77">
            <v>0</v>
          </cell>
          <cell r="E77">
            <v>50</v>
          </cell>
          <cell r="F77">
            <v>50</v>
          </cell>
          <cell r="G77">
            <v>100</v>
          </cell>
          <cell r="H77">
            <v>100</v>
          </cell>
          <cell r="I77">
            <v>50</v>
          </cell>
          <cell r="J77">
            <v>50</v>
          </cell>
          <cell r="K77">
            <v>0</v>
          </cell>
          <cell r="L77">
            <v>100</v>
          </cell>
          <cell r="M77">
            <v>50</v>
          </cell>
        </row>
        <row r="78">
          <cell r="A78"/>
          <cell r="B78"/>
          <cell r="C78"/>
          <cell r="D78"/>
          <cell r="E78"/>
          <cell r="F78"/>
          <cell r="G78"/>
          <cell r="H78"/>
          <cell r="I78"/>
          <cell r="J78"/>
          <cell r="K78"/>
          <cell r="L78"/>
          <cell r="M78"/>
        </row>
        <row r="79">
          <cell r="A79"/>
          <cell r="B79"/>
          <cell r="C79"/>
          <cell r="D79"/>
          <cell r="E79"/>
          <cell r="F79"/>
          <cell r="G79"/>
          <cell r="H79"/>
          <cell r="I79"/>
          <cell r="J79"/>
          <cell r="K79"/>
          <cell r="L79"/>
          <cell r="M79"/>
        </row>
        <row r="80">
          <cell r="A80"/>
          <cell r="B80"/>
          <cell r="C80"/>
          <cell r="D80"/>
          <cell r="E80"/>
          <cell r="F80"/>
          <cell r="G80"/>
          <cell r="H80"/>
          <cell r="I80"/>
          <cell r="J80"/>
          <cell r="K80"/>
          <cell r="L80"/>
          <cell r="M80"/>
        </row>
        <row r="81">
          <cell r="A81"/>
          <cell r="B81"/>
          <cell r="C81"/>
          <cell r="D81"/>
          <cell r="E81"/>
          <cell r="F81"/>
          <cell r="G81"/>
          <cell r="H81"/>
          <cell r="I81"/>
          <cell r="J81"/>
          <cell r="K81"/>
          <cell r="L81"/>
          <cell r="M81"/>
        </row>
        <row r="82">
          <cell r="A82"/>
          <cell r="B82"/>
          <cell r="C82"/>
          <cell r="D82"/>
          <cell r="E82"/>
          <cell r="F82"/>
          <cell r="G82"/>
          <cell r="H82"/>
          <cell r="I82"/>
          <cell r="J82"/>
          <cell r="K82"/>
          <cell r="L82"/>
          <cell r="M82"/>
        </row>
        <row r="83">
          <cell r="A83"/>
          <cell r="B83"/>
          <cell r="C83"/>
          <cell r="D83"/>
          <cell r="E83"/>
          <cell r="F83"/>
          <cell r="G83"/>
          <cell r="H83"/>
          <cell r="I83"/>
          <cell r="J83"/>
          <cell r="K83"/>
          <cell r="L83"/>
          <cell r="M83"/>
        </row>
        <row r="84">
          <cell r="A84"/>
          <cell r="B84"/>
          <cell r="C84"/>
          <cell r="D84"/>
          <cell r="E84"/>
          <cell r="F84"/>
          <cell r="G84"/>
          <cell r="H84"/>
          <cell r="I84"/>
          <cell r="J84"/>
          <cell r="K84"/>
          <cell r="L84"/>
          <cell r="M84"/>
        </row>
        <row r="85">
          <cell r="A85"/>
          <cell r="B85"/>
          <cell r="C85"/>
          <cell r="D85"/>
          <cell r="E85"/>
          <cell r="F85"/>
          <cell r="G85"/>
          <cell r="H85"/>
          <cell r="I85"/>
          <cell r="J85"/>
          <cell r="K85"/>
          <cell r="L85"/>
          <cell r="M85"/>
        </row>
        <row r="86">
          <cell r="A86"/>
          <cell r="B86"/>
          <cell r="C86"/>
          <cell r="D86"/>
          <cell r="E86"/>
          <cell r="F86"/>
          <cell r="G86"/>
          <cell r="H86"/>
          <cell r="I86"/>
          <cell r="J86"/>
          <cell r="K86"/>
          <cell r="L86"/>
          <cell r="M86"/>
        </row>
        <row r="87">
          <cell r="A87"/>
          <cell r="B87"/>
          <cell r="C87"/>
          <cell r="D87"/>
          <cell r="E87"/>
          <cell r="F87"/>
          <cell r="G87"/>
          <cell r="H87"/>
          <cell r="I87"/>
          <cell r="J87"/>
          <cell r="K87"/>
          <cell r="L87"/>
          <cell r="M87"/>
        </row>
        <row r="88">
          <cell r="A88"/>
          <cell r="B88"/>
          <cell r="C88"/>
          <cell r="D88"/>
          <cell r="E88"/>
          <cell r="F88"/>
          <cell r="G88"/>
          <cell r="H88"/>
          <cell r="I88"/>
          <cell r="J88"/>
          <cell r="K88"/>
          <cell r="L88"/>
          <cell r="M88"/>
        </row>
        <row r="89">
          <cell r="A89"/>
          <cell r="B89"/>
          <cell r="C89"/>
          <cell r="D89"/>
          <cell r="E89"/>
          <cell r="F89"/>
          <cell r="G89"/>
          <cell r="H89"/>
          <cell r="I89"/>
          <cell r="J89"/>
          <cell r="K89"/>
          <cell r="L89"/>
          <cell r="M89"/>
        </row>
        <row r="90">
          <cell r="A90"/>
          <cell r="B90"/>
          <cell r="C90"/>
          <cell r="D90"/>
          <cell r="E90"/>
          <cell r="F90"/>
          <cell r="G90"/>
          <cell r="H90"/>
          <cell r="I90"/>
          <cell r="J90"/>
          <cell r="K90"/>
          <cell r="L90"/>
          <cell r="M90"/>
        </row>
        <row r="91">
          <cell r="A91"/>
          <cell r="B91"/>
          <cell r="C91"/>
          <cell r="D91"/>
          <cell r="E91"/>
          <cell r="F91"/>
          <cell r="G91"/>
          <cell r="H91"/>
          <cell r="I91"/>
          <cell r="J91"/>
          <cell r="K91"/>
          <cell r="L91"/>
          <cell r="M91"/>
        </row>
        <row r="92">
          <cell r="A92"/>
          <cell r="B92"/>
          <cell r="C92"/>
          <cell r="D92"/>
          <cell r="E92"/>
          <cell r="F92"/>
          <cell r="G92"/>
          <cell r="H92"/>
          <cell r="I92"/>
          <cell r="J92"/>
          <cell r="K92"/>
          <cell r="L92"/>
          <cell r="M92"/>
        </row>
        <row r="93">
          <cell r="A93"/>
          <cell r="B93"/>
          <cell r="C93"/>
          <cell r="D93"/>
          <cell r="E93"/>
          <cell r="F93"/>
          <cell r="G93"/>
          <cell r="H93"/>
          <cell r="I93"/>
          <cell r="J93"/>
          <cell r="K93"/>
          <cell r="L93"/>
          <cell r="M93"/>
        </row>
        <row r="94">
          <cell r="A94"/>
          <cell r="B94"/>
          <cell r="C94"/>
          <cell r="D94"/>
          <cell r="E94"/>
          <cell r="F94"/>
          <cell r="G94"/>
          <cell r="H94"/>
          <cell r="I94"/>
          <cell r="J94"/>
          <cell r="K94"/>
          <cell r="L94"/>
          <cell r="M94"/>
        </row>
        <row r="95">
          <cell r="A95"/>
          <cell r="B95"/>
          <cell r="C95"/>
          <cell r="D95"/>
          <cell r="E95"/>
          <cell r="F95"/>
          <cell r="G95"/>
          <cell r="H95"/>
          <cell r="I95"/>
          <cell r="J95"/>
          <cell r="K95"/>
          <cell r="L95"/>
          <cell r="M95"/>
        </row>
        <row r="96">
          <cell r="A96"/>
          <cell r="B96"/>
          <cell r="C96"/>
          <cell r="D96"/>
          <cell r="E96"/>
          <cell r="F96"/>
          <cell r="G96"/>
          <cell r="H96"/>
          <cell r="I96"/>
          <cell r="J96"/>
          <cell r="K96"/>
          <cell r="L96"/>
          <cell r="M96"/>
        </row>
        <row r="97">
          <cell r="A97"/>
          <cell r="B97"/>
          <cell r="C97"/>
          <cell r="D97"/>
          <cell r="E97"/>
          <cell r="F97"/>
          <cell r="G97"/>
          <cell r="H97"/>
          <cell r="I97"/>
          <cell r="J97"/>
          <cell r="K97"/>
          <cell r="L97"/>
          <cell r="M97"/>
        </row>
        <row r="98">
          <cell r="A98"/>
          <cell r="B98"/>
          <cell r="C98"/>
          <cell r="D98"/>
          <cell r="E98"/>
          <cell r="F98"/>
          <cell r="G98"/>
          <cell r="H98"/>
          <cell r="I98"/>
          <cell r="J98"/>
          <cell r="K98"/>
          <cell r="L98"/>
          <cell r="M98"/>
        </row>
        <row r="99">
          <cell r="A99"/>
          <cell r="B99"/>
          <cell r="C99"/>
          <cell r="D99"/>
          <cell r="E99"/>
          <cell r="F99"/>
          <cell r="G99"/>
          <cell r="H99"/>
          <cell r="I99"/>
          <cell r="J99"/>
          <cell r="K99"/>
          <cell r="L99"/>
          <cell r="M99"/>
        </row>
        <row r="100">
          <cell r="A100"/>
          <cell r="B100"/>
          <cell r="C100"/>
          <cell r="D100"/>
          <cell r="E100"/>
          <cell r="F100"/>
          <cell r="G100"/>
          <cell r="H100"/>
          <cell r="I100"/>
          <cell r="J100"/>
          <cell r="K100"/>
          <cell r="L100"/>
          <cell r="M100"/>
        </row>
        <row r="101">
          <cell r="A101"/>
          <cell r="B101"/>
          <cell r="C101"/>
          <cell r="D101"/>
          <cell r="E101"/>
          <cell r="F101"/>
          <cell r="G101"/>
          <cell r="H101"/>
          <cell r="I101"/>
          <cell r="J101"/>
          <cell r="K101"/>
          <cell r="L101"/>
          <cell r="M101"/>
        </row>
        <row r="102">
          <cell r="A102"/>
          <cell r="B102"/>
          <cell r="C102"/>
          <cell r="D102"/>
          <cell r="E102"/>
          <cell r="F102"/>
          <cell r="G102"/>
          <cell r="H102"/>
          <cell r="I102"/>
          <cell r="J102"/>
          <cell r="K102"/>
          <cell r="L102"/>
          <cell r="M102"/>
        </row>
        <row r="103">
          <cell r="A103"/>
          <cell r="B103"/>
          <cell r="C103"/>
          <cell r="D103"/>
          <cell r="E103"/>
          <cell r="F103"/>
          <cell r="G103"/>
          <cell r="H103"/>
          <cell r="I103"/>
          <cell r="J103"/>
          <cell r="K103"/>
          <cell r="L103"/>
          <cell r="M103"/>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B0C3FTCYZL</v>
          </cell>
          <cell r="B2">
            <v>20000</v>
          </cell>
          <cell r="C2">
            <v>20000</v>
          </cell>
          <cell r="D2">
            <v>30000</v>
          </cell>
          <cell r="E2">
            <v>80000</v>
          </cell>
          <cell r="F2">
            <v>90000</v>
          </cell>
          <cell r="G2">
            <v>100000</v>
          </cell>
          <cell r="H2">
            <v>100000</v>
          </cell>
          <cell r="I2">
            <v>100000</v>
          </cell>
          <cell r="J2">
            <v>100000</v>
          </cell>
          <cell r="K2">
            <v>100000</v>
          </cell>
          <cell r="L2">
            <v>40000</v>
          </cell>
          <cell r="M2">
            <v>30000</v>
          </cell>
        </row>
        <row r="3">
          <cell r="A3" t="str">
            <v>B07T869RNY</v>
          </cell>
          <cell r="B3">
            <v>10000</v>
          </cell>
          <cell r="C3">
            <v>7500</v>
          </cell>
          <cell r="D3">
            <v>10000</v>
          </cell>
          <cell r="E3">
            <v>20000</v>
          </cell>
          <cell r="F3">
            <v>30000</v>
          </cell>
          <cell r="G3">
            <v>100000</v>
          </cell>
          <cell r="H3">
            <v>100000</v>
          </cell>
          <cell r="I3">
            <v>100000</v>
          </cell>
          <cell r="J3">
            <v>100000</v>
          </cell>
          <cell r="K3">
            <v>100000</v>
          </cell>
          <cell r="L3">
            <v>40000</v>
          </cell>
          <cell r="M3">
            <v>10000</v>
          </cell>
        </row>
        <row r="4">
          <cell r="A4" t="str">
            <v>B0CTQDTF1V</v>
          </cell>
          <cell r="B4">
            <v>10000</v>
          </cell>
          <cell r="C4">
            <v>10000</v>
          </cell>
          <cell r="D4">
            <v>20000</v>
          </cell>
          <cell r="E4">
            <v>30000</v>
          </cell>
          <cell r="F4">
            <v>50000</v>
          </cell>
          <cell r="G4">
            <v>50000</v>
          </cell>
          <cell r="H4">
            <v>30000</v>
          </cell>
          <cell r="I4">
            <v>30000</v>
          </cell>
          <cell r="J4">
            <v>80000</v>
          </cell>
          <cell r="K4">
            <v>80000</v>
          </cell>
          <cell r="L4">
            <v>30000</v>
          </cell>
          <cell r="M4">
            <v>10000</v>
          </cell>
        </row>
        <row r="5">
          <cell r="A5" t="str">
            <v>B0CKY689WQ</v>
          </cell>
          <cell r="B5">
            <v>10000</v>
          </cell>
          <cell r="C5">
            <v>10000</v>
          </cell>
          <cell r="D5">
            <v>10000</v>
          </cell>
          <cell r="E5">
            <v>60000</v>
          </cell>
          <cell r="F5">
            <v>80000</v>
          </cell>
          <cell r="G5">
            <v>100000</v>
          </cell>
          <cell r="H5">
            <v>100000</v>
          </cell>
          <cell r="I5">
            <v>70000</v>
          </cell>
          <cell r="J5">
            <v>80000</v>
          </cell>
          <cell r="K5">
            <v>80000</v>
          </cell>
          <cell r="L5">
            <v>70000</v>
          </cell>
          <cell r="M5">
            <v>10000</v>
          </cell>
        </row>
        <row r="6">
          <cell r="A6" t="str">
            <v>B0C3PDTYYX</v>
          </cell>
          <cell r="B6">
            <v>10000</v>
          </cell>
          <cell r="C6">
            <v>10000</v>
          </cell>
          <cell r="D6">
            <v>10000</v>
          </cell>
          <cell r="E6">
            <v>30000</v>
          </cell>
          <cell r="F6">
            <v>30000</v>
          </cell>
          <cell r="G6">
            <v>40000</v>
          </cell>
          <cell r="H6">
            <v>70000</v>
          </cell>
          <cell r="I6">
            <v>70000</v>
          </cell>
          <cell r="J6">
            <v>50000</v>
          </cell>
          <cell r="K6">
            <v>70000</v>
          </cell>
          <cell r="L6">
            <v>20000</v>
          </cell>
          <cell r="M6">
            <v>10000</v>
          </cell>
        </row>
        <row r="7">
          <cell r="A7" t="str">
            <v>B0CYVVT3LC</v>
          </cell>
          <cell r="B7">
            <v>2000</v>
          </cell>
          <cell r="C7">
            <v>2000</v>
          </cell>
          <cell r="D7">
            <v>2000</v>
          </cell>
          <cell r="E7">
            <v>6000</v>
          </cell>
          <cell r="F7">
            <v>10000</v>
          </cell>
          <cell r="G7">
            <v>10000</v>
          </cell>
          <cell r="H7">
            <v>50000</v>
          </cell>
          <cell r="I7">
            <v>30000</v>
          </cell>
          <cell r="J7">
            <v>20000</v>
          </cell>
          <cell r="K7">
            <v>2000</v>
          </cell>
          <cell r="L7">
            <v>4000</v>
          </cell>
          <cell r="M7">
            <v>2000</v>
          </cell>
        </row>
        <row r="8">
          <cell r="A8" t="str">
            <v>B0CKY5N63H</v>
          </cell>
          <cell r="B8">
            <v>3000</v>
          </cell>
          <cell r="C8">
            <v>3000</v>
          </cell>
          <cell r="D8">
            <v>3000</v>
          </cell>
          <cell r="E8">
            <v>10000</v>
          </cell>
          <cell r="F8">
            <v>10000</v>
          </cell>
          <cell r="G8">
            <v>10000</v>
          </cell>
          <cell r="H8">
            <v>40000</v>
          </cell>
          <cell r="I8">
            <v>20000</v>
          </cell>
          <cell r="J8">
            <v>20000</v>
          </cell>
          <cell r="K8">
            <v>20000</v>
          </cell>
          <cell r="L8">
            <v>10000</v>
          </cell>
          <cell r="M8">
            <v>10000</v>
          </cell>
        </row>
        <row r="9">
          <cell r="A9" t="str">
            <v>B0GJRLN3WS</v>
          </cell>
          <cell r="B9">
            <v>0</v>
          </cell>
          <cell r="C9">
            <v>0</v>
          </cell>
          <cell r="D9">
            <v>0</v>
          </cell>
          <cell r="E9">
            <v>0</v>
          </cell>
          <cell r="F9">
            <v>6000</v>
          </cell>
          <cell r="G9">
            <v>9000</v>
          </cell>
          <cell r="H9">
            <v>10000</v>
          </cell>
          <cell r="I9">
            <v>8000</v>
          </cell>
          <cell r="J9">
            <v>7000</v>
          </cell>
          <cell r="K9">
            <v>0</v>
          </cell>
          <cell r="L9">
            <v>0</v>
          </cell>
          <cell r="M9">
            <v>0</v>
          </cell>
        </row>
        <row r="10">
          <cell r="A10" t="str">
            <v>B0CWJGGSXT</v>
          </cell>
          <cell r="B10">
            <v>2000</v>
          </cell>
          <cell r="C10">
            <v>1000</v>
          </cell>
          <cell r="D10">
            <v>2000</v>
          </cell>
          <cell r="E10">
            <v>3000</v>
          </cell>
          <cell r="F10">
            <v>6000</v>
          </cell>
          <cell r="G10">
            <v>10000</v>
          </cell>
          <cell r="H10">
            <v>10000</v>
          </cell>
          <cell r="I10">
            <v>3000</v>
          </cell>
          <cell r="J10">
            <v>8000</v>
          </cell>
          <cell r="K10">
            <v>10000</v>
          </cell>
          <cell r="L10">
            <v>7000</v>
          </cell>
          <cell r="M10">
            <v>3000</v>
          </cell>
        </row>
        <row r="11">
          <cell r="A11" t="str">
            <v>B0GJRKLHSY</v>
          </cell>
          <cell r="B11">
            <v>0</v>
          </cell>
          <cell r="C11">
            <v>0</v>
          </cell>
          <cell r="D11">
            <v>0</v>
          </cell>
          <cell r="E11">
            <v>0</v>
          </cell>
          <cell r="F11">
            <v>800</v>
          </cell>
          <cell r="G11">
            <v>1000</v>
          </cell>
          <cell r="H11">
            <v>3000</v>
          </cell>
          <cell r="I11">
            <v>5000</v>
          </cell>
          <cell r="J11">
            <v>7000</v>
          </cell>
          <cell r="K11">
            <v>0</v>
          </cell>
          <cell r="L11">
            <v>0</v>
          </cell>
          <cell r="M11">
            <v>0</v>
          </cell>
        </row>
        <row r="12">
          <cell r="A12" t="str">
            <v>B0CRPHSQCQ</v>
          </cell>
          <cell r="B12">
            <v>1000</v>
          </cell>
          <cell r="C12">
            <v>1000</v>
          </cell>
          <cell r="D12">
            <v>1000</v>
          </cell>
          <cell r="E12">
            <v>2000</v>
          </cell>
          <cell r="F12">
            <v>3000</v>
          </cell>
          <cell r="G12">
            <v>4000</v>
          </cell>
          <cell r="H12">
            <v>7000</v>
          </cell>
          <cell r="I12">
            <v>7000</v>
          </cell>
          <cell r="J12">
            <v>7000</v>
          </cell>
          <cell r="K12">
            <v>2000</v>
          </cell>
          <cell r="L12">
            <v>3000</v>
          </cell>
          <cell r="M12">
            <v>1000</v>
          </cell>
        </row>
        <row r="13">
          <cell r="A13" t="str">
            <v>B08JL4V71X</v>
          </cell>
          <cell r="B13">
            <v>1000</v>
          </cell>
          <cell r="C13">
            <v>1000</v>
          </cell>
          <cell r="D13">
            <v>1000</v>
          </cell>
          <cell r="E13">
            <v>2000</v>
          </cell>
          <cell r="F13">
            <v>3000</v>
          </cell>
          <cell r="G13">
            <v>7000</v>
          </cell>
          <cell r="H13">
            <v>4000</v>
          </cell>
          <cell r="I13">
            <v>4000</v>
          </cell>
          <cell r="J13">
            <v>5000</v>
          </cell>
          <cell r="K13">
            <v>9000</v>
          </cell>
          <cell r="L13">
            <v>2000</v>
          </cell>
          <cell r="M13">
            <v>1000</v>
          </cell>
        </row>
        <row r="14">
          <cell r="A14" t="str">
            <v>B0CPKZLV35</v>
          </cell>
          <cell r="B14">
            <v>1000</v>
          </cell>
          <cell r="C14">
            <v>500</v>
          </cell>
          <cell r="D14">
            <v>1000</v>
          </cell>
          <cell r="E14">
            <v>3000</v>
          </cell>
          <cell r="F14">
            <v>4000</v>
          </cell>
          <cell r="G14">
            <v>5000</v>
          </cell>
          <cell r="H14">
            <v>10000</v>
          </cell>
          <cell r="I14">
            <v>1000</v>
          </cell>
          <cell r="J14">
            <v>1000</v>
          </cell>
          <cell r="K14">
            <v>6000</v>
          </cell>
          <cell r="L14">
            <v>1000</v>
          </cell>
          <cell r="M14">
            <v>1000</v>
          </cell>
        </row>
        <row r="15">
          <cell r="A15" t="str">
            <v>B0CTQH1Q83</v>
          </cell>
          <cell r="B15">
            <v>200</v>
          </cell>
          <cell r="C15">
            <v>200</v>
          </cell>
          <cell r="D15">
            <v>300</v>
          </cell>
          <cell r="E15">
            <v>500</v>
          </cell>
          <cell r="F15">
            <v>800</v>
          </cell>
          <cell r="G15">
            <v>3000</v>
          </cell>
          <cell r="H15">
            <v>3000</v>
          </cell>
          <cell r="I15">
            <v>4000</v>
          </cell>
          <cell r="J15">
            <v>2000</v>
          </cell>
          <cell r="K15">
            <v>1000</v>
          </cell>
          <cell r="L15">
            <v>300</v>
          </cell>
          <cell r="M15">
            <v>200</v>
          </cell>
        </row>
        <row r="16">
          <cell r="A16" t="str">
            <v>B0CTQ1TQ45</v>
          </cell>
          <cell r="B16">
            <v>500</v>
          </cell>
          <cell r="C16">
            <v>500</v>
          </cell>
          <cell r="D16">
            <v>600</v>
          </cell>
          <cell r="E16">
            <v>900</v>
          </cell>
          <cell r="F16">
            <v>1000</v>
          </cell>
          <cell r="G16">
            <v>1000</v>
          </cell>
          <cell r="H16">
            <v>1000</v>
          </cell>
          <cell r="I16">
            <v>1000</v>
          </cell>
          <cell r="J16">
            <v>1000</v>
          </cell>
          <cell r="K16">
            <v>1000</v>
          </cell>
          <cell r="L16">
            <v>1000</v>
          </cell>
          <cell r="M16">
            <v>400</v>
          </cell>
        </row>
        <row r="17">
          <cell r="A17" t="str">
            <v>B0CTQ3B8JD</v>
          </cell>
          <cell r="B17">
            <v>200</v>
          </cell>
          <cell r="C17">
            <v>100</v>
          </cell>
          <cell r="D17">
            <v>300</v>
          </cell>
          <cell r="E17">
            <v>200</v>
          </cell>
          <cell r="F17">
            <v>100</v>
          </cell>
          <cell r="G17">
            <v>100</v>
          </cell>
          <cell r="H17">
            <v>1000</v>
          </cell>
          <cell r="I17">
            <v>1000</v>
          </cell>
          <cell r="J17">
            <v>1000</v>
          </cell>
          <cell r="K17">
            <v>1000</v>
          </cell>
          <cell r="L17">
            <v>2000</v>
          </cell>
          <cell r="M17">
            <v>1000</v>
          </cell>
        </row>
        <row r="18">
          <cell r="A18" t="str">
            <v>B0GJRMVM7W</v>
          </cell>
          <cell r="B18">
            <v>0</v>
          </cell>
          <cell r="C18">
            <v>0</v>
          </cell>
          <cell r="D18">
            <v>0</v>
          </cell>
          <cell r="E18">
            <v>0</v>
          </cell>
          <cell r="F18">
            <v>300</v>
          </cell>
          <cell r="G18">
            <v>400</v>
          </cell>
          <cell r="H18">
            <v>600</v>
          </cell>
          <cell r="I18">
            <v>0</v>
          </cell>
          <cell r="J18">
            <v>0</v>
          </cell>
          <cell r="K18">
            <v>0</v>
          </cell>
          <cell r="L18">
            <v>0</v>
          </cell>
          <cell r="M18">
            <v>0</v>
          </cell>
        </row>
        <row r="19">
          <cell r="A19" t="str">
            <v>B0D3FNQKN6</v>
          </cell>
          <cell r="B19">
            <v>0</v>
          </cell>
          <cell r="C19">
            <v>0</v>
          </cell>
          <cell r="D19">
            <v>0</v>
          </cell>
          <cell r="E19">
            <v>200</v>
          </cell>
          <cell r="F19">
            <v>200</v>
          </cell>
          <cell r="G19">
            <v>200</v>
          </cell>
          <cell r="H19">
            <v>200</v>
          </cell>
          <cell r="I19">
            <v>400</v>
          </cell>
          <cell r="J19">
            <v>400</v>
          </cell>
          <cell r="K19">
            <v>200</v>
          </cell>
          <cell r="L19">
            <v>200</v>
          </cell>
          <cell r="M19">
            <v>0</v>
          </cell>
        </row>
        <row r="20">
          <cell r="A20" t="str">
            <v>B0CTQDRPJN</v>
          </cell>
          <cell r="B20">
            <v>200</v>
          </cell>
          <cell r="C20">
            <v>200</v>
          </cell>
          <cell r="D20">
            <v>100</v>
          </cell>
          <cell r="E20">
            <v>300</v>
          </cell>
          <cell r="F20">
            <v>700</v>
          </cell>
          <cell r="G20">
            <v>1000</v>
          </cell>
          <cell r="H20">
            <v>3000</v>
          </cell>
          <cell r="I20">
            <v>200</v>
          </cell>
          <cell r="J20">
            <v>200</v>
          </cell>
          <cell r="K20">
            <v>800</v>
          </cell>
          <cell r="L20">
            <v>800</v>
          </cell>
          <cell r="M20">
            <v>300</v>
          </cell>
        </row>
        <row r="21">
          <cell r="A21" t="str">
            <v>B0DGF6DM7B</v>
          </cell>
          <cell r="B21">
            <v>0</v>
          </cell>
          <cell r="C21">
            <v>0</v>
          </cell>
          <cell r="D21">
            <v>0</v>
          </cell>
          <cell r="E21">
            <v>0</v>
          </cell>
          <cell r="F21">
            <v>50</v>
          </cell>
          <cell r="G21">
            <v>50</v>
          </cell>
          <cell r="H21">
            <v>100</v>
          </cell>
          <cell r="I21">
            <v>50</v>
          </cell>
          <cell r="J21">
            <v>100</v>
          </cell>
          <cell r="K21">
            <v>0</v>
          </cell>
          <cell r="L21">
            <v>0</v>
          </cell>
          <cell r="M21">
            <v>0</v>
          </cell>
        </row>
        <row r="22">
          <cell r="A22" t="str">
            <v>B0CX9YYD3Q</v>
          </cell>
          <cell r="B22">
            <v>500</v>
          </cell>
          <cell r="C22">
            <v>100</v>
          </cell>
          <cell r="D22">
            <v>100</v>
          </cell>
          <cell r="E22">
            <v>100</v>
          </cell>
          <cell r="F22">
            <v>100</v>
          </cell>
          <cell r="G22">
            <v>100</v>
          </cell>
          <cell r="H22">
            <v>50</v>
          </cell>
          <cell r="I22">
            <v>50</v>
          </cell>
          <cell r="J22">
            <v>100</v>
          </cell>
          <cell r="K22">
            <v>100</v>
          </cell>
          <cell r="L22">
            <v>300</v>
          </cell>
          <cell r="M22">
            <v>200</v>
          </cell>
        </row>
        <row r="23">
          <cell r="A23" t="str">
            <v>B0FB2KR45J</v>
          </cell>
          <cell r="B23">
            <v>0</v>
          </cell>
          <cell r="C23">
            <v>0</v>
          </cell>
          <cell r="D23">
            <v>0</v>
          </cell>
          <cell r="E23">
            <v>0</v>
          </cell>
          <cell r="F23">
            <v>0</v>
          </cell>
          <cell r="G23">
            <v>0</v>
          </cell>
          <cell r="H23">
            <v>50</v>
          </cell>
          <cell r="I23">
            <v>50</v>
          </cell>
          <cell r="J23">
            <v>50</v>
          </cell>
          <cell r="K23">
            <v>0</v>
          </cell>
          <cell r="L23">
            <v>0</v>
          </cell>
          <cell r="M23">
            <v>0</v>
          </cell>
        </row>
        <row r="24">
          <cell r="A24" t="str">
            <v>B0GTZTSR32</v>
          </cell>
          <cell r="B24">
            <v>0</v>
          </cell>
          <cell r="C24">
            <v>0</v>
          </cell>
          <cell r="D24">
            <v>0</v>
          </cell>
          <cell r="E24">
            <v>0</v>
          </cell>
          <cell r="F24">
            <v>0</v>
          </cell>
          <cell r="G24">
            <v>50</v>
          </cell>
          <cell r="H24">
            <v>50</v>
          </cell>
          <cell r="I24">
            <v>100</v>
          </cell>
          <cell r="J24">
            <v>100</v>
          </cell>
          <cell r="K24">
            <v>0</v>
          </cell>
          <cell r="L24">
            <v>0</v>
          </cell>
          <cell r="M24">
            <v>0</v>
          </cell>
        </row>
        <row r="25">
          <cell r="A25" t="str">
            <v>B089QTC1QN</v>
          </cell>
          <cell r="B25">
            <v>0</v>
          </cell>
          <cell r="C25">
            <v>0</v>
          </cell>
          <cell r="D25">
            <v>0</v>
          </cell>
          <cell r="E25">
            <v>50</v>
          </cell>
          <cell r="F25">
            <v>300</v>
          </cell>
          <cell r="G25">
            <v>500</v>
          </cell>
          <cell r="H25">
            <v>400</v>
          </cell>
          <cell r="I25">
            <v>400</v>
          </cell>
          <cell r="J25">
            <v>100</v>
          </cell>
          <cell r="K25">
            <v>0</v>
          </cell>
          <cell r="L25">
            <v>50</v>
          </cell>
          <cell r="M25">
            <v>100</v>
          </cell>
        </row>
        <row r="26">
          <cell r="A26" t="str">
            <v>B0CTQ5TSYB</v>
          </cell>
          <cell r="B26">
            <v>100</v>
          </cell>
          <cell r="C26">
            <v>100</v>
          </cell>
          <cell r="D26">
            <v>200</v>
          </cell>
          <cell r="E26">
            <v>300</v>
          </cell>
          <cell r="F26">
            <v>600</v>
          </cell>
          <cell r="G26">
            <v>1000</v>
          </cell>
          <cell r="H26">
            <v>2000</v>
          </cell>
          <cell r="I26">
            <v>1000</v>
          </cell>
          <cell r="J26">
            <v>50</v>
          </cell>
          <cell r="K26">
            <v>1000</v>
          </cell>
          <cell r="L26">
            <v>400</v>
          </cell>
          <cell r="M26">
            <v>200</v>
          </cell>
        </row>
        <row r="27">
          <cell r="A27" t="str">
            <v>B0D8M2TDM5</v>
          </cell>
          <cell r="B27">
            <v>0</v>
          </cell>
          <cell r="C27">
            <v>0</v>
          </cell>
          <cell r="D27">
            <v>0</v>
          </cell>
          <cell r="E27">
            <v>0</v>
          </cell>
          <cell r="F27">
            <v>50</v>
          </cell>
          <cell r="G27">
            <v>50</v>
          </cell>
          <cell r="H27">
            <v>50</v>
          </cell>
          <cell r="I27">
            <v>50</v>
          </cell>
          <cell r="J27">
            <v>50</v>
          </cell>
          <cell r="K27">
            <v>0</v>
          </cell>
          <cell r="L27">
            <v>0</v>
          </cell>
          <cell r="M27">
            <v>0</v>
          </cell>
        </row>
        <row r="28">
          <cell r="A28" t="str">
            <v>B0G8S8Y88F</v>
          </cell>
          <cell r="B28">
            <v>0</v>
          </cell>
          <cell r="C28">
            <v>0</v>
          </cell>
          <cell r="D28">
            <v>0</v>
          </cell>
          <cell r="E28">
            <v>0</v>
          </cell>
          <cell r="F28">
            <v>0</v>
          </cell>
          <cell r="G28">
            <v>0</v>
          </cell>
          <cell r="H28">
            <v>0</v>
          </cell>
          <cell r="I28">
            <v>0</v>
          </cell>
          <cell r="J28">
            <v>50</v>
          </cell>
          <cell r="K28">
            <v>0</v>
          </cell>
          <cell r="L28">
            <v>0</v>
          </cell>
          <cell r="M28">
            <v>0</v>
          </cell>
        </row>
        <row r="29">
          <cell r="A29" t="str">
            <v>B0D4KGPY79</v>
          </cell>
          <cell r="B29">
            <v>0</v>
          </cell>
          <cell r="C29">
            <v>0</v>
          </cell>
          <cell r="D29">
            <v>50</v>
          </cell>
          <cell r="E29">
            <v>100</v>
          </cell>
          <cell r="F29">
            <v>50</v>
          </cell>
          <cell r="G29">
            <v>0</v>
          </cell>
          <cell r="H29">
            <v>50</v>
          </cell>
          <cell r="I29">
            <v>50</v>
          </cell>
          <cell r="J29">
            <v>50</v>
          </cell>
          <cell r="K29">
            <v>50</v>
          </cell>
          <cell r="L29">
            <v>0</v>
          </cell>
          <cell r="M29">
            <v>0</v>
          </cell>
        </row>
        <row r="30">
          <cell r="A30"/>
          <cell r="B30"/>
          <cell r="C30"/>
          <cell r="D30"/>
          <cell r="E30"/>
          <cell r="F30"/>
          <cell r="G30"/>
          <cell r="H30"/>
          <cell r="I30"/>
          <cell r="J30"/>
          <cell r="K30"/>
          <cell r="L30"/>
          <cell r="M30"/>
        </row>
        <row r="31">
          <cell r="A31"/>
          <cell r="B31"/>
          <cell r="C31"/>
          <cell r="D31"/>
          <cell r="E31"/>
          <cell r="F31"/>
          <cell r="G31"/>
          <cell r="H31"/>
          <cell r="I31"/>
          <cell r="J31"/>
          <cell r="K31"/>
          <cell r="L31"/>
          <cell r="M31"/>
        </row>
        <row r="32">
          <cell r="A32"/>
          <cell r="B32"/>
          <cell r="C32"/>
          <cell r="D32"/>
          <cell r="E32"/>
          <cell r="F32"/>
          <cell r="G32"/>
          <cell r="H32"/>
          <cell r="I32"/>
          <cell r="J32"/>
          <cell r="K32"/>
          <cell r="L32"/>
          <cell r="M32"/>
        </row>
        <row r="33">
          <cell r="A33"/>
          <cell r="B33"/>
          <cell r="C33"/>
          <cell r="D33"/>
          <cell r="E33"/>
          <cell r="F33"/>
          <cell r="G33"/>
          <cell r="H33"/>
          <cell r="I33"/>
          <cell r="J33"/>
          <cell r="K33"/>
          <cell r="L33"/>
          <cell r="M33"/>
        </row>
        <row r="34">
          <cell r="A34"/>
          <cell r="B34"/>
          <cell r="C34"/>
          <cell r="D34"/>
          <cell r="E34"/>
          <cell r="F34"/>
          <cell r="G34"/>
          <cell r="H34"/>
          <cell r="I34"/>
          <cell r="J34"/>
          <cell r="K34"/>
          <cell r="L34"/>
          <cell r="M34"/>
        </row>
        <row r="35">
          <cell r="A35"/>
          <cell r="B35"/>
          <cell r="C35"/>
          <cell r="D35"/>
          <cell r="E35"/>
          <cell r="F35"/>
          <cell r="G35"/>
          <cell r="H35"/>
          <cell r="I35"/>
          <cell r="J35"/>
          <cell r="K35"/>
          <cell r="L35"/>
          <cell r="M35"/>
        </row>
        <row r="36">
          <cell r="A36"/>
          <cell r="B36"/>
          <cell r="C36"/>
          <cell r="D36"/>
          <cell r="E36"/>
          <cell r="F36"/>
          <cell r="G36"/>
          <cell r="H36"/>
          <cell r="I36"/>
          <cell r="J36"/>
          <cell r="K36"/>
          <cell r="L36"/>
          <cell r="M36"/>
        </row>
        <row r="37">
          <cell r="A37"/>
          <cell r="B37"/>
          <cell r="C37"/>
          <cell r="D37"/>
          <cell r="E37"/>
          <cell r="F37"/>
          <cell r="G37"/>
          <cell r="H37"/>
          <cell r="I37"/>
          <cell r="J37"/>
          <cell r="K37"/>
          <cell r="L37"/>
          <cell r="M37"/>
        </row>
        <row r="38">
          <cell r="A38"/>
          <cell r="B38"/>
          <cell r="C38"/>
          <cell r="D38"/>
          <cell r="E38"/>
          <cell r="F38"/>
          <cell r="G38"/>
          <cell r="H38"/>
          <cell r="I38"/>
          <cell r="J38"/>
          <cell r="K38"/>
          <cell r="L38"/>
          <cell r="M38"/>
        </row>
        <row r="39">
          <cell r="A39"/>
          <cell r="B39"/>
          <cell r="C39"/>
          <cell r="D39"/>
          <cell r="E39"/>
          <cell r="F39"/>
          <cell r="G39"/>
          <cell r="H39"/>
          <cell r="I39"/>
          <cell r="J39"/>
          <cell r="K39"/>
          <cell r="L39"/>
          <cell r="M39"/>
        </row>
        <row r="40">
          <cell r="A40"/>
          <cell r="B40"/>
          <cell r="C40"/>
          <cell r="D40"/>
          <cell r="E40"/>
          <cell r="F40"/>
          <cell r="G40"/>
          <cell r="H40"/>
          <cell r="I40"/>
          <cell r="J40"/>
          <cell r="K40"/>
          <cell r="L40"/>
          <cell r="M40"/>
        </row>
        <row r="41">
          <cell r="A41"/>
          <cell r="B41"/>
          <cell r="C41"/>
          <cell r="D41"/>
          <cell r="E41"/>
          <cell r="F41"/>
          <cell r="G41"/>
          <cell r="H41"/>
          <cell r="I41"/>
          <cell r="J41"/>
          <cell r="K41"/>
          <cell r="L41"/>
          <cell r="M41"/>
        </row>
        <row r="42">
          <cell r="A42"/>
          <cell r="B42"/>
          <cell r="C42"/>
          <cell r="D42"/>
          <cell r="E42"/>
          <cell r="F42"/>
          <cell r="G42"/>
          <cell r="H42"/>
          <cell r="I42"/>
          <cell r="J42"/>
          <cell r="K42"/>
          <cell r="L42"/>
          <cell r="M42"/>
        </row>
        <row r="43">
          <cell r="A43"/>
          <cell r="B43"/>
          <cell r="C43"/>
          <cell r="D43"/>
          <cell r="E43"/>
          <cell r="F43"/>
          <cell r="G43"/>
          <cell r="H43"/>
          <cell r="I43"/>
          <cell r="J43"/>
          <cell r="K43"/>
          <cell r="L43"/>
          <cell r="M43"/>
        </row>
        <row r="44">
          <cell r="A44"/>
          <cell r="B44"/>
          <cell r="C44"/>
          <cell r="D44"/>
          <cell r="E44"/>
          <cell r="F44"/>
          <cell r="G44"/>
          <cell r="H44"/>
          <cell r="I44"/>
          <cell r="J44"/>
          <cell r="K44"/>
          <cell r="L44"/>
          <cell r="M44"/>
        </row>
        <row r="45">
          <cell r="A45"/>
          <cell r="B45"/>
          <cell r="C45"/>
          <cell r="D45"/>
          <cell r="E45"/>
          <cell r="F45"/>
          <cell r="G45"/>
          <cell r="H45"/>
          <cell r="I45"/>
          <cell r="J45"/>
          <cell r="K45"/>
          <cell r="L45"/>
          <cell r="M45"/>
        </row>
        <row r="46">
          <cell r="A46"/>
          <cell r="B46"/>
          <cell r="C46"/>
          <cell r="D46"/>
          <cell r="E46"/>
          <cell r="F46"/>
          <cell r="G46"/>
          <cell r="H46"/>
          <cell r="I46"/>
          <cell r="J46"/>
          <cell r="K46"/>
          <cell r="L46"/>
          <cell r="M46"/>
        </row>
        <row r="47">
          <cell r="A47"/>
          <cell r="B47"/>
          <cell r="C47"/>
          <cell r="D47"/>
          <cell r="E47"/>
          <cell r="F47"/>
          <cell r="G47"/>
          <cell r="H47"/>
          <cell r="I47"/>
          <cell r="J47"/>
          <cell r="K47"/>
          <cell r="L47"/>
          <cell r="M47"/>
        </row>
        <row r="48">
          <cell r="A48"/>
          <cell r="B48"/>
          <cell r="C48"/>
          <cell r="D48"/>
          <cell r="E48"/>
          <cell r="F48"/>
          <cell r="G48"/>
          <cell r="H48"/>
          <cell r="I48"/>
          <cell r="J48"/>
          <cell r="K48"/>
          <cell r="L48"/>
          <cell r="M48"/>
        </row>
        <row r="49">
          <cell r="A49"/>
          <cell r="B49"/>
          <cell r="C49"/>
          <cell r="D49"/>
          <cell r="E49"/>
          <cell r="F49"/>
          <cell r="G49"/>
          <cell r="H49"/>
          <cell r="I49"/>
          <cell r="J49"/>
          <cell r="K49"/>
          <cell r="L49"/>
          <cell r="M49"/>
        </row>
        <row r="50">
          <cell r="A50"/>
          <cell r="B50"/>
          <cell r="C50"/>
          <cell r="D50"/>
          <cell r="E50"/>
          <cell r="F50"/>
          <cell r="G50"/>
          <cell r="H50"/>
          <cell r="I50"/>
          <cell r="J50"/>
          <cell r="K50"/>
          <cell r="L50"/>
          <cell r="M50"/>
        </row>
        <row r="51">
          <cell r="A51"/>
          <cell r="B51"/>
          <cell r="C51"/>
          <cell r="D51"/>
          <cell r="E51"/>
          <cell r="F51"/>
          <cell r="G51"/>
          <cell r="H51"/>
          <cell r="I51"/>
          <cell r="J51"/>
          <cell r="K51"/>
          <cell r="L51"/>
          <cell r="M51"/>
        </row>
        <row r="52">
          <cell r="A52"/>
          <cell r="B52"/>
          <cell r="C52"/>
          <cell r="D52"/>
          <cell r="E52"/>
          <cell r="F52"/>
          <cell r="G52"/>
          <cell r="H52"/>
          <cell r="I52"/>
          <cell r="J52"/>
          <cell r="K52"/>
          <cell r="L52"/>
          <cell r="M52"/>
        </row>
        <row r="53">
          <cell r="A53"/>
          <cell r="B53"/>
          <cell r="C53"/>
          <cell r="D53"/>
          <cell r="E53"/>
          <cell r="F53"/>
          <cell r="G53"/>
          <cell r="H53"/>
          <cell r="I53"/>
          <cell r="J53"/>
          <cell r="K53"/>
          <cell r="L53"/>
          <cell r="M53"/>
        </row>
        <row r="54">
          <cell r="A54"/>
          <cell r="B54"/>
          <cell r="C54"/>
          <cell r="D54"/>
          <cell r="E54"/>
          <cell r="F54"/>
          <cell r="G54"/>
          <cell r="H54"/>
          <cell r="I54"/>
          <cell r="J54"/>
          <cell r="K54"/>
          <cell r="L54"/>
          <cell r="M54"/>
        </row>
        <row r="55">
          <cell r="A55"/>
          <cell r="B55"/>
          <cell r="C55"/>
          <cell r="D55"/>
          <cell r="E55"/>
          <cell r="F55"/>
          <cell r="G55"/>
          <cell r="H55"/>
          <cell r="I55"/>
          <cell r="J55"/>
          <cell r="K55"/>
          <cell r="L55"/>
          <cell r="M55"/>
        </row>
        <row r="56">
          <cell r="A56"/>
          <cell r="B56"/>
          <cell r="C56"/>
          <cell r="D56"/>
          <cell r="E56"/>
          <cell r="F56"/>
          <cell r="G56"/>
          <cell r="H56"/>
          <cell r="I56"/>
          <cell r="J56"/>
          <cell r="K56"/>
          <cell r="L56"/>
          <cell r="M56"/>
        </row>
        <row r="57">
          <cell r="A57"/>
          <cell r="B57"/>
          <cell r="C57"/>
          <cell r="D57"/>
          <cell r="E57"/>
          <cell r="F57"/>
          <cell r="G57"/>
          <cell r="H57"/>
          <cell r="I57"/>
          <cell r="J57"/>
          <cell r="K57"/>
          <cell r="L57"/>
          <cell r="M57"/>
        </row>
        <row r="58">
          <cell r="A58"/>
          <cell r="B58"/>
          <cell r="C58"/>
          <cell r="D58"/>
          <cell r="E58"/>
          <cell r="F58"/>
          <cell r="G58"/>
          <cell r="H58"/>
          <cell r="I58"/>
          <cell r="J58"/>
          <cell r="K58"/>
          <cell r="L58"/>
          <cell r="M58"/>
        </row>
        <row r="59">
          <cell r="A59"/>
          <cell r="B59"/>
          <cell r="C59"/>
          <cell r="D59"/>
          <cell r="E59"/>
          <cell r="F59"/>
          <cell r="G59"/>
          <cell r="H59"/>
          <cell r="I59"/>
          <cell r="J59"/>
          <cell r="K59"/>
          <cell r="L59"/>
          <cell r="M59"/>
        </row>
        <row r="60">
          <cell r="A60"/>
          <cell r="B60"/>
          <cell r="C60"/>
          <cell r="D60"/>
          <cell r="E60"/>
          <cell r="F60"/>
          <cell r="G60"/>
          <cell r="H60"/>
          <cell r="I60"/>
          <cell r="J60"/>
          <cell r="K60"/>
          <cell r="L60"/>
          <cell r="M60"/>
        </row>
        <row r="61">
          <cell r="A61"/>
          <cell r="B61"/>
          <cell r="C61"/>
          <cell r="D61"/>
          <cell r="E61"/>
          <cell r="F61"/>
          <cell r="G61"/>
          <cell r="H61"/>
          <cell r="I61"/>
          <cell r="J61"/>
          <cell r="K61"/>
          <cell r="L61"/>
          <cell r="M61"/>
        </row>
        <row r="62">
          <cell r="A62"/>
          <cell r="B62"/>
          <cell r="C62"/>
          <cell r="D62"/>
          <cell r="E62"/>
          <cell r="F62"/>
          <cell r="G62"/>
          <cell r="H62"/>
          <cell r="I62"/>
          <cell r="J62"/>
          <cell r="K62"/>
          <cell r="L62"/>
          <cell r="M62"/>
        </row>
        <row r="63">
          <cell r="A63"/>
          <cell r="B63"/>
          <cell r="C63"/>
          <cell r="D63"/>
          <cell r="E63"/>
          <cell r="F63"/>
          <cell r="G63"/>
          <cell r="H63"/>
          <cell r="I63"/>
          <cell r="J63"/>
          <cell r="K63"/>
          <cell r="L63"/>
          <cell r="M63"/>
        </row>
        <row r="64">
          <cell r="A64"/>
          <cell r="B64"/>
          <cell r="C64"/>
          <cell r="D64"/>
          <cell r="E64"/>
          <cell r="F64"/>
          <cell r="G64"/>
          <cell r="H64"/>
          <cell r="I64"/>
          <cell r="J64"/>
          <cell r="K64"/>
          <cell r="L64"/>
          <cell r="M64"/>
        </row>
        <row r="65">
          <cell r="A65"/>
          <cell r="B65"/>
          <cell r="C65"/>
          <cell r="D65"/>
          <cell r="E65"/>
          <cell r="F65"/>
          <cell r="G65"/>
          <cell r="H65"/>
          <cell r="I65"/>
          <cell r="J65"/>
          <cell r="K65"/>
          <cell r="L65"/>
          <cell r="M65"/>
        </row>
        <row r="66">
          <cell r="A66"/>
          <cell r="B66"/>
          <cell r="C66"/>
          <cell r="D66"/>
          <cell r="E66"/>
          <cell r="F66"/>
          <cell r="G66"/>
          <cell r="H66"/>
          <cell r="I66"/>
          <cell r="J66"/>
          <cell r="K66"/>
          <cell r="L66"/>
          <cell r="M66"/>
        </row>
        <row r="67">
          <cell r="A67"/>
          <cell r="B67"/>
          <cell r="C67"/>
          <cell r="D67"/>
          <cell r="E67"/>
          <cell r="F67"/>
          <cell r="G67"/>
          <cell r="H67"/>
          <cell r="I67"/>
          <cell r="J67"/>
          <cell r="K67"/>
          <cell r="L67"/>
          <cell r="M67"/>
        </row>
        <row r="68">
          <cell r="A68"/>
          <cell r="B68"/>
          <cell r="C68"/>
          <cell r="D68"/>
          <cell r="E68"/>
          <cell r="F68"/>
          <cell r="G68"/>
          <cell r="H68"/>
          <cell r="I68"/>
          <cell r="J68"/>
          <cell r="K68"/>
          <cell r="L68"/>
          <cell r="M68"/>
        </row>
        <row r="69">
          <cell r="A69"/>
          <cell r="B69"/>
          <cell r="C69"/>
          <cell r="D69"/>
          <cell r="E69"/>
          <cell r="F69"/>
          <cell r="G69"/>
          <cell r="H69"/>
          <cell r="I69"/>
          <cell r="J69"/>
          <cell r="K69"/>
          <cell r="L69"/>
          <cell r="M69"/>
        </row>
        <row r="70">
          <cell r="A70"/>
          <cell r="B70"/>
          <cell r="C70"/>
          <cell r="D70"/>
          <cell r="E70"/>
          <cell r="F70"/>
          <cell r="G70"/>
          <cell r="H70"/>
          <cell r="I70"/>
          <cell r="J70"/>
          <cell r="K70"/>
          <cell r="L70"/>
          <cell r="M70"/>
        </row>
        <row r="71">
          <cell r="A71"/>
          <cell r="B71"/>
          <cell r="C71"/>
          <cell r="D71"/>
          <cell r="E71"/>
          <cell r="F71"/>
          <cell r="G71"/>
          <cell r="H71"/>
          <cell r="I71"/>
          <cell r="J71"/>
          <cell r="K71"/>
          <cell r="L71"/>
          <cell r="M71"/>
        </row>
        <row r="72">
          <cell r="A72"/>
          <cell r="B72"/>
          <cell r="C72"/>
          <cell r="D72"/>
          <cell r="E72"/>
          <cell r="F72"/>
          <cell r="G72"/>
          <cell r="H72"/>
          <cell r="I72"/>
          <cell r="J72"/>
          <cell r="K72"/>
          <cell r="L72"/>
          <cell r="M72"/>
        </row>
        <row r="73">
          <cell r="A73"/>
          <cell r="B73"/>
          <cell r="C73"/>
          <cell r="D73"/>
          <cell r="E73"/>
          <cell r="F73"/>
          <cell r="G73"/>
          <cell r="H73"/>
          <cell r="I73"/>
          <cell r="J73"/>
          <cell r="K73"/>
          <cell r="L73"/>
          <cell r="M73"/>
        </row>
        <row r="74">
          <cell r="A74"/>
          <cell r="B74"/>
          <cell r="C74"/>
          <cell r="D74"/>
          <cell r="E74"/>
          <cell r="F74"/>
          <cell r="G74"/>
          <cell r="H74"/>
          <cell r="I74"/>
          <cell r="J74"/>
          <cell r="K74"/>
          <cell r="L74"/>
          <cell r="M74"/>
        </row>
        <row r="75">
          <cell r="A75"/>
          <cell r="B75"/>
          <cell r="C75"/>
          <cell r="D75"/>
          <cell r="E75"/>
          <cell r="F75"/>
          <cell r="G75"/>
          <cell r="H75"/>
          <cell r="I75"/>
          <cell r="J75"/>
          <cell r="K75"/>
          <cell r="L75"/>
          <cell r="M75"/>
        </row>
        <row r="76">
          <cell r="A76"/>
          <cell r="B76"/>
          <cell r="C76"/>
          <cell r="D76"/>
          <cell r="E76"/>
          <cell r="F76"/>
          <cell r="G76"/>
          <cell r="H76"/>
          <cell r="I76"/>
          <cell r="J76"/>
          <cell r="K76"/>
          <cell r="L76"/>
          <cell r="M76"/>
        </row>
        <row r="77">
          <cell r="A77"/>
          <cell r="B77"/>
          <cell r="C77"/>
          <cell r="D77"/>
          <cell r="E77"/>
          <cell r="F77"/>
          <cell r="G77"/>
          <cell r="H77"/>
          <cell r="I77"/>
          <cell r="J77"/>
          <cell r="K77"/>
          <cell r="L77"/>
          <cell r="M77"/>
        </row>
        <row r="78">
          <cell r="A78"/>
          <cell r="B78"/>
          <cell r="C78"/>
          <cell r="D78"/>
          <cell r="E78"/>
          <cell r="F78"/>
          <cell r="G78"/>
          <cell r="H78"/>
          <cell r="I78"/>
          <cell r="J78"/>
          <cell r="K78"/>
          <cell r="L78"/>
          <cell r="M78"/>
        </row>
        <row r="79">
          <cell r="A79"/>
          <cell r="B79"/>
          <cell r="C79"/>
          <cell r="D79"/>
          <cell r="E79"/>
          <cell r="F79"/>
          <cell r="G79"/>
          <cell r="H79"/>
          <cell r="I79"/>
          <cell r="J79"/>
          <cell r="K79"/>
          <cell r="L79"/>
          <cell r="M79"/>
        </row>
        <row r="80">
          <cell r="A80"/>
          <cell r="B80"/>
          <cell r="C80"/>
          <cell r="D80"/>
          <cell r="E80"/>
          <cell r="F80"/>
          <cell r="G80"/>
          <cell r="H80"/>
          <cell r="I80"/>
          <cell r="J80"/>
          <cell r="K80"/>
          <cell r="L80"/>
          <cell r="M80"/>
        </row>
        <row r="81">
          <cell r="A81"/>
          <cell r="B81"/>
          <cell r="C81"/>
          <cell r="D81"/>
          <cell r="E81"/>
          <cell r="F81"/>
          <cell r="G81"/>
          <cell r="H81"/>
          <cell r="I81"/>
          <cell r="J81"/>
          <cell r="K81"/>
          <cell r="L81"/>
          <cell r="M81"/>
        </row>
        <row r="82">
          <cell r="A82"/>
          <cell r="B82"/>
          <cell r="C82"/>
          <cell r="D82"/>
          <cell r="E82"/>
          <cell r="F82"/>
          <cell r="G82"/>
          <cell r="H82"/>
          <cell r="I82"/>
          <cell r="J82"/>
          <cell r="K82"/>
          <cell r="L82"/>
          <cell r="M82"/>
        </row>
        <row r="83">
          <cell r="A83"/>
          <cell r="B83"/>
          <cell r="C83"/>
          <cell r="D83"/>
          <cell r="E83"/>
          <cell r="F83"/>
          <cell r="G83"/>
          <cell r="H83"/>
          <cell r="I83"/>
          <cell r="J83"/>
          <cell r="K83"/>
          <cell r="L83"/>
          <cell r="M83"/>
        </row>
        <row r="84">
          <cell r="A84"/>
          <cell r="B84"/>
          <cell r="C84"/>
          <cell r="D84"/>
          <cell r="E84"/>
          <cell r="F84"/>
          <cell r="G84"/>
          <cell r="H84"/>
          <cell r="I84"/>
          <cell r="J84"/>
          <cell r="K84"/>
          <cell r="L84"/>
          <cell r="M84"/>
        </row>
        <row r="85">
          <cell r="A85"/>
          <cell r="B85"/>
          <cell r="C85"/>
          <cell r="D85"/>
          <cell r="E85"/>
          <cell r="F85"/>
          <cell r="G85"/>
          <cell r="H85"/>
          <cell r="I85"/>
          <cell r="J85"/>
          <cell r="K85"/>
          <cell r="L85"/>
          <cell r="M85"/>
        </row>
        <row r="86">
          <cell r="A86"/>
          <cell r="B86"/>
          <cell r="C86"/>
          <cell r="D86"/>
          <cell r="E86"/>
          <cell r="F86"/>
          <cell r="G86"/>
          <cell r="H86"/>
          <cell r="I86"/>
          <cell r="J86"/>
          <cell r="K86"/>
          <cell r="L86"/>
          <cell r="M86"/>
        </row>
        <row r="87">
          <cell r="A87"/>
          <cell r="B87"/>
          <cell r="C87"/>
          <cell r="D87"/>
          <cell r="E87"/>
          <cell r="F87"/>
          <cell r="G87"/>
          <cell r="H87"/>
          <cell r="I87"/>
          <cell r="J87"/>
          <cell r="K87"/>
          <cell r="L87"/>
          <cell r="M87"/>
        </row>
        <row r="88">
          <cell r="A88"/>
          <cell r="B88"/>
          <cell r="C88"/>
          <cell r="D88"/>
          <cell r="E88"/>
          <cell r="F88"/>
          <cell r="G88"/>
          <cell r="H88"/>
          <cell r="I88"/>
          <cell r="J88"/>
          <cell r="K88"/>
          <cell r="L88"/>
          <cell r="M88"/>
        </row>
        <row r="89">
          <cell r="A89"/>
          <cell r="B89"/>
          <cell r="C89"/>
          <cell r="D89"/>
          <cell r="E89"/>
          <cell r="F89"/>
          <cell r="G89"/>
          <cell r="H89"/>
          <cell r="I89"/>
          <cell r="J89"/>
          <cell r="K89"/>
          <cell r="L89"/>
          <cell r="M89"/>
        </row>
        <row r="90">
          <cell r="A90"/>
          <cell r="B90"/>
          <cell r="C90"/>
          <cell r="D90"/>
          <cell r="E90"/>
          <cell r="F90"/>
          <cell r="G90"/>
          <cell r="H90"/>
          <cell r="I90"/>
          <cell r="J90"/>
          <cell r="K90"/>
          <cell r="L90"/>
          <cell r="M90"/>
        </row>
        <row r="91">
          <cell r="A91"/>
          <cell r="B91"/>
          <cell r="C91"/>
          <cell r="D91"/>
          <cell r="E91"/>
          <cell r="F91"/>
          <cell r="G91"/>
          <cell r="H91"/>
          <cell r="I91"/>
          <cell r="J91"/>
          <cell r="K91"/>
          <cell r="L91"/>
          <cell r="M91"/>
        </row>
        <row r="92">
          <cell r="A92"/>
          <cell r="B92"/>
          <cell r="C92"/>
          <cell r="D92"/>
          <cell r="E92"/>
          <cell r="F92"/>
          <cell r="G92"/>
          <cell r="H92"/>
          <cell r="I92"/>
          <cell r="J92"/>
          <cell r="K92"/>
          <cell r="L92"/>
          <cell r="M92"/>
        </row>
        <row r="93">
          <cell r="A93"/>
          <cell r="B93"/>
          <cell r="C93"/>
          <cell r="D93"/>
          <cell r="E93"/>
          <cell r="F93"/>
          <cell r="G93"/>
          <cell r="H93"/>
          <cell r="I93"/>
          <cell r="J93"/>
          <cell r="K93"/>
          <cell r="L93"/>
          <cell r="M93"/>
        </row>
        <row r="94">
          <cell r="A94"/>
          <cell r="B94"/>
          <cell r="C94"/>
          <cell r="D94"/>
          <cell r="E94"/>
          <cell r="F94"/>
          <cell r="G94"/>
          <cell r="H94"/>
          <cell r="I94"/>
          <cell r="J94"/>
          <cell r="K94"/>
          <cell r="L94"/>
          <cell r="M94"/>
        </row>
        <row r="95">
          <cell r="A95"/>
          <cell r="B95"/>
          <cell r="C95"/>
          <cell r="D95"/>
          <cell r="E95"/>
          <cell r="F95"/>
          <cell r="G95"/>
          <cell r="H95"/>
          <cell r="I95"/>
          <cell r="J95"/>
          <cell r="K95"/>
          <cell r="L95"/>
          <cell r="M95"/>
        </row>
        <row r="96">
          <cell r="A96"/>
          <cell r="B96"/>
          <cell r="C96"/>
          <cell r="D96"/>
          <cell r="E96"/>
          <cell r="F96"/>
          <cell r="G96"/>
          <cell r="H96"/>
          <cell r="I96"/>
          <cell r="J96"/>
          <cell r="K96"/>
          <cell r="L96"/>
          <cell r="M96"/>
        </row>
        <row r="97">
          <cell r="A97"/>
          <cell r="B97"/>
          <cell r="C97"/>
          <cell r="D97"/>
          <cell r="E97"/>
          <cell r="F97"/>
          <cell r="G97"/>
          <cell r="H97"/>
          <cell r="I97"/>
          <cell r="J97"/>
          <cell r="K97"/>
          <cell r="L97"/>
          <cell r="M97"/>
        </row>
        <row r="98">
          <cell r="A98"/>
          <cell r="B98"/>
          <cell r="C98"/>
          <cell r="D98"/>
          <cell r="E98"/>
          <cell r="F98"/>
          <cell r="G98"/>
          <cell r="H98"/>
          <cell r="I98"/>
          <cell r="J98"/>
          <cell r="K98"/>
          <cell r="L98"/>
          <cell r="M98"/>
        </row>
        <row r="99">
          <cell r="A99"/>
          <cell r="B99"/>
          <cell r="C99"/>
          <cell r="D99"/>
          <cell r="E99"/>
          <cell r="F99"/>
          <cell r="G99"/>
          <cell r="H99"/>
          <cell r="I99"/>
          <cell r="J99"/>
          <cell r="K99"/>
          <cell r="L99"/>
          <cell r="M99"/>
        </row>
        <row r="100">
          <cell r="A100"/>
          <cell r="B100"/>
          <cell r="C100"/>
          <cell r="D100"/>
          <cell r="E100"/>
          <cell r="F100"/>
          <cell r="G100"/>
          <cell r="H100"/>
          <cell r="I100"/>
          <cell r="J100"/>
          <cell r="K100"/>
          <cell r="L100"/>
          <cell r="M100"/>
        </row>
        <row r="101">
          <cell r="A101"/>
          <cell r="B101"/>
          <cell r="C101"/>
          <cell r="D101"/>
          <cell r="E101"/>
          <cell r="F101"/>
          <cell r="G101"/>
          <cell r="H101"/>
          <cell r="I101"/>
          <cell r="J101"/>
          <cell r="K101"/>
          <cell r="L101"/>
          <cell r="M101"/>
        </row>
        <row r="102">
          <cell r="A102"/>
          <cell r="B102"/>
          <cell r="C102"/>
          <cell r="D102"/>
          <cell r="E102"/>
          <cell r="F102"/>
          <cell r="G102"/>
          <cell r="H102"/>
          <cell r="I102"/>
          <cell r="J102"/>
          <cell r="K102"/>
          <cell r="L102"/>
          <cell r="M102"/>
        </row>
        <row r="103">
          <cell r="A103"/>
          <cell r="B103"/>
          <cell r="C103"/>
          <cell r="D103"/>
          <cell r="E103"/>
          <cell r="F103"/>
          <cell r="G103"/>
          <cell r="H103"/>
          <cell r="I103"/>
          <cell r="J103"/>
          <cell r="K103"/>
          <cell r="L103"/>
          <cell r="M103"/>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onthly Sold"/>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B0F1H7DYTP</v>
          </cell>
          <cell r="B2">
            <v>10000</v>
          </cell>
          <cell r="C2">
            <v>10000</v>
          </cell>
          <cell r="D2">
            <v>10000</v>
          </cell>
          <cell r="E2">
            <v>10000</v>
          </cell>
          <cell r="F2">
            <v>10000</v>
          </cell>
          <cell r="G2">
            <v>10000</v>
          </cell>
          <cell r="H2">
            <v>20000</v>
          </cell>
          <cell r="I2">
            <v>10000</v>
          </cell>
          <cell r="J2">
            <v>10000</v>
          </cell>
          <cell r="K2">
            <v>10000</v>
          </cell>
          <cell r="L2">
            <v>20000</v>
          </cell>
          <cell r="M2">
            <v>10000</v>
          </cell>
        </row>
        <row r="3">
          <cell r="A3" t="str">
            <v>B012VJLZOM</v>
          </cell>
          <cell r="B3">
            <v>10000</v>
          </cell>
          <cell r="C3">
            <v>10000</v>
          </cell>
          <cell r="D3">
            <v>10000</v>
          </cell>
          <cell r="E3">
            <v>10000</v>
          </cell>
          <cell r="F3">
            <v>8000</v>
          </cell>
          <cell r="G3">
            <v>6000</v>
          </cell>
          <cell r="H3">
            <v>7000</v>
          </cell>
          <cell r="I3">
            <v>9000</v>
          </cell>
          <cell r="J3">
            <v>10000</v>
          </cell>
          <cell r="K3">
            <v>30000</v>
          </cell>
          <cell r="L3">
            <v>40000</v>
          </cell>
          <cell r="M3">
            <v>10000</v>
          </cell>
        </row>
        <row r="4">
          <cell r="A4" t="str">
            <v>B08129DYTH</v>
          </cell>
          <cell r="B4">
            <v>3000</v>
          </cell>
          <cell r="C4">
            <v>3000</v>
          </cell>
          <cell r="D4">
            <v>3000</v>
          </cell>
          <cell r="E4">
            <v>4000</v>
          </cell>
          <cell r="F4">
            <v>5000</v>
          </cell>
          <cell r="G4">
            <v>7000</v>
          </cell>
          <cell r="H4">
            <v>7000</v>
          </cell>
          <cell r="I4">
            <v>10000</v>
          </cell>
          <cell r="J4">
            <v>9000</v>
          </cell>
          <cell r="K4">
            <v>6000</v>
          </cell>
          <cell r="L4">
            <v>7000</v>
          </cell>
          <cell r="M4">
            <v>4000</v>
          </cell>
        </row>
        <row r="5">
          <cell r="A5" t="str">
            <v>B01MT6BOR0</v>
          </cell>
          <cell r="B5">
            <v>0</v>
          </cell>
          <cell r="C5">
            <v>0</v>
          </cell>
          <cell r="D5">
            <v>0</v>
          </cell>
          <cell r="E5">
            <v>0</v>
          </cell>
          <cell r="F5">
            <v>0</v>
          </cell>
          <cell r="G5">
            <v>1000</v>
          </cell>
          <cell r="H5">
            <v>2000</v>
          </cell>
          <cell r="I5">
            <v>6000</v>
          </cell>
          <cell r="J5">
            <v>7000</v>
          </cell>
          <cell r="K5">
            <v>0</v>
          </cell>
          <cell r="L5">
            <v>0</v>
          </cell>
          <cell r="M5">
            <v>0</v>
          </cell>
        </row>
        <row r="6">
          <cell r="A6" t="str">
            <v>B012RGM7BO</v>
          </cell>
          <cell r="B6">
            <v>5000</v>
          </cell>
          <cell r="C6">
            <v>4000</v>
          </cell>
          <cell r="D6">
            <v>4000</v>
          </cell>
          <cell r="E6">
            <v>4000</v>
          </cell>
          <cell r="F6">
            <v>5000</v>
          </cell>
          <cell r="G6">
            <v>7000</v>
          </cell>
          <cell r="H6">
            <v>6000</v>
          </cell>
          <cell r="I6">
            <v>5000</v>
          </cell>
          <cell r="J6">
            <v>6000</v>
          </cell>
          <cell r="K6">
            <v>5000</v>
          </cell>
          <cell r="L6">
            <v>6000</v>
          </cell>
          <cell r="M6">
            <v>8000</v>
          </cell>
        </row>
        <row r="7">
          <cell r="A7" t="str">
            <v>B01MT1XQZS</v>
          </cell>
          <cell r="B7">
            <v>2000</v>
          </cell>
          <cell r="C7">
            <v>1000</v>
          </cell>
          <cell r="D7">
            <v>1000</v>
          </cell>
          <cell r="E7">
            <v>1000</v>
          </cell>
          <cell r="F7">
            <v>2000</v>
          </cell>
          <cell r="G7">
            <v>2000</v>
          </cell>
          <cell r="H7">
            <v>2000</v>
          </cell>
          <cell r="I7">
            <v>3000</v>
          </cell>
          <cell r="J7">
            <v>4000</v>
          </cell>
          <cell r="K7">
            <v>5000</v>
          </cell>
          <cell r="L7">
            <v>6000</v>
          </cell>
          <cell r="M7">
            <v>3000</v>
          </cell>
        </row>
        <row r="8">
          <cell r="A8" t="str">
            <v>B012VKAYLQ</v>
          </cell>
          <cell r="B8">
            <v>0</v>
          </cell>
          <cell r="C8">
            <v>0</v>
          </cell>
          <cell r="D8">
            <v>600</v>
          </cell>
          <cell r="E8">
            <v>1000</v>
          </cell>
          <cell r="F8">
            <v>3000</v>
          </cell>
          <cell r="G8">
            <v>6000</v>
          </cell>
          <cell r="H8">
            <v>3000</v>
          </cell>
          <cell r="I8">
            <v>5000</v>
          </cell>
          <cell r="J8">
            <v>6000</v>
          </cell>
          <cell r="K8">
            <v>0</v>
          </cell>
          <cell r="L8">
            <v>0</v>
          </cell>
          <cell r="M8">
            <v>0</v>
          </cell>
        </row>
        <row r="9">
          <cell r="A9" t="str">
            <v>B01MS4NEQJ</v>
          </cell>
          <cell r="B9">
            <v>3000</v>
          </cell>
          <cell r="C9">
            <v>2000</v>
          </cell>
          <cell r="D9">
            <v>2000</v>
          </cell>
          <cell r="E9">
            <v>3000</v>
          </cell>
          <cell r="F9">
            <v>4000</v>
          </cell>
          <cell r="G9">
            <v>4000</v>
          </cell>
          <cell r="H9">
            <v>3000</v>
          </cell>
          <cell r="I9">
            <v>4000</v>
          </cell>
          <cell r="J9">
            <v>5000</v>
          </cell>
          <cell r="K9">
            <v>6000</v>
          </cell>
          <cell r="L9">
            <v>6000</v>
          </cell>
          <cell r="M9">
            <v>5000</v>
          </cell>
        </row>
        <row r="10">
          <cell r="A10" t="str">
            <v>B01N6O3IB3</v>
          </cell>
          <cell r="B10">
            <v>2000</v>
          </cell>
          <cell r="C10">
            <v>2000</v>
          </cell>
          <cell r="D10">
            <v>2000</v>
          </cell>
          <cell r="E10">
            <v>3000</v>
          </cell>
          <cell r="F10">
            <v>4000</v>
          </cell>
          <cell r="G10">
            <v>4000</v>
          </cell>
          <cell r="H10">
            <v>3000</v>
          </cell>
          <cell r="I10">
            <v>3000</v>
          </cell>
          <cell r="J10">
            <v>5000</v>
          </cell>
          <cell r="K10">
            <v>4000</v>
          </cell>
          <cell r="L10">
            <v>4000</v>
          </cell>
          <cell r="M10">
            <v>3000</v>
          </cell>
        </row>
        <row r="11">
          <cell r="A11" t="str">
            <v>B012RDT44U</v>
          </cell>
          <cell r="B11">
            <v>6000</v>
          </cell>
          <cell r="C11">
            <v>6000</v>
          </cell>
          <cell r="D11">
            <v>4000</v>
          </cell>
          <cell r="E11">
            <v>3000</v>
          </cell>
          <cell r="F11">
            <v>3000</v>
          </cell>
          <cell r="G11">
            <v>3000</v>
          </cell>
          <cell r="H11">
            <v>3000</v>
          </cell>
          <cell r="I11">
            <v>3000</v>
          </cell>
          <cell r="J11">
            <v>3000</v>
          </cell>
          <cell r="K11">
            <v>10000</v>
          </cell>
          <cell r="L11">
            <v>20000</v>
          </cell>
          <cell r="M11">
            <v>1000</v>
          </cell>
        </row>
        <row r="12">
          <cell r="A12" t="str">
            <v>B07YL5BLK4</v>
          </cell>
          <cell r="B12">
            <v>1000</v>
          </cell>
          <cell r="C12">
            <v>1000</v>
          </cell>
          <cell r="D12">
            <v>2000</v>
          </cell>
          <cell r="E12">
            <v>2000</v>
          </cell>
          <cell r="F12">
            <v>2000</v>
          </cell>
          <cell r="G12">
            <v>3000</v>
          </cell>
          <cell r="H12">
            <v>3000</v>
          </cell>
          <cell r="I12">
            <v>3000</v>
          </cell>
          <cell r="J12">
            <v>3000</v>
          </cell>
          <cell r="K12">
            <v>2000</v>
          </cell>
          <cell r="L12">
            <v>3000</v>
          </cell>
          <cell r="M12">
            <v>1000</v>
          </cell>
        </row>
        <row r="13">
          <cell r="A13" t="str">
            <v>B00N6XKV4I</v>
          </cell>
          <cell r="B13">
            <v>5000</v>
          </cell>
          <cell r="C13">
            <v>5000</v>
          </cell>
          <cell r="D13">
            <v>3000</v>
          </cell>
          <cell r="E13">
            <v>2000</v>
          </cell>
          <cell r="F13">
            <v>2000</v>
          </cell>
          <cell r="G13">
            <v>2000</v>
          </cell>
          <cell r="H13">
            <v>2000</v>
          </cell>
          <cell r="I13">
            <v>2000</v>
          </cell>
          <cell r="J13">
            <v>3000</v>
          </cell>
          <cell r="K13">
            <v>7000</v>
          </cell>
          <cell r="L13">
            <v>10000</v>
          </cell>
          <cell r="M13">
            <v>10000</v>
          </cell>
        </row>
        <row r="14">
          <cell r="A14" t="str">
            <v>B07YM5BY58</v>
          </cell>
          <cell r="B14">
            <v>3000</v>
          </cell>
          <cell r="C14">
            <v>2000</v>
          </cell>
          <cell r="D14">
            <v>2000</v>
          </cell>
          <cell r="E14">
            <v>2000</v>
          </cell>
          <cell r="F14">
            <v>3000</v>
          </cell>
          <cell r="G14">
            <v>3000</v>
          </cell>
          <cell r="H14">
            <v>1000</v>
          </cell>
          <cell r="I14">
            <v>3000</v>
          </cell>
          <cell r="J14">
            <v>3000</v>
          </cell>
          <cell r="K14">
            <v>4000</v>
          </cell>
          <cell r="L14">
            <v>5000</v>
          </cell>
          <cell r="M14">
            <v>4000</v>
          </cell>
        </row>
        <row r="15">
          <cell r="A15" t="str">
            <v>B0149L6MY8</v>
          </cell>
          <cell r="B15">
            <v>1000</v>
          </cell>
          <cell r="C15">
            <v>1000</v>
          </cell>
          <cell r="D15">
            <v>1000</v>
          </cell>
          <cell r="E15">
            <v>1000</v>
          </cell>
          <cell r="F15">
            <v>1000</v>
          </cell>
          <cell r="G15">
            <v>0</v>
          </cell>
          <cell r="H15">
            <v>1000</v>
          </cell>
          <cell r="I15">
            <v>2000</v>
          </cell>
          <cell r="J15">
            <v>2000</v>
          </cell>
          <cell r="K15">
            <v>1000</v>
          </cell>
          <cell r="L15">
            <v>2000</v>
          </cell>
          <cell r="M15">
            <v>1000</v>
          </cell>
        </row>
        <row r="16">
          <cell r="A16" t="str">
            <v>B01N6JJ3QG</v>
          </cell>
        </row>
        <row r="17">
          <cell r="A17" t="str">
            <v>B012VK4BYC</v>
          </cell>
          <cell r="B17">
            <v>2000</v>
          </cell>
          <cell r="C17">
            <v>1000</v>
          </cell>
          <cell r="D17">
            <v>1000</v>
          </cell>
          <cell r="E17">
            <v>1000</v>
          </cell>
          <cell r="F17">
            <v>1000</v>
          </cell>
          <cell r="G17">
            <v>1000</v>
          </cell>
          <cell r="H17">
            <v>1000</v>
          </cell>
          <cell r="I17">
            <v>1000</v>
          </cell>
          <cell r="J17">
            <v>1000</v>
          </cell>
          <cell r="K17">
            <v>2000</v>
          </cell>
          <cell r="L17">
            <v>3000</v>
          </cell>
          <cell r="M17">
            <v>2000</v>
          </cell>
        </row>
        <row r="18">
          <cell r="A18" t="str">
            <v>B012VN2CHC</v>
          </cell>
          <cell r="B18">
            <v>2000</v>
          </cell>
          <cell r="C18">
            <v>2000</v>
          </cell>
          <cell r="D18">
            <v>1000</v>
          </cell>
          <cell r="E18">
            <v>1000</v>
          </cell>
          <cell r="F18">
            <v>1000</v>
          </cell>
          <cell r="G18">
            <v>2000</v>
          </cell>
          <cell r="H18">
            <v>1000</v>
          </cell>
          <cell r="I18">
            <v>1000</v>
          </cell>
          <cell r="J18">
            <v>2000</v>
          </cell>
          <cell r="K18">
            <v>1000</v>
          </cell>
          <cell r="L18">
            <v>2000</v>
          </cell>
          <cell r="M18">
            <v>2000</v>
          </cell>
        </row>
        <row r="19">
          <cell r="A19" t="str">
            <v>B012RE01U0</v>
          </cell>
          <cell r="B19">
            <v>0</v>
          </cell>
          <cell r="C19">
            <v>0</v>
          </cell>
          <cell r="D19">
            <v>0</v>
          </cell>
          <cell r="E19">
            <v>50</v>
          </cell>
          <cell r="F19">
            <v>100</v>
          </cell>
          <cell r="G19">
            <v>200</v>
          </cell>
          <cell r="H19">
            <v>100</v>
          </cell>
          <cell r="I19">
            <v>200</v>
          </cell>
          <cell r="J19">
            <v>1000</v>
          </cell>
          <cell r="K19">
            <v>0</v>
          </cell>
          <cell r="L19">
            <v>0</v>
          </cell>
          <cell r="M19">
            <v>0</v>
          </cell>
        </row>
        <row r="20">
          <cell r="A20" t="str">
            <v>B077VLKY68</v>
          </cell>
          <cell r="B20">
            <v>1000</v>
          </cell>
          <cell r="C20">
            <v>1000</v>
          </cell>
          <cell r="D20">
            <v>1000</v>
          </cell>
          <cell r="E20">
            <v>900</v>
          </cell>
          <cell r="F20">
            <v>900</v>
          </cell>
          <cell r="G20">
            <v>1000</v>
          </cell>
          <cell r="H20">
            <v>1000</v>
          </cell>
          <cell r="I20">
            <v>1000</v>
          </cell>
          <cell r="J20">
            <v>1000</v>
          </cell>
          <cell r="K20">
            <v>1000</v>
          </cell>
          <cell r="L20">
            <v>2000</v>
          </cell>
          <cell r="M20">
            <v>1000</v>
          </cell>
        </row>
        <row r="21">
          <cell r="A21" t="str">
            <v>B08GH3BQY1</v>
          </cell>
          <cell r="B21">
            <v>0</v>
          </cell>
          <cell r="C21">
            <v>0</v>
          </cell>
          <cell r="D21">
            <v>0</v>
          </cell>
          <cell r="E21">
            <v>0</v>
          </cell>
          <cell r="F21">
            <v>100</v>
          </cell>
          <cell r="G21">
            <v>500</v>
          </cell>
          <cell r="H21">
            <v>1000</v>
          </cell>
          <cell r="I21">
            <v>1000</v>
          </cell>
          <cell r="J21">
            <v>2000</v>
          </cell>
          <cell r="K21">
            <v>0</v>
          </cell>
          <cell r="L21">
            <v>0</v>
          </cell>
          <cell r="M21">
            <v>0</v>
          </cell>
        </row>
        <row r="22">
          <cell r="A22" t="str">
            <v>B012VK606O</v>
          </cell>
          <cell r="B22">
            <v>2000</v>
          </cell>
          <cell r="C22">
            <v>2000</v>
          </cell>
          <cell r="D22">
            <v>2000</v>
          </cell>
          <cell r="E22">
            <v>3000</v>
          </cell>
          <cell r="F22">
            <v>3000</v>
          </cell>
          <cell r="G22">
            <v>4000</v>
          </cell>
          <cell r="H22">
            <v>3000</v>
          </cell>
          <cell r="I22">
            <v>3000</v>
          </cell>
          <cell r="J22">
            <v>2000</v>
          </cell>
          <cell r="K22">
            <v>2000</v>
          </cell>
          <cell r="L22">
            <v>2000</v>
          </cell>
          <cell r="M22">
            <v>3000</v>
          </cell>
        </row>
        <row r="23">
          <cell r="A23" t="str">
            <v>B012RGT7RQ</v>
          </cell>
          <cell r="B23">
            <v>500</v>
          </cell>
          <cell r="C23">
            <v>300</v>
          </cell>
          <cell r="D23">
            <v>700</v>
          </cell>
          <cell r="E23">
            <v>1000</v>
          </cell>
          <cell r="F23">
            <v>2000</v>
          </cell>
          <cell r="G23">
            <v>2000</v>
          </cell>
          <cell r="H23">
            <v>1000</v>
          </cell>
          <cell r="I23">
            <v>1000</v>
          </cell>
          <cell r="J23">
            <v>1000</v>
          </cell>
          <cell r="K23">
            <v>1000</v>
          </cell>
          <cell r="L23">
            <v>1000</v>
          </cell>
          <cell r="M23">
            <v>400</v>
          </cell>
        </row>
        <row r="24">
          <cell r="A24" t="str">
            <v>B0BZDY37G9</v>
          </cell>
          <cell r="B24">
            <v>500</v>
          </cell>
          <cell r="C24">
            <v>300</v>
          </cell>
          <cell r="D24">
            <v>400</v>
          </cell>
          <cell r="E24">
            <v>400</v>
          </cell>
          <cell r="F24">
            <v>200</v>
          </cell>
          <cell r="G24">
            <v>500</v>
          </cell>
          <cell r="H24">
            <v>500</v>
          </cell>
          <cell r="I24">
            <v>600</v>
          </cell>
          <cell r="J24">
            <v>800</v>
          </cell>
          <cell r="K24">
            <v>500</v>
          </cell>
          <cell r="L24">
            <v>800</v>
          </cell>
          <cell r="M24">
            <v>600</v>
          </cell>
        </row>
        <row r="25">
          <cell r="A25" t="str">
            <v>B01MT6BTQW</v>
          </cell>
          <cell r="B25">
            <v>2000</v>
          </cell>
          <cell r="C25">
            <v>3000</v>
          </cell>
          <cell r="D25">
            <v>2000</v>
          </cell>
          <cell r="E25">
            <v>1000</v>
          </cell>
          <cell r="F25">
            <v>1000</v>
          </cell>
          <cell r="G25">
            <v>2000</v>
          </cell>
          <cell r="H25">
            <v>1000</v>
          </cell>
          <cell r="I25">
            <v>700</v>
          </cell>
          <cell r="J25">
            <v>600</v>
          </cell>
          <cell r="K25">
            <v>2000</v>
          </cell>
          <cell r="L25">
            <v>1000</v>
          </cell>
          <cell r="M25">
            <v>1000</v>
          </cell>
        </row>
        <row r="26">
          <cell r="A26" t="str">
            <v>B0BZDW8JV1</v>
          </cell>
          <cell r="B26">
            <v>1000</v>
          </cell>
          <cell r="C26">
            <v>900</v>
          </cell>
          <cell r="D26">
            <v>200</v>
          </cell>
          <cell r="E26">
            <v>200</v>
          </cell>
          <cell r="F26">
            <v>100</v>
          </cell>
          <cell r="G26">
            <v>100</v>
          </cell>
          <cell r="H26">
            <v>100</v>
          </cell>
          <cell r="I26">
            <v>100</v>
          </cell>
          <cell r="J26">
            <v>300</v>
          </cell>
          <cell r="K26">
            <v>1000</v>
          </cell>
          <cell r="L26">
            <v>1000</v>
          </cell>
          <cell r="M26">
            <v>1000</v>
          </cell>
        </row>
        <row r="27">
          <cell r="A27" t="str">
            <v>B01MR39KH9</v>
          </cell>
          <cell r="B27">
            <v>400</v>
          </cell>
          <cell r="C27">
            <v>300</v>
          </cell>
          <cell r="D27">
            <v>200</v>
          </cell>
          <cell r="E27">
            <v>300</v>
          </cell>
          <cell r="F27">
            <v>300</v>
          </cell>
          <cell r="G27">
            <v>400</v>
          </cell>
          <cell r="H27">
            <v>300</v>
          </cell>
          <cell r="I27">
            <v>300</v>
          </cell>
          <cell r="J27">
            <v>400</v>
          </cell>
          <cell r="K27">
            <v>600</v>
          </cell>
          <cell r="L27">
            <v>700</v>
          </cell>
          <cell r="M27">
            <v>500</v>
          </cell>
        </row>
        <row r="28">
          <cell r="A28" t="str">
            <v>B012RDZ7R8</v>
          </cell>
          <cell r="B28">
            <v>300</v>
          </cell>
          <cell r="C28">
            <v>200</v>
          </cell>
          <cell r="D28">
            <v>300</v>
          </cell>
          <cell r="E28">
            <v>200</v>
          </cell>
          <cell r="F28">
            <v>200</v>
          </cell>
          <cell r="G28">
            <v>300</v>
          </cell>
          <cell r="H28">
            <v>300</v>
          </cell>
          <cell r="I28">
            <v>200</v>
          </cell>
          <cell r="J28">
            <v>600</v>
          </cell>
          <cell r="K28">
            <v>100</v>
          </cell>
          <cell r="L28">
            <v>200</v>
          </cell>
          <cell r="M28">
            <v>500</v>
          </cell>
        </row>
        <row r="29">
          <cell r="A29" t="str">
            <v>B0132FQWLU</v>
          </cell>
          <cell r="B29">
            <v>800</v>
          </cell>
          <cell r="C29">
            <v>800</v>
          </cell>
          <cell r="D29">
            <v>900</v>
          </cell>
          <cell r="E29">
            <v>300</v>
          </cell>
          <cell r="F29">
            <v>400</v>
          </cell>
          <cell r="G29">
            <v>500</v>
          </cell>
          <cell r="H29">
            <v>400</v>
          </cell>
          <cell r="I29">
            <v>500</v>
          </cell>
          <cell r="J29">
            <v>500</v>
          </cell>
          <cell r="K29">
            <v>1000</v>
          </cell>
          <cell r="L29">
            <v>1000</v>
          </cell>
          <cell r="M29">
            <v>2000</v>
          </cell>
        </row>
        <row r="30">
          <cell r="A30" t="str">
            <v>B01MT6BRM7</v>
          </cell>
          <cell r="B30">
            <v>300</v>
          </cell>
          <cell r="C30">
            <v>400</v>
          </cell>
          <cell r="D30">
            <v>300</v>
          </cell>
          <cell r="E30">
            <v>200</v>
          </cell>
          <cell r="F30">
            <v>600</v>
          </cell>
          <cell r="G30">
            <v>700</v>
          </cell>
          <cell r="H30">
            <v>200</v>
          </cell>
          <cell r="I30">
            <v>200</v>
          </cell>
          <cell r="J30">
            <v>500</v>
          </cell>
          <cell r="K30">
            <v>500</v>
          </cell>
          <cell r="L30">
            <v>100</v>
          </cell>
          <cell r="M30">
            <v>600</v>
          </cell>
        </row>
        <row r="31">
          <cell r="A31" t="str">
            <v>B012RGNIO4</v>
          </cell>
          <cell r="B31">
            <v>1000</v>
          </cell>
          <cell r="C31">
            <v>1000</v>
          </cell>
          <cell r="D31">
            <v>600</v>
          </cell>
          <cell r="E31">
            <v>200</v>
          </cell>
          <cell r="F31">
            <v>200</v>
          </cell>
          <cell r="G31">
            <v>300</v>
          </cell>
          <cell r="H31">
            <v>200</v>
          </cell>
          <cell r="I31">
            <v>300</v>
          </cell>
          <cell r="J31">
            <v>400</v>
          </cell>
          <cell r="K31">
            <v>1000</v>
          </cell>
          <cell r="L31">
            <v>4000</v>
          </cell>
          <cell r="M31">
            <v>3000</v>
          </cell>
        </row>
        <row r="32">
          <cell r="A32" t="str">
            <v>B012RGQVM0</v>
          </cell>
          <cell r="B32">
            <v>500</v>
          </cell>
          <cell r="C32">
            <v>600</v>
          </cell>
          <cell r="D32">
            <v>400</v>
          </cell>
          <cell r="E32">
            <v>300</v>
          </cell>
          <cell r="F32">
            <v>200</v>
          </cell>
          <cell r="G32">
            <v>500</v>
          </cell>
          <cell r="H32">
            <v>300</v>
          </cell>
          <cell r="I32">
            <v>400</v>
          </cell>
          <cell r="J32">
            <v>400</v>
          </cell>
          <cell r="K32">
            <v>700</v>
          </cell>
          <cell r="L32">
            <v>900</v>
          </cell>
          <cell r="M32">
            <v>700</v>
          </cell>
        </row>
        <row r="33">
          <cell r="A33" t="str">
            <v>B01N0Y1I7T</v>
          </cell>
          <cell r="B33">
            <v>300</v>
          </cell>
          <cell r="C33">
            <v>500</v>
          </cell>
          <cell r="D33">
            <v>400</v>
          </cell>
          <cell r="E33">
            <v>400</v>
          </cell>
          <cell r="F33">
            <v>400</v>
          </cell>
          <cell r="G33">
            <v>400</v>
          </cell>
          <cell r="H33">
            <v>300</v>
          </cell>
          <cell r="I33">
            <v>500</v>
          </cell>
          <cell r="J33">
            <v>500</v>
          </cell>
          <cell r="K33">
            <v>300</v>
          </cell>
          <cell r="L33">
            <v>1000</v>
          </cell>
          <cell r="M33">
            <v>1000</v>
          </cell>
        </row>
        <row r="34">
          <cell r="A34" t="str">
            <v>B01N1ZL6RK</v>
          </cell>
          <cell r="B34">
            <v>1000</v>
          </cell>
          <cell r="C34">
            <v>200</v>
          </cell>
          <cell r="D34">
            <v>100</v>
          </cell>
          <cell r="E34">
            <v>100</v>
          </cell>
          <cell r="F34">
            <v>200</v>
          </cell>
          <cell r="G34">
            <v>200</v>
          </cell>
          <cell r="H34">
            <v>500</v>
          </cell>
          <cell r="I34">
            <v>200</v>
          </cell>
          <cell r="J34">
            <v>300</v>
          </cell>
          <cell r="K34">
            <v>1000</v>
          </cell>
          <cell r="L34">
            <v>1000</v>
          </cell>
          <cell r="M34">
            <v>700</v>
          </cell>
        </row>
        <row r="35">
          <cell r="A35" t="str">
            <v>B012E3SYXK</v>
          </cell>
          <cell r="B35">
            <v>100</v>
          </cell>
          <cell r="C35">
            <v>100</v>
          </cell>
          <cell r="D35">
            <v>100</v>
          </cell>
          <cell r="E35">
            <v>200</v>
          </cell>
          <cell r="F35">
            <v>300</v>
          </cell>
          <cell r="G35">
            <v>300</v>
          </cell>
          <cell r="H35">
            <v>300</v>
          </cell>
          <cell r="I35">
            <v>50</v>
          </cell>
          <cell r="J35">
            <v>400</v>
          </cell>
          <cell r="K35">
            <v>300</v>
          </cell>
          <cell r="L35">
            <v>200</v>
          </cell>
          <cell r="M35">
            <v>100</v>
          </cell>
        </row>
        <row r="36">
          <cell r="A36" t="str">
            <v>B01BUTD9D4</v>
          </cell>
          <cell r="B36">
            <v>700</v>
          </cell>
          <cell r="C36">
            <v>400</v>
          </cell>
          <cell r="D36">
            <v>400</v>
          </cell>
          <cell r="E36">
            <v>400</v>
          </cell>
          <cell r="F36">
            <v>300</v>
          </cell>
          <cell r="G36">
            <v>400</v>
          </cell>
          <cell r="H36">
            <v>300</v>
          </cell>
          <cell r="I36">
            <v>400</v>
          </cell>
          <cell r="J36">
            <v>400</v>
          </cell>
          <cell r="K36">
            <v>800</v>
          </cell>
          <cell r="L36">
            <v>700</v>
          </cell>
          <cell r="M36">
            <v>2000</v>
          </cell>
        </row>
        <row r="37">
          <cell r="A37" t="str">
            <v>B012REFL3C</v>
          </cell>
          <cell r="B37">
            <v>100</v>
          </cell>
          <cell r="C37">
            <v>100</v>
          </cell>
          <cell r="D37">
            <v>100</v>
          </cell>
          <cell r="E37">
            <v>100</v>
          </cell>
          <cell r="F37">
            <v>100</v>
          </cell>
          <cell r="G37">
            <v>200</v>
          </cell>
          <cell r="H37">
            <v>100</v>
          </cell>
          <cell r="I37">
            <v>200</v>
          </cell>
          <cell r="J37">
            <v>200</v>
          </cell>
          <cell r="K37">
            <v>500</v>
          </cell>
          <cell r="L37">
            <v>500</v>
          </cell>
          <cell r="M37">
            <v>300</v>
          </cell>
        </row>
        <row r="38">
          <cell r="A38" t="str">
            <v>B0CKLYKJH6</v>
          </cell>
          <cell r="B38">
            <v>250</v>
          </cell>
          <cell r="C38">
            <v>250</v>
          </cell>
          <cell r="D38">
            <v>250</v>
          </cell>
          <cell r="E38">
            <v>250</v>
          </cell>
          <cell r="F38">
            <v>250</v>
          </cell>
          <cell r="G38">
            <v>250</v>
          </cell>
          <cell r="H38">
            <v>250</v>
          </cell>
          <cell r="I38">
            <v>500</v>
          </cell>
          <cell r="J38">
            <v>500</v>
          </cell>
          <cell r="K38">
            <v>500</v>
          </cell>
          <cell r="L38">
            <v>500</v>
          </cell>
          <cell r="M38">
            <v>500</v>
          </cell>
        </row>
        <row r="39">
          <cell r="A39" t="str">
            <v>B08SLP5MQ1</v>
          </cell>
          <cell r="B39">
            <v>300</v>
          </cell>
          <cell r="C39">
            <v>100</v>
          </cell>
          <cell r="D39">
            <v>200</v>
          </cell>
          <cell r="E39">
            <v>200</v>
          </cell>
          <cell r="F39">
            <v>200</v>
          </cell>
          <cell r="G39">
            <v>300</v>
          </cell>
          <cell r="H39">
            <v>200</v>
          </cell>
          <cell r="I39">
            <v>400</v>
          </cell>
          <cell r="J39">
            <v>300</v>
          </cell>
          <cell r="K39">
            <v>300</v>
          </cell>
          <cell r="L39">
            <v>600</v>
          </cell>
          <cell r="M39">
            <v>600</v>
          </cell>
        </row>
        <row r="40">
          <cell r="A40" t="str">
            <v>B012RDT5YE</v>
          </cell>
          <cell r="B40">
            <v>0</v>
          </cell>
          <cell r="C40">
            <v>0</v>
          </cell>
          <cell r="D40">
            <v>100</v>
          </cell>
          <cell r="E40">
            <v>100</v>
          </cell>
          <cell r="F40">
            <v>200</v>
          </cell>
          <cell r="G40">
            <v>300</v>
          </cell>
          <cell r="H40">
            <v>400</v>
          </cell>
          <cell r="I40">
            <v>300</v>
          </cell>
          <cell r="J40">
            <v>300</v>
          </cell>
          <cell r="K40">
            <v>0</v>
          </cell>
          <cell r="L40">
            <v>0</v>
          </cell>
          <cell r="M40">
            <v>0</v>
          </cell>
        </row>
        <row r="41">
          <cell r="A41" t="str">
            <v>B008RGCA9I</v>
          </cell>
          <cell r="B41">
            <v>200</v>
          </cell>
          <cell r="C41">
            <v>200</v>
          </cell>
          <cell r="D41">
            <v>400</v>
          </cell>
          <cell r="E41">
            <v>400</v>
          </cell>
          <cell r="F41">
            <v>400</v>
          </cell>
          <cell r="G41">
            <v>500</v>
          </cell>
          <cell r="H41">
            <v>300</v>
          </cell>
          <cell r="I41">
            <v>300</v>
          </cell>
          <cell r="J41">
            <v>300</v>
          </cell>
          <cell r="K41">
            <v>500</v>
          </cell>
          <cell r="L41">
            <v>400</v>
          </cell>
          <cell r="M41">
            <v>200</v>
          </cell>
        </row>
        <row r="42">
          <cell r="A42" t="str">
            <v>B012RDZH96</v>
          </cell>
          <cell r="B42">
            <v>100</v>
          </cell>
          <cell r="C42">
            <v>300</v>
          </cell>
          <cell r="D42">
            <v>200</v>
          </cell>
          <cell r="E42">
            <v>200</v>
          </cell>
          <cell r="F42">
            <v>200</v>
          </cell>
          <cell r="G42">
            <v>300</v>
          </cell>
          <cell r="H42">
            <v>200</v>
          </cell>
          <cell r="I42">
            <v>300</v>
          </cell>
          <cell r="J42">
            <v>300</v>
          </cell>
          <cell r="K42">
            <v>500</v>
          </cell>
          <cell r="L42">
            <v>600</v>
          </cell>
          <cell r="M42">
            <v>400</v>
          </cell>
        </row>
        <row r="43">
          <cell r="A43" t="str">
            <v>B08W28QJ5N</v>
          </cell>
          <cell r="B43">
            <v>0</v>
          </cell>
          <cell r="C43">
            <v>0</v>
          </cell>
          <cell r="D43">
            <v>0</v>
          </cell>
          <cell r="E43">
            <v>0</v>
          </cell>
          <cell r="F43">
            <v>0</v>
          </cell>
          <cell r="G43">
            <v>200</v>
          </cell>
          <cell r="H43">
            <v>200</v>
          </cell>
          <cell r="I43">
            <v>200</v>
          </cell>
          <cell r="J43">
            <v>200</v>
          </cell>
          <cell r="K43">
            <v>0</v>
          </cell>
          <cell r="L43">
            <v>0</v>
          </cell>
          <cell r="M43">
            <v>0</v>
          </cell>
        </row>
        <row r="44">
          <cell r="A44" t="str">
            <v>B0DVH59VKD</v>
          </cell>
          <cell r="B44">
            <v>200</v>
          </cell>
          <cell r="C44">
            <v>300</v>
          </cell>
          <cell r="D44">
            <v>600</v>
          </cell>
          <cell r="E44">
            <v>200</v>
          </cell>
          <cell r="F44">
            <v>200</v>
          </cell>
          <cell r="G44">
            <v>200</v>
          </cell>
          <cell r="H44">
            <v>200</v>
          </cell>
          <cell r="I44">
            <v>200</v>
          </cell>
          <cell r="J44">
            <v>200</v>
          </cell>
          <cell r="K44">
            <v>600</v>
          </cell>
          <cell r="L44">
            <v>900</v>
          </cell>
          <cell r="M44">
            <v>1000</v>
          </cell>
        </row>
        <row r="45">
          <cell r="A45" t="str">
            <v>B0BZDY5G3R</v>
          </cell>
          <cell r="B45">
            <v>100</v>
          </cell>
          <cell r="C45">
            <v>50</v>
          </cell>
          <cell r="D45">
            <v>50</v>
          </cell>
          <cell r="E45">
            <v>50</v>
          </cell>
          <cell r="F45">
            <v>50</v>
          </cell>
          <cell r="G45">
            <v>100</v>
          </cell>
          <cell r="H45">
            <v>100</v>
          </cell>
          <cell r="I45">
            <v>100</v>
          </cell>
          <cell r="J45">
            <v>200</v>
          </cell>
          <cell r="K45">
            <v>200</v>
          </cell>
          <cell r="L45">
            <v>300</v>
          </cell>
          <cell r="M45">
            <v>100</v>
          </cell>
        </row>
        <row r="46">
          <cell r="A46" t="str">
            <v>B07YLDRZVX</v>
          </cell>
          <cell r="B46">
            <v>200</v>
          </cell>
          <cell r="C46">
            <v>100</v>
          </cell>
          <cell r="D46">
            <v>200</v>
          </cell>
          <cell r="E46">
            <v>200</v>
          </cell>
          <cell r="F46">
            <v>300</v>
          </cell>
          <cell r="G46">
            <v>300</v>
          </cell>
          <cell r="H46">
            <v>200</v>
          </cell>
          <cell r="I46">
            <v>300</v>
          </cell>
          <cell r="J46">
            <v>300</v>
          </cell>
          <cell r="K46">
            <v>100</v>
          </cell>
          <cell r="L46">
            <v>200</v>
          </cell>
          <cell r="M46">
            <v>200</v>
          </cell>
        </row>
        <row r="47">
          <cell r="A47" t="str">
            <v>B012RDQXMQ</v>
          </cell>
          <cell r="B47">
            <v>100</v>
          </cell>
          <cell r="C47">
            <v>100</v>
          </cell>
          <cell r="D47">
            <v>200</v>
          </cell>
          <cell r="E47">
            <v>200</v>
          </cell>
          <cell r="F47">
            <v>200</v>
          </cell>
          <cell r="G47">
            <v>200</v>
          </cell>
          <cell r="H47">
            <v>100</v>
          </cell>
          <cell r="I47">
            <v>200</v>
          </cell>
          <cell r="J47">
            <v>200</v>
          </cell>
          <cell r="K47">
            <v>0</v>
          </cell>
          <cell r="L47">
            <v>0</v>
          </cell>
          <cell r="M47">
            <v>50</v>
          </cell>
        </row>
        <row r="48">
          <cell r="A48" t="str">
            <v>B012VK6OOW</v>
          </cell>
          <cell r="B48">
            <v>0</v>
          </cell>
          <cell r="C48">
            <v>0</v>
          </cell>
          <cell r="D48">
            <v>60</v>
          </cell>
          <cell r="E48">
            <v>100</v>
          </cell>
          <cell r="F48">
            <v>200</v>
          </cell>
          <cell r="G48">
            <v>300</v>
          </cell>
          <cell r="H48">
            <v>600</v>
          </cell>
          <cell r="I48">
            <v>200</v>
          </cell>
          <cell r="J48">
            <v>200</v>
          </cell>
          <cell r="K48">
            <v>0</v>
          </cell>
          <cell r="L48">
            <v>0</v>
          </cell>
          <cell r="M48">
            <v>0</v>
          </cell>
        </row>
        <row r="49">
          <cell r="A49" t="str">
            <v>B01N7KUOWN</v>
          </cell>
          <cell r="B49">
            <v>50</v>
          </cell>
          <cell r="C49">
            <v>50</v>
          </cell>
          <cell r="D49">
            <v>100</v>
          </cell>
          <cell r="E49">
            <v>100</v>
          </cell>
          <cell r="F49">
            <v>100</v>
          </cell>
          <cell r="G49">
            <v>100</v>
          </cell>
          <cell r="H49">
            <v>100</v>
          </cell>
          <cell r="I49">
            <v>100</v>
          </cell>
          <cell r="J49">
            <v>100</v>
          </cell>
          <cell r="K49">
            <v>100</v>
          </cell>
          <cell r="L49">
            <v>100</v>
          </cell>
          <cell r="M49">
            <v>100</v>
          </cell>
        </row>
        <row r="50">
          <cell r="A50" t="str">
            <v>B012RDZ34A</v>
          </cell>
          <cell r="B50">
            <v>200</v>
          </cell>
          <cell r="C50">
            <v>500</v>
          </cell>
          <cell r="D50">
            <v>400</v>
          </cell>
          <cell r="E50">
            <v>400</v>
          </cell>
          <cell r="F50">
            <v>300</v>
          </cell>
          <cell r="G50">
            <v>200</v>
          </cell>
          <cell r="H50">
            <v>100</v>
          </cell>
          <cell r="I50">
            <v>200</v>
          </cell>
          <cell r="J50">
            <v>200</v>
          </cell>
          <cell r="K50">
            <v>600</v>
          </cell>
          <cell r="L50">
            <v>600</v>
          </cell>
          <cell r="M50">
            <v>500</v>
          </cell>
        </row>
        <row r="51">
          <cell r="A51" t="str">
            <v>B0BZDTVQYC</v>
          </cell>
          <cell r="B51">
            <v>100</v>
          </cell>
          <cell r="C51">
            <v>200</v>
          </cell>
          <cell r="D51">
            <v>300</v>
          </cell>
          <cell r="E51">
            <v>100</v>
          </cell>
          <cell r="F51">
            <v>100</v>
          </cell>
          <cell r="G51">
            <v>200</v>
          </cell>
          <cell r="H51">
            <v>100</v>
          </cell>
          <cell r="I51">
            <v>200</v>
          </cell>
          <cell r="J51">
            <v>200</v>
          </cell>
          <cell r="K51">
            <v>300</v>
          </cell>
          <cell r="L51">
            <v>300</v>
          </cell>
          <cell r="M51">
            <v>300</v>
          </cell>
        </row>
        <row r="52">
          <cell r="A52" t="str">
            <v>B012VN2PSS</v>
          </cell>
          <cell r="B52">
            <v>200</v>
          </cell>
          <cell r="C52">
            <v>300</v>
          </cell>
          <cell r="D52">
            <v>300</v>
          </cell>
          <cell r="E52">
            <v>200</v>
          </cell>
          <cell r="F52">
            <v>200</v>
          </cell>
          <cell r="G52">
            <v>200</v>
          </cell>
          <cell r="H52">
            <v>200</v>
          </cell>
          <cell r="I52">
            <v>300</v>
          </cell>
          <cell r="J52">
            <v>200</v>
          </cell>
          <cell r="K52">
            <v>400</v>
          </cell>
          <cell r="L52">
            <v>500</v>
          </cell>
          <cell r="M52">
            <v>800</v>
          </cell>
        </row>
        <row r="53">
          <cell r="A53" t="str">
            <v>B012REE9C6</v>
          </cell>
          <cell r="B53">
            <v>100</v>
          </cell>
          <cell r="C53">
            <v>200</v>
          </cell>
          <cell r="D53">
            <v>200</v>
          </cell>
          <cell r="E53">
            <v>200</v>
          </cell>
          <cell r="F53">
            <v>200</v>
          </cell>
          <cell r="G53">
            <v>300</v>
          </cell>
          <cell r="H53">
            <v>200</v>
          </cell>
          <cell r="I53">
            <v>400</v>
          </cell>
          <cell r="J53">
            <v>500</v>
          </cell>
          <cell r="K53">
            <v>200</v>
          </cell>
          <cell r="L53">
            <v>300</v>
          </cell>
          <cell r="M53">
            <v>200</v>
          </cell>
        </row>
        <row r="54">
          <cell r="A54" t="str">
            <v>B01N30Z11V</v>
          </cell>
          <cell r="B54">
            <v>1000</v>
          </cell>
          <cell r="C54">
            <v>1000</v>
          </cell>
          <cell r="D54">
            <v>400</v>
          </cell>
          <cell r="E54">
            <v>300</v>
          </cell>
          <cell r="F54">
            <v>400</v>
          </cell>
          <cell r="G54">
            <v>300</v>
          </cell>
          <cell r="H54">
            <v>300</v>
          </cell>
          <cell r="I54">
            <v>100</v>
          </cell>
          <cell r="J54">
            <v>200</v>
          </cell>
          <cell r="K54">
            <v>500</v>
          </cell>
          <cell r="L54">
            <v>500</v>
          </cell>
          <cell r="M54">
            <v>1000</v>
          </cell>
        </row>
        <row r="55">
          <cell r="A55" t="str">
            <v>B012VN2HLI</v>
          </cell>
          <cell r="B55">
            <v>500</v>
          </cell>
          <cell r="C55">
            <v>300</v>
          </cell>
          <cell r="D55">
            <v>200</v>
          </cell>
          <cell r="E55">
            <v>300</v>
          </cell>
          <cell r="F55">
            <v>200</v>
          </cell>
          <cell r="G55">
            <v>200</v>
          </cell>
          <cell r="H55">
            <v>200</v>
          </cell>
          <cell r="I55">
            <v>200</v>
          </cell>
          <cell r="J55">
            <v>200</v>
          </cell>
          <cell r="K55">
            <v>700</v>
          </cell>
          <cell r="L55">
            <v>700</v>
          </cell>
          <cell r="M55">
            <v>600</v>
          </cell>
        </row>
        <row r="56">
          <cell r="A56" t="str">
            <v>B012VP1VPY</v>
          </cell>
          <cell r="B56">
            <v>200</v>
          </cell>
          <cell r="C56">
            <v>200</v>
          </cell>
          <cell r="D56">
            <v>200</v>
          </cell>
          <cell r="E56">
            <v>100</v>
          </cell>
          <cell r="F56">
            <v>200</v>
          </cell>
          <cell r="G56">
            <v>200</v>
          </cell>
          <cell r="H56">
            <v>200</v>
          </cell>
          <cell r="I56">
            <v>200</v>
          </cell>
          <cell r="J56">
            <v>200</v>
          </cell>
          <cell r="K56">
            <v>100</v>
          </cell>
          <cell r="L56">
            <v>300</v>
          </cell>
          <cell r="M56">
            <v>300</v>
          </cell>
        </row>
        <row r="57">
          <cell r="A57" t="str">
            <v>B01MT6BRO9</v>
          </cell>
          <cell r="B57">
            <v>0</v>
          </cell>
          <cell r="C57">
            <v>100</v>
          </cell>
          <cell r="D57">
            <v>50</v>
          </cell>
          <cell r="E57">
            <v>50</v>
          </cell>
          <cell r="F57">
            <v>50</v>
          </cell>
          <cell r="G57">
            <v>50</v>
          </cell>
          <cell r="H57">
            <v>50</v>
          </cell>
          <cell r="I57">
            <v>50</v>
          </cell>
          <cell r="J57">
            <v>50</v>
          </cell>
          <cell r="K57">
            <v>50</v>
          </cell>
          <cell r="L57">
            <v>50</v>
          </cell>
          <cell r="M57">
            <v>50</v>
          </cell>
        </row>
        <row r="58">
          <cell r="A58" t="str">
            <v>B073Z6T92D</v>
          </cell>
          <cell r="B58">
            <v>100</v>
          </cell>
          <cell r="C58">
            <v>100</v>
          </cell>
          <cell r="D58">
            <v>100</v>
          </cell>
          <cell r="E58">
            <v>200</v>
          </cell>
          <cell r="F58">
            <v>200</v>
          </cell>
          <cell r="G58">
            <v>200</v>
          </cell>
          <cell r="H58">
            <v>300</v>
          </cell>
          <cell r="I58">
            <v>300</v>
          </cell>
          <cell r="J58">
            <v>200</v>
          </cell>
          <cell r="K58">
            <v>300</v>
          </cell>
          <cell r="L58">
            <v>200</v>
          </cell>
          <cell r="M58">
            <v>100</v>
          </cell>
        </row>
        <row r="59">
          <cell r="A59" t="str">
            <v>B012RDRGYU</v>
          </cell>
          <cell r="B59">
            <v>0</v>
          </cell>
          <cell r="C59">
            <v>0</v>
          </cell>
          <cell r="D59">
            <v>50</v>
          </cell>
          <cell r="E59">
            <v>100</v>
          </cell>
          <cell r="F59">
            <v>100</v>
          </cell>
          <cell r="G59">
            <v>300</v>
          </cell>
          <cell r="H59">
            <v>300</v>
          </cell>
          <cell r="I59">
            <v>200</v>
          </cell>
          <cell r="J59">
            <v>200</v>
          </cell>
          <cell r="K59">
            <v>200</v>
          </cell>
          <cell r="L59">
            <v>100</v>
          </cell>
          <cell r="M59">
            <v>0</v>
          </cell>
        </row>
        <row r="60">
          <cell r="A60" t="str">
            <v>B09GGF2F71</v>
          </cell>
          <cell r="B60">
            <v>100</v>
          </cell>
          <cell r="C60">
            <v>100</v>
          </cell>
          <cell r="D60">
            <v>100</v>
          </cell>
          <cell r="E60">
            <v>100</v>
          </cell>
          <cell r="F60">
            <v>200</v>
          </cell>
          <cell r="G60">
            <v>200</v>
          </cell>
          <cell r="H60">
            <v>200</v>
          </cell>
          <cell r="I60">
            <v>200</v>
          </cell>
          <cell r="J60">
            <v>200</v>
          </cell>
          <cell r="K60">
            <v>200</v>
          </cell>
          <cell r="L60">
            <v>100</v>
          </cell>
          <cell r="M60">
            <v>100</v>
          </cell>
        </row>
        <row r="61">
          <cell r="A61" t="str">
            <v>B0CKLZ3HMN</v>
          </cell>
          <cell r="B61">
            <v>100</v>
          </cell>
          <cell r="C61">
            <v>100</v>
          </cell>
          <cell r="D61">
            <v>200</v>
          </cell>
          <cell r="E61">
            <v>100</v>
          </cell>
          <cell r="F61">
            <v>100</v>
          </cell>
          <cell r="G61">
            <v>100</v>
          </cell>
          <cell r="H61">
            <v>200</v>
          </cell>
          <cell r="I61">
            <v>200</v>
          </cell>
          <cell r="J61">
            <v>300</v>
          </cell>
          <cell r="K61">
            <v>100</v>
          </cell>
          <cell r="L61">
            <v>300</v>
          </cell>
          <cell r="M61">
            <v>100</v>
          </cell>
        </row>
        <row r="62">
          <cell r="A62" t="str">
            <v>B01N5MJFZK</v>
          </cell>
          <cell r="B62">
            <v>600</v>
          </cell>
          <cell r="C62">
            <v>1000</v>
          </cell>
          <cell r="D62">
            <v>1000</v>
          </cell>
          <cell r="E62">
            <v>1000</v>
          </cell>
          <cell r="F62">
            <v>1000</v>
          </cell>
          <cell r="G62">
            <v>1000</v>
          </cell>
          <cell r="H62">
            <v>2000</v>
          </cell>
          <cell r="I62">
            <v>100</v>
          </cell>
          <cell r="J62">
            <v>100</v>
          </cell>
          <cell r="K62">
            <v>900</v>
          </cell>
          <cell r="L62">
            <v>1000</v>
          </cell>
          <cell r="M62">
            <v>1000</v>
          </cell>
        </row>
        <row r="63">
          <cell r="A63" t="str">
            <v>B01NBNAM0Y</v>
          </cell>
          <cell r="B63">
            <v>50</v>
          </cell>
          <cell r="C63">
            <v>100</v>
          </cell>
          <cell r="D63">
            <v>50</v>
          </cell>
          <cell r="E63">
            <v>50</v>
          </cell>
          <cell r="F63">
            <v>100</v>
          </cell>
          <cell r="G63">
            <v>50</v>
          </cell>
          <cell r="H63">
            <v>50</v>
          </cell>
          <cell r="I63">
            <v>100</v>
          </cell>
          <cell r="J63">
            <v>100</v>
          </cell>
          <cell r="K63">
            <v>50</v>
          </cell>
          <cell r="L63">
            <v>300</v>
          </cell>
          <cell r="M63">
            <v>100</v>
          </cell>
        </row>
        <row r="64">
          <cell r="A64" t="str">
            <v>B012RGO4ZG</v>
          </cell>
          <cell r="B64">
            <v>100</v>
          </cell>
          <cell r="C64">
            <v>100</v>
          </cell>
          <cell r="D64">
            <v>100</v>
          </cell>
          <cell r="E64">
            <v>0</v>
          </cell>
          <cell r="F64">
            <v>100</v>
          </cell>
          <cell r="G64">
            <v>100</v>
          </cell>
          <cell r="H64">
            <v>100</v>
          </cell>
          <cell r="I64">
            <v>100</v>
          </cell>
          <cell r="J64">
            <v>100</v>
          </cell>
          <cell r="K64">
            <v>100</v>
          </cell>
          <cell r="L64">
            <v>100</v>
          </cell>
          <cell r="M64">
            <v>100</v>
          </cell>
        </row>
        <row r="65">
          <cell r="A65" t="str">
            <v>B0132FYCP8</v>
          </cell>
          <cell r="B65">
            <v>500</v>
          </cell>
          <cell r="C65">
            <v>200</v>
          </cell>
          <cell r="D65">
            <v>100</v>
          </cell>
          <cell r="E65">
            <v>0</v>
          </cell>
          <cell r="F65">
            <v>0</v>
          </cell>
          <cell r="G65">
            <v>0</v>
          </cell>
          <cell r="H65">
            <v>200</v>
          </cell>
          <cell r="I65">
            <v>500</v>
          </cell>
          <cell r="J65">
            <v>100</v>
          </cell>
          <cell r="K65">
            <v>500</v>
          </cell>
          <cell r="L65">
            <v>400</v>
          </cell>
          <cell r="M65">
            <v>400</v>
          </cell>
        </row>
        <row r="66">
          <cell r="A66" t="str">
            <v>B012VK688Y</v>
          </cell>
          <cell r="B66">
            <v>0</v>
          </cell>
          <cell r="C66">
            <v>0</v>
          </cell>
          <cell r="D66">
            <v>0</v>
          </cell>
          <cell r="E66">
            <v>0</v>
          </cell>
          <cell r="F66">
            <v>0</v>
          </cell>
          <cell r="G66">
            <v>50</v>
          </cell>
          <cell r="H66">
            <v>50</v>
          </cell>
          <cell r="I66">
            <v>100</v>
          </cell>
          <cell r="J66">
            <v>100</v>
          </cell>
          <cell r="K66">
            <v>0</v>
          </cell>
          <cell r="L66">
            <v>0</v>
          </cell>
          <cell r="M66">
            <v>0</v>
          </cell>
        </row>
        <row r="67">
          <cell r="A67" t="str">
            <v>B01MS07UDH</v>
          </cell>
          <cell r="B67">
            <v>0</v>
          </cell>
          <cell r="C67">
            <v>0</v>
          </cell>
          <cell r="D67">
            <v>100</v>
          </cell>
          <cell r="E67">
            <v>100</v>
          </cell>
          <cell r="F67">
            <v>100</v>
          </cell>
          <cell r="G67">
            <v>200</v>
          </cell>
          <cell r="H67">
            <v>100</v>
          </cell>
          <cell r="I67">
            <v>100</v>
          </cell>
          <cell r="J67">
            <v>100</v>
          </cell>
          <cell r="K67">
            <v>0</v>
          </cell>
          <cell r="L67">
            <v>0</v>
          </cell>
          <cell r="M67">
            <v>0</v>
          </cell>
        </row>
        <row r="68">
          <cell r="A68" t="str">
            <v>B01MY5HL4Y</v>
          </cell>
          <cell r="B68">
            <v>50</v>
          </cell>
          <cell r="C68">
            <v>50</v>
          </cell>
          <cell r="D68">
            <v>50</v>
          </cell>
          <cell r="E68">
            <v>100</v>
          </cell>
          <cell r="F68">
            <v>100</v>
          </cell>
          <cell r="G68">
            <v>100</v>
          </cell>
          <cell r="H68">
            <v>50</v>
          </cell>
          <cell r="I68">
            <v>50</v>
          </cell>
          <cell r="J68">
            <v>100</v>
          </cell>
          <cell r="K68">
            <v>100</v>
          </cell>
          <cell r="L68">
            <v>100</v>
          </cell>
          <cell r="M68">
            <v>100</v>
          </cell>
        </row>
        <row r="69">
          <cell r="A69" t="str">
            <v>B01N5MKVUS</v>
          </cell>
          <cell r="B69">
            <v>0</v>
          </cell>
          <cell r="C69">
            <v>0</v>
          </cell>
          <cell r="D69">
            <v>50</v>
          </cell>
          <cell r="E69">
            <v>50</v>
          </cell>
          <cell r="F69">
            <v>50</v>
          </cell>
          <cell r="G69">
            <v>50</v>
          </cell>
          <cell r="H69">
            <v>50</v>
          </cell>
          <cell r="I69">
            <v>50</v>
          </cell>
          <cell r="J69">
            <v>100</v>
          </cell>
          <cell r="K69">
            <v>50</v>
          </cell>
          <cell r="L69">
            <v>50</v>
          </cell>
          <cell r="M69">
            <v>0</v>
          </cell>
        </row>
        <row r="70">
          <cell r="A70" t="str">
            <v>B01NCOT3W4</v>
          </cell>
          <cell r="B70">
            <v>50</v>
          </cell>
          <cell r="C70">
            <v>0</v>
          </cell>
          <cell r="D70">
            <v>0</v>
          </cell>
          <cell r="E70">
            <v>0</v>
          </cell>
          <cell r="F70">
            <v>0</v>
          </cell>
          <cell r="G70">
            <v>50</v>
          </cell>
          <cell r="H70">
            <v>50</v>
          </cell>
          <cell r="I70">
            <v>50</v>
          </cell>
          <cell r="J70">
            <v>100</v>
          </cell>
          <cell r="K70">
            <v>100</v>
          </cell>
          <cell r="L70">
            <v>100</v>
          </cell>
          <cell r="M70">
            <v>50</v>
          </cell>
        </row>
        <row r="71">
          <cell r="A71" t="str">
            <v>B01MQYUVLK</v>
          </cell>
          <cell r="B71">
            <v>200</v>
          </cell>
          <cell r="C71">
            <v>200</v>
          </cell>
          <cell r="D71">
            <v>100</v>
          </cell>
          <cell r="E71">
            <v>0</v>
          </cell>
          <cell r="F71">
            <v>50</v>
          </cell>
          <cell r="G71">
            <v>100</v>
          </cell>
          <cell r="H71">
            <v>50</v>
          </cell>
          <cell r="I71">
            <v>50</v>
          </cell>
          <cell r="J71">
            <v>100</v>
          </cell>
          <cell r="K71">
            <v>400</v>
          </cell>
          <cell r="L71">
            <v>800</v>
          </cell>
          <cell r="M71">
            <v>700</v>
          </cell>
        </row>
        <row r="72">
          <cell r="A72" t="str">
            <v>B012REEF2A</v>
          </cell>
          <cell r="B72">
            <v>0</v>
          </cell>
          <cell r="C72">
            <v>0</v>
          </cell>
          <cell r="D72">
            <v>0</v>
          </cell>
          <cell r="E72">
            <v>0</v>
          </cell>
          <cell r="F72">
            <v>0</v>
          </cell>
          <cell r="G72">
            <v>0</v>
          </cell>
          <cell r="H72">
            <v>0</v>
          </cell>
          <cell r="I72">
            <v>0</v>
          </cell>
          <cell r="J72">
            <v>50</v>
          </cell>
          <cell r="K72">
            <v>0</v>
          </cell>
          <cell r="L72">
            <v>50</v>
          </cell>
          <cell r="M72">
            <v>50</v>
          </cell>
        </row>
        <row r="73">
          <cell r="A73" t="str">
            <v>B005BV0DD2</v>
          </cell>
          <cell r="B73">
            <v>1000</v>
          </cell>
          <cell r="C73">
            <v>0</v>
          </cell>
          <cell r="D73">
            <v>0</v>
          </cell>
          <cell r="E73">
            <v>0</v>
          </cell>
          <cell r="F73">
            <v>0</v>
          </cell>
          <cell r="G73">
            <v>0</v>
          </cell>
          <cell r="H73">
            <v>0</v>
          </cell>
          <cell r="I73">
            <v>0</v>
          </cell>
          <cell r="J73">
            <v>0</v>
          </cell>
          <cell r="K73">
            <v>1000</v>
          </cell>
          <cell r="L73">
            <v>1000</v>
          </cell>
          <cell r="M73">
            <v>1000</v>
          </cell>
        </row>
        <row r="74">
          <cell r="A74" t="str">
            <v>B012RDZN9A</v>
          </cell>
          <cell r="B74">
            <v>100</v>
          </cell>
          <cell r="C74">
            <v>100</v>
          </cell>
          <cell r="D74">
            <v>50</v>
          </cell>
          <cell r="E74">
            <v>50</v>
          </cell>
          <cell r="F74">
            <v>50</v>
          </cell>
          <cell r="G74">
            <v>50</v>
          </cell>
          <cell r="H74">
            <v>50</v>
          </cell>
          <cell r="I74">
            <v>50</v>
          </cell>
          <cell r="J74">
            <v>50</v>
          </cell>
          <cell r="K74">
            <v>100</v>
          </cell>
          <cell r="L74">
            <v>100</v>
          </cell>
          <cell r="M74">
            <v>100</v>
          </cell>
        </row>
        <row r="75">
          <cell r="A75" t="str">
            <v>B071L9QR2B</v>
          </cell>
          <cell r="B75">
            <v>0</v>
          </cell>
          <cell r="C75">
            <v>0</v>
          </cell>
          <cell r="D75">
            <v>0</v>
          </cell>
          <cell r="E75">
            <v>50</v>
          </cell>
          <cell r="F75">
            <v>100</v>
          </cell>
          <cell r="G75">
            <v>100</v>
          </cell>
          <cell r="H75">
            <v>200</v>
          </cell>
          <cell r="I75">
            <v>100</v>
          </cell>
          <cell r="J75">
            <v>50</v>
          </cell>
          <cell r="K75">
            <v>50</v>
          </cell>
          <cell r="L75">
            <v>0</v>
          </cell>
          <cell r="M75">
            <v>0</v>
          </cell>
        </row>
        <row r="76">
          <cell r="A76" t="str">
            <v>B01N2WKMEE</v>
          </cell>
          <cell r="B76">
            <v>100</v>
          </cell>
          <cell r="C76">
            <v>100</v>
          </cell>
          <cell r="D76">
            <v>100</v>
          </cell>
          <cell r="E76">
            <v>100</v>
          </cell>
          <cell r="F76">
            <v>100</v>
          </cell>
          <cell r="G76">
            <v>50</v>
          </cell>
          <cell r="H76">
            <v>100</v>
          </cell>
          <cell r="I76">
            <v>100</v>
          </cell>
          <cell r="J76">
            <v>100</v>
          </cell>
          <cell r="K76">
            <v>500</v>
          </cell>
          <cell r="L76">
            <v>300</v>
          </cell>
          <cell r="M76">
            <v>200</v>
          </cell>
        </row>
        <row r="77">
          <cell r="A77" t="str">
            <v>B00N6XKVNY</v>
          </cell>
          <cell r="B77">
            <v>100</v>
          </cell>
          <cell r="C77">
            <v>0</v>
          </cell>
          <cell r="D77">
            <v>100</v>
          </cell>
          <cell r="E77">
            <v>0</v>
          </cell>
          <cell r="F77">
            <v>0</v>
          </cell>
          <cell r="G77">
            <v>100</v>
          </cell>
          <cell r="H77">
            <v>100</v>
          </cell>
          <cell r="I77">
            <v>100</v>
          </cell>
          <cell r="J77">
            <v>100</v>
          </cell>
          <cell r="K77">
            <v>100</v>
          </cell>
          <cell r="L77">
            <v>100</v>
          </cell>
          <cell r="M77">
            <v>0</v>
          </cell>
        </row>
        <row r="78">
          <cell r="A78" t="str">
            <v>B01N2WKLR0</v>
          </cell>
          <cell r="B78">
            <v>50</v>
          </cell>
          <cell r="C78">
            <v>0</v>
          </cell>
          <cell r="D78">
            <v>50</v>
          </cell>
          <cell r="E78">
            <v>50</v>
          </cell>
          <cell r="F78">
            <v>0</v>
          </cell>
          <cell r="G78">
            <v>100</v>
          </cell>
          <cell r="H78">
            <v>0</v>
          </cell>
          <cell r="I78">
            <v>50</v>
          </cell>
          <cell r="J78">
            <v>50</v>
          </cell>
          <cell r="K78">
            <v>100</v>
          </cell>
          <cell r="L78">
            <v>100</v>
          </cell>
          <cell r="M78">
            <v>100</v>
          </cell>
        </row>
        <row r="79">
          <cell r="A79" t="str">
            <v>B01MZ2LOBP</v>
          </cell>
          <cell r="B79">
            <v>60</v>
          </cell>
          <cell r="C79">
            <v>60</v>
          </cell>
          <cell r="D79">
            <v>60</v>
          </cell>
          <cell r="E79">
            <v>60</v>
          </cell>
          <cell r="F79">
            <v>60</v>
          </cell>
          <cell r="G79">
            <v>60</v>
          </cell>
          <cell r="H79">
            <v>60</v>
          </cell>
          <cell r="I79">
            <v>60</v>
          </cell>
          <cell r="J79">
            <v>60</v>
          </cell>
          <cell r="K79">
            <v>100</v>
          </cell>
          <cell r="L79">
            <v>100</v>
          </cell>
          <cell r="M79">
            <v>60</v>
          </cell>
        </row>
        <row r="80">
          <cell r="A80" t="str">
            <v>B08R6F8FGY</v>
          </cell>
          <cell r="B80">
            <v>0</v>
          </cell>
          <cell r="C80">
            <v>0</v>
          </cell>
          <cell r="D80">
            <v>50</v>
          </cell>
          <cell r="E80">
            <v>50</v>
          </cell>
          <cell r="F80">
            <v>50</v>
          </cell>
          <cell r="G80">
            <v>100</v>
          </cell>
          <cell r="H80">
            <v>50</v>
          </cell>
          <cell r="I80">
            <v>100</v>
          </cell>
          <cell r="J80">
            <v>50</v>
          </cell>
          <cell r="K80">
            <v>0</v>
          </cell>
          <cell r="L80">
            <v>0</v>
          </cell>
          <cell r="M80">
            <v>0</v>
          </cell>
        </row>
        <row r="81">
          <cell r="A81" t="str">
            <v>B012ODVXHY</v>
          </cell>
          <cell r="B81">
            <v>0</v>
          </cell>
          <cell r="C81">
            <v>0</v>
          </cell>
          <cell r="D81">
            <v>100</v>
          </cell>
          <cell r="E81">
            <v>50</v>
          </cell>
          <cell r="F81">
            <v>50</v>
          </cell>
          <cell r="G81">
            <v>0</v>
          </cell>
          <cell r="H81">
            <v>0</v>
          </cell>
          <cell r="I81">
            <v>0</v>
          </cell>
          <cell r="J81">
            <v>50</v>
          </cell>
          <cell r="K81">
            <v>0</v>
          </cell>
          <cell r="L81">
            <v>0</v>
          </cell>
          <cell r="M81">
            <v>0</v>
          </cell>
        </row>
        <row r="82">
          <cell r="A82" t="str">
            <v>B01MU3GZWX</v>
          </cell>
          <cell r="B82">
            <v>0</v>
          </cell>
          <cell r="C82">
            <v>0</v>
          </cell>
          <cell r="D82">
            <v>100</v>
          </cell>
          <cell r="E82">
            <v>60</v>
          </cell>
          <cell r="F82">
            <v>100</v>
          </cell>
          <cell r="G82">
            <v>60</v>
          </cell>
          <cell r="H82">
            <v>60</v>
          </cell>
          <cell r="I82">
            <v>60</v>
          </cell>
          <cell r="J82">
            <v>60</v>
          </cell>
          <cell r="K82">
            <v>0</v>
          </cell>
          <cell r="L82">
            <v>100</v>
          </cell>
          <cell r="M82">
            <v>60</v>
          </cell>
        </row>
        <row r="83">
          <cell r="A83" t="str">
            <v>B012RGQ936</v>
          </cell>
          <cell r="B83">
            <v>4000</v>
          </cell>
          <cell r="C83">
            <v>3000</v>
          </cell>
          <cell r="D83">
            <v>3000</v>
          </cell>
          <cell r="E83">
            <v>4000</v>
          </cell>
          <cell r="F83">
            <v>3000</v>
          </cell>
          <cell r="G83">
            <v>4000</v>
          </cell>
          <cell r="H83">
            <v>4000</v>
          </cell>
          <cell r="I83">
            <v>3000</v>
          </cell>
          <cell r="J83">
            <v>0</v>
          </cell>
          <cell r="K83">
            <v>7000</v>
          </cell>
          <cell r="L83">
            <v>10000</v>
          </cell>
          <cell r="M83">
            <v>10000</v>
          </cell>
        </row>
        <row r="84">
          <cell r="A84" t="str">
            <v>B012REF4D4</v>
          </cell>
          <cell r="B84">
            <v>200</v>
          </cell>
          <cell r="C84">
            <v>50</v>
          </cell>
          <cell r="D84">
            <v>200</v>
          </cell>
          <cell r="E84">
            <v>100</v>
          </cell>
          <cell r="F84">
            <v>100</v>
          </cell>
          <cell r="G84">
            <v>100</v>
          </cell>
          <cell r="H84">
            <v>100</v>
          </cell>
          <cell r="I84">
            <v>50</v>
          </cell>
          <cell r="J84">
            <v>50</v>
          </cell>
          <cell r="K84">
            <v>50</v>
          </cell>
          <cell r="L84">
            <v>200</v>
          </cell>
          <cell r="M84">
            <v>300</v>
          </cell>
        </row>
        <row r="85">
          <cell r="A85" t="str">
            <v>B0719DF4NZ</v>
          </cell>
          <cell r="B85">
            <v>0</v>
          </cell>
          <cell r="C85">
            <v>0</v>
          </cell>
          <cell r="D85">
            <v>0</v>
          </cell>
          <cell r="E85">
            <v>50</v>
          </cell>
          <cell r="F85">
            <v>50</v>
          </cell>
          <cell r="G85">
            <v>100</v>
          </cell>
          <cell r="H85">
            <v>100</v>
          </cell>
          <cell r="I85">
            <v>50</v>
          </cell>
          <cell r="J85">
            <v>50</v>
          </cell>
          <cell r="K85">
            <v>50</v>
          </cell>
          <cell r="L85">
            <v>50</v>
          </cell>
          <cell r="M85">
            <v>0</v>
          </cell>
        </row>
        <row r="86">
          <cell r="A86" t="str">
            <v>B0CLSF5325</v>
          </cell>
          <cell r="B86">
            <v>50</v>
          </cell>
          <cell r="C86">
            <v>50</v>
          </cell>
          <cell r="D86">
            <v>50</v>
          </cell>
          <cell r="E86">
            <v>100</v>
          </cell>
          <cell r="F86">
            <v>50</v>
          </cell>
          <cell r="G86">
            <v>50</v>
          </cell>
          <cell r="H86">
            <v>50</v>
          </cell>
          <cell r="I86">
            <v>0</v>
          </cell>
          <cell r="J86">
            <v>50</v>
          </cell>
          <cell r="K86">
            <v>100</v>
          </cell>
          <cell r="L86">
            <v>50</v>
          </cell>
          <cell r="M86">
            <v>50</v>
          </cell>
        </row>
        <row r="87">
          <cell r="A87" t="str">
            <v>B012E3F87U</v>
          </cell>
          <cell r="B87">
            <v>0</v>
          </cell>
          <cell r="C87">
            <v>0</v>
          </cell>
          <cell r="D87">
            <v>0</v>
          </cell>
          <cell r="E87">
            <v>0</v>
          </cell>
          <cell r="F87">
            <v>0</v>
          </cell>
          <cell r="G87">
            <v>0</v>
          </cell>
          <cell r="H87">
            <v>0</v>
          </cell>
          <cell r="I87">
            <v>50</v>
          </cell>
          <cell r="J87">
            <v>50</v>
          </cell>
          <cell r="K87">
            <v>0</v>
          </cell>
          <cell r="L87">
            <v>0</v>
          </cell>
          <cell r="M87">
            <v>0</v>
          </cell>
        </row>
        <row r="88">
          <cell r="A88" t="str">
            <v>B005KF8PAM</v>
          </cell>
          <cell r="B88">
            <v>100</v>
          </cell>
          <cell r="C88">
            <v>100</v>
          </cell>
          <cell r="D88">
            <v>60</v>
          </cell>
          <cell r="E88">
            <v>0</v>
          </cell>
          <cell r="F88">
            <v>0</v>
          </cell>
          <cell r="G88">
            <v>60</v>
          </cell>
          <cell r="H88">
            <v>0</v>
          </cell>
          <cell r="I88">
            <v>60</v>
          </cell>
          <cell r="J88">
            <v>60</v>
          </cell>
          <cell r="K88">
            <v>300</v>
          </cell>
          <cell r="L88">
            <v>300</v>
          </cell>
          <cell r="M88">
            <v>200</v>
          </cell>
        </row>
        <row r="89">
          <cell r="A89" t="str">
            <v>B0BSRFNZQV</v>
          </cell>
          <cell r="B89">
            <v>60</v>
          </cell>
          <cell r="C89">
            <v>0</v>
          </cell>
          <cell r="D89">
            <v>60</v>
          </cell>
          <cell r="E89">
            <v>100</v>
          </cell>
          <cell r="F89">
            <v>100</v>
          </cell>
          <cell r="G89">
            <v>100</v>
          </cell>
          <cell r="H89">
            <v>100</v>
          </cell>
          <cell r="I89">
            <v>100</v>
          </cell>
          <cell r="J89">
            <v>60</v>
          </cell>
          <cell r="K89">
            <v>100</v>
          </cell>
          <cell r="L89">
            <v>100</v>
          </cell>
          <cell r="M89">
            <v>100</v>
          </cell>
        </row>
        <row r="90">
          <cell r="A90" t="str">
            <v>B012VJMDK2</v>
          </cell>
          <cell r="B90">
            <v>50</v>
          </cell>
          <cell r="C90">
            <v>0</v>
          </cell>
          <cell r="D90">
            <v>0</v>
          </cell>
          <cell r="E90">
            <v>0</v>
          </cell>
          <cell r="F90">
            <v>0</v>
          </cell>
          <cell r="G90">
            <v>0</v>
          </cell>
          <cell r="H90">
            <v>0</v>
          </cell>
          <cell r="I90">
            <v>50</v>
          </cell>
          <cell r="J90">
            <v>50</v>
          </cell>
          <cell r="K90">
            <v>50</v>
          </cell>
          <cell r="L90">
            <v>50</v>
          </cell>
          <cell r="M90">
            <v>50</v>
          </cell>
        </row>
        <row r="91">
          <cell r="A91" t="str">
            <v>B0CLSG1DNG</v>
          </cell>
          <cell r="B91">
            <v>50</v>
          </cell>
          <cell r="C91">
            <v>50</v>
          </cell>
          <cell r="D91">
            <v>100</v>
          </cell>
          <cell r="E91">
            <v>50</v>
          </cell>
          <cell r="F91">
            <v>100</v>
          </cell>
          <cell r="G91">
            <v>100</v>
          </cell>
          <cell r="H91">
            <v>100</v>
          </cell>
          <cell r="I91">
            <v>50</v>
          </cell>
          <cell r="J91">
            <v>100</v>
          </cell>
          <cell r="K91">
            <v>100</v>
          </cell>
          <cell r="L91">
            <v>100</v>
          </cell>
          <cell r="M91">
            <v>50</v>
          </cell>
        </row>
        <row r="92">
          <cell r="A92" t="str">
            <v>B00CQDNBTG</v>
          </cell>
          <cell r="B92">
            <v>0</v>
          </cell>
          <cell r="C92">
            <v>0</v>
          </cell>
          <cell r="D92">
            <v>0</v>
          </cell>
          <cell r="E92">
            <v>0</v>
          </cell>
          <cell r="F92">
            <v>0</v>
          </cell>
          <cell r="G92">
            <v>0</v>
          </cell>
          <cell r="H92">
            <v>0</v>
          </cell>
          <cell r="I92">
            <v>0</v>
          </cell>
          <cell r="J92">
            <v>50</v>
          </cell>
          <cell r="K92">
            <v>0</v>
          </cell>
          <cell r="L92">
            <v>0</v>
          </cell>
          <cell r="M92">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B00DLKGD3Y</v>
          </cell>
        </row>
        <row r="3">
          <cell r="A3" t="str">
            <v>B00270DAIU</v>
          </cell>
          <cell r="B3">
            <v>1000</v>
          </cell>
          <cell r="C3">
            <v>1000</v>
          </cell>
          <cell r="D3">
            <v>800</v>
          </cell>
          <cell r="E3">
            <v>1000</v>
          </cell>
          <cell r="F3">
            <v>1000</v>
          </cell>
          <cell r="G3">
            <v>1000</v>
          </cell>
          <cell r="H3">
            <v>1000</v>
          </cell>
          <cell r="I3">
            <v>1000</v>
          </cell>
          <cell r="J3">
            <v>1000</v>
          </cell>
          <cell r="K3">
            <v>1000</v>
          </cell>
          <cell r="L3">
            <v>1000</v>
          </cell>
          <cell r="M3">
            <v>1000</v>
          </cell>
        </row>
        <row r="4">
          <cell r="A4" t="str">
            <v>B007A60AMA</v>
          </cell>
          <cell r="B4">
            <v>500</v>
          </cell>
          <cell r="C4">
            <v>400</v>
          </cell>
          <cell r="D4">
            <v>500</v>
          </cell>
          <cell r="E4">
            <v>600</v>
          </cell>
          <cell r="F4">
            <v>700</v>
          </cell>
          <cell r="G4">
            <v>700</v>
          </cell>
          <cell r="H4">
            <v>600</v>
          </cell>
          <cell r="I4">
            <v>400</v>
          </cell>
          <cell r="J4">
            <v>800</v>
          </cell>
          <cell r="K4">
            <v>1000</v>
          </cell>
          <cell r="L4">
            <v>1000</v>
          </cell>
          <cell r="M4">
            <v>1000</v>
          </cell>
        </row>
        <row r="5">
          <cell r="A5" t="str">
            <v>B07GBQKLWZ</v>
          </cell>
          <cell r="B5">
            <v>700</v>
          </cell>
          <cell r="C5">
            <v>900</v>
          </cell>
          <cell r="D5">
            <v>600</v>
          </cell>
          <cell r="E5">
            <v>600</v>
          </cell>
          <cell r="F5">
            <v>1000</v>
          </cell>
          <cell r="G5">
            <v>1000</v>
          </cell>
          <cell r="H5">
            <v>700</v>
          </cell>
          <cell r="I5">
            <v>1000</v>
          </cell>
          <cell r="J5">
            <v>1000</v>
          </cell>
          <cell r="K5">
            <v>1000</v>
          </cell>
          <cell r="L5">
            <v>1000</v>
          </cell>
          <cell r="M5">
            <v>800</v>
          </cell>
        </row>
        <row r="6">
          <cell r="A6" t="str">
            <v>B0713S4D85</v>
          </cell>
          <cell r="B6">
            <v>1000</v>
          </cell>
          <cell r="C6">
            <v>600</v>
          </cell>
          <cell r="D6">
            <v>600</v>
          </cell>
          <cell r="E6">
            <v>1000</v>
          </cell>
          <cell r="F6">
            <v>900</v>
          </cell>
          <cell r="G6">
            <v>1000</v>
          </cell>
          <cell r="H6">
            <v>700</v>
          </cell>
          <cell r="I6">
            <v>900</v>
          </cell>
          <cell r="J6">
            <v>800</v>
          </cell>
          <cell r="K6">
            <v>1000</v>
          </cell>
          <cell r="L6">
            <v>2000</v>
          </cell>
          <cell r="M6">
            <v>1000</v>
          </cell>
        </row>
        <row r="7">
          <cell r="A7" t="str">
            <v>B00D8NL29O</v>
          </cell>
          <cell r="B7">
            <v>100</v>
          </cell>
          <cell r="C7">
            <v>60</v>
          </cell>
          <cell r="D7">
            <v>100</v>
          </cell>
          <cell r="E7">
            <v>200</v>
          </cell>
          <cell r="F7">
            <v>200</v>
          </cell>
          <cell r="G7">
            <v>200</v>
          </cell>
          <cell r="H7">
            <v>200</v>
          </cell>
          <cell r="I7">
            <v>400</v>
          </cell>
          <cell r="J7">
            <v>500</v>
          </cell>
          <cell r="K7">
            <v>600</v>
          </cell>
          <cell r="L7">
            <v>500</v>
          </cell>
          <cell r="M7">
            <v>400</v>
          </cell>
        </row>
        <row r="8">
          <cell r="A8" t="str">
            <v>B004ZXAPAS</v>
          </cell>
          <cell r="B8">
            <v>400</v>
          </cell>
          <cell r="C8">
            <v>300</v>
          </cell>
          <cell r="D8">
            <v>400</v>
          </cell>
          <cell r="E8">
            <v>400</v>
          </cell>
          <cell r="F8">
            <v>400</v>
          </cell>
          <cell r="G8">
            <v>400</v>
          </cell>
          <cell r="H8">
            <v>300</v>
          </cell>
          <cell r="I8">
            <v>400</v>
          </cell>
          <cell r="J8">
            <v>500</v>
          </cell>
          <cell r="K8">
            <v>500</v>
          </cell>
          <cell r="L8">
            <v>400</v>
          </cell>
          <cell r="M8">
            <v>200</v>
          </cell>
        </row>
        <row r="9">
          <cell r="A9" t="str">
            <v>B00YZHVB2A</v>
          </cell>
          <cell r="B9">
            <v>100</v>
          </cell>
          <cell r="C9">
            <v>60</v>
          </cell>
          <cell r="D9">
            <v>100</v>
          </cell>
          <cell r="E9">
            <v>100</v>
          </cell>
          <cell r="F9">
            <v>200</v>
          </cell>
          <cell r="G9">
            <v>200</v>
          </cell>
          <cell r="H9">
            <v>200</v>
          </cell>
          <cell r="I9">
            <v>200</v>
          </cell>
          <cell r="J9">
            <v>500</v>
          </cell>
          <cell r="K9">
            <v>500</v>
          </cell>
          <cell r="L9">
            <v>400</v>
          </cell>
          <cell r="M9">
            <v>300</v>
          </cell>
        </row>
        <row r="10">
          <cell r="A10" t="str">
            <v>B007ICK5RG</v>
          </cell>
          <cell r="B10">
            <v>1000</v>
          </cell>
          <cell r="C10">
            <v>1000</v>
          </cell>
          <cell r="D10">
            <v>700</v>
          </cell>
          <cell r="E10">
            <v>800</v>
          </cell>
          <cell r="F10">
            <v>800</v>
          </cell>
          <cell r="G10">
            <v>1000</v>
          </cell>
          <cell r="H10">
            <v>1000</v>
          </cell>
          <cell r="I10">
            <v>1000</v>
          </cell>
          <cell r="J10">
            <v>1000</v>
          </cell>
          <cell r="K10">
            <v>2000</v>
          </cell>
          <cell r="L10">
            <v>1000</v>
          </cell>
          <cell r="M10">
            <v>1000</v>
          </cell>
        </row>
        <row r="11">
          <cell r="A11" t="str">
            <v>B0BKH9GQG8</v>
          </cell>
          <cell r="B11">
            <v>0</v>
          </cell>
          <cell r="C11">
            <v>0</v>
          </cell>
          <cell r="D11">
            <v>0</v>
          </cell>
          <cell r="E11">
            <v>0</v>
          </cell>
          <cell r="F11">
            <v>50</v>
          </cell>
          <cell r="G11">
            <v>100</v>
          </cell>
          <cell r="H11">
            <v>100</v>
          </cell>
          <cell r="I11">
            <v>200</v>
          </cell>
          <cell r="J11">
            <v>200</v>
          </cell>
          <cell r="K11">
            <v>0</v>
          </cell>
          <cell r="L11">
            <v>0</v>
          </cell>
          <cell r="M11">
            <v>0</v>
          </cell>
        </row>
        <row r="12">
          <cell r="A12" t="str">
            <v>B075H1NMKJ</v>
          </cell>
          <cell r="B12">
            <v>50</v>
          </cell>
          <cell r="C12">
            <v>50</v>
          </cell>
          <cell r="D12">
            <v>100</v>
          </cell>
          <cell r="E12">
            <v>100</v>
          </cell>
          <cell r="F12">
            <v>100</v>
          </cell>
          <cell r="G12">
            <v>100</v>
          </cell>
          <cell r="H12">
            <v>100</v>
          </cell>
          <cell r="I12">
            <v>200</v>
          </cell>
          <cell r="J12">
            <v>200</v>
          </cell>
          <cell r="K12">
            <v>100</v>
          </cell>
          <cell r="L12">
            <v>300</v>
          </cell>
          <cell r="M12">
            <v>100</v>
          </cell>
        </row>
        <row r="13">
          <cell r="A13" t="str">
            <v>B07LH9QJFP</v>
          </cell>
          <cell r="B13">
            <v>100</v>
          </cell>
          <cell r="C13">
            <v>100</v>
          </cell>
          <cell r="D13">
            <v>100</v>
          </cell>
          <cell r="E13">
            <v>100</v>
          </cell>
          <cell r="F13">
            <v>50</v>
          </cell>
          <cell r="G13">
            <v>50</v>
          </cell>
          <cell r="H13">
            <v>100</v>
          </cell>
          <cell r="I13">
            <v>200</v>
          </cell>
          <cell r="J13">
            <v>300</v>
          </cell>
          <cell r="K13">
            <v>100</v>
          </cell>
          <cell r="L13">
            <v>300</v>
          </cell>
          <cell r="M13">
            <v>300</v>
          </cell>
        </row>
        <row r="14">
          <cell r="A14" t="str">
            <v>B071Z52Z2Y</v>
          </cell>
          <cell r="B14">
            <v>300</v>
          </cell>
          <cell r="C14">
            <v>200</v>
          </cell>
          <cell r="D14">
            <v>400</v>
          </cell>
          <cell r="E14">
            <v>300</v>
          </cell>
          <cell r="F14">
            <v>300</v>
          </cell>
          <cell r="G14">
            <v>200</v>
          </cell>
          <cell r="H14">
            <v>100</v>
          </cell>
          <cell r="I14">
            <v>60</v>
          </cell>
          <cell r="J14">
            <v>100</v>
          </cell>
          <cell r="K14">
            <v>300</v>
          </cell>
          <cell r="L14">
            <v>200</v>
          </cell>
          <cell r="M14">
            <v>400</v>
          </cell>
        </row>
        <row r="15">
          <cell r="A15" t="str">
            <v>B000HMCAAO</v>
          </cell>
          <cell r="B15">
            <v>800</v>
          </cell>
          <cell r="C15">
            <v>600</v>
          </cell>
          <cell r="D15">
            <v>700</v>
          </cell>
          <cell r="E15">
            <v>1000</v>
          </cell>
          <cell r="F15">
            <v>1000</v>
          </cell>
          <cell r="G15">
            <v>1000</v>
          </cell>
          <cell r="H15">
            <v>1000</v>
          </cell>
          <cell r="I15">
            <v>100</v>
          </cell>
          <cell r="J15">
            <v>100</v>
          </cell>
          <cell r="K15">
            <v>1000</v>
          </cell>
          <cell r="L15">
            <v>1000</v>
          </cell>
          <cell r="M15">
            <v>800</v>
          </cell>
        </row>
        <row r="16">
          <cell r="A16" t="str">
            <v>B0BKHB35LQ</v>
          </cell>
          <cell r="B16">
            <v>50</v>
          </cell>
          <cell r="C16">
            <v>50</v>
          </cell>
          <cell r="D16">
            <v>50</v>
          </cell>
          <cell r="E16">
            <v>100</v>
          </cell>
          <cell r="F16">
            <v>100</v>
          </cell>
          <cell r="G16">
            <v>100</v>
          </cell>
          <cell r="H16">
            <v>50</v>
          </cell>
          <cell r="I16">
            <v>100</v>
          </cell>
          <cell r="J16">
            <v>100</v>
          </cell>
          <cell r="K16">
            <v>100</v>
          </cell>
          <cell r="L16">
            <v>100</v>
          </cell>
          <cell r="M16">
            <v>50</v>
          </cell>
        </row>
        <row r="17">
          <cell r="A17" t="str">
            <v>B01BWA8U4Y</v>
          </cell>
          <cell r="B17">
            <v>300</v>
          </cell>
          <cell r="C17">
            <v>200</v>
          </cell>
          <cell r="D17">
            <v>300</v>
          </cell>
          <cell r="E17">
            <v>100</v>
          </cell>
          <cell r="F17">
            <v>100</v>
          </cell>
          <cell r="G17">
            <v>100</v>
          </cell>
          <cell r="H17">
            <v>100</v>
          </cell>
          <cell r="I17">
            <v>50</v>
          </cell>
          <cell r="J17">
            <v>100</v>
          </cell>
          <cell r="K17">
            <v>100</v>
          </cell>
          <cell r="L17">
            <v>200</v>
          </cell>
          <cell r="M17">
            <v>400</v>
          </cell>
        </row>
        <row r="18">
          <cell r="A18" t="str">
            <v>B004ZXAQEI</v>
          </cell>
          <cell r="B18">
            <v>0</v>
          </cell>
          <cell r="C18">
            <v>0</v>
          </cell>
          <cell r="D18">
            <v>0</v>
          </cell>
          <cell r="E18">
            <v>50</v>
          </cell>
          <cell r="F18">
            <v>50</v>
          </cell>
          <cell r="G18">
            <v>100</v>
          </cell>
          <cell r="H18">
            <v>100</v>
          </cell>
          <cell r="I18">
            <v>100</v>
          </cell>
          <cell r="J18">
            <v>100</v>
          </cell>
          <cell r="K18">
            <v>0</v>
          </cell>
          <cell r="L18">
            <v>0</v>
          </cell>
          <cell r="M18">
            <v>0</v>
          </cell>
        </row>
        <row r="19">
          <cell r="A19" t="str">
            <v>B00DLKGIT8</v>
          </cell>
          <cell r="B19">
            <v>50</v>
          </cell>
          <cell r="C19">
            <v>50</v>
          </cell>
          <cell r="D19">
            <v>50</v>
          </cell>
          <cell r="E19">
            <v>50</v>
          </cell>
          <cell r="F19">
            <v>100</v>
          </cell>
          <cell r="G19">
            <v>100</v>
          </cell>
          <cell r="H19">
            <v>50</v>
          </cell>
          <cell r="I19">
            <v>100</v>
          </cell>
          <cell r="J19">
            <v>100</v>
          </cell>
          <cell r="K19">
            <v>50</v>
          </cell>
          <cell r="L19">
            <v>50</v>
          </cell>
          <cell r="M19">
            <v>50</v>
          </cell>
        </row>
        <row r="20">
          <cell r="A20" t="str">
            <v>B00DLKKYRU</v>
          </cell>
          <cell r="B20">
            <v>600</v>
          </cell>
          <cell r="C20">
            <v>400</v>
          </cell>
          <cell r="D20">
            <v>300</v>
          </cell>
          <cell r="E20">
            <v>100</v>
          </cell>
          <cell r="F20">
            <v>100</v>
          </cell>
          <cell r="G20">
            <v>200</v>
          </cell>
          <cell r="H20">
            <v>100</v>
          </cell>
          <cell r="I20">
            <v>60</v>
          </cell>
          <cell r="J20">
            <v>100</v>
          </cell>
          <cell r="K20">
            <v>300</v>
          </cell>
          <cell r="L20">
            <v>800</v>
          </cell>
          <cell r="M20">
            <v>600</v>
          </cell>
        </row>
        <row r="21">
          <cell r="A21" t="str">
            <v>B001KMYREM</v>
          </cell>
          <cell r="B21">
            <v>50</v>
          </cell>
          <cell r="C21">
            <v>50</v>
          </cell>
          <cell r="D21">
            <v>50</v>
          </cell>
          <cell r="E21">
            <v>50</v>
          </cell>
          <cell r="F21">
            <v>50</v>
          </cell>
          <cell r="G21">
            <v>100</v>
          </cell>
          <cell r="H21">
            <v>100</v>
          </cell>
          <cell r="I21">
            <v>100</v>
          </cell>
          <cell r="J21">
            <v>100</v>
          </cell>
          <cell r="K21">
            <v>50</v>
          </cell>
          <cell r="L21">
            <v>50</v>
          </cell>
          <cell r="M21">
            <v>50</v>
          </cell>
        </row>
        <row r="22">
          <cell r="A22" t="str">
            <v>B002ITSNAK</v>
          </cell>
          <cell r="B22">
            <v>0</v>
          </cell>
          <cell r="C22">
            <v>0</v>
          </cell>
          <cell r="D22">
            <v>50</v>
          </cell>
          <cell r="E22">
            <v>0</v>
          </cell>
          <cell r="F22">
            <v>0</v>
          </cell>
          <cell r="G22">
            <v>50</v>
          </cell>
          <cell r="H22">
            <v>100</v>
          </cell>
          <cell r="I22">
            <v>100</v>
          </cell>
          <cell r="J22">
            <v>100</v>
          </cell>
          <cell r="K22">
            <v>100</v>
          </cell>
          <cell r="L22">
            <v>50</v>
          </cell>
          <cell r="M22">
            <v>0</v>
          </cell>
        </row>
        <row r="23">
          <cell r="A23" t="str">
            <v>B072DX31YY</v>
          </cell>
          <cell r="B23">
            <v>0</v>
          </cell>
          <cell r="C23">
            <v>0</v>
          </cell>
          <cell r="D23">
            <v>0</v>
          </cell>
          <cell r="E23">
            <v>0</v>
          </cell>
          <cell r="F23">
            <v>0</v>
          </cell>
          <cell r="G23">
            <v>0</v>
          </cell>
          <cell r="H23">
            <v>50</v>
          </cell>
          <cell r="I23">
            <v>50</v>
          </cell>
          <cell r="J23">
            <v>50</v>
          </cell>
          <cell r="K23">
            <v>50</v>
          </cell>
          <cell r="L23">
            <v>50</v>
          </cell>
          <cell r="M23">
            <v>50</v>
          </cell>
        </row>
        <row r="24">
          <cell r="A24" t="str">
            <v>B000BZ1HWO</v>
          </cell>
          <cell r="B24">
            <v>0</v>
          </cell>
          <cell r="C24">
            <v>0</v>
          </cell>
          <cell r="D24">
            <v>0</v>
          </cell>
          <cell r="E24">
            <v>50</v>
          </cell>
          <cell r="F24">
            <v>50</v>
          </cell>
          <cell r="G24">
            <v>200</v>
          </cell>
          <cell r="H24">
            <v>50</v>
          </cell>
          <cell r="I24">
            <v>50</v>
          </cell>
          <cell r="J24">
            <v>100</v>
          </cell>
          <cell r="K24">
            <v>50</v>
          </cell>
          <cell r="L24">
            <v>50</v>
          </cell>
          <cell r="M24">
            <v>0</v>
          </cell>
        </row>
        <row r="25">
          <cell r="A25" t="str">
            <v>B000XDUPXQ</v>
          </cell>
          <cell r="B25">
            <v>0</v>
          </cell>
          <cell r="C25">
            <v>0</v>
          </cell>
          <cell r="D25">
            <v>0</v>
          </cell>
          <cell r="E25">
            <v>50</v>
          </cell>
          <cell r="F25">
            <v>50</v>
          </cell>
          <cell r="G25">
            <v>50</v>
          </cell>
          <cell r="H25">
            <v>50</v>
          </cell>
          <cell r="I25">
            <v>100</v>
          </cell>
          <cell r="J25">
            <v>100</v>
          </cell>
          <cell r="K25">
            <v>0</v>
          </cell>
          <cell r="L25">
            <v>0</v>
          </cell>
          <cell r="M25">
            <v>0</v>
          </cell>
        </row>
        <row r="26">
          <cell r="A26" t="str">
            <v>B084WN1K1S</v>
          </cell>
          <cell r="B26">
            <v>50</v>
          </cell>
          <cell r="C26">
            <v>50</v>
          </cell>
          <cell r="D26">
            <v>50</v>
          </cell>
          <cell r="E26">
            <v>50</v>
          </cell>
          <cell r="F26">
            <v>50</v>
          </cell>
          <cell r="G26">
            <v>50</v>
          </cell>
          <cell r="H26">
            <v>50</v>
          </cell>
          <cell r="I26">
            <v>100</v>
          </cell>
          <cell r="J26">
            <v>100</v>
          </cell>
          <cell r="K26">
            <v>100</v>
          </cell>
          <cell r="L26">
            <v>100</v>
          </cell>
          <cell r="M26">
            <v>50</v>
          </cell>
        </row>
        <row r="27">
          <cell r="A27" t="str">
            <v>B00PUOW4QO</v>
          </cell>
          <cell r="B27">
            <v>0</v>
          </cell>
          <cell r="C27">
            <v>0</v>
          </cell>
          <cell r="D27">
            <v>0</v>
          </cell>
          <cell r="E27">
            <v>0</v>
          </cell>
          <cell r="F27">
            <v>50</v>
          </cell>
          <cell r="G27">
            <v>50</v>
          </cell>
          <cell r="H27">
            <v>50</v>
          </cell>
          <cell r="I27">
            <v>50</v>
          </cell>
          <cell r="J27">
            <v>100</v>
          </cell>
          <cell r="K27">
            <v>100</v>
          </cell>
          <cell r="L27">
            <v>50</v>
          </cell>
          <cell r="M27">
            <v>50</v>
          </cell>
        </row>
        <row r="28">
          <cell r="A28" t="str">
            <v>B07MVM3XLC</v>
          </cell>
          <cell r="B28">
            <v>0</v>
          </cell>
          <cell r="C28">
            <v>0</v>
          </cell>
          <cell r="D28">
            <v>0</v>
          </cell>
          <cell r="E28">
            <v>100</v>
          </cell>
          <cell r="F28">
            <v>50</v>
          </cell>
          <cell r="G28">
            <v>50</v>
          </cell>
          <cell r="H28">
            <v>50</v>
          </cell>
          <cell r="I28">
            <v>50</v>
          </cell>
          <cell r="J28">
            <v>100</v>
          </cell>
          <cell r="K28">
            <v>50</v>
          </cell>
          <cell r="L28">
            <v>50</v>
          </cell>
          <cell r="M28">
            <v>50</v>
          </cell>
        </row>
        <row r="29">
          <cell r="A29" t="str">
            <v>B0BKH945MP</v>
          </cell>
          <cell r="B29">
            <v>0</v>
          </cell>
          <cell r="C29">
            <v>0</v>
          </cell>
          <cell r="D29">
            <v>0</v>
          </cell>
          <cell r="E29">
            <v>50</v>
          </cell>
          <cell r="F29">
            <v>50</v>
          </cell>
          <cell r="G29">
            <v>0</v>
          </cell>
          <cell r="H29">
            <v>0</v>
          </cell>
          <cell r="I29">
            <v>50</v>
          </cell>
          <cell r="J29">
            <v>50</v>
          </cell>
          <cell r="K29">
            <v>300</v>
          </cell>
          <cell r="L29">
            <v>200</v>
          </cell>
          <cell r="M29">
            <v>50</v>
          </cell>
        </row>
        <row r="30">
          <cell r="A30" t="str">
            <v>B015L2J2DM</v>
          </cell>
          <cell r="B30">
            <v>200</v>
          </cell>
          <cell r="C30">
            <v>400</v>
          </cell>
          <cell r="D30">
            <v>60</v>
          </cell>
          <cell r="E30">
            <v>60</v>
          </cell>
          <cell r="F30">
            <v>100</v>
          </cell>
          <cell r="G30">
            <v>300</v>
          </cell>
          <cell r="H30">
            <v>100</v>
          </cell>
          <cell r="I30">
            <v>100</v>
          </cell>
          <cell r="J30">
            <v>100</v>
          </cell>
          <cell r="K30">
            <v>200</v>
          </cell>
          <cell r="L30">
            <v>300</v>
          </cell>
          <cell r="M30">
            <v>200</v>
          </cell>
        </row>
        <row r="31">
          <cell r="A31" t="str">
            <v>B005FMKDXW</v>
          </cell>
          <cell r="B31">
            <v>0</v>
          </cell>
          <cell r="C31">
            <v>0</v>
          </cell>
          <cell r="D31">
            <v>0</v>
          </cell>
          <cell r="E31">
            <v>0</v>
          </cell>
          <cell r="F31">
            <v>0</v>
          </cell>
          <cell r="G31">
            <v>0</v>
          </cell>
          <cell r="H31">
            <v>50</v>
          </cell>
          <cell r="I31">
            <v>50</v>
          </cell>
          <cell r="J31">
            <v>50</v>
          </cell>
          <cell r="K31">
            <v>0</v>
          </cell>
          <cell r="L31">
            <v>0</v>
          </cell>
          <cell r="M31">
            <v>0</v>
          </cell>
        </row>
        <row r="32">
          <cell r="A32" t="str">
            <v>B0014T72SY</v>
          </cell>
          <cell r="B32">
            <v>0</v>
          </cell>
          <cell r="C32">
            <v>0</v>
          </cell>
          <cell r="D32">
            <v>50</v>
          </cell>
          <cell r="E32">
            <v>50</v>
          </cell>
          <cell r="F32">
            <v>50</v>
          </cell>
          <cell r="G32">
            <v>0</v>
          </cell>
          <cell r="H32">
            <v>50</v>
          </cell>
          <cell r="I32">
            <v>50</v>
          </cell>
          <cell r="J32">
            <v>50</v>
          </cell>
          <cell r="K32">
            <v>50</v>
          </cell>
          <cell r="L32">
            <v>50</v>
          </cell>
          <cell r="M32">
            <v>0</v>
          </cell>
        </row>
        <row r="33">
          <cell r="A33" t="str">
            <v>B001QV3U7C</v>
          </cell>
          <cell r="B33">
            <v>0</v>
          </cell>
          <cell r="C33">
            <v>0</v>
          </cell>
          <cell r="D33">
            <v>0</v>
          </cell>
          <cell r="E33">
            <v>0</v>
          </cell>
          <cell r="F33">
            <v>50</v>
          </cell>
          <cell r="G33">
            <v>50</v>
          </cell>
          <cell r="H33">
            <v>50</v>
          </cell>
          <cell r="I33">
            <v>50</v>
          </cell>
          <cell r="J33">
            <v>50</v>
          </cell>
          <cell r="K33">
            <v>50</v>
          </cell>
          <cell r="L33">
            <v>50</v>
          </cell>
          <cell r="M33">
            <v>50</v>
          </cell>
        </row>
        <row r="34">
          <cell r="A34" t="str">
            <v>B00VE3BDVC</v>
          </cell>
          <cell r="B34">
            <v>0</v>
          </cell>
          <cell r="C34">
            <v>0</v>
          </cell>
          <cell r="D34">
            <v>50</v>
          </cell>
          <cell r="E34">
            <v>0</v>
          </cell>
          <cell r="F34">
            <v>0</v>
          </cell>
          <cell r="G34">
            <v>0</v>
          </cell>
          <cell r="H34">
            <v>0</v>
          </cell>
          <cell r="I34">
            <v>0</v>
          </cell>
          <cell r="J34">
            <v>50</v>
          </cell>
          <cell r="K34">
            <v>50</v>
          </cell>
          <cell r="L34">
            <v>50</v>
          </cell>
          <cell r="M34">
            <v>0</v>
          </cell>
        </row>
        <row r="35">
          <cell r="A35" t="str">
            <v>B07MVKYC8Y</v>
          </cell>
          <cell r="B35">
            <v>50</v>
          </cell>
          <cell r="C35">
            <v>0</v>
          </cell>
          <cell r="D35">
            <v>0</v>
          </cell>
          <cell r="E35">
            <v>0</v>
          </cell>
          <cell r="F35">
            <v>0</v>
          </cell>
          <cell r="G35">
            <v>0</v>
          </cell>
          <cell r="H35">
            <v>0</v>
          </cell>
          <cell r="I35">
            <v>50</v>
          </cell>
          <cell r="J35">
            <v>50</v>
          </cell>
          <cell r="K35">
            <v>50</v>
          </cell>
          <cell r="L35">
            <v>50</v>
          </cell>
          <cell r="M35">
            <v>50</v>
          </cell>
        </row>
        <row r="36">
          <cell r="A36" t="str">
            <v>B07286FCZ3</v>
          </cell>
          <cell r="B36">
            <v>0</v>
          </cell>
          <cell r="C36">
            <v>0</v>
          </cell>
          <cell r="D36">
            <v>0</v>
          </cell>
          <cell r="E36">
            <v>50</v>
          </cell>
          <cell r="F36">
            <v>0</v>
          </cell>
          <cell r="G36">
            <v>50</v>
          </cell>
          <cell r="H36">
            <v>50</v>
          </cell>
          <cell r="I36">
            <v>50</v>
          </cell>
          <cell r="J36">
            <v>100</v>
          </cell>
          <cell r="K36">
            <v>0</v>
          </cell>
          <cell r="L36">
            <v>0</v>
          </cell>
          <cell r="M36">
            <v>0</v>
          </cell>
        </row>
        <row r="37">
          <cell r="A37" t="str">
            <v>B074N7ZSRR</v>
          </cell>
          <cell r="B37">
            <v>0</v>
          </cell>
          <cell r="C37">
            <v>0</v>
          </cell>
          <cell r="D37">
            <v>0</v>
          </cell>
          <cell r="E37">
            <v>50</v>
          </cell>
          <cell r="F37">
            <v>50</v>
          </cell>
          <cell r="G37">
            <v>50</v>
          </cell>
          <cell r="H37">
            <v>50</v>
          </cell>
          <cell r="I37">
            <v>50</v>
          </cell>
          <cell r="J37">
            <v>50</v>
          </cell>
          <cell r="K37">
            <v>0</v>
          </cell>
          <cell r="L37">
            <v>0</v>
          </cell>
          <cell r="M37">
            <v>50</v>
          </cell>
        </row>
        <row r="38">
          <cell r="A38" t="str">
            <v>B0BKH6DWPN</v>
          </cell>
          <cell r="B38">
            <v>0</v>
          </cell>
          <cell r="C38">
            <v>0</v>
          </cell>
          <cell r="D38">
            <v>0</v>
          </cell>
          <cell r="E38">
            <v>0</v>
          </cell>
          <cell r="F38">
            <v>0</v>
          </cell>
          <cell r="G38">
            <v>0</v>
          </cell>
          <cell r="H38">
            <v>0</v>
          </cell>
          <cell r="I38">
            <v>0</v>
          </cell>
          <cell r="J38">
            <v>0</v>
          </cell>
          <cell r="K38">
            <v>0</v>
          </cell>
          <cell r="L38">
            <v>0</v>
          </cell>
          <cell r="M38">
            <v>0</v>
          </cell>
        </row>
        <row r="39">
          <cell r="A39" t="str">
            <v>B00DLKFYM0</v>
          </cell>
          <cell r="B39">
            <v>0</v>
          </cell>
          <cell r="C39">
            <v>0</v>
          </cell>
          <cell r="D39">
            <v>0</v>
          </cell>
          <cell r="E39">
            <v>0</v>
          </cell>
          <cell r="F39">
            <v>50</v>
          </cell>
          <cell r="G39">
            <v>0</v>
          </cell>
          <cell r="H39">
            <v>50</v>
          </cell>
          <cell r="I39">
            <v>50</v>
          </cell>
          <cell r="J39">
            <v>50</v>
          </cell>
          <cell r="K39">
            <v>0</v>
          </cell>
          <cell r="L39">
            <v>0</v>
          </cell>
          <cell r="M39">
            <v>0</v>
          </cell>
        </row>
        <row r="40">
          <cell r="A40" t="str">
            <v>B000T7J9TM</v>
          </cell>
          <cell r="B40">
            <v>0</v>
          </cell>
          <cell r="C40">
            <v>0</v>
          </cell>
          <cell r="D40">
            <v>0</v>
          </cell>
          <cell r="E40">
            <v>0</v>
          </cell>
          <cell r="F40">
            <v>0</v>
          </cell>
          <cell r="G40">
            <v>0</v>
          </cell>
          <cell r="H40">
            <v>0</v>
          </cell>
          <cell r="I40">
            <v>50</v>
          </cell>
          <cell r="J40">
            <v>50</v>
          </cell>
          <cell r="K40">
            <v>0</v>
          </cell>
          <cell r="L40">
            <v>0</v>
          </cell>
          <cell r="M40">
            <v>0</v>
          </cell>
        </row>
        <row r="41">
          <cell r="A41" t="str">
            <v>B072HY83CL</v>
          </cell>
          <cell r="B41">
            <v>0</v>
          </cell>
          <cell r="C41">
            <v>0</v>
          </cell>
          <cell r="D41">
            <v>0</v>
          </cell>
          <cell r="E41">
            <v>0</v>
          </cell>
          <cell r="F41">
            <v>50</v>
          </cell>
          <cell r="G41">
            <v>0</v>
          </cell>
          <cell r="H41">
            <v>0</v>
          </cell>
          <cell r="I41">
            <v>50</v>
          </cell>
          <cell r="J41">
            <v>50</v>
          </cell>
          <cell r="K41">
            <v>0</v>
          </cell>
          <cell r="L41">
            <v>50</v>
          </cell>
          <cell r="M41">
            <v>50</v>
          </cell>
        </row>
        <row r="42">
          <cell r="A42" t="str">
            <v>B0722P2QHQ</v>
          </cell>
          <cell r="B42">
            <v>0</v>
          </cell>
          <cell r="C42">
            <v>0</v>
          </cell>
          <cell r="D42">
            <v>0</v>
          </cell>
          <cell r="E42">
            <v>0</v>
          </cell>
          <cell r="F42">
            <v>0</v>
          </cell>
          <cell r="G42">
            <v>0</v>
          </cell>
          <cell r="H42">
            <v>0</v>
          </cell>
          <cell r="I42">
            <v>0</v>
          </cell>
          <cell r="J42">
            <v>50</v>
          </cell>
          <cell r="K42">
            <v>50</v>
          </cell>
          <cell r="L42">
            <v>50</v>
          </cell>
          <cell r="M42">
            <v>50</v>
          </cell>
        </row>
        <row r="43">
          <cell r="A43" t="str">
            <v>B015LDUJ5G</v>
          </cell>
          <cell r="B43">
            <v>0</v>
          </cell>
          <cell r="C43">
            <v>0</v>
          </cell>
          <cell r="D43">
            <v>0</v>
          </cell>
          <cell r="E43">
            <v>0</v>
          </cell>
          <cell r="F43">
            <v>0</v>
          </cell>
          <cell r="G43">
            <v>0</v>
          </cell>
          <cell r="H43">
            <v>0</v>
          </cell>
          <cell r="I43">
            <v>0</v>
          </cell>
          <cell r="J43">
            <v>0</v>
          </cell>
          <cell r="K43">
            <v>50</v>
          </cell>
          <cell r="L43">
            <v>50</v>
          </cell>
          <cell r="M43">
            <v>0</v>
          </cell>
        </row>
        <row r="44">
          <cell r="A44" t="str">
            <v>B0CFXWZYHV</v>
          </cell>
          <cell r="B44">
            <v>0</v>
          </cell>
          <cell r="C44">
            <v>0</v>
          </cell>
          <cell r="D44">
            <v>0</v>
          </cell>
          <cell r="E44">
            <v>0</v>
          </cell>
          <cell r="F44">
            <v>0</v>
          </cell>
          <cell r="G44">
            <v>0</v>
          </cell>
          <cell r="H44">
            <v>0</v>
          </cell>
          <cell r="I44">
            <v>50</v>
          </cell>
          <cell r="J44">
            <v>0</v>
          </cell>
          <cell r="K44">
            <v>0</v>
          </cell>
          <cell r="L44">
            <v>0</v>
          </cell>
          <cell r="M44">
            <v>0</v>
          </cell>
        </row>
        <row r="45">
          <cell r="A45" t="str">
            <v>B00DLKKT1Q</v>
          </cell>
          <cell r="B45">
            <v>0</v>
          </cell>
          <cell r="C45">
            <v>0</v>
          </cell>
          <cell r="D45">
            <v>0</v>
          </cell>
          <cell r="E45">
            <v>0</v>
          </cell>
          <cell r="F45">
            <v>0</v>
          </cell>
          <cell r="G45">
            <v>0</v>
          </cell>
          <cell r="H45">
            <v>0</v>
          </cell>
          <cell r="I45">
            <v>50</v>
          </cell>
          <cell r="J45">
            <v>50</v>
          </cell>
          <cell r="K45">
            <v>50</v>
          </cell>
          <cell r="L45">
            <v>50</v>
          </cell>
          <cell r="M45">
            <v>0</v>
          </cell>
        </row>
        <row r="46">
          <cell r="A46" t="str">
            <v>B000NCWOM2</v>
          </cell>
          <cell r="B46">
            <v>0</v>
          </cell>
          <cell r="C46">
            <v>0</v>
          </cell>
          <cell r="D46">
            <v>0</v>
          </cell>
          <cell r="E46">
            <v>0</v>
          </cell>
          <cell r="F46">
            <v>0</v>
          </cell>
          <cell r="G46">
            <v>0</v>
          </cell>
          <cell r="H46">
            <v>50</v>
          </cell>
          <cell r="I46">
            <v>50</v>
          </cell>
          <cell r="J46">
            <v>50</v>
          </cell>
          <cell r="K46">
            <v>0</v>
          </cell>
          <cell r="L46">
            <v>0</v>
          </cell>
          <cell r="M46">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B005SEADJ6</v>
          </cell>
          <cell r="B2">
            <v>800</v>
          </cell>
          <cell r="C2">
            <v>800</v>
          </cell>
          <cell r="D2">
            <v>1000</v>
          </cell>
          <cell r="E2">
            <v>1000</v>
          </cell>
          <cell r="F2">
            <v>1000</v>
          </cell>
          <cell r="G2">
            <v>1000</v>
          </cell>
          <cell r="H2">
            <v>1000</v>
          </cell>
          <cell r="I2">
            <v>1000</v>
          </cell>
          <cell r="J2">
            <v>1000</v>
          </cell>
          <cell r="K2">
            <v>1000</v>
          </cell>
          <cell r="L2">
            <v>1000</v>
          </cell>
          <cell r="M2">
            <v>900</v>
          </cell>
        </row>
        <row r="3">
          <cell r="A3" t="str">
            <v>B003K2RYAY</v>
          </cell>
          <cell r="B3">
            <v>700</v>
          </cell>
          <cell r="C3">
            <v>600</v>
          </cell>
          <cell r="D3">
            <v>1000</v>
          </cell>
          <cell r="E3">
            <v>1000</v>
          </cell>
          <cell r="F3">
            <v>1000</v>
          </cell>
          <cell r="G3">
            <v>1000</v>
          </cell>
          <cell r="H3">
            <v>1000</v>
          </cell>
          <cell r="I3">
            <v>1000</v>
          </cell>
          <cell r="J3">
            <v>900</v>
          </cell>
          <cell r="K3">
            <v>1000</v>
          </cell>
          <cell r="L3">
            <v>1000</v>
          </cell>
          <cell r="M3">
            <v>400</v>
          </cell>
        </row>
        <row r="4">
          <cell r="A4" t="str">
            <v>B002Y6JHES</v>
          </cell>
          <cell r="B4">
            <v>100</v>
          </cell>
          <cell r="C4">
            <v>100</v>
          </cell>
          <cell r="D4">
            <v>200</v>
          </cell>
          <cell r="E4">
            <v>200</v>
          </cell>
          <cell r="F4">
            <v>300</v>
          </cell>
          <cell r="G4">
            <v>400</v>
          </cell>
          <cell r="H4">
            <v>400</v>
          </cell>
          <cell r="I4">
            <v>400</v>
          </cell>
          <cell r="J4">
            <v>400</v>
          </cell>
          <cell r="K4">
            <v>400</v>
          </cell>
          <cell r="L4">
            <v>400</v>
          </cell>
          <cell r="M4">
            <v>200</v>
          </cell>
        </row>
        <row r="5">
          <cell r="A5" t="str">
            <v>B0084NVRQQ</v>
          </cell>
          <cell r="B5">
            <v>200</v>
          </cell>
          <cell r="C5">
            <v>100</v>
          </cell>
          <cell r="D5">
            <v>200</v>
          </cell>
          <cell r="E5">
            <v>200</v>
          </cell>
          <cell r="F5">
            <v>200</v>
          </cell>
          <cell r="G5">
            <v>300</v>
          </cell>
          <cell r="H5">
            <v>300</v>
          </cell>
          <cell r="I5">
            <v>300</v>
          </cell>
          <cell r="J5">
            <v>300</v>
          </cell>
          <cell r="K5">
            <v>300</v>
          </cell>
          <cell r="L5">
            <v>400</v>
          </cell>
          <cell r="M5">
            <v>300</v>
          </cell>
        </row>
        <row r="6">
          <cell r="A6" t="str">
            <v>B003ORPOJ8</v>
          </cell>
          <cell r="B6">
            <v>117</v>
          </cell>
          <cell r="C6">
            <v>117</v>
          </cell>
          <cell r="D6">
            <v>117</v>
          </cell>
          <cell r="E6">
            <v>117</v>
          </cell>
          <cell r="F6">
            <v>117</v>
          </cell>
          <cell r="G6">
            <v>151</v>
          </cell>
          <cell r="H6">
            <v>117</v>
          </cell>
          <cell r="I6">
            <v>152</v>
          </cell>
          <cell r="J6">
            <v>151</v>
          </cell>
          <cell r="K6">
            <v>186</v>
          </cell>
          <cell r="L6">
            <v>186</v>
          </cell>
          <cell r="M6">
            <v>117</v>
          </cell>
        </row>
        <row r="7">
          <cell r="A7" t="str">
            <v>B002V0ZM4G</v>
          </cell>
          <cell r="B7">
            <v>0</v>
          </cell>
          <cell r="C7">
            <v>0</v>
          </cell>
          <cell r="D7">
            <v>0</v>
          </cell>
          <cell r="E7">
            <v>0</v>
          </cell>
          <cell r="F7">
            <v>100</v>
          </cell>
          <cell r="G7">
            <v>200</v>
          </cell>
          <cell r="H7">
            <v>200</v>
          </cell>
          <cell r="I7">
            <v>200</v>
          </cell>
          <cell r="J7">
            <v>300</v>
          </cell>
          <cell r="K7">
            <v>0</v>
          </cell>
          <cell r="L7">
            <v>0</v>
          </cell>
          <cell r="M7">
            <v>0</v>
          </cell>
        </row>
        <row r="8">
          <cell r="A8" t="str">
            <v>B0084X5ONI</v>
          </cell>
          <cell r="B8">
            <v>200</v>
          </cell>
          <cell r="C8">
            <v>200</v>
          </cell>
          <cell r="D8">
            <v>200</v>
          </cell>
          <cell r="E8">
            <v>200</v>
          </cell>
          <cell r="F8">
            <v>200</v>
          </cell>
          <cell r="G8">
            <v>300</v>
          </cell>
          <cell r="H8">
            <v>300</v>
          </cell>
          <cell r="I8">
            <v>300</v>
          </cell>
          <cell r="J8">
            <v>300</v>
          </cell>
          <cell r="K8">
            <v>100</v>
          </cell>
          <cell r="L8">
            <v>200</v>
          </cell>
          <cell r="M8">
            <v>200</v>
          </cell>
        </row>
        <row r="9">
          <cell r="A9" t="str">
            <v>B007QT3FBY</v>
          </cell>
          <cell r="B9">
            <v>100</v>
          </cell>
          <cell r="C9">
            <v>100</v>
          </cell>
          <cell r="D9">
            <v>100</v>
          </cell>
          <cell r="E9">
            <v>100</v>
          </cell>
          <cell r="F9">
            <v>100</v>
          </cell>
          <cell r="G9">
            <v>100</v>
          </cell>
          <cell r="H9">
            <v>100</v>
          </cell>
          <cell r="I9">
            <v>100</v>
          </cell>
          <cell r="J9">
            <v>100</v>
          </cell>
          <cell r="K9">
            <v>50</v>
          </cell>
          <cell r="L9">
            <v>50</v>
          </cell>
          <cell r="M9">
            <v>50</v>
          </cell>
        </row>
        <row r="10">
          <cell r="A10" t="str">
            <v>B003K947Q6</v>
          </cell>
          <cell r="B10">
            <v>100</v>
          </cell>
          <cell r="C10">
            <v>100</v>
          </cell>
          <cell r="D10">
            <v>50</v>
          </cell>
          <cell r="E10">
            <v>100</v>
          </cell>
          <cell r="F10">
            <v>100</v>
          </cell>
          <cell r="G10">
            <v>50</v>
          </cell>
          <cell r="H10">
            <v>50</v>
          </cell>
          <cell r="I10">
            <v>100</v>
          </cell>
          <cell r="J10">
            <v>100</v>
          </cell>
          <cell r="K10">
            <v>100</v>
          </cell>
          <cell r="L10">
            <v>100</v>
          </cell>
          <cell r="M10">
            <v>100</v>
          </cell>
        </row>
        <row r="11">
          <cell r="A11" t="str">
            <v>B005DL9AGQ</v>
          </cell>
          <cell r="B11">
            <v>50</v>
          </cell>
          <cell r="C11">
            <v>50</v>
          </cell>
          <cell r="D11">
            <v>50</v>
          </cell>
          <cell r="E11">
            <v>50</v>
          </cell>
          <cell r="F11">
            <v>100</v>
          </cell>
          <cell r="G11">
            <v>100</v>
          </cell>
          <cell r="H11">
            <v>100</v>
          </cell>
          <cell r="I11">
            <v>100</v>
          </cell>
          <cell r="J11">
            <v>200</v>
          </cell>
          <cell r="K11">
            <v>50</v>
          </cell>
          <cell r="L11">
            <v>50</v>
          </cell>
          <cell r="M11">
            <v>50</v>
          </cell>
        </row>
        <row r="12">
          <cell r="A12" t="str">
            <v>B006WTCYK2</v>
          </cell>
          <cell r="B12">
            <v>100</v>
          </cell>
          <cell r="C12">
            <v>100</v>
          </cell>
          <cell r="D12">
            <v>100</v>
          </cell>
          <cell r="E12">
            <v>100</v>
          </cell>
          <cell r="F12">
            <v>100</v>
          </cell>
          <cell r="G12">
            <v>100</v>
          </cell>
          <cell r="H12">
            <v>100</v>
          </cell>
          <cell r="I12">
            <v>100</v>
          </cell>
          <cell r="J12">
            <v>100</v>
          </cell>
          <cell r="K12">
            <v>100</v>
          </cell>
          <cell r="L12">
            <v>100</v>
          </cell>
          <cell r="M12">
            <v>100</v>
          </cell>
        </row>
        <row r="13">
          <cell r="A13" t="str">
            <v>B07YCMW8KD</v>
          </cell>
          <cell r="B13">
            <v>100</v>
          </cell>
          <cell r="C13">
            <v>100</v>
          </cell>
          <cell r="D13">
            <v>100</v>
          </cell>
          <cell r="E13">
            <v>100</v>
          </cell>
          <cell r="F13">
            <v>100</v>
          </cell>
          <cell r="G13">
            <v>100</v>
          </cell>
          <cell r="H13">
            <v>100</v>
          </cell>
          <cell r="I13">
            <v>100</v>
          </cell>
          <cell r="J13">
            <v>100</v>
          </cell>
          <cell r="K13">
            <v>200</v>
          </cell>
          <cell r="L13">
            <v>200</v>
          </cell>
          <cell r="M13">
            <v>100</v>
          </cell>
        </row>
        <row r="14">
          <cell r="A14" t="str">
            <v>B015BSUAEG</v>
          </cell>
          <cell r="B14">
            <v>200</v>
          </cell>
          <cell r="C14">
            <v>200</v>
          </cell>
          <cell r="D14">
            <v>200</v>
          </cell>
          <cell r="E14">
            <v>200</v>
          </cell>
          <cell r="F14">
            <v>100</v>
          </cell>
          <cell r="G14">
            <v>200</v>
          </cell>
          <cell r="H14">
            <v>100</v>
          </cell>
          <cell r="I14">
            <v>100</v>
          </cell>
          <cell r="J14">
            <v>100</v>
          </cell>
          <cell r="K14">
            <v>500</v>
          </cell>
          <cell r="L14">
            <v>600</v>
          </cell>
          <cell r="M14">
            <v>200</v>
          </cell>
        </row>
        <row r="15">
          <cell r="A15" t="str">
            <v>B00CLTOEX2</v>
          </cell>
          <cell r="B15">
            <v>50</v>
          </cell>
          <cell r="C15">
            <v>100</v>
          </cell>
          <cell r="D15">
            <v>50</v>
          </cell>
          <cell r="E15">
            <v>50</v>
          </cell>
          <cell r="F15">
            <v>100</v>
          </cell>
          <cell r="G15">
            <v>100</v>
          </cell>
          <cell r="H15">
            <v>50</v>
          </cell>
          <cell r="I15">
            <v>100</v>
          </cell>
          <cell r="J15">
            <v>100</v>
          </cell>
          <cell r="K15">
            <v>100</v>
          </cell>
          <cell r="L15">
            <v>100</v>
          </cell>
          <cell r="M15">
            <v>50</v>
          </cell>
        </row>
        <row r="16">
          <cell r="A16" t="str">
            <v>B004HHK98A</v>
          </cell>
          <cell r="B16">
            <v>50</v>
          </cell>
          <cell r="C16">
            <v>50</v>
          </cell>
          <cell r="D16">
            <v>50</v>
          </cell>
          <cell r="E16">
            <v>50</v>
          </cell>
          <cell r="F16">
            <v>50</v>
          </cell>
          <cell r="G16">
            <v>100</v>
          </cell>
          <cell r="H16">
            <v>50</v>
          </cell>
          <cell r="I16">
            <v>100</v>
          </cell>
          <cell r="J16">
            <v>50</v>
          </cell>
          <cell r="K16">
            <v>50</v>
          </cell>
          <cell r="L16">
            <v>100</v>
          </cell>
          <cell r="M16">
            <v>50</v>
          </cell>
        </row>
        <row r="17">
          <cell r="A17" t="str">
            <v>B08CY6F7DV</v>
          </cell>
          <cell r="B17">
            <v>0</v>
          </cell>
          <cell r="C17">
            <v>0</v>
          </cell>
          <cell r="D17">
            <v>0</v>
          </cell>
          <cell r="E17">
            <v>0</v>
          </cell>
          <cell r="F17">
            <v>0</v>
          </cell>
          <cell r="G17">
            <v>0</v>
          </cell>
          <cell r="H17">
            <v>0</v>
          </cell>
          <cell r="I17">
            <v>0</v>
          </cell>
          <cell r="J17">
            <v>0</v>
          </cell>
          <cell r="K17">
            <v>0</v>
          </cell>
          <cell r="L17">
            <v>0</v>
          </cell>
          <cell r="M17">
            <v>0</v>
          </cell>
        </row>
        <row r="18">
          <cell r="A18" t="str">
            <v>B002Y6NS48</v>
          </cell>
          <cell r="B18">
            <v>50</v>
          </cell>
          <cell r="C18">
            <v>50</v>
          </cell>
          <cell r="D18">
            <v>0</v>
          </cell>
          <cell r="E18">
            <v>0</v>
          </cell>
          <cell r="F18">
            <v>0</v>
          </cell>
          <cell r="G18">
            <v>50</v>
          </cell>
          <cell r="H18">
            <v>50</v>
          </cell>
          <cell r="I18">
            <v>50</v>
          </cell>
          <cell r="J18">
            <v>50</v>
          </cell>
          <cell r="K18">
            <v>50</v>
          </cell>
          <cell r="L18">
            <v>50</v>
          </cell>
          <cell r="M18">
            <v>50</v>
          </cell>
        </row>
        <row r="19">
          <cell r="A19" t="str">
            <v>B00605F7TI</v>
          </cell>
          <cell r="B19">
            <v>0</v>
          </cell>
          <cell r="C19">
            <v>0</v>
          </cell>
          <cell r="D19">
            <v>0</v>
          </cell>
          <cell r="E19">
            <v>0</v>
          </cell>
          <cell r="F19">
            <v>0</v>
          </cell>
          <cell r="G19">
            <v>0</v>
          </cell>
          <cell r="H19">
            <v>50</v>
          </cell>
          <cell r="I19">
            <v>50</v>
          </cell>
          <cell r="J19">
            <v>50</v>
          </cell>
          <cell r="K19">
            <v>50</v>
          </cell>
          <cell r="L19">
            <v>50</v>
          </cell>
          <cell r="M19">
            <v>50</v>
          </cell>
        </row>
        <row r="20">
          <cell r="A20" t="str">
            <v>B002Y5MVO2</v>
          </cell>
          <cell r="B20">
            <v>50</v>
          </cell>
          <cell r="C20">
            <v>50</v>
          </cell>
          <cell r="D20">
            <v>50</v>
          </cell>
          <cell r="E20">
            <v>50</v>
          </cell>
          <cell r="F20">
            <v>50</v>
          </cell>
          <cell r="G20">
            <v>0</v>
          </cell>
          <cell r="H20">
            <v>50</v>
          </cell>
          <cell r="I20">
            <v>50</v>
          </cell>
          <cell r="J20">
            <v>50</v>
          </cell>
          <cell r="K20">
            <v>50</v>
          </cell>
          <cell r="L20">
            <v>50</v>
          </cell>
          <cell r="M20">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B00004RA4D</v>
          </cell>
          <cell r="B2">
            <v>100</v>
          </cell>
          <cell r="C2">
            <v>100</v>
          </cell>
          <cell r="D2">
            <v>100</v>
          </cell>
          <cell r="E2">
            <v>100</v>
          </cell>
          <cell r="F2">
            <v>100</v>
          </cell>
          <cell r="G2">
            <v>100</v>
          </cell>
          <cell r="H2">
            <v>100</v>
          </cell>
          <cell r="I2">
            <v>100</v>
          </cell>
          <cell r="J2">
            <v>100</v>
          </cell>
          <cell r="K2">
            <v>100</v>
          </cell>
          <cell r="L2">
            <v>100</v>
          </cell>
          <cell r="M2">
            <v>100</v>
          </cell>
        </row>
        <row r="3">
          <cell r="A3" t="str">
            <v>B0007QKECG</v>
          </cell>
          <cell r="B3">
            <v>0</v>
          </cell>
          <cell r="C3">
            <v>0</v>
          </cell>
          <cell r="D3">
            <v>0</v>
          </cell>
          <cell r="E3">
            <v>50</v>
          </cell>
          <cell r="F3">
            <v>50</v>
          </cell>
          <cell r="G3">
            <v>50</v>
          </cell>
          <cell r="H3">
            <v>50</v>
          </cell>
          <cell r="I3">
            <v>50</v>
          </cell>
          <cell r="J3">
            <v>50</v>
          </cell>
          <cell r="K3">
            <v>0</v>
          </cell>
          <cell r="L3">
            <v>0</v>
          </cell>
          <cell r="M3">
            <v>0</v>
          </cell>
        </row>
        <row r="4">
          <cell r="A4" t="str">
            <v>B00B9IK0IE</v>
          </cell>
          <cell r="B4">
            <v>0</v>
          </cell>
          <cell r="C4">
            <v>0</v>
          </cell>
          <cell r="D4">
            <v>0</v>
          </cell>
          <cell r="E4">
            <v>50</v>
          </cell>
          <cell r="F4">
            <v>50</v>
          </cell>
          <cell r="G4">
            <v>50</v>
          </cell>
          <cell r="H4">
            <v>50</v>
          </cell>
          <cell r="I4">
            <v>50</v>
          </cell>
          <cell r="J4">
            <v>50</v>
          </cell>
          <cell r="K4">
            <v>50</v>
          </cell>
          <cell r="L4">
            <v>50</v>
          </cell>
          <cell r="M4">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B0H3P5W8LB</v>
          </cell>
          <cell r="B2">
            <v>0</v>
          </cell>
          <cell r="C2">
            <v>0</v>
          </cell>
          <cell r="D2">
            <v>0</v>
          </cell>
          <cell r="E2">
            <v>0</v>
          </cell>
          <cell r="F2">
            <v>0</v>
          </cell>
          <cell r="G2">
            <v>0</v>
          </cell>
          <cell r="H2">
            <v>0</v>
          </cell>
          <cell r="I2">
            <v>0</v>
          </cell>
          <cell r="J2">
            <v>100</v>
          </cell>
          <cell r="K2">
            <v>0</v>
          </cell>
          <cell r="L2">
            <v>0</v>
          </cell>
          <cell r="M2">
            <v>0</v>
          </cell>
        </row>
        <row r="3">
          <cell r="A3" t="str">
            <v>B0GJBS6P2Q</v>
          </cell>
          <cell r="B3">
            <v>0</v>
          </cell>
          <cell r="C3">
            <v>0</v>
          </cell>
          <cell r="D3">
            <v>0</v>
          </cell>
          <cell r="E3">
            <v>0</v>
          </cell>
          <cell r="F3">
            <v>0</v>
          </cell>
          <cell r="G3">
            <v>0</v>
          </cell>
          <cell r="H3">
            <v>0</v>
          </cell>
          <cell r="I3">
            <v>0</v>
          </cell>
          <cell r="J3">
            <v>0</v>
          </cell>
          <cell r="K3">
            <v>0</v>
          </cell>
          <cell r="L3">
            <v>0</v>
          </cell>
          <cell r="M3">
            <v>0</v>
          </cell>
        </row>
        <row r="4">
          <cell r="A4" t="str">
            <v>B0CJRH76BR</v>
          </cell>
          <cell r="B4">
            <v>100</v>
          </cell>
          <cell r="C4">
            <v>100</v>
          </cell>
          <cell r="D4">
            <v>200</v>
          </cell>
          <cell r="E4">
            <v>200</v>
          </cell>
          <cell r="F4">
            <v>200</v>
          </cell>
          <cell r="G4">
            <v>300</v>
          </cell>
          <cell r="H4">
            <v>300</v>
          </cell>
          <cell r="I4">
            <v>400</v>
          </cell>
          <cell r="J4">
            <v>300</v>
          </cell>
          <cell r="K4">
            <v>400</v>
          </cell>
          <cell r="L4">
            <v>300</v>
          </cell>
          <cell r="M4">
            <v>200</v>
          </cell>
        </row>
        <row r="5">
          <cell r="A5" t="str">
            <v>B0H2XPFR7Y</v>
          </cell>
          <cell r="B5">
            <v>0</v>
          </cell>
          <cell r="C5">
            <v>0</v>
          </cell>
          <cell r="D5">
            <v>0</v>
          </cell>
          <cell r="E5">
            <v>0</v>
          </cell>
          <cell r="F5">
            <v>0</v>
          </cell>
          <cell r="G5">
            <v>0</v>
          </cell>
          <cell r="H5">
            <v>0</v>
          </cell>
          <cell r="I5">
            <v>0</v>
          </cell>
          <cell r="J5">
            <v>200</v>
          </cell>
          <cell r="K5">
            <v>0</v>
          </cell>
          <cell r="L5">
            <v>0</v>
          </cell>
          <cell r="M5">
            <v>0</v>
          </cell>
        </row>
        <row r="6">
          <cell r="A6" t="str">
            <v>B0H2Y2FS1J</v>
          </cell>
          <cell r="B6">
            <v>0</v>
          </cell>
          <cell r="C6">
            <v>0</v>
          </cell>
          <cell r="D6">
            <v>0</v>
          </cell>
          <cell r="E6">
            <v>0</v>
          </cell>
          <cell r="F6">
            <v>0</v>
          </cell>
          <cell r="G6">
            <v>0</v>
          </cell>
          <cell r="H6">
            <v>0</v>
          </cell>
          <cell r="I6">
            <v>0</v>
          </cell>
          <cell r="J6">
            <v>200</v>
          </cell>
          <cell r="K6">
            <v>0</v>
          </cell>
          <cell r="L6">
            <v>0</v>
          </cell>
          <cell r="M6">
            <v>0</v>
          </cell>
        </row>
        <row r="7">
          <cell r="A7" t="str">
            <v>B0GSV9387N</v>
          </cell>
          <cell r="B7">
            <v>0</v>
          </cell>
          <cell r="C7">
            <v>0</v>
          </cell>
          <cell r="D7">
            <v>0</v>
          </cell>
          <cell r="E7">
            <v>0</v>
          </cell>
          <cell r="F7">
            <v>0</v>
          </cell>
          <cell r="G7">
            <v>0</v>
          </cell>
          <cell r="H7">
            <v>0</v>
          </cell>
          <cell r="I7">
            <v>0</v>
          </cell>
          <cell r="J7">
            <v>200</v>
          </cell>
          <cell r="K7">
            <v>0</v>
          </cell>
          <cell r="L7">
            <v>0</v>
          </cell>
          <cell r="M7">
            <v>0</v>
          </cell>
        </row>
        <row r="8">
          <cell r="A8" t="str">
            <v>B0H2ZBF1QC</v>
          </cell>
          <cell r="B8">
            <v>0</v>
          </cell>
          <cell r="C8">
            <v>0</v>
          </cell>
          <cell r="D8">
            <v>0</v>
          </cell>
          <cell r="E8">
            <v>0</v>
          </cell>
          <cell r="F8">
            <v>0</v>
          </cell>
          <cell r="G8">
            <v>0</v>
          </cell>
          <cell r="H8">
            <v>0</v>
          </cell>
          <cell r="I8">
            <v>0</v>
          </cell>
          <cell r="J8">
            <v>200</v>
          </cell>
          <cell r="K8">
            <v>0</v>
          </cell>
          <cell r="L8">
            <v>0</v>
          </cell>
          <cell r="M8">
            <v>0</v>
          </cell>
        </row>
        <row r="9">
          <cell r="A9" t="str">
            <v>B0H15GKVQF</v>
          </cell>
          <cell r="B9">
            <v>0</v>
          </cell>
          <cell r="C9">
            <v>0</v>
          </cell>
          <cell r="D9">
            <v>0</v>
          </cell>
          <cell r="E9">
            <v>0</v>
          </cell>
          <cell r="F9">
            <v>0</v>
          </cell>
          <cell r="G9">
            <v>0</v>
          </cell>
          <cell r="H9">
            <v>0</v>
          </cell>
          <cell r="I9">
            <v>0</v>
          </cell>
          <cell r="J9">
            <v>300</v>
          </cell>
          <cell r="K9">
            <v>0</v>
          </cell>
          <cell r="L9">
            <v>0</v>
          </cell>
          <cell r="M9">
            <v>0</v>
          </cell>
        </row>
        <row r="10">
          <cell r="A10" t="str">
            <v>B0GYW2MBJF</v>
          </cell>
          <cell r="B10">
            <v>0</v>
          </cell>
          <cell r="C10">
            <v>0</v>
          </cell>
          <cell r="D10">
            <v>0</v>
          </cell>
          <cell r="E10">
            <v>0</v>
          </cell>
          <cell r="F10">
            <v>0</v>
          </cell>
          <cell r="G10">
            <v>0</v>
          </cell>
          <cell r="H10">
            <v>0</v>
          </cell>
          <cell r="I10">
            <v>0</v>
          </cell>
          <cell r="J10">
            <v>200</v>
          </cell>
          <cell r="K10">
            <v>0</v>
          </cell>
          <cell r="L10">
            <v>0</v>
          </cell>
          <cell r="M10">
            <v>0</v>
          </cell>
        </row>
        <row r="11">
          <cell r="A11" t="str">
            <v>B0H2VV5WD2</v>
          </cell>
          <cell r="B11">
            <v>0</v>
          </cell>
          <cell r="C11">
            <v>0</v>
          </cell>
          <cell r="D11">
            <v>0</v>
          </cell>
          <cell r="E11">
            <v>200</v>
          </cell>
          <cell r="F11">
            <v>200</v>
          </cell>
          <cell r="G11">
            <v>300</v>
          </cell>
          <cell r="H11">
            <v>200</v>
          </cell>
          <cell r="I11">
            <v>200</v>
          </cell>
          <cell r="J11">
            <v>200</v>
          </cell>
          <cell r="K11">
            <v>0</v>
          </cell>
          <cell r="L11">
            <v>0</v>
          </cell>
          <cell r="M11">
            <v>0</v>
          </cell>
        </row>
        <row r="12">
          <cell r="A12" t="str">
            <v>B0GTYT5WP5</v>
          </cell>
          <cell r="B12">
            <v>0</v>
          </cell>
          <cell r="C12">
            <v>0</v>
          </cell>
          <cell r="D12">
            <v>0</v>
          </cell>
          <cell r="E12">
            <v>0</v>
          </cell>
          <cell r="F12">
            <v>0</v>
          </cell>
          <cell r="G12">
            <v>0</v>
          </cell>
          <cell r="H12">
            <v>0</v>
          </cell>
          <cell r="I12">
            <v>0</v>
          </cell>
          <cell r="J12">
            <v>200</v>
          </cell>
          <cell r="K12">
            <v>0</v>
          </cell>
          <cell r="L12">
            <v>0</v>
          </cell>
          <cell r="M12">
            <v>0</v>
          </cell>
        </row>
        <row r="13">
          <cell r="A13" t="str">
            <v>B0H2ZH464Q</v>
          </cell>
          <cell r="B13">
            <v>0</v>
          </cell>
          <cell r="C13">
            <v>0</v>
          </cell>
          <cell r="D13">
            <v>0</v>
          </cell>
          <cell r="E13">
            <v>0</v>
          </cell>
          <cell r="F13">
            <v>0</v>
          </cell>
          <cell r="G13">
            <v>0</v>
          </cell>
          <cell r="H13">
            <v>0</v>
          </cell>
          <cell r="I13">
            <v>0</v>
          </cell>
          <cell r="J13">
            <v>0</v>
          </cell>
          <cell r="K13">
            <v>0</v>
          </cell>
          <cell r="L13">
            <v>0</v>
          </cell>
          <cell r="M13">
            <v>0</v>
          </cell>
        </row>
        <row r="14">
          <cell r="A14" t="str">
            <v>B0H2ZJNFG9</v>
          </cell>
          <cell r="B14">
            <v>0</v>
          </cell>
          <cell r="C14">
            <v>0</v>
          </cell>
          <cell r="D14">
            <v>0</v>
          </cell>
          <cell r="E14">
            <v>0</v>
          </cell>
          <cell r="F14">
            <v>0</v>
          </cell>
          <cell r="G14">
            <v>0</v>
          </cell>
          <cell r="H14">
            <v>0</v>
          </cell>
          <cell r="I14">
            <v>0</v>
          </cell>
          <cell r="J14">
            <v>0</v>
          </cell>
          <cell r="K14">
            <v>0</v>
          </cell>
          <cell r="L14">
            <v>0</v>
          </cell>
          <cell r="M14">
            <v>0</v>
          </cell>
        </row>
        <row r="15">
          <cell r="A15" t="str">
            <v>B0H3P6QG55</v>
          </cell>
          <cell r="B15">
            <v>0</v>
          </cell>
          <cell r="C15">
            <v>0</v>
          </cell>
          <cell r="D15">
            <v>0</v>
          </cell>
          <cell r="E15">
            <v>0</v>
          </cell>
          <cell r="F15">
            <v>0</v>
          </cell>
          <cell r="G15">
            <v>0</v>
          </cell>
          <cell r="H15">
            <v>0</v>
          </cell>
          <cell r="I15">
            <v>0</v>
          </cell>
          <cell r="J15">
            <v>100</v>
          </cell>
          <cell r="K15">
            <v>0</v>
          </cell>
          <cell r="L15">
            <v>0</v>
          </cell>
          <cell r="M15">
            <v>0</v>
          </cell>
        </row>
        <row r="16">
          <cell r="A16" t="str">
            <v>B0H3P4G5MD</v>
          </cell>
          <cell r="B16">
            <v>0</v>
          </cell>
          <cell r="C16">
            <v>0</v>
          </cell>
          <cell r="D16">
            <v>0</v>
          </cell>
          <cell r="E16">
            <v>0</v>
          </cell>
          <cell r="F16">
            <v>0</v>
          </cell>
          <cell r="G16">
            <v>0</v>
          </cell>
          <cell r="H16">
            <v>0</v>
          </cell>
          <cell r="I16">
            <v>0</v>
          </cell>
          <cell r="J16">
            <v>0</v>
          </cell>
          <cell r="K16">
            <v>0</v>
          </cell>
          <cell r="L16">
            <v>0</v>
          </cell>
          <cell r="M16">
            <v>0</v>
          </cell>
        </row>
        <row r="17">
          <cell r="A17" t="str">
            <v>B0GQ9SHK7X</v>
          </cell>
          <cell r="B17">
            <v>0</v>
          </cell>
          <cell r="C17">
            <v>0</v>
          </cell>
          <cell r="D17">
            <v>0</v>
          </cell>
          <cell r="E17">
            <v>0</v>
          </cell>
          <cell r="F17">
            <v>0</v>
          </cell>
          <cell r="G17">
            <v>0</v>
          </cell>
          <cell r="H17">
            <v>0</v>
          </cell>
          <cell r="I17">
            <v>0</v>
          </cell>
          <cell r="J17">
            <v>100</v>
          </cell>
          <cell r="K17">
            <v>0</v>
          </cell>
          <cell r="L17">
            <v>0</v>
          </cell>
          <cell r="M17">
            <v>0</v>
          </cell>
        </row>
        <row r="18">
          <cell r="A18" t="str">
            <v>B0H4V9W1PZ</v>
          </cell>
          <cell r="B18">
            <v>0</v>
          </cell>
          <cell r="C18">
            <v>0</v>
          </cell>
          <cell r="D18">
            <v>0</v>
          </cell>
          <cell r="E18">
            <v>0</v>
          </cell>
          <cell r="F18">
            <v>0</v>
          </cell>
          <cell r="G18">
            <v>0</v>
          </cell>
          <cell r="H18">
            <v>0</v>
          </cell>
          <cell r="I18">
            <v>0</v>
          </cell>
          <cell r="J18">
            <v>0</v>
          </cell>
          <cell r="K18">
            <v>0</v>
          </cell>
          <cell r="L18">
            <v>0</v>
          </cell>
          <cell r="M18">
            <v>0</v>
          </cell>
        </row>
        <row r="19">
          <cell r="A19" t="str">
            <v>B0H2CTTVCP</v>
          </cell>
          <cell r="B19">
            <v>0</v>
          </cell>
          <cell r="C19">
            <v>0</v>
          </cell>
          <cell r="D19">
            <v>0</v>
          </cell>
          <cell r="E19">
            <v>0</v>
          </cell>
          <cell r="F19">
            <v>0</v>
          </cell>
          <cell r="G19">
            <v>0</v>
          </cell>
          <cell r="H19">
            <v>0</v>
          </cell>
          <cell r="I19">
            <v>0</v>
          </cell>
          <cell r="J19">
            <v>50</v>
          </cell>
          <cell r="K19">
            <v>0</v>
          </cell>
          <cell r="L19">
            <v>0</v>
          </cell>
          <cell r="M19">
            <v>0</v>
          </cell>
        </row>
        <row r="20">
          <cell r="A20" t="str">
            <v>B0GVRTZ294</v>
          </cell>
          <cell r="B20">
            <v>0</v>
          </cell>
          <cell r="C20">
            <v>0</v>
          </cell>
          <cell r="D20">
            <v>0</v>
          </cell>
          <cell r="E20">
            <v>0</v>
          </cell>
          <cell r="F20">
            <v>0</v>
          </cell>
          <cell r="G20">
            <v>0</v>
          </cell>
          <cell r="H20">
            <v>0</v>
          </cell>
          <cell r="I20">
            <v>0</v>
          </cell>
          <cell r="J20">
            <v>0</v>
          </cell>
          <cell r="K20">
            <v>0</v>
          </cell>
          <cell r="L20">
            <v>0</v>
          </cell>
          <cell r="M20">
            <v>0</v>
          </cell>
        </row>
        <row r="21">
          <cell r="A21" t="str">
            <v>B0GQ98BJFD</v>
          </cell>
          <cell r="B21">
            <v>0</v>
          </cell>
          <cell r="C21">
            <v>0</v>
          </cell>
          <cell r="D21">
            <v>0</v>
          </cell>
          <cell r="E21">
            <v>0</v>
          </cell>
          <cell r="F21">
            <v>0</v>
          </cell>
          <cell r="G21">
            <v>0</v>
          </cell>
          <cell r="H21">
            <v>0</v>
          </cell>
          <cell r="I21">
            <v>0</v>
          </cell>
          <cell r="J21">
            <v>0</v>
          </cell>
          <cell r="K21">
            <v>0</v>
          </cell>
          <cell r="L21">
            <v>0</v>
          </cell>
          <cell r="M21">
            <v>0</v>
          </cell>
        </row>
        <row r="22">
          <cell r="A22" t="str">
            <v>B0CL49769V</v>
          </cell>
          <cell r="B22">
            <v>100</v>
          </cell>
          <cell r="C22">
            <v>50</v>
          </cell>
          <cell r="D22">
            <v>0</v>
          </cell>
          <cell r="E22">
            <v>0</v>
          </cell>
          <cell r="F22">
            <v>0</v>
          </cell>
          <cell r="G22">
            <v>0</v>
          </cell>
          <cell r="H22">
            <v>0</v>
          </cell>
          <cell r="I22">
            <v>0</v>
          </cell>
          <cell r="J22">
            <v>0</v>
          </cell>
          <cell r="K22">
            <v>200</v>
          </cell>
          <cell r="L22">
            <v>200</v>
          </cell>
          <cell r="M22">
            <v>200</v>
          </cell>
        </row>
        <row r="23">
          <cell r="A23" t="str">
            <v>B0H3QHJDZB</v>
          </cell>
          <cell r="B23">
            <v>0</v>
          </cell>
          <cell r="C23">
            <v>0</v>
          </cell>
          <cell r="D23">
            <v>0</v>
          </cell>
          <cell r="E23">
            <v>0</v>
          </cell>
          <cell r="F23">
            <v>0</v>
          </cell>
          <cell r="G23">
            <v>0</v>
          </cell>
          <cell r="H23">
            <v>0</v>
          </cell>
          <cell r="I23">
            <v>0</v>
          </cell>
          <cell r="J23">
            <v>100</v>
          </cell>
          <cell r="K23">
            <v>0</v>
          </cell>
          <cell r="L23">
            <v>0</v>
          </cell>
          <cell r="M23">
            <v>0</v>
          </cell>
        </row>
        <row r="24">
          <cell r="A24" t="str">
            <v>B0H1C4GG6B</v>
          </cell>
          <cell r="B24">
            <v>0</v>
          </cell>
          <cell r="C24">
            <v>0</v>
          </cell>
          <cell r="D24">
            <v>0</v>
          </cell>
          <cell r="E24">
            <v>0</v>
          </cell>
          <cell r="F24">
            <v>0</v>
          </cell>
          <cell r="G24">
            <v>0</v>
          </cell>
          <cell r="H24">
            <v>0</v>
          </cell>
          <cell r="I24">
            <v>0</v>
          </cell>
          <cell r="J24">
            <v>50</v>
          </cell>
          <cell r="K24">
            <v>0</v>
          </cell>
          <cell r="L24">
            <v>0</v>
          </cell>
          <cell r="M24">
            <v>0</v>
          </cell>
        </row>
        <row r="25">
          <cell r="A25" t="str">
            <v>B0GX533HKQ</v>
          </cell>
          <cell r="B25">
            <v>0</v>
          </cell>
          <cell r="C25">
            <v>0</v>
          </cell>
          <cell r="D25">
            <v>0</v>
          </cell>
          <cell r="E25">
            <v>0</v>
          </cell>
          <cell r="F25">
            <v>0</v>
          </cell>
          <cell r="G25">
            <v>0</v>
          </cell>
          <cell r="H25">
            <v>0</v>
          </cell>
          <cell r="I25">
            <v>0</v>
          </cell>
          <cell r="J25">
            <v>100</v>
          </cell>
          <cell r="K25">
            <v>0</v>
          </cell>
          <cell r="L25">
            <v>0</v>
          </cell>
          <cell r="M25">
            <v>0</v>
          </cell>
        </row>
        <row r="26">
          <cell r="A26" t="str">
            <v>B0H4ZC9MKK</v>
          </cell>
          <cell r="B26">
            <v>0</v>
          </cell>
          <cell r="C26">
            <v>0</v>
          </cell>
          <cell r="D26">
            <v>0</v>
          </cell>
          <cell r="E26">
            <v>0</v>
          </cell>
          <cell r="F26">
            <v>0</v>
          </cell>
          <cell r="G26">
            <v>0</v>
          </cell>
          <cell r="H26">
            <v>0</v>
          </cell>
          <cell r="I26">
            <v>0</v>
          </cell>
          <cell r="J26">
            <v>100</v>
          </cell>
          <cell r="K26">
            <v>0</v>
          </cell>
          <cell r="L26">
            <v>0</v>
          </cell>
          <cell r="M26">
            <v>0</v>
          </cell>
        </row>
        <row r="27">
          <cell r="A27" t="str">
            <v>B0H3P645DH</v>
          </cell>
          <cell r="B27">
            <v>0</v>
          </cell>
          <cell r="C27">
            <v>0</v>
          </cell>
          <cell r="D27">
            <v>0</v>
          </cell>
          <cell r="E27">
            <v>0</v>
          </cell>
          <cell r="F27">
            <v>0</v>
          </cell>
          <cell r="G27">
            <v>0</v>
          </cell>
          <cell r="H27">
            <v>0</v>
          </cell>
          <cell r="I27">
            <v>0</v>
          </cell>
          <cell r="J27">
            <v>200</v>
          </cell>
          <cell r="K27">
            <v>0</v>
          </cell>
          <cell r="L27">
            <v>0</v>
          </cell>
          <cell r="M27">
            <v>0</v>
          </cell>
        </row>
        <row r="28">
          <cell r="A28" t="str">
            <v>B0H2Y1DCS5</v>
          </cell>
          <cell r="B28">
            <v>0</v>
          </cell>
          <cell r="C28">
            <v>0</v>
          </cell>
          <cell r="D28">
            <v>0</v>
          </cell>
          <cell r="E28">
            <v>0</v>
          </cell>
          <cell r="F28">
            <v>0</v>
          </cell>
          <cell r="G28">
            <v>0</v>
          </cell>
          <cell r="H28">
            <v>0</v>
          </cell>
          <cell r="I28">
            <v>0</v>
          </cell>
          <cell r="J28">
            <v>200</v>
          </cell>
          <cell r="K28">
            <v>0</v>
          </cell>
          <cell r="L28">
            <v>0</v>
          </cell>
          <cell r="M28">
            <v>0</v>
          </cell>
        </row>
        <row r="29">
          <cell r="A29" t="str">
            <v>B0H3KBBH3T</v>
          </cell>
          <cell r="B29">
            <v>0</v>
          </cell>
          <cell r="C29">
            <v>0</v>
          </cell>
          <cell r="D29">
            <v>0</v>
          </cell>
          <cell r="E29">
            <v>0</v>
          </cell>
          <cell r="F29">
            <v>0</v>
          </cell>
          <cell r="G29">
            <v>0</v>
          </cell>
          <cell r="H29">
            <v>0</v>
          </cell>
          <cell r="I29">
            <v>0</v>
          </cell>
          <cell r="J29">
            <v>0</v>
          </cell>
          <cell r="K29">
            <v>0</v>
          </cell>
          <cell r="L29">
            <v>0</v>
          </cell>
          <cell r="M29">
            <v>0</v>
          </cell>
        </row>
        <row r="30">
          <cell r="A30" t="str">
            <v>B0H2XJPPMC</v>
          </cell>
          <cell r="B30">
            <v>0</v>
          </cell>
          <cell r="C30">
            <v>0</v>
          </cell>
          <cell r="D30">
            <v>0</v>
          </cell>
          <cell r="E30">
            <v>0</v>
          </cell>
          <cell r="F30">
            <v>0</v>
          </cell>
          <cell r="G30">
            <v>0</v>
          </cell>
          <cell r="H30">
            <v>0</v>
          </cell>
          <cell r="I30">
            <v>0</v>
          </cell>
          <cell r="J30">
            <v>0</v>
          </cell>
          <cell r="K30">
            <v>0</v>
          </cell>
          <cell r="L30">
            <v>0</v>
          </cell>
          <cell r="M30">
            <v>0</v>
          </cell>
        </row>
        <row r="31">
          <cell r="A31" t="str">
            <v>B0H15MLK47</v>
          </cell>
          <cell r="B31">
            <v>0</v>
          </cell>
          <cell r="C31">
            <v>0</v>
          </cell>
          <cell r="D31">
            <v>0</v>
          </cell>
          <cell r="E31">
            <v>0</v>
          </cell>
          <cell r="F31">
            <v>0</v>
          </cell>
          <cell r="G31">
            <v>0</v>
          </cell>
          <cell r="H31">
            <v>0</v>
          </cell>
          <cell r="I31">
            <v>0</v>
          </cell>
          <cell r="J31">
            <v>0</v>
          </cell>
          <cell r="K31">
            <v>0</v>
          </cell>
          <cell r="L31">
            <v>0</v>
          </cell>
          <cell r="M31">
            <v>0</v>
          </cell>
        </row>
        <row r="32">
          <cell r="A32" t="str">
            <v>B0H5KHSZZG</v>
          </cell>
          <cell r="B32">
            <v>0</v>
          </cell>
          <cell r="C32">
            <v>0</v>
          </cell>
          <cell r="D32">
            <v>0</v>
          </cell>
          <cell r="E32">
            <v>0</v>
          </cell>
          <cell r="F32">
            <v>0</v>
          </cell>
          <cell r="G32">
            <v>0</v>
          </cell>
          <cell r="H32">
            <v>0</v>
          </cell>
          <cell r="I32">
            <v>0</v>
          </cell>
          <cell r="J32">
            <v>0</v>
          </cell>
          <cell r="K32">
            <v>0</v>
          </cell>
          <cell r="L32">
            <v>0</v>
          </cell>
          <cell r="M32">
            <v>0</v>
          </cell>
        </row>
        <row r="33">
          <cell r="A33" t="str">
            <v>B0FWB22L7V</v>
          </cell>
          <cell r="B33">
            <v>0</v>
          </cell>
          <cell r="C33">
            <v>0</v>
          </cell>
          <cell r="D33">
            <v>0</v>
          </cell>
          <cell r="E33">
            <v>0</v>
          </cell>
          <cell r="F33">
            <v>0</v>
          </cell>
          <cell r="G33">
            <v>0</v>
          </cell>
          <cell r="H33">
            <v>0</v>
          </cell>
          <cell r="I33">
            <v>0</v>
          </cell>
          <cell r="J33">
            <v>0</v>
          </cell>
          <cell r="K33">
            <v>0</v>
          </cell>
          <cell r="L33">
            <v>0</v>
          </cell>
          <cell r="M33">
            <v>0</v>
          </cell>
        </row>
        <row r="34">
          <cell r="A34" t="str">
            <v>B0C9T97G4N</v>
          </cell>
          <cell r="B34">
            <v>200</v>
          </cell>
          <cell r="C34">
            <v>50</v>
          </cell>
          <cell r="D34">
            <v>100</v>
          </cell>
          <cell r="E34">
            <v>100</v>
          </cell>
          <cell r="F34">
            <v>100</v>
          </cell>
          <cell r="G34">
            <v>50</v>
          </cell>
          <cell r="H34">
            <v>50</v>
          </cell>
          <cell r="I34">
            <v>50</v>
          </cell>
          <cell r="J34">
            <v>50</v>
          </cell>
          <cell r="K34">
            <v>300</v>
          </cell>
          <cell r="L34">
            <v>200</v>
          </cell>
          <cell r="M34">
            <v>200</v>
          </cell>
        </row>
        <row r="35">
          <cell r="A35" t="str">
            <v>B0CD24D6PB</v>
          </cell>
          <cell r="B35">
            <v>50</v>
          </cell>
          <cell r="C35">
            <v>0</v>
          </cell>
          <cell r="D35">
            <v>0</v>
          </cell>
          <cell r="E35">
            <v>50</v>
          </cell>
          <cell r="F35">
            <v>50</v>
          </cell>
          <cell r="G35">
            <v>50</v>
          </cell>
          <cell r="H35">
            <v>0</v>
          </cell>
          <cell r="I35">
            <v>50</v>
          </cell>
          <cell r="J35">
            <v>0</v>
          </cell>
          <cell r="K35">
            <v>50</v>
          </cell>
          <cell r="L35">
            <v>100</v>
          </cell>
          <cell r="M35">
            <v>50</v>
          </cell>
        </row>
        <row r="36">
          <cell r="A36" t="str">
            <v>B0CSFDPTFS</v>
          </cell>
          <cell r="B36">
            <v>50</v>
          </cell>
          <cell r="C36">
            <v>50</v>
          </cell>
          <cell r="D36">
            <v>100</v>
          </cell>
          <cell r="E36">
            <v>100</v>
          </cell>
          <cell r="F36">
            <v>100</v>
          </cell>
          <cell r="G36">
            <v>50</v>
          </cell>
          <cell r="H36">
            <v>100</v>
          </cell>
          <cell r="I36">
            <v>50</v>
          </cell>
          <cell r="J36">
            <v>50</v>
          </cell>
          <cell r="K36">
            <v>100</v>
          </cell>
          <cell r="L36">
            <v>50</v>
          </cell>
          <cell r="M36">
            <v>50</v>
          </cell>
        </row>
        <row r="37">
          <cell r="A37" t="str">
            <v>B0H3FBL9CN</v>
          </cell>
          <cell r="B37">
            <v>0</v>
          </cell>
          <cell r="C37">
            <v>0</v>
          </cell>
          <cell r="D37">
            <v>0</v>
          </cell>
          <cell r="E37">
            <v>0</v>
          </cell>
          <cell r="F37">
            <v>0</v>
          </cell>
          <cell r="G37">
            <v>0</v>
          </cell>
          <cell r="H37">
            <v>0</v>
          </cell>
          <cell r="I37">
            <v>0</v>
          </cell>
          <cell r="J37">
            <v>0</v>
          </cell>
          <cell r="K37">
            <v>0</v>
          </cell>
          <cell r="L37">
            <v>0</v>
          </cell>
          <cell r="M37">
            <v>0</v>
          </cell>
        </row>
        <row r="38">
          <cell r="A38" t="str">
            <v>B0GRMC3SGR</v>
          </cell>
          <cell r="B38">
            <v>0</v>
          </cell>
          <cell r="C38">
            <v>0</v>
          </cell>
          <cell r="D38">
            <v>0</v>
          </cell>
          <cell r="E38">
            <v>0</v>
          </cell>
          <cell r="F38">
            <v>0</v>
          </cell>
          <cell r="G38">
            <v>0</v>
          </cell>
          <cell r="H38">
            <v>0</v>
          </cell>
          <cell r="I38">
            <v>100</v>
          </cell>
          <cell r="J38">
            <v>50</v>
          </cell>
          <cell r="K38">
            <v>0</v>
          </cell>
          <cell r="L38">
            <v>0</v>
          </cell>
          <cell r="M38">
            <v>0</v>
          </cell>
        </row>
        <row r="39">
          <cell r="A39" t="str">
            <v>B0H1PWF8Z7</v>
          </cell>
          <cell r="B39">
            <v>0</v>
          </cell>
          <cell r="C39">
            <v>0</v>
          </cell>
          <cell r="D39">
            <v>0</v>
          </cell>
          <cell r="E39">
            <v>0</v>
          </cell>
          <cell r="F39">
            <v>0</v>
          </cell>
          <cell r="G39">
            <v>0</v>
          </cell>
          <cell r="H39">
            <v>0</v>
          </cell>
          <cell r="I39">
            <v>100</v>
          </cell>
          <cell r="J39">
            <v>100</v>
          </cell>
          <cell r="K39">
            <v>0</v>
          </cell>
          <cell r="L39">
            <v>0</v>
          </cell>
          <cell r="M39">
            <v>0</v>
          </cell>
        </row>
        <row r="40">
          <cell r="A40" t="str">
            <v>B0H3F7PVG7</v>
          </cell>
          <cell r="B40">
            <v>0</v>
          </cell>
          <cell r="C40">
            <v>0</v>
          </cell>
          <cell r="D40">
            <v>0</v>
          </cell>
          <cell r="E40">
            <v>0</v>
          </cell>
          <cell r="F40">
            <v>0</v>
          </cell>
          <cell r="G40">
            <v>0</v>
          </cell>
          <cell r="H40">
            <v>0</v>
          </cell>
          <cell r="I40">
            <v>100</v>
          </cell>
          <cell r="J40">
            <v>50</v>
          </cell>
          <cell r="K40">
            <v>0</v>
          </cell>
          <cell r="L40">
            <v>0</v>
          </cell>
          <cell r="M40">
            <v>0</v>
          </cell>
        </row>
        <row r="41">
          <cell r="A41" t="str">
            <v>B0H2ZF7DL4</v>
          </cell>
          <cell r="B41">
            <v>0</v>
          </cell>
          <cell r="C41">
            <v>0</v>
          </cell>
          <cell r="D41">
            <v>0</v>
          </cell>
          <cell r="E41">
            <v>0</v>
          </cell>
          <cell r="F41">
            <v>0</v>
          </cell>
          <cell r="G41">
            <v>0</v>
          </cell>
          <cell r="H41">
            <v>0</v>
          </cell>
          <cell r="I41">
            <v>0</v>
          </cell>
          <cell r="J41">
            <v>200</v>
          </cell>
          <cell r="K41">
            <v>0</v>
          </cell>
          <cell r="L41">
            <v>0</v>
          </cell>
          <cell r="M41">
            <v>0</v>
          </cell>
        </row>
        <row r="42">
          <cell r="A42" t="str">
            <v>B0GQ313J7J</v>
          </cell>
          <cell r="B42">
            <v>0</v>
          </cell>
          <cell r="C42">
            <v>0</v>
          </cell>
          <cell r="D42">
            <v>0</v>
          </cell>
          <cell r="E42">
            <v>0</v>
          </cell>
          <cell r="F42">
            <v>0</v>
          </cell>
          <cell r="G42">
            <v>0</v>
          </cell>
          <cell r="H42">
            <v>0</v>
          </cell>
          <cell r="I42">
            <v>200</v>
          </cell>
          <cell r="J42">
            <v>50</v>
          </cell>
          <cell r="K42">
            <v>0</v>
          </cell>
          <cell r="L42">
            <v>0</v>
          </cell>
          <cell r="M42">
            <v>0</v>
          </cell>
        </row>
        <row r="43">
          <cell r="A43" t="str">
            <v>B0GZ21DKCM</v>
          </cell>
          <cell r="B43">
            <v>0</v>
          </cell>
          <cell r="C43">
            <v>0</v>
          </cell>
          <cell r="D43">
            <v>0</v>
          </cell>
          <cell r="E43">
            <v>0</v>
          </cell>
          <cell r="F43">
            <v>0</v>
          </cell>
          <cell r="G43">
            <v>0</v>
          </cell>
          <cell r="H43">
            <v>0</v>
          </cell>
          <cell r="I43">
            <v>0</v>
          </cell>
          <cell r="J43">
            <v>50</v>
          </cell>
          <cell r="K43">
            <v>0</v>
          </cell>
          <cell r="L43">
            <v>0</v>
          </cell>
          <cell r="M43">
            <v>0</v>
          </cell>
        </row>
        <row r="44">
          <cell r="A44" t="str">
            <v>B0GZ2HDTXJ</v>
          </cell>
          <cell r="B44">
            <v>0</v>
          </cell>
          <cell r="C44">
            <v>0</v>
          </cell>
          <cell r="D44">
            <v>0</v>
          </cell>
          <cell r="E44">
            <v>0</v>
          </cell>
          <cell r="F44">
            <v>0</v>
          </cell>
          <cell r="G44">
            <v>0</v>
          </cell>
          <cell r="H44">
            <v>0</v>
          </cell>
          <cell r="I44">
            <v>200</v>
          </cell>
          <cell r="J44">
            <v>50</v>
          </cell>
          <cell r="K44">
            <v>0</v>
          </cell>
          <cell r="L44">
            <v>0</v>
          </cell>
          <cell r="M44">
            <v>0</v>
          </cell>
        </row>
        <row r="45">
          <cell r="A45" t="str">
            <v>B0GYRG5QNB</v>
          </cell>
          <cell r="B45">
            <v>0</v>
          </cell>
          <cell r="C45">
            <v>0</v>
          </cell>
          <cell r="D45">
            <v>0</v>
          </cell>
          <cell r="E45">
            <v>0</v>
          </cell>
          <cell r="F45">
            <v>0</v>
          </cell>
          <cell r="G45">
            <v>0</v>
          </cell>
          <cell r="H45">
            <v>0</v>
          </cell>
          <cell r="I45">
            <v>0</v>
          </cell>
          <cell r="J45">
            <v>50</v>
          </cell>
          <cell r="K45">
            <v>0</v>
          </cell>
          <cell r="L45">
            <v>0</v>
          </cell>
          <cell r="M45">
            <v>0</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B096CFRMZT</v>
          </cell>
          <cell r="B2">
            <v>3000</v>
          </cell>
          <cell r="C2">
            <v>2000</v>
          </cell>
          <cell r="D2">
            <v>3000</v>
          </cell>
          <cell r="E2">
            <v>5000</v>
          </cell>
          <cell r="F2">
            <v>6000</v>
          </cell>
          <cell r="G2">
            <v>6000</v>
          </cell>
          <cell r="H2">
            <v>6000</v>
          </cell>
          <cell r="I2">
            <v>8000</v>
          </cell>
          <cell r="J2">
            <v>7000</v>
          </cell>
          <cell r="K2">
            <v>5000</v>
          </cell>
          <cell r="L2">
            <v>5000</v>
          </cell>
          <cell r="M2">
            <v>4000</v>
          </cell>
        </row>
        <row r="3">
          <cell r="A3" t="str">
            <v>B08R3Z36ZR</v>
          </cell>
          <cell r="B3">
            <v>3000</v>
          </cell>
          <cell r="C3">
            <v>2000</v>
          </cell>
          <cell r="D3">
            <v>2000</v>
          </cell>
          <cell r="E3">
            <v>2000</v>
          </cell>
          <cell r="F3">
            <v>1000</v>
          </cell>
          <cell r="G3">
            <v>2000</v>
          </cell>
          <cell r="H3">
            <v>2000</v>
          </cell>
          <cell r="I3">
            <v>2000</v>
          </cell>
          <cell r="J3">
            <v>2000</v>
          </cell>
          <cell r="K3">
            <v>4000</v>
          </cell>
          <cell r="L3">
            <v>4000</v>
          </cell>
          <cell r="M3">
            <v>3000</v>
          </cell>
        </row>
        <row r="4">
          <cell r="A4" t="str">
            <v>B09ZHC4FCV</v>
          </cell>
          <cell r="B4">
            <v>1000</v>
          </cell>
          <cell r="C4">
            <v>800</v>
          </cell>
          <cell r="D4">
            <v>1000</v>
          </cell>
          <cell r="E4">
            <v>1000</v>
          </cell>
          <cell r="F4">
            <v>1000</v>
          </cell>
          <cell r="G4">
            <v>1000</v>
          </cell>
          <cell r="H4">
            <v>1000</v>
          </cell>
          <cell r="I4">
            <v>2000</v>
          </cell>
          <cell r="J4">
            <v>1000</v>
          </cell>
          <cell r="K4">
            <v>1000</v>
          </cell>
          <cell r="L4">
            <v>1000</v>
          </cell>
          <cell r="M4">
            <v>1000</v>
          </cell>
        </row>
        <row r="5">
          <cell r="A5" t="str">
            <v>B0GPMNX1WS</v>
          </cell>
          <cell r="B5">
            <v>0</v>
          </cell>
          <cell r="C5">
            <v>0</v>
          </cell>
          <cell r="D5">
            <v>0</v>
          </cell>
          <cell r="E5">
            <v>0</v>
          </cell>
          <cell r="F5">
            <v>0</v>
          </cell>
          <cell r="G5">
            <v>0</v>
          </cell>
          <cell r="H5">
            <v>600</v>
          </cell>
          <cell r="I5">
            <v>300</v>
          </cell>
          <cell r="J5">
            <v>200</v>
          </cell>
          <cell r="K5">
            <v>0</v>
          </cell>
          <cell r="L5">
            <v>0</v>
          </cell>
          <cell r="M5">
            <v>0</v>
          </cell>
        </row>
        <row r="6">
          <cell r="A6" t="str">
            <v>B0FVDY8D4N</v>
          </cell>
          <cell r="B6">
            <v>0</v>
          </cell>
          <cell r="C6">
            <v>0</v>
          </cell>
          <cell r="D6">
            <v>50</v>
          </cell>
          <cell r="E6">
            <v>50</v>
          </cell>
          <cell r="F6">
            <v>50</v>
          </cell>
          <cell r="G6">
            <v>0</v>
          </cell>
          <cell r="H6">
            <v>0</v>
          </cell>
          <cell r="I6">
            <v>50</v>
          </cell>
          <cell r="J6">
            <v>100</v>
          </cell>
          <cell r="K6">
            <v>0</v>
          </cell>
          <cell r="L6">
            <v>0</v>
          </cell>
          <cell r="M6">
            <v>0</v>
          </cell>
        </row>
        <row r="7">
          <cell r="A7" t="str">
            <v>B0DGFJQ6F8</v>
          </cell>
          <cell r="B7">
            <v>100</v>
          </cell>
          <cell r="C7">
            <v>50</v>
          </cell>
          <cell r="D7">
            <v>50</v>
          </cell>
          <cell r="E7">
            <v>100</v>
          </cell>
          <cell r="F7">
            <v>50</v>
          </cell>
          <cell r="G7">
            <v>0</v>
          </cell>
          <cell r="H7">
            <v>0</v>
          </cell>
          <cell r="I7">
            <v>50</v>
          </cell>
          <cell r="J7">
            <v>50</v>
          </cell>
          <cell r="K7">
            <v>50</v>
          </cell>
          <cell r="L7">
            <v>100</v>
          </cell>
          <cell r="M7">
            <v>100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B09DJD5NFQ</v>
          </cell>
          <cell r="B2">
            <v>400</v>
          </cell>
          <cell r="C2">
            <v>300</v>
          </cell>
          <cell r="D2">
            <v>300</v>
          </cell>
          <cell r="E2">
            <v>1000</v>
          </cell>
          <cell r="F2">
            <v>1000</v>
          </cell>
          <cell r="G2">
            <v>1000</v>
          </cell>
          <cell r="H2">
            <v>2000</v>
          </cell>
          <cell r="I2">
            <v>1000</v>
          </cell>
          <cell r="J2">
            <v>1000</v>
          </cell>
          <cell r="K2">
            <v>800</v>
          </cell>
          <cell r="L2">
            <v>700</v>
          </cell>
          <cell r="M2">
            <v>300</v>
          </cell>
        </row>
        <row r="3">
          <cell r="A3" t="str">
            <v>B08SL6KJ29</v>
          </cell>
          <cell r="B3">
            <v>900</v>
          </cell>
          <cell r="C3">
            <v>300</v>
          </cell>
          <cell r="D3">
            <v>100</v>
          </cell>
          <cell r="E3">
            <v>300</v>
          </cell>
          <cell r="F3">
            <v>400</v>
          </cell>
          <cell r="G3">
            <v>500</v>
          </cell>
          <cell r="H3">
            <v>600</v>
          </cell>
          <cell r="I3">
            <v>600</v>
          </cell>
          <cell r="J3">
            <v>400</v>
          </cell>
          <cell r="K3">
            <v>800</v>
          </cell>
          <cell r="L3">
            <v>900</v>
          </cell>
          <cell r="M3">
            <v>1000</v>
          </cell>
        </row>
        <row r="4">
          <cell r="A4" t="str">
            <v>B0C4XVQ71S</v>
          </cell>
          <cell r="B4">
            <v>50</v>
          </cell>
          <cell r="C4">
            <v>50</v>
          </cell>
          <cell r="D4">
            <v>50</v>
          </cell>
          <cell r="E4">
            <v>0</v>
          </cell>
          <cell r="F4">
            <v>100</v>
          </cell>
          <cell r="G4">
            <v>100</v>
          </cell>
          <cell r="H4">
            <v>100</v>
          </cell>
          <cell r="I4">
            <v>100</v>
          </cell>
          <cell r="J4">
            <v>50</v>
          </cell>
          <cell r="K4">
            <v>300</v>
          </cell>
          <cell r="L4">
            <v>300</v>
          </cell>
          <cell r="M4">
            <v>200</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B007CRG4CW</v>
          </cell>
          <cell r="B2">
            <v>0</v>
          </cell>
          <cell r="C2">
            <v>10000</v>
          </cell>
          <cell r="D2">
            <v>20000</v>
          </cell>
          <cell r="E2">
            <v>30000</v>
          </cell>
          <cell r="F2">
            <v>50000</v>
          </cell>
          <cell r="G2">
            <v>81000</v>
          </cell>
          <cell r="H2">
            <v>71000</v>
          </cell>
          <cell r="I2">
            <v>41000</v>
          </cell>
          <cell r="J2">
            <v>31000</v>
          </cell>
          <cell r="K2">
            <v>0</v>
          </cell>
          <cell r="L2">
            <v>0</v>
          </cell>
          <cell r="M2">
            <v>0</v>
          </cell>
        </row>
        <row r="3">
          <cell r="A3" t="str">
            <v>B000UJVDXY</v>
          </cell>
          <cell r="B3">
            <v>4000</v>
          </cell>
          <cell r="C3">
            <v>5000</v>
          </cell>
          <cell r="D3">
            <v>7000</v>
          </cell>
          <cell r="E3">
            <v>10000</v>
          </cell>
          <cell r="F3">
            <v>10000</v>
          </cell>
          <cell r="G3">
            <v>20000</v>
          </cell>
          <cell r="H3">
            <v>20000</v>
          </cell>
          <cell r="I3">
            <v>20000</v>
          </cell>
          <cell r="J3">
            <v>10000</v>
          </cell>
          <cell r="K3">
            <v>9000</v>
          </cell>
          <cell r="L3">
            <v>5000</v>
          </cell>
          <cell r="M3">
            <v>4000</v>
          </cell>
        </row>
        <row r="4">
          <cell r="A4" t="str">
            <v>B01LYXXTZF</v>
          </cell>
          <cell r="B4">
            <v>1000</v>
          </cell>
          <cell r="C4">
            <v>1000</v>
          </cell>
          <cell r="D4">
            <v>1000</v>
          </cell>
          <cell r="E4">
            <v>4000</v>
          </cell>
          <cell r="F4">
            <v>10000</v>
          </cell>
          <cell r="G4">
            <v>10000</v>
          </cell>
          <cell r="H4">
            <v>10000</v>
          </cell>
          <cell r="I4">
            <v>10000</v>
          </cell>
          <cell r="J4">
            <v>10000</v>
          </cell>
          <cell r="K4">
            <v>4000</v>
          </cell>
          <cell r="L4">
            <v>1000</v>
          </cell>
          <cell r="M4">
            <v>1000</v>
          </cell>
        </row>
        <row r="5">
          <cell r="A5" t="str">
            <v>B000BQLQU6</v>
          </cell>
          <cell r="B5">
            <v>3000</v>
          </cell>
          <cell r="C5">
            <v>4000</v>
          </cell>
          <cell r="D5">
            <v>4000</v>
          </cell>
          <cell r="E5">
            <v>5000</v>
          </cell>
          <cell r="F5">
            <v>5000</v>
          </cell>
          <cell r="G5">
            <v>9000</v>
          </cell>
          <cell r="H5">
            <v>10000</v>
          </cell>
          <cell r="I5">
            <v>10000</v>
          </cell>
          <cell r="J5">
            <v>9000</v>
          </cell>
          <cell r="K5">
            <v>6000</v>
          </cell>
          <cell r="L5">
            <v>5000</v>
          </cell>
          <cell r="M5">
            <v>3000</v>
          </cell>
        </row>
        <row r="6">
          <cell r="A6" t="str">
            <v>B000BX1HKI</v>
          </cell>
          <cell r="B6">
            <v>6100</v>
          </cell>
          <cell r="C6">
            <v>4000</v>
          </cell>
          <cell r="D6">
            <v>7000</v>
          </cell>
          <cell r="E6">
            <v>7000</v>
          </cell>
          <cell r="F6">
            <v>7000</v>
          </cell>
          <cell r="G6">
            <v>8100</v>
          </cell>
          <cell r="H6">
            <v>8600</v>
          </cell>
          <cell r="I6">
            <v>8100</v>
          </cell>
          <cell r="J6">
            <v>8000</v>
          </cell>
          <cell r="K6">
            <v>10100</v>
          </cell>
          <cell r="L6">
            <v>10100</v>
          </cell>
          <cell r="M6">
            <v>6100</v>
          </cell>
        </row>
        <row r="7">
          <cell r="A7" t="str">
            <v>B000BX1HGC</v>
          </cell>
          <cell r="B7">
            <v>5000</v>
          </cell>
          <cell r="C7">
            <v>5000</v>
          </cell>
          <cell r="D7">
            <v>10000</v>
          </cell>
          <cell r="E7">
            <v>10000</v>
          </cell>
          <cell r="F7">
            <v>10000</v>
          </cell>
          <cell r="G7">
            <v>10000</v>
          </cell>
          <cell r="H7">
            <v>10000</v>
          </cell>
          <cell r="I7">
            <v>10000</v>
          </cell>
          <cell r="J7">
            <v>8000</v>
          </cell>
          <cell r="K7">
            <v>5000</v>
          </cell>
          <cell r="L7">
            <v>5000</v>
          </cell>
          <cell r="M7">
            <v>4000</v>
          </cell>
        </row>
        <row r="8">
          <cell r="A8" t="str">
            <v>B001VJ4FYQ</v>
          </cell>
          <cell r="B8">
            <v>0</v>
          </cell>
          <cell r="C8">
            <v>0</v>
          </cell>
          <cell r="D8">
            <v>3000</v>
          </cell>
          <cell r="E8">
            <v>5000</v>
          </cell>
          <cell r="F8">
            <v>8000</v>
          </cell>
          <cell r="G8">
            <v>10000</v>
          </cell>
          <cell r="H8">
            <v>10000</v>
          </cell>
          <cell r="I8">
            <v>10000</v>
          </cell>
          <cell r="J8">
            <v>8000</v>
          </cell>
          <cell r="K8">
            <v>0</v>
          </cell>
          <cell r="L8">
            <v>0</v>
          </cell>
          <cell r="M8">
            <v>0</v>
          </cell>
        </row>
        <row r="9">
          <cell r="A9" t="str">
            <v>B002ITKVKU</v>
          </cell>
          <cell r="B9">
            <v>2000</v>
          </cell>
          <cell r="C9">
            <v>2000</v>
          </cell>
          <cell r="D9">
            <v>3000</v>
          </cell>
          <cell r="E9">
            <v>6000</v>
          </cell>
          <cell r="F9">
            <v>10000</v>
          </cell>
          <cell r="G9">
            <v>10000</v>
          </cell>
          <cell r="H9">
            <v>10000</v>
          </cell>
          <cell r="I9">
            <v>7000</v>
          </cell>
          <cell r="J9">
            <v>6000</v>
          </cell>
          <cell r="K9">
            <v>5000</v>
          </cell>
          <cell r="L9">
            <v>4000</v>
          </cell>
          <cell r="M9">
            <v>3000</v>
          </cell>
        </row>
        <row r="10">
          <cell r="A10" t="str">
            <v>B0BQ922LQM</v>
          </cell>
          <cell r="B10">
            <v>100</v>
          </cell>
          <cell r="C10">
            <v>0</v>
          </cell>
          <cell r="D10">
            <v>100</v>
          </cell>
          <cell r="E10">
            <v>700</v>
          </cell>
          <cell r="F10">
            <v>700</v>
          </cell>
          <cell r="G10">
            <v>900</v>
          </cell>
          <cell r="H10">
            <v>1000</v>
          </cell>
          <cell r="I10">
            <v>3000</v>
          </cell>
          <cell r="J10">
            <v>5000</v>
          </cell>
          <cell r="K10">
            <v>4000</v>
          </cell>
          <cell r="L10">
            <v>1000</v>
          </cell>
          <cell r="M10">
            <v>100</v>
          </cell>
        </row>
        <row r="11">
          <cell r="A11" t="str">
            <v>B004CSWPS6</v>
          </cell>
          <cell r="B11">
            <v>1000</v>
          </cell>
          <cell r="C11">
            <v>1000</v>
          </cell>
          <cell r="D11">
            <v>4000</v>
          </cell>
          <cell r="E11">
            <v>5000</v>
          </cell>
          <cell r="F11">
            <v>7000</v>
          </cell>
          <cell r="G11">
            <v>7000</v>
          </cell>
          <cell r="H11">
            <v>6000</v>
          </cell>
          <cell r="I11">
            <v>5000</v>
          </cell>
          <cell r="J11">
            <v>5000</v>
          </cell>
          <cell r="K11">
            <v>4000</v>
          </cell>
          <cell r="L11">
            <v>3000</v>
          </cell>
          <cell r="M11">
            <v>2000</v>
          </cell>
        </row>
        <row r="12">
          <cell r="A12" t="str">
            <v>B000HCNSWI</v>
          </cell>
          <cell r="B12">
            <v>1000</v>
          </cell>
          <cell r="C12">
            <v>1000</v>
          </cell>
          <cell r="D12">
            <v>1000</v>
          </cell>
          <cell r="E12">
            <v>3000</v>
          </cell>
          <cell r="F12">
            <v>4000</v>
          </cell>
          <cell r="G12">
            <v>7000</v>
          </cell>
          <cell r="H12">
            <v>10000</v>
          </cell>
          <cell r="I12">
            <v>6000</v>
          </cell>
          <cell r="J12">
            <v>4000</v>
          </cell>
          <cell r="K12">
            <v>3000</v>
          </cell>
          <cell r="L12">
            <v>2000</v>
          </cell>
          <cell r="M12">
            <v>1000</v>
          </cell>
        </row>
        <row r="13">
          <cell r="A13" t="str">
            <v>B001E4R2SO</v>
          </cell>
          <cell r="B13">
            <v>1000</v>
          </cell>
          <cell r="C13">
            <v>1000</v>
          </cell>
          <cell r="D13">
            <v>2000</v>
          </cell>
          <cell r="E13">
            <v>5000</v>
          </cell>
          <cell r="F13">
            <v>7000</v>
          </cell>
          <cell r="G13">
            <v>10000</v>
          </cell>
          <cell r="H13">
            <v>8000</v>
          </cell>
          <cell r="I13">
            <v>5000</v>
          </cell>
          <cell r="J13">
            <v>4000</v>
          </cell>
          <cell r="K13">
            <v>3000</v>
          </cell>
          <cell r="L13">
            <v>2000</v>
          </cell>
          <cell r="M13">
            <v>1000</v>
          </cell>
        </row>
        <row r="14">
          <cell r="A14" t="str">
            <v>B000BWZ9M6</v>
          </cell>
          <cell r="B14">
            <v>1000</v>
          </cell>
          <cell r="C14">
            <v>1000</v>
          </cell>
          <cell r="D14">
            <v>2000</v>
          </cell>
          <cell r="E14">
            <v>4000</v>
          </cell>
          <cell r="F14">
            <v>6000</v>
          </cell>
          <cell r="G14">
            <v>9000</v>
          </cell>
          <cell r="H14">
            <v>9600</v>
          </cell>
          <cell r="I14">
            <v>5000</v>
          </cell>
          <cell r="J14">
            <v>3000</v>
          </cell>
          <cell r="K14">
            <v>2000</v>
          </cell>
          <cell r="L14">
            <v>1000</v>
          </cell>
          <cell r="M14">
            <v>1000</v>
          </cell>
        </row>
        <row r="15">
          <cell r="A15" t="str">
            <v>B001VJBYMC</v>
          </cell>
          <cell r="B15">
            <v>400</v>
          </cell>
          <cell r="C15">
            <v>0</v>
          </cell>
          <cell r="D15">
            <v>0</v>
          </cell>
          <cell r="E15">
            <v>1000</v>
          </cell>
          <cell r="F15">
            <v>2000</v>
          </cell>
          <cell r="G15">
            <v>3000</v>
          </cell>
          <cell r="H15">
            <v>3000</v>
          </cell>
          <cell r="I15">
            <v>2000</v>
          </cell>
          <cell r="J15">
            <v>3000</v>
          </cell>
          <cell r="K15">
            <v>50</v>
          </cell>
          <cell r="L15">
            <v>500</v>
          </cell>
          <cell r="M15">
            <v>400</v>
          </cell>
        </row>
        <row r="16">
          <cell r="A16" t="str">
            <v>B00BSULSHA</v>
          </cell>
          <cell r="B16">
            <v>1000</v>
          </cell>
          <cell r="C16">
            <v>3000</v>
          </cell>
          <cell r="D16">
            <v>6000</v>
          </cell>
          <cell r="E16">
            <v>6000</v>
          </cell>
          <cell r="F16">
            <v>7000</v>
          </cell>
          <cell r="G16">
            <v>10000</v>
          </cell>
          <cell r="H16">
            <v>10000</v>
          </cell>
          <cell r="I16">
            <v>9600</v>
          </cell>
          <cell r="J16">
            <v>3000</v>
          </cell>
          <cell r="K16">
            <v>3000</v>
          </cell>
          <cell r="L16">
            <v>2000</v>
          </cell>
          <cell r="M16">
            <v>0</v>
          </cell>
        </row>
        <row r="17">
          <cell r="A17" t="str">
            <v>B06XXRWWZC</v>
          </cell>
          <cell r="B17">
            <v>700</v>
          </cell>
          <cell r="C17">
            <v>900</v>
          </cell>
          <cell r="D17">
            <v>1000</v>
          </cell>
          <cell r="E17">
            <v>2000</v>
          </cell>
          <cell r="F17">
            <v>3000</v>
          </cell>
          <cell r="G17">
            <v>6000</v>
          </cell>
          <cell r="H17">
            <v>5000</v>
          </cell>
          <cell r="I17">
            <v>3000</v>
          </cell>
          <cell r="J17">
            <v>2000</v>
          </cell>
          <cell r="K17">
            <v>1000</v>
          </cell>
          <cell r="L17">
            <v>1000</v>
          </cell>
          <cell r="M17">
            <v>600</v>
          </cell>
        </row>
        <row r="18">
          <cell r="A18" t="str">
            <v>B00XNM535Y</v>
          </cell>
          <cell r="B18">
            <v>1000</v>
          </cell>
          <cell r="C18">
            <v>1000</v>
          </cell>
          <cell r="D18">
            <v>2000</v>
          </cell>
          <cell r="E18">
            <v>6000</v>
          </cell>
          <cell r="F18">
            <v>8000</v>
          </cell>
          <cell r="G18">
            <v>3000</v>
          </cell>
          <cell r="H18">
            <v>10000</v>
          </cell>
          <cell r="I18">
            <v>10000</v>
          </cell>
          <cell r="J18">
            <v>2000</v>
          </cell>
          <cell r="K18">
            <v>5000</v>
          </cell>
          <cell r="L18">
            <v>2000</v>
          </cell>
          <cell r="M18">
            <v>1000</v>
          </cell>
        </row>
        <row r="19">
          <cell r="A19" t="str">
            <v>B0BQ7MR53S</v>
          </cell>
          <cell r="B19">
            <v>1000</v>
          </cell>
          <cell r="C19">
            <v>1000</v>
          </cell>
          <cell r="D19">
            <v>1000</v>
          </cell>
          <cell r="E19">
            <v>5000</v>
          </cell>
          <cell r="F19">
            <v>5000</v>
          </cell>
          <cell r="G19">
            <v>8000</v>
          </cell>
          <cell r="H19">
            <v>10000</v>
          </cell>
          <cell r="I19">
            <v>4000</v>
          </cell>
          <cell r="J19">
            <v>2000</v>
          </cell>
          <cell r="K19">
            <v>2000</v>
          </cell>
          <cell r="L19">
            <v>1000</v>
          </cell>
          <cell r="M19">
            <v>800</v>
          </cell>
        </row>
        <row r="20">
          <cell r="A20" t="str">
            <v>B001VJ83LW</v>
          </cell>
          <cell r="B20">
            <v>0</v>
          </cell>
          <cell r="C20">
            <v>0</v>
          </cell>
          <cell r="D20">
            <v>900</v>
          </cell>
          <cell r="E20">
            <v>2000</v>
          </cell>
          <cell r="F20">
            <v>3000</v>
          </cell>
          <cell r="G20">
            <v>4000</v>
          </cell>
          <cell r="H20">
            <v>6000</v>
          </cell>
          <cell r="I20">
            <v>3000</v>
          </cell>
          <cell r="J20">
            <v>2000</v>
          </cell>
          <cell r="K20">
            <v>0</v>
          </cell>
          <cell r="L20">
            <v>0</v>
          </cell>
          <cell r="M20">
            <v>0</v>
          </cell>
        </row>
        <row r="21">
          <cell r="A21" t="str">
            <v>B000BWZ9U8</v>
          </cell>
          <cell r="B21">
            <v>950</v>
          </cell>
          <cell r="C21">
            <v>1000</v>
          </cell>
          <cell r="D21">
            <v>1000</v>
          </cell>
          <cell r="E21">
            <v>2000</v>
          </cell>
          <cell r="F21">
            <v>2000</v>
          </cell>
          <cell r="G21">
            <v>2000</v>
          </cell>
          <cell r="H21">
            <v>2000</v>
          </cell>
          <cell r="I21">
            <v>2000</v>
          </cell>
          <cell r="J21">
            <v>2000</v>
          </cell>
          <cell r="K21">
            <v>2000</v>
          </cell>
          <cell r="L21">
            <v>1000</v>
          </cell>
          <cell r="M21">
            <v>1000</v>
          </cell>
        </row>
        <row r="22">
          <cell r="A22" t="str">
            <v>B001D13U2K</v>
          </cell>
          <cell r="B22">
            <v>900</v>
          </cell>
          <cell r="C22">
            <v>1000</v>
          </cell>
          <cell r="D22">
            <v>1000</v>
          </cell>
          <cell r="E22">
            <v>2000</v>
          </cell>
          <cell r="F22">
            <v>1000</v>
          </cell>
          <cell r="G22">
            <v>1000</v>
          </cell>
          <cell r="H22">
            <v>2000</v>
          </cell>
          <cell r="I22">
            <v>2000</v>
          </cell>
          <cell r="J22">
            <v>2000</v>
          </cell>
          <cell r="K22">
            <v>1000</v>
          </cell>
          <cell r="L22">
            <v>900</v>
          </cell>
          <cell r="M22">
            <v>800</v>
          </cell>
        </row>
        <row r="23">
          <cell r="A23" t="str">
            <v>B0001O0CMQ</v>
          </cell>
          <cell r="B23">
            <v>500</v>
          </cell>
          <cell r="C23">
            <v>500</v>
          </cell>
          <cell r="D23">
            <v>1000</v>
          </cell>
          <cell r="E23">
            <v>1000</v>
          </cell>
          <cell r="F23">
            <v>2000</v>
          </cell>
          <cell r="G23">
            <v>2000</v>
          </cell>
          <cell r="H23">
            <v>1000</v>
          </cell>
          <cell r="I23">
            <v>1000</v>
          </cell>
          <cell r="J23">
            <v>2000</v>
          </cell>
          <cell r="K23">
            <v>1000</v>
          </cell>
          <cell r="L23">
            <v>1000</v>
          </cell>
          <cell r="M23">
            <v>600</v>
          </cell>
        </row>
        <row r="24">
          <cell r="A24" t="str">
            <v>B0BQ7JRWQX</v>
          </cell>
          <cell r="B24">
            <v>300</v>
          </cell>
          <cell r="C24">
            <v>300</v>
          </cell>
          <cell r="D24">
            <v>400</v>
          </cell>
          <cell r="E24">
            <v>2000</v>
          </cell>
          <cell r="F24">
            <v>3000</v>
          </cell>
          <cell r="G24">
            <v>5000</v>
          </cell>
          <cell r="H24">
            <v>6000</v>
          </cell>
          <cell r="I24">
            <v>5000</v>
          </cell>
          <cell r="J24">
            <v>1000</v>
          </cell>
          <cell r="K24">
            <v>1000</v>
          </cell>
          <cell r="L24">
            <v>1000</v>
          </cell>
          <cell r="M24">
            <v>1000</v>
          </cell>
        </row>
        <row r="25">
          <cell r="A25" t="str">
            <v>B09G939ZR5</v>
          </cell>
          <cell r="B25">
            <v>500</v>
          </cell>
          <cell r="C25">
            <v>500</v>
          </cell>
          <cell r="D25">
            <v>1000</v>
          </cell>
          <cell r="E25">
            <v>1000</v>
          </cell>
          <cell r="F25">
            <v>1000</v>
          </cell>
          <cell r="G25">
            <v>2000</v>
          </cell>
          <cell r="H25">
            <v>1000</v>
          </cell>
          <cell r="I25">
            <v>2000</v>
          </cell>
          <cell r="J25">
            <v>1000</v>
          </cell>
          <cell r="K25">
            <v>1000</v>
          </cell>
          <cell r="L25">
            <v>800</v>
          </cell>
          <cell r="M25">
            <v>500</v>
          </cell>
        </row>
        <row r="26">
          <cell r="A26" t="str">
            <v>B000BX1HJY</v>
          </cell>
          <cell r="B26">
            <v>300</v>
          </cell>
          <cell r="C26">
            <v>400</v>
          </cell>
          <cell r="D26">
            <v>300</v>
          </cell>
          <cell r="E26">
            <v>300</v>
          </cell>
          <cell r="F26">
            <v>300</v>
          </cell>
          <cell r="G26">
            <v>500</v>
          </cell>
          <cell r="H26">
            <v>300</v>
          </cell>
          <cell r="I26">
            <v>650</v>
          </cell>
          <cell r="J26">
            <v>1000</v>
          </cell>
          <cell r="K26">
            <v>900</v>
          </cell>
          <cell r="L26">
            <v>800</v>
          </cell>
          <cell r="M26">
            <v>400</v>
          </cell>
        </row>
        <row r="27">
          <cell r="A27" t="str">
            <v>B002RBGO3M</v>
          </cell>
          <cell r="B27">
            <v>600</v>
          </cell>
          <cell r="C27">
            <v>700</v>
          </cell>
          <cell r="D27">
            <v>1000</v>
          </cell>
          <cell r="E27">
            <v>1000</v>
          </cell>
          <cell r="F27">
            <v>2000</v>
          </cell>
          <cell r="G27">
            <v>2000</v>
          </cell>
          <cell r="H27">
            <v>1000</v>
          </cell>
          <cell r="I27">
            <v>1000</v>
          </cell>
          <cell r="J27">
            <v>1000</v>
          </cell>
          <cell r="K27">
            <v>600</v>
          </cell>
          <cell r="L27">
            <v>700</v>
          </cell>
          <cell r="M27">
            <v>600</v>
          </cell>
        </row>
        <row r="28">
          <cell r="A28" t="str">
            <v>B002RBD43U</v>
          </cell>
          <cell r="B28">
            <v>1000</v>
          </cell>
          <cell r="C28">
            <v>1000</v>
          </cell>
          <cell r="D28">
            <v>1000</v>
          </cell>
          <cell r="E28">
            <v>2000</v>
          </cell>
          <cell r="F28">
            <v>2000</v>
          </cell>
          <cell r="G28">
            <v>2000</v>
          </cell>
          <cell r="H28">
            <v>1000</v>
          </cell>
          <cell r="I28">
            <v>1000</v>
          </cell>
          <cell r="J28">
            <v>1000</v>
          </cell>
          <cell r="K28">
            <v>1000</v>
          </cell>
          <cell r="L28">
            <v>1000</v>
          </cell>
          <cell r="M28">
            <v>1000</v>
          </cell>
        </row>
        <row r="29">
          <cell r="A29" t="str">
            <v>B0044FTST6</v>
          </cell>
          <cell r="B29">
            <v>0</v>
          </cell>
          <cell r="C29">
            <v>0</v>
          </cell>
          <cell r="D29">
            <v>1000</v>
          </cell>
          <cell r="E29">
            <v>2000</v>
          </cell>
          <cell r="F29">
            <v>2000</v>
          </cell>
          <cell r="G29">
            <v>2000</v>
          </cell>
          <cell r="H29">
            <v>1000</v>
          </cell>
          <cell r="I29">
            <v>1000</v>
          </cell>
          <cell r="J29">
            <v>1000</v>
          </cell>
          <cell r="K29">
            <v>0</v>
          </cell>
          <cell r="L29">
            <v>0</v>
          </cell>
          <cell r="M29">
            <v>0</v>
          </cell>
        </row>
        <row r="30">
          <cell r="A30" t="str">
            <v>B001VJ2DDG</v>
          </cell>
          <cell r="B30">
            <v>400</v>
          </cell>
          <cell r="C30">
            <v>300</v>
          </cell>
          <cell r="D30">
            <v>200</v>
          </cell>
          <cell r="E30">
            <v>300</v>
          </cell>
          <cell r="F30">
            <v>300</v>
          </cell>
          <cell r="G30">
            <v>400</v>
          </cell>
          <cell r="H30">
            <v>300</v>
          </cell>
          <cell r="I30">
            <v>400</v>
          </cell>
          <cell r="J30">
            <v>1000</v>
          </cell>
          <cell r="K30">
            <v>1000</v>
          </cell>
          <cell r="L30">
            <v>1000</v>
          </cell>
          <cell r="M30">
            <v>700</v>
          </cell>
        </row>
        <row r="31">
          <cell r="A31" t="str">
            <v>B00FGIS4G8</v>
          </cell>
          <cell r="B31">
            <v>0</v>
          </cell>
          <cell r="C31">
            <v>0</v>
          </cell>
          <cell r="D31">
            <v>100</v>
          </cell>
          <cell r="E31">
            <v>200</v>
          </cell>
          <cell r="F31">
            <v>1000</v>
          </cell>
          <cell r="G31">
            <v>2000</v>
          </cell>
          <cell r="H31">
            <v>1000</v>
          </cell>
          <cell r="I31">
            <v>5000</v>
          </cell>
          <cell r="J31">
            <v>1000</v>
          </cell>
          <cell r="K31">
            <v>200</v>
          </cell>
          <cell r="L31">
            <v>100</v>
          </cell>
          <cell r="M31">
            <v>100</v>
          </cell>
        </row>
        <row r="32">
          <cell r="A32" t="str">
            <v>B000BX4RNW</v>
          </cell>
          <cell r="B32">
            <v>0</v>
          </cell>
          <cell r="C32">
            <v>0</v>
          </cell>
          <cell r="D32">
            <v>2000</v>
          </cell>
          <cell r="E32">
            <v>1000</v>
          </cell>
          <cell r="F32">
            <v>1000</v>
          </cell>
          <cell r="G32">
            <v>900</v>
          </cell>
          <cell r="H32">
            <v>900</v>
          </cell>
          <cell r="I32">
            <v>900</v>
          </cell>
          <cell r="J32">
            <v>1000</v>
          </cell>
          <cell r="K32">
            <v>0</v>
          </cell>
          <cell r="L32">
            <v>0</v>
          </cell>
          <cell r="M32">
            <v>0</v>
          </cell>
        </row>
        <row r="33">
          <cell r="A33" t="str">
            <v>B000KL73OK</v>
          </cell>
          <cell r="B33">
            <v>100</v>
          </cell>
          <cell r="C33">
            <v>0</v>
          </cell>
          <cell r="D33">
            <v>100</v>
          </cell>
          <cell r="E33">
            <v>1000</v>
          </cell>
          <cell r="F33">
            <v>4000</v>
          </cell>
          <cell r="G33">
            <v>6000</v>
          </cell>
          <cell r="H33">
            <v>4000</v>
          </cell>
          <cell r="I33">
            <v>3000</v>
          </cell>
          <cell r="J33">
            <v>1000</v>
          </cell>
          <cell r="K33">
            <v>500</v>
          </cell>
          <cell r="L33">
            <v>200</v>
          </cell>
          <cell r="M33">
            <v>100</v>
          </cell>
        </row>
        <row r="34">
          <cell r="A34" t="str">
            <v>B000UJTBWE</v>
          </cell>
          <cell r="B34">
            <v>100</v>
          </cell>
          <cell r="C34">
            <v>0</v>
          </cell>
          <cell r="D34">
            <v>0</v>
          </cell>
          <cell r="E34">
            <v>100</v>
          </cell>
          <cell r="F34">
            <v>100</v>
          </cell>
          <cell r="G34">
            <v>100</v>
          </cell>
          <cell r="H34">
            <v>100</v>
          </cell>
          <cell r="I34">
            <v>1000</v>
          </cell>
          <cell r="J34">
            <v>1000</v>
          </cell>
          <cell r="K34">
            <v>1000</v>
          </cell>
          <cell r="L34">
            <v>600</v>
          </cell>
          <cell r="M34">
            <v>400</v>
          </cell>
        </row>
        <row r="35">
          <cell r="A35" t="str">
            <v>B009YNZX42</v>
          </cell>
          <cell r="B35">
            <v>200</v>
          </cell>
          <cell r="C35">
            <v>400</v>
          </cell>
          <cell r="D35">
            <v>800</v>
          </cell>
          <cell r="E35">
            <v>1000</v>
          </cell>
          <cell r="F35">
            <v>1000</v>
          </cell>
          <cell r="G35">
            <v>1000</v>
          </cell>
          <cell r="H35">
            <v>1000</v>
          </cell>
          <cell r="I35">
            <v>1000</v>
          </cell>
          <cell r="J35">
            <v>1000</v>
          </cell>
          <cell r="K35">
            <v>500</v>
          </cell>
          <cell r="L35">
            <v>300</v>
          </cell>
          <cell r="M35">
            <v>200</v>
          </cell>
        </row>
        <row r="36">
          <cell r="A36" t="str">
            <v>B0BQ8YSCVM</v>
          </cell>
          <cell r="B36">
            <v>100</v>
          </cell>
          <cell r="C36">
            <v>200</v>
          </cell>
          <cell r="D36">
            <v>1000</v>
          </cell>
          <cell r="E36">
            <v>1000</v>
          </cell>
          <cell r="F36">
            <v>2000</v>
          </cell>
          <cell r="G36">
            <v>5000</v>
          </cell>
          <cell r="H36">
            <v>3000</v>
          </cell>
          <cell r="I36">
            <v>2000</v>
          </cell>
          <cell r="J36">
            <v>1000</v>
          </cell>
          <cell r="K36">
            <v>400</v>
          </cell>
          <cell r="L36">
            <v>200</v>
          </cell>
          <cell r="M36">
            <v>100</v>
          </cell>
        </row>
        <row r="37">
          <cell r="A37" t="str">
            <v>B001H1GRQC</v>
          </cell>
          <cell r="B37">
            <v>200</v>
          </cell>
          <cell r="C37">
            <v>200</v>
          </cell>
          <cell r="D37">
            <v>400</v>
          </cell>
          <cell r="E37">
            <v>500</v>
          </cell>
          <cell r="F37">
            <v>500</v>
          </cell>
          <cell r="G37">
            <v>1000</v>
          </cell>
          <cell r="H37">
            <v>1000</v>
          </cell>
          <cell r="I37">
            <v>1000</v>
          </cell>
          <cell r="J37">
            <v>1000</v>
          </cell>
          <cell r="K37">
            <v>500</v>
          </cell>
          <cell r="L37">
            <v>300</v>
          </cell>
          <cell r="M37">
            <v>200</v>
          </cell>
        </row>
        <row r="38">
          <cell r="A38" t="str">
            <v>B0DN3GCGZK</v>
          </cell>
          <cell r="B38">
            <v>300</v>
          </cell>
          <cell r="C38">
            <v>300</v>
          </cell>
          <cell r="D38">
            <v>600</v>
          </cell>
          <cell r="E38">
            <v>1000</v>
          </cell>
          <cell r="F38">
            <v>2000</v>
          </cell>
          <cell r="G38">
            <v>4000</v>
          </cell>
          <cell r="H38">
            <v>6000</v>
          </cell>
          <cell r="I38">
            <v>2000</v>
          </cell>
          <cell r="J38">
            <v>900</v>
          </cell>
          <cell r="K38">
            <v>1000</v>
          </cell>
          <cell r="L38">
            <v>600</v>
          </cell>
          <cell r="M38">
            <v>300</v>
          </cell>
        </row>
        <row r="39">
          <cell r="A39" t="str">
            <v>B000BOB7UW</v>
          </cell>
          <cell r="B39">
            <v>200</v>
          </cell>
          <cell r="C39">
            <v>200</v>
          </cell>
          <cell r="D39">
            <v>400</v>
          </cell>
          <cell r="E39">
            <v>600</v>
          </cell>
          <cell r="F39">
            <v>1000</v>
          </cell>
          <cell r="G39">
            <v>1000</v>
          </cell>
          <cell r="H39">
            <v>1000</v>
          </cell>
          <cell r="I39">
            <v>800</v>
          </cell>
          <cell r="J39">
            <v>800</v>
          </cell>
          <cell r="K39">
            <v>400</v>
          </cell>
          <cell r="L39">
            <v>200</v>
          </cell>
          <cell r="M39">
            <v>200</v>
          </cell>
        </row>
        <row r="40">
          <cell r="A40" t="str">
            <v>B006MVFSOE</v>
          </cell>
          <cell r="B40">
            <v>50</v>
          </cell>
          <cell r="C40">
            <v>50</v>
          </cell>
          <cell r="D40">
            <v>200</v>
          </cell>
          <cell r="E40">
            <v>300</v>
          </cell>
          <cell r="F40">
            <v>600</v>
          </cell>
          <cell r="G40">
            <v>700</v>
          </cell>
          <cell r="H40">
            <v>1000</v>
          </cell>
          <cell r="I40">
            <v>1000</v>
          </cell>
          <cell r="J40">
            <v>700</v>
          </cell>
          <cell r="K40">
            <v>400</v>
          </cell>
          <cell r="L40">
            <v>100</v>
          </cell>
          <cell r="M40">
            <v>50</v>
          </cell>
        </row>
        <row r="41">
          <cell r="A41" t="str">
            <v>B001D1H6SE</v>
          </cell>
          <cell r="B41">
            <v>100</v>
          </cell>
          <cell r="C41">
            <v>100</v>
          </cell>
          <cell r="D41">
            <v>100</v>
          </cell>
          <cell r="E41">
            <v>400</v>
          </cell>
          <cell r="F41">
            <v>1000</v>
          </cell>
          <cell r="G41">
            <v>3000</v>
          </cell>
          <cell r="H41">
            <v>3000</v>
          </cell>
          <cell r="I41">
            <v>200</v>
          </cell>
          <cell r="J41">
            <v>700</v>
          </cell>
          <cell r="K41">
            <v>300</v>
          </cell>
          <cell r="L41">
            <v>300</v>
          </cell>
          <cell r="M41">
            <v>100</v>
          </cell>
        </row>
        <row r="42">
          <cell r="A42" t="str">
            <v>B000OOAL6U</v>
          </cell>
          <cell r="B42">
            <v>0</v>
          </cell>
          <cell r="C42">
            <v>0</v>
          </cell>
          <cell r="D42">
            <v>200</v>
          </cell>
          <cell r="E42">
            <v>400</v>
          </cell>
          <cell r="F42">
            <v>1000</v>
          </cell>
          <cell r="G42">
            <v>3000</v>
          </cell>
          <cell r="H42">
            <v>6000</v>
          </cell>
          <cell r="I42">
            <v>4000</v>
          </cell>
          <cell r="J42">
            <v>800</v>
          </cell>
          <cell r="K42">
            <v>400</v>
          </cell>
          <cell r="L42">
            <v>200</v>
          </cell>
          <cell r="M42">
            <v>0</v>
          </cell>
        </row>
        <row r="43">
          <cell r="A43" t="str">
            <v>B001WP31T4</v>
          </cell>
          <cell r="B43">
            <v>200</v>
          </cell>
          <cell r="C43">
            <v>500</v>
          </cell>
          <cell r="D43">
            <v>300</v>
          </cell>
          <cell r="E43">
            <v>300</v>
          </cell>
          <cell r="F43">
            <v>600</v>
          </cell>
          <cell r="G43">
            <v>700</v>
          </cell>
          <cell r="H43">
            <v>300</v>
          </cell>
          <cell r="I43">
            <v>400</v>
          </cell>
          <cell r="J43">
            <v>700</v>
          </cell>
          <cell r="K43">
            <v>300</v>
          </cell>
          <cell r="L43">
            <v>200</v>
          </cell>
          <cell r="M43">
            <v>200</v>
          </cell>
        </row>
        <row r="44">
          <cell r="A44" t="str">
            <v>B006QYSBIM</v>
          </cell>
          <cell r="B44">
            <v>0</v>
          </cell>
          <cell r="C44">
            <v>0</v>
          </cell>
          <cell r="D44">
            <v>100</v>
          </cell>
          <cell r="E44">
            <v>900</v>
          </cell>
          <cell r="F44">
            <v>1000</v>
          </cell>
          <cell r="G44">
            <v>1000</v>
          </cell>
          <cell r="H44">
            <v>700</v>
          </cell>
          <cell r="I44">
            <v>600</v>
          </cell>
          <cell r="J44">
            <v>600</v>
          </cell>
          <cell r="K44">
            <v>0</v>
          </cell>
          <cell r="L44">
            <v>0</v>
          </cell>
          <cell r="M44">
            <v>0</v>
          </cell>
        </row>
        <row r="45">
          <cell r="A45" t="str">
            <v>B000BQ800K</v>
          </cell>
          <cell r="B45">
            <v>100</v>
          </cell>
          <cell r="C45">
            <v>100</v>
          </cell>
          <cell r="D45">
            <v>200</v>
          </cell>
          <cell r="E45">
            <v>400</v>
          </cell>
          <cell r="F45">
            <v>800</v>
          </cell>
          <cell r="G45">
            <v>1000</v>
          </cell>
          <cell r="H45">
            <v>1000</v>
          </cell>
          <cell r="I45">
            <v>1000</v>
          </cell>
          <cell r="J45">
            <v>600</v>
          </cell>
          <cell r="K45">
            <v>600</v>
          </cell>
          <cell r="L45">
            <v>300</v>
          </cell>
          <cell r="M45">
            <v>200</v>
          </cell>
        </row>
        <row r="46">
          <cell r="A46" t="str">
            <v>B074G46K6X</v>
          </cell>
          <cell r="B46">
            <v>50</v>
          </cell>
          <cell r="C46">
            <v>50</v>
          </cell>
          <cell r="D46">
            <v>100</v>
          </cell>
          <cell r="E46">
            <v>300</v>
          </cell>
          <cell r="F46">
            <v>1000</v>
          </cell>
          <cell r="G46">
            <v>1000</v>
          </cell>
          <cell r="H46">
            <v>200</v>
          </cell>
          <cell r="I46">
            <v>800</v>
          </cell>
          <cell r="J46">
            <v>500</v>
          </cell>
          <cell r="K46">
            <v>200</v>
          </cell>
          <cell r="L46">
            <v>100</v>
          </cell>
          <cell r="M46">
            <v>100</v>
          </cell>
        </row>
        <row r="47">
          <cell r="A47" t="str">
            <v>B001BOBMYC</v>
          </cell>
          <cell r="B47">
            <v>0</v>
          </cell>
          <cell r="C47">
            <v>0</v>
          </cell>
          <cell r="D47">
            <v>500</v>
          </cell>
          <cell r="E47">
            <v>800</v>
          </cell>
          <cell r="F47">
            <v>900</v>
          </cell>
          <cell r="G47">
            <v>1000</v>
          </cell>
          <cell r="H47">
            <v>1000</v>
          </cell>
          <cell r="I47">
            <v>600</v>
          </cell>
          <cell r="J47">
            <v>500</v>
          </cell>
          <cell r="K47">
            <v>0</v>
          </cell>
          <cell r="L47">
            <v>0</v>
          </cell>
          <cell r="M47">
            <v>0</v>
          </cell>
        </row>
        <row r="48">
          <cell r="A48" t="str">
            <v>B00H9DYJA8</v>
          </cell>
          <cell r="B48">
            <v>50</v>
          </cell>
          <cell r="C48">
            <v>100</v>
          </cell>
          <cell r="D48">
            <v>200</v>
          </cell>
          <cell r="E48">
            <v>1000</v>
          </cell>
          <cell r="F48">
            <v>200</v>
          </cell>
          <cell r="G48">
            <v>100</v>
          </cell>
          <cell r="H48">
            <v>1000</v>
          </cell>
          <cell r="I48">
            <v>1000</v>
          </cell>
          <cell r="J48">
            <v>500</v>
          </cell>
          <cell r="K48">
            <v>1000</v>
          </cell>
          <cell r="L48">
            <v>200</v>
          </cell>
          <cell r="M48">
            <v>50</v>
          </cell>
        </row>
        <row r="49">
          <cell r="A49" t="str">
            <v>B002ITL19A</v>
          </cell>
          <cell r="B49">
            <v>300</v>
          </cell>
          <cell r="C49">
            <v>300</v>
          </cell>
          <cell r="D49">
            <v>1000</v>
          </cell>
          <cell r="E49">
            <v>2000</v>
          </cell>
          <cell r="F49">
            <v>1000</v>
          </cell>
          <cell r="G49">
            <v>1000</v>
          </cell>
          <cell r="H49">
            <v>900</v>
          </cell>
          <cell r="I49">
            <v>700</v>
          </cell>
          <cell r="J49">
            <v>500</v>
          </cell>
          <cell r="K49">
            <v>1000</v>
          </cell>
          <cell r="L49">
            <v>600</v>
          </cell>
          <cell r="M49">
            <v>1000</v>
          </cell>
        </row>
        <row r="50">
          <cell r="A50" t="str">
            <v>B0035HA0AK</v>
          </cell>
          <cell r="B50">
            <v>200</v>
          </cell>
          <cell r="C50">
            <v>200</v>
          </cell>
          <cell r="D50">
            <v>600</v>
          </cell>
          <cell r="E50">
            <v>600</v>
          </cell>
          <cell r="F50">
            <v>1000</v>
          </cell>
          <cell r="G50">
            <v>2000</v>
          </cell>
          <cell r="H50">
            <v>2000</v>
          </cell>
          <cell r="I50">
            <v>1000</v>
          </cell>
          <cell r="J50">
            <v>500</v>
          </cell>
          <cell r="K50">
            <v>600</v>
          </cell>
          <cell r="L50">
            <v>300</v>
          </cell>
          <cell r="M50">
            <v>100</v>
          </cell>
        </row>
        <row r="51">
          <cell r="A51" t="str">
            <v>B000BQ7T1Q</v>
          </cell>
          <cell r="B51">
            <v>100</v>
          </cell>
          <cell r="C51">
            <v>100</v>
          </cell>
          <cell r="D51">
            <v>400</v>
          </cell>
          <cell r="E51">
            <v>500</v>
          </cell>
          <cell r="F51">
            <v>600</v>
          </cell>
          <cell r="G51">
            <v>800</v>
          </cell>
          <cell r="H51">
            <v>800</v>
          </cell>
          <cell r="I51">
            <v>800</v>
          </cell>
          <cell r="J51">
            <v>500</v>
          </cell>
          <cell r="K51">
            <v>500</v>
          </cell>
          <cell r="L51">
            <v>100</v>
          </cell>
          <cell r="M51">
            <v>100</v>
          </cell>
        </row>
        <row r="52">
          <cell r="A52" t="str">
            <v>B0DN3ZJL5J</v>
          </cell>
          <cell r="B52">
            <v>50</v>
          </cell>
          <cell r="C52">
            <v>50</v>
          </cell>
          <cell r="D52">
            <v>100</v>
          </cell>
          <cell r="E52">
            <v>600</v>
          </cell>
          <cell r="F52">
            <v>1000</v>
          </cell>
          <cell r="G52">
            <v>1000</v>
          </cell>
          <cell r="H52">
            <v>1000</v>
          </cell>
          <cell r="I52">
            <v>1000</v>
          </cell>
          <cell r="J52">
            <v>500</v>
          </cell>
          <cell r="K52">
            <v>400</v>
          </cell>
          <cell r="L52">
            <v>200</v>
          </cell>
          <cell r="M52">
            <v>100</v>
          </cell>
        </row>
        <row r="53">
          <cell r="A53" t="str">
            <v>B0BQ7L18NW</v>
          </cell>
          <cell r="B53">
            <v>100</v>
          </cell>
          <cell r="C53">
            <v>200</v>
          </cell>
          <cell r="D53">
            <v>1000</v>
          </cell>
          <cell r="E53">
            <v>2000</v>
          </cell>
          <cell r="F53">
            <v>2000</v>
          </cell>
          <cell r="G53">
            <v>1000</v>
          </cell>
          <cell r="H53">
            <v>1000</v>
          </cell>
          <cell r="I53">
            <v>500</v>
          </cell>
          <cell r="J53">
            <v>500</v>
          </cell>
          <cell r="K53">
            <v>200</v>
          </cell>
          <cell r="L53">
            <v>100</v>
          </cell>
          <cell r="M53">
            <v>50</v>
          </cell>
        </row>
        <row r="54">
          <cell r="A54" t="str">
            <v>B000HJ9F7S</v>
          </cell>
          <cell r="B54">
            <v>100</v>
          </cell>
          <cell r="C54">
            <v>100</v>
          </cell>
          <cell r="D54">
            <v>400</v>
          </cell>
          <cell r="E54">
            <v>800</v>
          </cell>
          <cell r="F54">
            <v>1000</v>
          </cell>
          <cell r="G54">
            <v>900</v>
          </cell>
          <cell r="H54">
            <v>950</v>
          </cell>
          <cell r="I54">
            <v>400</v>
          </cell>
          <cell r="J54">
            <v>500</v>
          </cell>
          <cell r="K54">
            <v>300</v>
          </cell>
          <cell r="L54">
            <v>200</v>
          </cell>
          <cell r="M54">
            <v>100</v>
          </cell>
        </row>
        <row r="55">
          <cell r="A55" t="str">
            <v>B0051DRSFQ</v>
          </cell>
          <cell r="B55">
            <v>0</v>
          </cell>
          <cell r="C55">
            <v>0</v>
          </cell>
          <cell r="D55">
            <v>100</v>
          </cell>
          <cell r="E55">
            <v>700</v>
          </cell>
          <cell r="F55">
            <v>800</v>
          </cell>
          <cell r="G55">
            <v>900</v>
          </cell>
          <cell r="H55">
            <v>1000</v>
          </cell>
          <cell r="I55">
            <v>600</v>
          </cell>
          <cell r="J55">
            <v>500</v>
          </cell>
          <cell r="K55">
            <v>400</v>
          </cell>
          <cell r="L55">
            <v>50</v>
          </cell>
          <cell r="M55">
            <v>50</v>
          </cell>
        </row>
        <row r="56">
          <cell r="A56" t="str">
            <v>B014POVYZG</v>
          </cell>
          <cell r="B56">
            <v>50</v>
          </cell>
          <cell r="C56">
            <v>50</v>
          </cell>
          <cell r="D56">
            <v>100</v>
          </cell>
          <cell r="E56">
            <v>100</v>
          </cell>
          <cell r="F56">
            <v>200</v>
          </cell>
          <cell r="G56">
            <v>300</v>
          </cell>
          <cell r="H56">
            <v>300</v>
          </cell>
          <cell r="I56">
            <v>300</v>
          </cell>
          <cell r="J56">
            <v>400</v>
          </cell>
          <cell r="K56">
            <v>400</v>
          </cell>
          <cell r="L56">
            <v>300</v>
          </cell>
          <cell r="M56">
            <v>0</v>
          </cell>
        </row>
        <row r="57">
          <cell r="A57" t="str">
            <v>B000KE1U2I</v>
          </cell>
          <cell r="B57">
            <v>200</v>
          </cell>
          <cell r="C57">
            <v>200</v>
          </cell>
          <cell r="D57">
            <v>100</v>
          </cell>
          <cell r="E57">
            <v>400</v>
          </cell>
          <cell r="F57">
            <v>400</v>
          </cell>
          <cell r="G57">
            <v>200</v>
          </cell>
          <cell r="H57">
            <v>200</v>
          </cell>
          <cell r="I57">
            <v>400</v>
          </cell>
          <cell r="J57">
            <v>500</v>
          </cell>
          <cell r="K57">
            <v>100</v>
          </cell>
          <cell r="L57">
            <v>50</v>
          </cell>
          <cell r="M57">
            <v>50</v>
          </cell>
        </row>
        <row r="58">
          <cell r="A58" t="str">
            <v>B001VJ492Y</v>
          </cell>
          <cell r="B58">
            <v>0</v>
          </cell>
          <cell r="C58">
            <v>0</v>
          </cell>
          <cell r="D58">
            <v>0</v>
          </cell>
          <cell r="E58">
            <v>50</v>
          </cell>
          <cell r="F58">
            <v>50</v>
          </cell>
          <cell r="G58">
            <v>50</v>
          </cell>
          <cell r="H58">
            <v>50</v>
          </cell>
          <cell r="I58">
            <v>100</v>
          </cell>
          <cell r="J58">
            <v>500</v>
          </cell>
          <cell r="K58">
            <v>50</v>
          </cell>
          <cell r="L58">
            <v>0</v>
          </cell>
          <cell r="M58">
            <v>0</v>
          </cell>
        </row>
        <row r="59">
          <cell r="A59" t="str">
            <v>B00V4WUBJ8</v>
          </cell>
          <cell r="B59">
            <v>0</v>
          </cell>
          <cell r="C59">
            <v>50</v>
          </cell>
          <cell r="D59">
            <v>50</v>
          </cell>
          <cell r="E59">
            <v>50</v>
          </cell>
          <cell r="F59">
            <v>50</v>
          </cell>
          <cell r="G59">
            <v>100</v>
          </cell>
          <cell r="H59">
            <v>200</v>
          </cell>
          <cell r="I59">
            <v>100</v>
          </cell>
          <cell r="J59">
            <v>500</v>
          </cell>
          <cell r="K59">
            <v>0</v>
          </cell>
          <cell r="L59">
            <v>0</v>
          </cell>
          <cell r="M59">
            <v>0</v>
          </cell>
        </row>
        <row r="60">
          <cell r="A60" t="str">
            <v>B011TBDZG4</v>
          </cell>
          <cell r="B60">
            <v>0</v>
          </cell>
          <cell r="C60">
            <v>0</v>
          </cell>
          <cell r="D60">
            <v>0</v>
          </cell>
          <cell r="E60">
            <v>100</v>
          </cell>
          <cell r="F60">
            <v>100</v>
          </cell>
          <cell r="G60">
            <v>100</v>
          </cell>
          <cell r="H60">
            <v>100</v>
          </cell>
          <cell r="I60">
            <v>500</v>
          </cell>
          <cell r="J60">
            <v>500</v>
          </cell>
          <cell r="K60">
            <v>100</v>
          </cell>
          <cell r="L60">
            <v>50</v>
          </cell>
          <cell r="M60">
            <v>0</v>
          </cell>
        </row>
        <row r="61">
          <cell r="A61" t="str">
            <v>B000UJRMHA</v>
          </cell>
          <cell r="B61">
            <v>200</v>
          </cell>
          <cell r="C61">
            <v>100</v>
          </cell>
          <cell r="D61">
            <v>200</v>
          </cell>
          <cell r="E61">
            <v>200</v>
          </cell>
          <cell r="F61">
            <v>900</v>
          </cell>
          <cell r="G61">
            <v>900</v>
          </cell>
          <cell r="H61">
            <v>750</v>
          </cell>
          <cell r="I61">
            <v>400</v>
          </cell>
          <cell r="J61">
            <v>300</v>
          </cell>
          <cell r="K61">
            <v>1000</v>
          </cell>
          <cell r="L61">
            <v>800</v>
          </cell>
          <cell r="M61">
            <v>50</v>
          </cell>
        </row>
        <row r="62">
          <cell r="A62" t="str">
            <v>B09G9KBX7G</v>
          </cell>
          <cell r="B62">
            <v>100</v>
          </cell>
          <cell r="C62">
            <v>100</v>
          </cell>
          <cell r="D62">
            <v>200</v>
          </cell>
          <cell r="E62">
            <v>1000</v>
          </cell>
          <cell r="F62">
            <v>1000</v>
          </cell>
          <cell r="G62">
            <v>1000</v>
          </cell>
          <cell r="H62">
            <v>1000</v>
          </cell>
          <cell r="I62">
            <v>800</v>
          </cell>
          <cell r="J62">
            <v>400</v>
          </cell>
          <cell r="K62">
            <v>100</v>
          </cell>
          <cell r="L62">
            <v>100</v>
          </cell>
          <cell r="M62">
            <v>100</v>
          </cell>
        </row>
        <row r="63">
          <cell r="A63" t="str">
            <v>B000HCNT3Q</v>
          </cell>
          <cell r="B63">
            <v>100</v>
          </cell>
          <cell r="C63">
            <v>100</v>
          </cell>
          <cell r="D63">
            <v>200</v>
          </cell>
          <cell r="E63">
            <v>1000</v>
          </cell>
          <cell r="F63">
            <v>1000</v>
          </cell>
          <cell r="G63">
            <v>1000</v>
          </cell>
          <cell r="H63">
            <v>1000</v>
          </cell>
          <cell r="I63">
            <v>50</v>
          </cell>
          <cell r="J63">
            <v>400</v>
          </cell>
          <cell r="K63">
            <v>200</v>
          </cell>
          <cell r="L63">
            <v>200</v>
          </cell>
          <cell r="M63">
            <v>100</v>
          </cell>
        </row>
        <row r="64">
          <cell r="A64" t="str">
            <v>B0011VHOXI</v>
          </cell>
          <cell r="B64">
            <v>0</v>
          </cell>
          <cell r="C64">
            <v>0</v>
          </cell>
          <cell r="D64">
            <v>50</v>
          </cell>
          <cell r="E64">
            <v>100</v>
          </cell>
          <cell r="F64">
            <v>200</v>
          </cell>
          <cell r="G64">
            <v>200</v>
          </cell>
          <cell r="H64">
            <v>200</v>
          </cell>
          <cell r="I64">
            <v>200</v>
          </cell>
          <cell r="J64">
            <v>400</v>
          </cell>
          <cell r="K64">
            <v>0</v>
          </cell>
          <cell r="L64">
            <v>0</v>
          </cell>
          <cell r="M64">
            <v>0</v>
          </cell>
        </row>
        <row r="65">
          <cell r="A65" t="str">
            <v>B002LFEQ6G</v>
          </cell>
          <cell r="B65">
            <v>0</v>
          </cell>
          <cell r="C65">
            <v>0</v>
          </cell>
          <cell r="D65">
            <v>500</v>
          </cell>
          <cell r="E65">
            <v>700</v>
          </cell>
          <cell r="F65">
            <v>600</v>
          </cell>
          <cell r="G65">
            <v>400</v>
          </cell>
          <cell r="H65">
            <v>400</v>
          </cell>
          <cell r="I65">
            <v>500</v>
          </cell>
          <cell r="J65">
            <v>400</v>
          </cell>
          <cell r="K65">
            <v>0</v>
          </cell>
          <cell r="L65">
            <v>0</v>
          </cell>
          <cell r="M65">
            <v>0</v>
          </cell>
        </row>
        <row r="66">
          <cell r="A66" t="str">
            <v>B09WTJNXMF</v>
          </cell>
          <cell r="B66">
            <v>100</v>
          </cell>
          <cell r="C66">
            <v>100</v>
          </cell>
          <cell r="D66">
            <v>200</v>
          </cell>
          <cell r="E66">
            <v>600</v>
          </cell>
          <cell r="F66">
            <v>500</v>
          </cell>
          <cell r="G66">
            <v>700</v>
          </cell>
          <cell r="H66">
            <v>700</v>
          </cell>
          <cell r="I66">
            <v>300</v>
          </cell>
          <cell r="J66">
            <v>400</v>
          </cell>
          <cell r="K66">
            <v>400</v>
          </cell>
          <cell r="L66">
            <v>200</v>
          </cell>
          <cell r="M66">
            <v>100</v>
          </cell>
        </row>
        <row r="67">
          <cell r="A67" t="str">
            <v>B000N7AZIW</v>
          </cell>
          <cell r="B67">
            <v>50</v>
          </cell>
          <cell r="C67">
            <v>100</v>
          </cell>
          <cell r="D67">
            <v>400</v>
          </cell>
          <cell r="E67">
            <v>400</v>
          </cell>
          <cell r="F67">
            <v>500</v>
          </cell>
          <cell r="G67">
            <v>600</v>
          </cell>
          <cell r="H67">
            <v>600</v>
          </cell>
          <cell r="I67">
            <v>600</v>
          </cell>
          <cell r="J67">
            <v>400</v>
          </cell>
          <cell r="K67">
            <v>500</v>
          </cell>
          <cell r="L67">
            <v>200</v>
          </cell>
          <cell r="M67">
            <v>100</v>
          </cell>
        </row>
        <row r="68">
          <cell r="A68" t="str">
            <v>B000HCRM4S</v>
          </cell>
          <cell r="B68">
            <v>50</v>
          </cell>
          <cell r="C68">
            <v>50</v>
          </cell>
          <cell r="D68">
            <v>100</v>
          </cell>
          <cell r="E68">
            <v>600</v>
          </cell>
          <cell r="F68">
            <v>1000</v>
          </cell>
          <cell r="G68">
            <v>1000</v>
          </cell>
          <cell r="H68">
            <v>1000</v>
          </cell>
          <cell r="I68">
            <v>500</v>
          </cell>
          <cell r="J68">
            <v>400</v>
          </cell>
          <cell r="K68">
            <v>300</v>
          </cell>
          <cell r="L68">
            <v>100</v>
          </cell>
          <cell r="M68">
            <v>50</v>
          </cell>
        </row>
        <row r="69">
          <cell r="A69" t="str">
            <v>B076HW6S9K</v>
          </cell>
          <cell r="B69">
            <v>100</v>
          </cell>
          <cell r="C69">
            <v>100</v>
          </cell>
          <cell r="D69">
            <v>300</v>
          </cell>
          <cell r="E69">
            <v>400</v>
          </cell>
          <cell r="F69">
            <v>500</v>
          </cell>
          <cell r="G69">
            <v>700</v>
          </cell>
          <cell r="H69">
            <v>700</v>
          </cell>
          <cell r="I69">
            <v>350</v>
          </cell>
          <cell r="J69">
            <v>400</v>
          </cell>
          <cell r="K69">
            <v>200</v>
          </cell>
          <cell r="L69">
            <v>100</v>
          </cell>
          <cell r="M69">
            <v>100</v>
          </cell>
        </row>
        <row r="70">
          <cell r="A70" t="str">
            <v>B07L1MS63W</v>
          </cell>
          <cell r="B70">
            <v>50</v>
          </cell>
          <cell r="C70">
            <v>100</v>
          </cell>
          <cell r="D70">
            <v>400</v>
          </cell>
          <cell r="E70">
            <v>200</v>
          </cell>
          <cell r="F70">
            <v>400</v>
          </cell>
          <cell r="G70">
            <v>400</v>
          </cell>
          <cell r="H70">
            <v>300</v>
          </cell>
          <cell r="I70">
            <v>300</v>
          </cell>
          <cell r="J70">
            <v>400</v>
          </cell>
          <cell r="K70">
            <v>500</v>
          </cell>
          <cell r="L70">
            <v>100</v>
          </cell>
          <cell r="M70">
            <v>50</v>
          </cell>
        </row>
        <row r="71">
          <cell r="A71" t="str">
            <v>B0H7FW1TR6</v>
          </cell>
          <cell r="B71">
            <v>0</v>
          </cell>
          <cell r="C71">
            <v>0</v>
          </cell>
          <cell r="D71">
            <v>300</v>
          </cell>
          <cell r="E71">
            <v>300</v>
          </cell>
          <cell r="F71">
            <v>500</v>
          </cell>
          <cell r="G71">
            <v>600</v>
          </cell>
          <cell r="H71">
            <v>600</v>
          </cell>
          <cell r="I71">
            <v>500</v>
          </cell>
          <cell r="J71">
            <v>400</v>
          </cell>
          <cell r="K71">
            <v>0</v>
          </cell>
          <cell r="L71">
            <v>0</v>
          </cell>
          <cell r="M71">
            <v>0</v>
          </cell>
        </row>
        <row r="72">
          <cell r="A72" t="str">
            <v>B09G93W2YM</v>
          </cell>
          <cell r="B72">
            <v>100</v>
          </cell>
          <cell r="C72">
            <v>100</v>
          </cell>
          <cell r="D72">
            <v>200</v>
          </cell>
          <cell r="E72">
            <v>500</v>
          </cell>
          <cell r="F72">
            <v>200</v>
          </cell>
          <cell r="G72">
            <v>200</v>
          </cell>
          <cell r="H72">
            <v>200</v>
          </cell>
          <cell r="I72">
            <v>400</v>
          </cell>
          <cell r="J72">
            <v>200</v>
          </cell>
          <cell r="K72">
            <v>100</v>
          </cell>
          <cell r="L72">
            <v>100</v>
          </cell>
          <cell r="M72">
            <v>50</v>
          </cell>
        </row>
        <row r="73">
          <cell r="A73" t="str">
            <v>B0BQ7MFDCD</v>
          </cell>
          <cell r="B73">
            <v>50</v>
          </cell>
          <cell r="C73">
            <v>100</v>
          </cell>
          <cell r="D73">
            <v>300</v>
          </cell>
          <cell r="E73">
            <v>1000</v>
          </cell>
          <cell r="F73">
            <v>1000</v>
          </cell>
          <cell r="G73">
            <v>2000</v>
          </cell>
          <cell r="H73">
            <v>1000</v>
          </cell>
          <cell r="I73">
            <v>1000</v>
          </cell>
          <cell r="J73">
            <v>200</v>
          </cell>
          <cell r="K73">
            <v>200</v>
          </cell>
          <cell r="L73">
            <v>100</v>
          </cell>
          <cell r="M73">
            <v>50</v>
          </cell>
        </row>
        <row r="74">
          <cell r="A74" t="str">
            <v>B002LFCS3Y</v>
          </cell>
          <cell r="B74">
            <v>200</v>
          </cell>
          <cell r="C74">
            <v>100</v>
          </cell>
          <cell r="D74">
            <v>100</v>
          </cell>
          <cell r="E74">
            <v>100</v>
          </cell>
          <cell r="F74">
            <v>50</v>
          </cell>
          <cell r="G74">
            <v>0</v>
          </cell>
          <cell r="H74">
            <v>100</v>
          </cell>
          <cell r="I74">
            <v>300</v>
          </cell>
          <cell r="J74">
            <v>300</v>
          </cell>
          <cell r="K74">
            <v>200</v>
          </cell>
          <cell r="L74">
            <v>200</v>
          </cell>
          <cell r="M74">
            <v>300</v>
          </cell>
        </row>
        <row r="75">
          <cell r="A75" t="str">
            <v>B09G9FP9WQ</v>
          </cell>
          <cell r="B75">
            <v>50</v>
          </cell>
          <cell r="C75">
            <v>50</v>
          </cell>
          <cell r="D75">
            <v>400</v>
          </cell>
          <cell r="E75">
            <v>100</v>
          </cell>
          <cell r="F75">
            <v>100</v>
          </cell>
          <cell r="G75">
            <v>900</v>
          </cell>
          <cell r="H75">
            <v>900</v>
          </cell>
          <cell r="I75">
            <v>500</v>
          </cell>
          <cell r="J75">
            <v>300</v>
          </cell>
          <cell r="K75">
            <v>200</v>
          </cell>
          <cell r="L75">
            <v>100</v>
          </cell>
          <cell r="M75">
            <v>50</v>
          </cell>
        </row>
        <row r="76">
          <cell r="A76" t="str">
            <v>B000KL1G5W</v>
          </cell>
          <cell r="B76">
            <v>50</v>
          </cell>
          <cell r="C76">
            <v>50</v>
          </cell>
          <cell r="D76">
            <v>100</v>
          </cell>
          <cell r="E76">
            <v>300</v>
          </cell>
          <cell r="F76">
            <v>300</v>
          </cell>
          <cell r="G76">
            <v>1000</v>
          </cell>
          <cell r="H76">
            <v>1000</v>
          </cell>
          <cell r="I76">
            <v>400</v>
          </cell>
          <cell r="J76">
            <v>300</v>
          </cell>
          <cell r="K76">
            <v>200</v>
          </cell>
          <cell r="L76">
            <v>200</v>
          </cell>
          <cell r="M76">
            <v>100</v>
          </cell>
        </row>
        <row r="77">
          <cell r="A77" t="str">
            <v>B000RUASQE</v>
          </cell>
          <cell r="B77">
            <v>0</v>
          </cell>
          <cell r="C77">
            <v>0</v>
          </cell>
          <cell r="D77">
            <v>400</v>
          </cell>
          <cell r="E77">
            <v>600</v>
          </cell>
          <cell r="F77">
            <v>1000</v>
          </cell>
          <cell r="G77">
            <v>1000</v>
          </cell>
          <cell r="H77">
            <v>600</v>
          </cell>
          <cell r="I77">
            <v>600</v>
          </cell>
          <cell r="J77">
            <v>300</v>
          </cell>
          <cell r="K77">
            <v>0</v>
          </cell>
          <cell r="L77">
            <v>0</v>
          </cell>
          <cell r="M77">
            <v>0</v>
          </cell>
        </row>
        <row r="78">
          <cell r="A78" t="str">
            <v>B002ZBPNMC</v>
          </cell>
          <cell r="B78">
            <v>100</v>
          </cell>
          <cell r="C78">
            <v>100</v>
          </cell>
          <cell r="D78">
            <v>100</v>
          </cell>
          <cell r="E78">
            <v>300</v>
          </cell>
          <cell r="F78">
            <v>800</v>
          </cell>
          <cell r="G78">
            <v>1000</v>
          </cell>
          <cell r="H78">
            <v>1000</v>
          </cell>
          <cell r="I78">
            <v>500</v>
          </cell>
          <cell r="J78">
            <v>300</v>
          </cell>
          <cell r="K78">
            <v>200</v>
          </cell>
          <cell r="L78">
            <v>100</v>
          </cell>
          <cell r="M78">
            <v>100</v>
          </cell>
        </row>
        <row r="79">
          <cell r="A79" t="str">
            <v>B000RUD032</v>
          </cell>
          <cell r="B79">
            <v>50</v>
          </cell>
          <cell r="C79">
            <v>50</v>
          </cell>
          <cell r="D79">
            <v>100</v>
          </cell>
          <cell r="E79">
            <v>400</v>
          </cell>
          <cell r="F79">
            <v>400</v>
          </cell>
          <cell r="G79">
            <v>500</v>
          </cell>
          <cell r="H79">
            <v>1000</v>
          </cell>
          <cell r="I79">
            <v>1000</v>
          </cell>
          <cell r="J79">
            <v>300</v>
          </cell>
          <cell r="K79">
            <v>100</v>
          </cell>
          <cell r="L79">
            <v>100</v>
          </cell>
          <cell r="M79">
            <v>100</v>
          </cell>
        </row>
        <row r="80">
          <cell r="A80" t="str">
            <v>B000BPC1YM</v>
          </cell>
          <cell r="B80">
            <v>0</v>
          </cell>
          <cell r="C80">
            <v>0</v>
          </cell>
          <cell r="D80">
            <v>0</v>
          </cell>
          <cell r="E80">
            <v>100</v>
          </cell>
          <cell r="F80">
            <v>400</v>
          </cell>
          <cell r="G80">
            <v>1000</v>
          </cell>
          <cell r="H80">
            <v>1000</v>
          </cell>
          <cell r="I80">
            <v>600</v>
          </cell>
          <cell r="J80">
            <v>300</v>
          </cell>
          <cell r="K80">
            <v>50</v>
          </cell>
          <cell r="L80">
            <v>50</v>
          </cell>
          <cell r="M80">
            <v>0</v>
          </cell>
        </row>
        <row r="81">
          <cell r="A81" t="str">
            <v>B07DLGZ26P</v>
          </cell>
          <cell r="B81">
            <v>0</v>
          </cell>
          <cell r="C81">
            <v>0</v>
          </cell>
          <cell r="D81">
            <v>0</v>
          </cell>
          <cell r="E81">
            <v>0</v>
          </cell>
          <cell r="F81">
            <v>50</v>
          </cell>
          <cell r="G81">
            <v>100</v>
          </cell>
          <cell r="H81">
            <v>300</v>
          </cell>
          <cell r="I81">
            <v>400</v>
          </cell>
          <cell r="J81">
            <v>200</v>
          </cell>
          <cell r="K81">
            <v>0</v>
          </cell>
          <cell r="L81">
            <v>0</v>
          </cell>
          <cell r="M81">
            <v>0</v>
          </cell>
        </row>
        <row r="82">
          <cell r="A82" t="str">
            <v>B000UJX9TK</v>
          </cell>
          <cell r="B82">
            <v>50</v>
          </cell>
          <cell r="C82">
            <v>50</v>
          </cell>
          <cell r="D82">
            <v>50</v>
          </cell>
          <cell r="E82">
            <v>100</v>
          </cell>
          <cell r="F82">
            <v>100</v>
          </cell>
          <cell r="G82">
            <v>300</v>
          </cell>
          <cell r="H82">
            <v>300</v>
          </cell>
          <cell r="I82">
            <v>300</v>
          </cell>
          <cell r="J82">
            <v>200</v>
          </cell>
          <cell r="K82">
            <v>200</v>
          </cell>
          <cell r="L82">
            <v>300</v>
          </cell>
          <cell r="M82">
            <v>100</v>
          </cell>
        </row>
        <row r="83">
          <cell r="A83" t="str">
            <v>B0DCZZKK52</v>
          </cell>
          <cell r="B83">
            <v>400</v>
          </cell>
          <cell r="C83">
            <v>300</v>
          </cell>
          <cell r="D83">
            <v>300</v>
          </cell>
          <cell r="E83">
            <v>400</v>
          </cell>
          <cell r="F83">
            <v>100</v>
          </cell>
          <cell r="G83">
            <v>300</v>
          </cell>
          <cell r="H83">
            <v>300</v>
          </cell>
          <cell r="I83">
            <v>300</v>
          </cell>
          <cell r="J83">
            <v>200</v>
          </cell>
          <cell r="K83">
            <v>600</v>
          </cell>
          <cell r="L83">
            <v>200</v>
          </cell>
          <cell r="M83">
            <v>200</v>
          </cell>
        </row>
        <row r="84">
          <cell r="A84" t="str">
            <v>B001U14FA4</v>
          </cell>
          <cell r="B84">
            <v>0</v>
          </cell>
          <cell r="C84">
            <v>0</v>
          </cell>
          <cell r="D84">
            <v>300</v>
          </cell>
          <cell r="E84">
            <v>700</v>
          </cell>
          <cell r="F84">
            <v>800</v>
          </cell>
          <cell r="G84">
            <v>700</v>
          </cell>
          <cell r="H84">
            <v>300</v>
          </cell>
          <cell r="I84">
            <v>200</v>
          </cell>
          <cell r="J84">
            <v>300</v>
          </cell>
          <cell r="K84">
            <v>0</v>
          </cell>
          <cell r="L84">
            <v>0</v>
          </cell>
          <cell r="M84">
            <v>0</v>
          </cell>
        </row>
        <row r="85">
          <cell r="A85" t="str">
            <v>B000HCRMIY</v>
          </cell>
          <cell r="B85">
            <v>0</v>
          </cell>
          <cell r="C85">
            <v>0</v>
          </cell>
          <cell r="D85">
            <v>50</v>
          </cell>
          <cell r="E85">
            <v>50</v>
          </cell>
          <cell r="F85">
            <v>50</v>
          </cell>
          <cell r="G85">
            <v>100</v>
          </cell>
          <cell r="H85">
            <v>100</v>
          </cell>
          <cell r="I85">
            <v>100</v>
          </cell>
          <cell r="J85">
            <v>300</v>
          </cell>
          <cell r="K85">
            <v>0</v>
          </cell>
          <cell r="L85">
            <v>0</v>
          </cell>
          <cell r="M85">
            <v>0</v>
          </cell>
        </row>
        <row r="86">
          <cell r="A86" t="str">
            <v>B00YETULD4</v>
          </cell>
          <cell r="B86">
            <v>1000</v>
          </cell>
          <cell r="C86">
            <v>1000</v>
          </cell>
          <cell r="D86">
            <v>1000</v>
          </cell>
          <cell r="E86">
            <v>1000</v>
          </cell>
          <cell r="F86">
            <v>800</v>
          </cell>
          <cell r="G86">
            <v>800</v>
          </cell>
          <cell r="H86">
            <v>700</v>
          </cell>
          <cell r="I86">
            <v>600</v>
          </cell>
          <cell r="J86">
            <v>200</v>
          </cell>
          <cell r="K86">
            <v>400</v>
          </cell>
          <cell r="L86">
            <v>700</v>
          </cell>
          <cell r="M86">
            <v>700</v>
          </cell>
        </row>
        <row r="87">
          <cell r="A87" t="str">
            <v>B00192ANXM</v>
          </cell>
          <cell r="B87">
            <v>0</v>
          </cell>
          <cell r="C87">
            <v>50</v>
          </cell>
          <cell r="D87">
            <v>300</v>
          </cell>
          <cell r="E87">
            <v>400</v>
          </cell>
          <cell r="F87">
            <v>600</v>
          </cell>
          <cell r="G87">
            <v>300</v>
          </cell>
          <cell r="H87">
            <v>300</v>
          </cell>
          <cell r="I87">
            <v>300</v>
          </cell>
          <cell r="J87">
            <v>200</v>
          </cell>
          <cell r="K87">
            <v>100</v>
          </cell>
          <cell r="L87">
            <v>100</v>
          </cell>
          <cell r="M87">
            <v>50</v>
          </cell>
        </row>
        <row r="88">
          <cell r="A88" t="str">
            <v>B000UJRMOS</v>
          </cell>
          <cell r="B88">
            <v>0</v>
          </cell>
          <cell r="C88">
            <v>0</v>
          </cell>
          <cell r="D88">
            <v>200</v>
          </cell>
          <cell r="E88">
            <v>500</v>
          </cell>
          <cell r="F88">
            <v>500</v>
          </cell>
          <cell r="G88">
            <v>600</v>
          </cell>
          <cell r="H88">
            <v>400</v>
          </cell>
          <cell r="I88">
            <v>400</v>
          </cell>
          <cell r="J88">
            <v>200</v>
          </cell>
          <cell r="K88">
            <v>200</v>
          </cell>
          <cell r="L88">
            <v>100</v>
          </cell>
          <cell r="M88">
            <v>50</v>
          </cell>
        </row>
        <row r="89">
          <cell r="A89" t="str">
            <v>B000BX1HSU</v>
          </cell>
          <cell r="B89">
            <v>0</v>
          </cell>
          <cell r="C89">
            <v>50</v>
          </cell>
          <cell r="D89">
            <v>100</v>
          </cell>
          <cell r="E89">
            <v>300</v>
          </cell>
          <cell r="F89">
            <v>400</v>
          </cell>
          <cell r="G89">
            <v>600</v>
          </cell>
          <cell r="H89">
            <v>1000</v>
          </cell>
          <cell r="I89">
            <v>100</v>
          </cell>
          <cell r="J89">
            <v>200</v>
          </cell>
          <cell r="K89">
            <v>200</v>
          </cell>
          <cell r="L89">
            <v>100</v>
          </cell>
          <cell r="M89">
            <v>50</v>
          </cell>
        </row>
        <row r="90">
          <cell r="A90" t="str">
            <v>B00YIHBWNK</v>
          </cell>
          <cell r="B90">
            <v>0</v>
          </cell>
          <cell r="C90">
            <v>0</v>
          </cell>
          <cell r="D90">
            <v>0</v>
          </cell>
          <cell r="E90">
            <v>0</v>
          </cell>
          <cell r="F90">
            <v>50</v>
          </cell>
          <cell r="G90">
            <v>50</v>
          </cell>
          <cell r="H90">
            <v>50</v>
          </cell>
          <cell r="I90">
            <v>50</v>
          </cell>
          <cell r="J90">
            <v>200</v>
          </cell>
          <cell r="K90">
            <v>0</v>
          </cell>
          <cell r="L90">
            <v>0</v>
          </cell>
          <cell r="M90">
            <v>0</v>
          </cell>
        </row>
        <row r="91">
          <cell r="A91" t="str">
            <v>B006QYSAPQ</v>
          </cell>
          <cell r="B91">
            <v>0</v>
          </cell>
          <cell r="C91">
            <v>0</v>
          </cell>
          <cell r="D91">
            <v>100</v>
          </cell>
          <cell r="E91">
            <v>300</v>
          </cell>
          <cell r="F91">
            <v>300</v>
          </cell>
          <cell r="G91">
            <v>700</v>
          </cell>
          <cell r="H91">
            <v>600</v>
          </cell>
          <cell r="I91">
            <v>400</v>
          </cell>
          <cell r="J91">
            <v>200</v>
          </cell>
          <cell r="K91">
            <v>0</v>
          </cell>
          <cell r="L91">
            <v>0</v>
          </cell>
          <cell r="M91">
            <v>0</v>
          </cell>
        </row>
        <row r="92">
          <cell r="A92" t="str">
            <v>B001D0YG5Q</v>
          </cell>
          <cell r="B92">
            <v>50</v>
          </cell>
          <cell r="C92">
            <v>50</v>
          </cell>
          <cell r="D92">
            <v>100</v>
          </cell>
          <cell r="E92">
            <v>200</v>
          </cell>
          <cell r="F92">
            <v>200</v>
          </cell>
          <cell r="G92">
            <v>300</v>
          </cell>
          <cell r="H92">
            <v>300</v>
          </cell>
          <cell r="I92">
            <v>300</v>
          </cell>
          <cell r="J92">
            <v>200</v>
          </cell>
          <cell r="K92">
            <v>100</v>
          </cell>
          <cell r="L92">
            <v>100</v>
          </cell>
          <cell r="M92">
            <v>50</v>
          </cell>
        </row>
        <row r="93">
          <cell r="A93" t="str">
            <v>B004MPKF5Y</v>
          </cell>
          <cell r="B93">
            <v>0</v>
          </cell>
          <cell r="C93">
            <v>50</v>
          </cell>
          <cell r="D93">
            <v>50</v>
          </cell>
          <cell r="E93">
            <v>200</v>
          </cell>
          <cell r="F93">
            <v>300</v>
          </cell>
          <cell r="G93">
            <v>500</v>
          </cell>
          <cell r="H93">
            <v>600</v>
          </cell>
          <cell r="I93">
            <v>400</v>
          </cell>
          <cell r="J93">
            <v>200</v>
          </cell>
          <cell r="K93">
            <v>100</v>
          </cell>
          <cell r="L93">
            <v>50</v>
          </cell>
          <cell r="M93">
            <v>0</v>
          </cell>
        </row>
        <row r="94">
          <cell r="A94" t="str">
            <v>B002CA92NC</v>
          </cell>
          <cell r="B94">
            <v>100</v>
          </cell>
          <cell r="C94">
            <v>100</v>
          </cell>
          <cell r="D94">
            <v>200</v>
          </cell>
          <cell r="E94">
            <v>400</v>
          </cell>
          <cell r="F94">
            <v>1000</v>
          </cell>
          <cell r="G94">
            <v>2000</v>
          </cell>
          <cell r="H94">
            <v>2000</v>
          </cell>
          <cell r="I94">
            <v>1000</v>
          </cell>
          <cell r="J94">
            <v>100</v>
          </cell>
          <cell r="K94">
            <v>100</v>
          </cell>
          <cell r="L94">
            <v>100</v>
          </cell>
          <cell r="M94">
            <v>100</v>
          </cell>
        </row>
        <row r="95">
          <cell r="A95" t="str">
            <v>B000OWB63O</v>
          </cell>
          <cell r="B95">
            <v>0</v>
          </cell>
          <cell r="C95">
            <v>0</v>
          </cell>
          <cell r="D95">
            <v>0</v>
          </cell>
          <cell r="E95">
            <v>100</v>
          </cell>
          <cell r="F95">
            <v>400</v>
          </cell>
          <cell r="G95">
            <v>1000</v>
          </cell>
          <cell r="H95">
            <v>2000</v>
          </cell>
          <cell r="I95">
            <v>1000</v>
          </cell>
          <cell r="J95">
            <v>200</v>
          </cell>
          <cell r="K95">
            <v>0</v>
          </cell>
          <cell r="L95">
            <v>0</v>
          </cell>
          <cell r="M95">
            <v>0</v>
          </cell>
        </row>
        <row r="96">
          <cell r="A96" t="str">
            <v>B0CRHXZTGR</v>
          </cell>
          <cell r="B96">
            <v>50</v>
          </cell>
          <cell r="C96">
            <v>100</v>
          </cell>
          <cell r="D96">
            <v>200</v>
          </cell>
          <cell r="E96">
            <v>300</v>
          </cell>
          <cell r="F96">
            <v>400</v>
          </cell>
          <cell r="G96">
            <v>400</v>
          </cell>
          <cell r="H96">
            <v>500</v>
          </cell>
          <cell r="I96">
            <v>500</v>
          </cell>
          <cell r="J96">
            <v>100</v>
          </cell>
          <cell r="K96">
            <v>200</v>
          </cell>
          <cell r="L96">
            <v>100</v>
          </cell>
          <cell r="M96">
            <v>100</v>
          </cell>
        </row>
        <row r="97">
          <cell r="A97" t="str">
            <v>B09G99F6NW</v>
          </cell>
          <cell r="B97">
            <v>0</v>
          </cell>
          <cell r="C97">
            <v>0</v>
          </cell>
          <cell r="D97">
            <v>50</v>
          </cell>
          <cell r="E97">
            <v>100</v>
          </cell>
          <cell r="F97">
            <v>200</v>
          </cell>
          <cell r="G97">
            <v>300</v>
          </cell>
          <cell r="H97">
            <v>300</v>
          </cell>
          <cell r="I97">
            <v>200</v>
          </cell>
          <cell r="J97">
            <v>100</v>
          </cell>
          <cell r="K97">
            <v>50</v>
          </cell>
          <cell r="L97">
            <v>50</v>
          </cell>
          <cell r="M97">
            <v>0</v>
          </cell>
        </row>
        <row r="98">
          <cell r="A98" t="str">
            <v>B009ATFJWG</v>
          </cell>
          <cell r="B98">
            <v>50</v>
          </cell>
          <cell r="C98">
            <v>50</v>
          </cell>
          <cell r="D98">
            <v>100</v>
          </cell>
          <cell r="E98">
            <v>200</v>
          </cell>
          <cell r="F98">
            <v>400</v>
          </cell>
          <cell r="G98">
            <v>300</v>
          </cell>
          <cell r="H98">
            <v>500</v>
          </cell>
          <cell r="I98">
            <v>200</v>
          </cell>
          <cell r="J98">
            <v>100</v>
          </cell>
          <cell r="K98">
            <v>100</v>
          </cell>
          <cell r="L98">
            <v>50</v>
          </cell>
          <cell r="M98">
            <v>50</v>
          </cell>
        </row>
        <row r="99">
          <cell r="A99" t="str">
            <v>B00353GTOK</v>
          </cell>
          <cell r="B99">
            <v>0</v>
          </cell>
          <cell r="C99">
            <v>0</v>
          </cell>
          <cell r="D99">
            <v>50</v>
          </cell>
          <cell r="E99">
            <v>100</v>
          </cell>
          <cell r="F99">
            <v>200</v>
          </cell>
          <cell r="G99">
            <v>400</v>
          </cell>
          <cell r="H99">
            <v>300</v>
          </cell>
          <cell r="I99">
            <v>300</v>
          </cell>
          <cell r="J99">
            <v>100</v>
          </cell>
          <cell r="K99">
            <v>200</v>
          </cell>
          <cell r="L99">
            <v>100</v>
          </cell>
          <cell r="M99">
            <v>50</v>
          </cell>
        </row>
        <row r="100">
          <cell r="A100" t="str">
            <v>B005X94R7U</v>
          </cell>
          <cell r="B100">
            <v>300</v>
          </cell>
          <cell r="C100">
            <v>300</v>
          </cell>
          <cell r="D100">
            <v>500</v>
          </cell>
          <cell r="E100">
            <v>600</v>
          </cell>
          <cell r="F100">
            <v>300</v>
          </cell>
          <cell r="G100">
            <v>300</v>
          </cell>
          <cell r="H100">
            <v>50</v>
          </cell>
          <cell r="I100">
            <v>50</v>
          </cell>
          <cell r="J100">
            <v>100</v>
          </cell>
          <cell r="K100">
            <v>1000</v>
          </cell>
          <cell r="L100">
            <v>100</v>
          </cell>
          <cell r="M100">
            <v>50</v>
          </cell>
        </row>
        <row r="101">
          <cell r="A101" t="str">
            <v>B000A0RF6C</v>
          </cell>
          <cell r="B101">
            <v>0</v>
          </cell>
          <cell r="C101">
            <v>0</v>
          </cell>
          <cell r="D101">
            <v>0</v>
          </cell>
          <cell r="E101">
            <v>100</v>
          </cell>
          <cell r="F101">
            <v>200</v>
          </cell>
          <cell r="G101">
            <v>200</v>
          </cell>
          <cell r="H101">
            <v>400</v>
          </cell>
          <cell r="I101">
            <v>300</v>
          </cell>
          <cell r="J101">
            <v>100</v>
          </cell>
          <cell r="K101">
            <v>50</v>
          </cell>
          <cell r="L101">
            <v>0</v>
          </cell>
          <cell r="M101">
            <v>0</v>
          </cell>
        </row>
        <row r="102">
          <cell r="A102" t="str">
            <v>B000BX4RT6</v>
          </cell>
          <cell r="B102">
            <v>0</v>
          </cell>
          <cell r="C102">
            <v>0</v>
          </cell>
          <cell r="D102">
            <v>0</v>
          </cell>
          <cell r="E102">
            <v>50</v>
          </cell>
          <cell r="F102">
            <v>100</v>
          </cell>
          <cell r="G102">
            <v>100</v>
          </cell>
          <cell r="H102">
            <v>100</v>
          </cell>
          <cell r="I102">
            <v>100</v>
          </cell>
          <cell r="J102">
            <v>100</v>
          </cell>
          <cell r="K102">
            <v>0</v>
          </cell>
          <cell r="L102">
            <v>0</v>
          </cell>
          <cell r="M102">
            <v>0</v>
          </cell>
        </row>
        <row r="103">
          <cell r="A103" t="str">
            <v>B000OP4E5S</v>
          </cell>
          <cell r="B103">
            <v>100</v>
          </cell>
          <cell r="C103">
            <v>50</v>
          </cell>
          <cell r="D103">
            <v>0</v>
          </cell>
          <cell r="E103">
            <v>50</v>
          </cell>
          <cell r="F103">
            <v>50</v>
          </cell>
          <cell r="G103">
            <v>50</v>
          </cell>
          <cell r="H103">
            <v>50</v>
          </cell>
          <cell r="I103">
            <v>100</v>
          </cell>
          <cell r="J103">
            <v>100</v>
          </cell>
          <cell r="K103">
            <v>100</v>
          </cell>
          <cell r="L103">
            <v>1000</v>
          </cell>
          <cell r="M103">
            <v>1000</v>
          </cell>
        </row>
        <row r="104">
          <cell r="A104" t="str">
            <v>B000ON67VO</v>
          </cell>
          <cell r="B104">
            <v>0</v>
          </cell>
          <cell r="C104">
            <v>100</v>
          </cell>
          <cell r="D104">
            <v>100</v>
          </cell>
          <cell r="E104">
            <v>50</v>
          </cell>
          <cell r="F104">
            <v>100</v>
          </cell>
          <cell r="G104">
            <v>100</v>
          </cell>
          <cell r="H104">
            <v>100</v>
          </cell>
          <cell r="I104">
            <v>100</v>
          </cell>
          <cell r="J104">
            <v>100</v>
          </cell>
          <cell r="K104">
            <v>200</v>
          </cell>
          <cell r="L104">
            <v>200</v>
          </cell>
          <cell r="M104">
            <v>50</v>
          </cell>
        </row>
        <row r="105">
          <cell r="A105" t="str">
            <v>B00URP7BQ4</v>
          </cell>
          <cell r="B105">
            <v>100</v>
          </cell>
          <cell r="C105">
            <v>100</v>
          </cell>
          <cell r="D105">
            <v>100</v>
          </cell>
          <cell r="E105">
            <v>100</v>
          </cell>
          <cell r="F105">
            <v>100</v>
          </cell>
          <cell r="G105">
            <v>200</v>
          </cell>
          <cell r="H105">
            <v>50</v>
          </cell>
          <cell r="I105">
            <v>50</v>
          </cell>
          <cell r="J105">
            <v>100</v>
          </cell>
          <cell r="K105">
            <v>200</v>
          </cell>
          <cell r="L105">
            <v>200</v>
          </cell>
          <cell r="M105">
            <v>200</v>
          </cell>
        </row>
        <row r="106">
          <cell r="A106" t="str">
            <v>B000GD3KM6</v>
          </cell>
          <cell r="B106">
            <v>0</v>
          </cell>
          <cell r="C106">
            <v>0</v>
          </cell>
          <cell r="D106">
            <v>0</v>
          </cell>
          <cell r="E106">
            <v>100</v>
          </cell>
          <cell r="F106">
            <v>100</v>
          </cell>
          <cell r="G106">
            <v>100</v>
          </cell>
          <cell r="H106">
            <v>100</v>
          </cell>
          <cell r="I106">
            <v>100</v>
          </cell>
          <cell r="J106">
            <v>100</v>
          </cell>
          <cell r="K106">
            <v>50</v>
          </cell>
          <cell r="L106">
            <v>0</v>
          </cell>
          <cell r="M106">
            <v>0</v>
          </cell>
        </row>
        <row r="107">
          <cell r="A107" t="str">
            <v>B00192FZ30</v>
          </cell>
          <cell r="B107">
            <v>50</v>
          </cell>
          <cell r="C107">
            <v>100</v>
          </cell>
          <cell r="D107">
            <v>300</v>
          </cell>
          <cell r="E107">
            <v>800</v>
          </cell>
          <cell r="F107">
            <v>1000</v>
          </cell>
          <cell r="G107">
            <v>1000</v>
          </cell>
          <cell r="H107">
            <v>700</v>
          </cell>
          <cell r="I107">
            <v>400</v>
          </cell>
          <cell r="J107">
            <v>100</v>
          </cell>
          <cell r="K107">
            <v>100</v>
          </cell>
          <cell r="L107">
            <v>100</v>
          </cell>
          <cell r="M107">
            <v>100</v>
          </cell>
        </row>
        <row r="108">
          <cell r="A108" t="str">
            <v>B09WTV7KJH</v>
          </cell>
          <cell r="B108">
            <v>50</v>
          </cell>
          <cell r="C108">
            <v>50</v>
          </cell>
          <cell r="D108">
            <v>50</v>
          </cell>
          <cell r="E108">
            <v>50</v>
          </cell>
          <cell r="F108">
            <v>50</v>
          </cell>
          <cell r="G108">
            <v>50</v>
          </cell>
          <cell r="H108">
            <v>50</v>
          </cell>
          <cell r="I108">
            <v>100</v>
          </cell>
          <cell r="J108">
            <v>100</v>
          </cell>
          <cell r="K108">
            <v>100</v>
          </cell>
          <cell r="L108">
            <v>100</v>
          </cell>
          <cell r="M108">
            <v>100</v>
          </cell>
        </row>
        <row r="109">
          <cell r="A109" t="str">
            <v>B00FGIJOAI</v>
          </cell>
          <cell r="B109">
            <v>0</v>
          </cell>
          <cell r="C109">
            <v>0</v>
          </cell>
          <cell r="D109">
            <v>0</v>
          </cell>
          <cell r="E109">
            <v>100</v>
          </cell>
          <cell r="F109">
            <v>100</v>
          </cell>
          <cell r="G109">
            <v>300</v>
          </cell>
          <cell r="H109">
            <v>200</v>
          </cell>
          <cell r="I109">
            <v>300</v>
          </cell>
          <cell r="J109">
            <v>100</v>
          </cell>
          <cell r="K109">
            <v>50</v>
          </cell>
          <cell r="L109">
            <v>0</v>
          </cell>
          <cell r="M109">
            <v>0</v>
          </cell>
        </row>
        <row r="110">
          <cell r="A110" t="str">
            <v>B00ADFNCX4</v>
          </cell>
          <cell r="B110">
            <v>0</v>
          </cell>
          <cell r="C110">
            <v>0</v>
          </cell>
          <cell r="D110">
            <v>50</v>
          </cell>
          <cell r="E110">
            <v>100</v>
          </cell>
          <cell r="F110">
            <v>100</v>
          </cell>
          <cell r="G110">
            <v>100</v>
          </cell>
          <cell r="H110">
            <v>200</v>
          </cell>
          <cell r="I110">
            <v>300</v>
          </cell>
          <cell r="J110">
            <v>100</v>
          </cell>
          <cell r="K110">
            <v>0</v>
          </cell>
          <cell r="L110">
            <v>0</v>
          </cell>
          <cell r="M110">
            <v>0</v>
          </cell>
        </row>
        <row r="111">
          <cell r="A111" t="str">
            <v>B000BZ1HZQ</v>
          </cell>
          <cell r="B111">
            <v>0</v>
          </cell>
          <cell r="C111">
            <v>0</v>
          </cell>
          <cell r="D111">
            <v>100</v>
          </cell>
          <cell r="E111">
            <v>100</v>
          </cell>
          <cell r="F111">
            <v>100</v>
          </cell>
          <cell r="G111">
            <v>200</v>
          </cell>
          <cell r="H111">
            <v>100</v>
          </cell>
          <cell r="I111">
            <v>100</v>
          </cell>
          <cell r="J111">
            <v>50</v>
          </cell>
          <cell r="K111">
            <v>0</v>
          </cell>
          <cell r="L111">
            <v>0</v>
          </cell>
          <cell r="M111">
            <v>0</v>
          </cell>
        </row>
        <row r="112">
          <cell r="A112" t="str">
            <v>B09G98ZXVX</v>
          </cell>
          <cell r="B112">
            <v>0</v>
          </cell>
          <cell r="C112">
            <v>0</v>
          </cell>
          <cell r="D112">
            <v>0</v>
          </cell>
          <cell r="E112">
            <v>100</v>
          </cell>
          <cell r="F112">
            <v>300</v>
          </cell>
          <cell r="G112">
            <v>300</v>
          </cell>
          <cell r="H112">
            <v>200</v>
          </cell>
          <cell r="I112">
            <v>200</v>
          </cell>
          <cell r="J112">
            <v>100</v>
          </cell>
          <cell r="K112">
            <v>0</v>
          </cell>
          <cell r="L112">
            <v>0</v>
          </cell>
          <cell r="M112">
            <v>0</v>
          </cell>
        </row>
        <row r="113">
          <cell r="A113" t="str">
            <v>B00P8EG8XQ</v>
          </cell>
          <cell r="B113">
            <v>100</v>
          </cell>
          <cell r="C113">
            <v>100</v>
          </cell>
          <cell r="D113">
            <v>50</v>
          </cell>
          <cell r="E113">
            <v>100</v>
          </cell>
          <cell r="F113">
            <v>100</v>
          </cell>
          <cell r="G113">
            <v>100</v>
          </cell>
          <cell r="H113">
            <v>100</v>
          </cell>
          <cell r="I113">
            <v>100</v>
          </cell>
          <cell r="J113">
            <v>100</v>
          </cell>
          <cell r="K113">
            <v>100</v>
          </cell>
          <cell r="L113">
            <v>100</v>
          </cell>
          <cell r="M113">
            <v>50</v>
          </cell>
        </row>
        <row r="114">
          <cell r="A114" t="str">
            <v>B01IDXDU98</v>
          </cell>
          <cell r="B114">
            <v>0</v>
          </cell>
          <cell r="C114">
            <v>0</v>
          </cell>
          <cell r="D114">
            <v>0</v>
          </cell>
          <cell r="E114">
            <v>0</v>
          </cell>
          <cell r="F114">
            <v>0</v>
          </cell>
          <cell r="G114">
            <v>0</v>
          </cell>
          <cell r="H114">
            <v>0</v>
          </cell>
          <cell r="I114">
            <v>0</v>
          </cell>
          <cell r="J114">
            <v>100</v>
          </cell>
          <cell r="K114">
            <v>100</v>
          </cell>
          <cell r="L114">
            <v>100</v>
          </cell>
          <cell r="M114">
            <v>50</v>
          </cell>
        </row>
        <row r="115">
          <cell r="A115" t="str">
            <v>B001H1EQ42</v>
          </cell>
          <cell r="B115">
            <v>0</v>
          </cell>
          <cell r="C115">
            <v>0</v>
          </cell>
          <cell r="D115">
            <v>50</v>
          </cell>
          <cell r="E115">
            <v>50</v>
          </cell>
          <cell r="F115">
            <v>50</v>
          </cell>
          <cell r="G115">
            <v>50</v>
          </cell>
          <cell r="H115">
            <v>100</v>
          </cell>
          <cell r="I115">
            <v>100</v>
          </cell>
          <cell r="J115">
            <v>100</v>
          </cell>
          <cell r="K115">
            <v>100</v>
          </cell>
          <cell r="L115">
            <v>50</v>
          </cell>
          <cell r="M115">
            <v>50</v>
          </cell>
        </row>
        <row r="116">
          <cell r="A116" t="str">
            <v>B09G93TXSS</v>
          </cell>
          <cell r="B116">
            <v>0</v>
          </cell>
          <cell r="C116">
            <v>0</v>
          </cell>
          <cell r="D116">
            <v>100</v>
          </cell>
          <cell r="E116">
            <v>200</v>
          </cell>
          <cell r="F116">
            <v>400</v>
          </cell>
          <cell r="G116">
            <v>400</v>
          </cell>
          <cell r="H116">
            <v>200</v>
          </cell>
          <cell r="I116">
            <v>100</v>
          </cell>
          <cell r="J116">
            <v>100</v>
          </cell>
          <cell r="K116">
            <v>50</v>
          </cell>
          <cell r="L116">
            <v>0</v>
          </cell>
          <cell r="M116">
            <v>0</v>
          </cell>
        </row>
        <row r="117">
          <cell r="A117" t="str">
            <v>B00CXJTPAW</v>
          </cell>
          <cell r="B117">
            <v>0</v>
          </cell>
          <cell r="C117">
            <v>0</v>
          </cell>
          <cell r="D117">
            <v>0</v>
          </cell>
          <cell r="E117">
            <v>0</v>
          </cell>
          <cell r="F117">
            <v>50</v>
          </cell>
          <cell r="G117">
            <v>0</v>
          </cell>
          <cell r="H117">
            <v>0</v>
          </cell>
          <cell r="I117">
            <v>50</v>
          </cell>
          <cell r="J117">
            <v>100</v>
          </cell>
          <cell r="K117">
            <v>0</v>
          </cell>
          <cell r="L117">
            <v>0</v>
          </cell>
          <cell r="M117">
            <v>0</v>
          </cell>
        </row>
        <row r="118">
          <cell r="A118" t="str">
            <v>B001H1GQN6</v>
          </cell>
          <cell r="B118">
            <v>0</v>
          </cell>
          <cell r="C118">
            <v>0</v>
          </cell>
          <cell r="D118">
            <v>50</v>
          </cell>
          <cell r="E118">
            <v>50</v>
          </cell>
          <cell r="F118">
            <v>100</v>
          </cell>
          <cell r="G118">
            <v>100</v>
          </cell>
          <cell r="H118">
            <v>100</v>
          </cell>
          <cell r="I118">
            <v>200</v>
          </cell>
          <cell r="J118">
            <v>100</v>
          </cell>
          <cell r="K118">
            <v>0</v>
          </cell>
          <cell r="L118">
            <v>0</v>
          </cell>
          <cell r="M118">
            <v>0</v>
          </cell>
        </row>
        <row r="119">
          <cell r="A119" t="str">
            <v>B09G9FBZ6X</v>
          </cell>
          <cell r="B119">
            <v>0</v>
          </cell>
          <cell r="C119">
            <v>50</v>
          </cell>
          <cell r="D119">
            <v>100</v>
          </cell>
          <cell r="E119">
            <v>200</v>
          </cell>
          <cell r="F119">
            <v>300</v>
          </cell>
          <cell r="G119">
            <v>300</v>
          </cell>
          <cell r="H119">
            <v>300</v>
          </cell>
          <cell r="I119">
            <v>100</v>
          </cell>
          <cell r="J119">
            <v>100</v>
          </cell>
          <cell r="K119">
            <v>50</v>
          </cell>
          <cell r="L119">
            <v>0</v>
          </cell>
          <cell r="M119">
            <v>0</v>
          </cell>
        </row>
        <row r="120">
          <cell r="A120" t="str">
            <v>B0H7FKXMRZ</v>
          </cell>
          <cell r="B120">
            <v>0</v>
          </cell>
          <cell r="C120">
            <v>0</v>
          </cell>
          <cell r="D120">
            <v>0</v>
          </cell>
          <cell r="E120">
            <v>0</v>
          </cell>
          <cell r="F120">
            <v>0</v>
          </cell>
          <cell r="G120">
            <v>0</v>
          </cell>
          <cell r="H120">
            <v>0</v>
          </cell>
          <cell r="I120">
            <v>200</v>
          </cell>
          <cell r="J120">
            <v>100</v>
          </cell>
          <cell r="K120">
            <v>0</v>
          </cell>
          <cell r="L120">
            <v>0</v>
          </cell>
          <cell r="M120">
            <v>0</v>
          </cell>
        </row>
        <row r="121">
          <cell r="A121" t="str">
            <v>B00H1ZZMI2</v>
          </cell>
          <cell r="B121">
            <v>100</v>
          </cell>
          <cell r="C121">
            <v>100</v>
          </cell>
          <cell r="D121">
            <v>100</v>
          </cell>
          <cell r="E121">
            <v>600</v>
          </cell>
          <cell r="F121">
            <v>400</v>
          </cell>
          <cell r="G121">
            <v>500</v>
          </cell>
          <cell r="H121">
            <v>300</v>
          </cell>
          <cell r="I121">
            <v>200</v>
          </cell>
          <cell r="J121">
            <v>100</v>
          </cell>
          <cell r="K121">
            <v>400</v>
          </cell>
          <cell r="L121">
            <v>200</v>
          </cell>
          <cell r="M121">
            <v>100</v>
          </cell>
        </row>
        <row r="122">
          <cell r="A122" t="str">
            <v>B000OWC16U</v>
          </cell>
          <cell r="B122">
            <v>0</v>
          </cell>
          <cell r="C122">
            <v>0</v>
          </cell>
          <cell r="D122">
            <v>50</v>
          </cell>
          <cell r="E122">
            <v>100</v>
          </cell>
          <cell r="F122">
            <v>200</v>
          </cell>
          <cell r="G122">
            <v>300</v>
          </cell>
          <cell r="H122">
            <v>400</v>
          </cell>
          <cell r="I122">
            <v>600</v>
          </cell>
          <cell r="J122">
            <v>100</v>
          </cell>
          <cell r="K122">
            <v>100</v>
          </cell>
          <cell r="L122">
            <v>50</v>
          </cell>
          <cell r="M122">
            <v>0</v>
          </cell>
        </row>
        <row r="123">
          <cell r="A123" t="str">
            <v>B09WTTNNNL</v>
          </cell>
          <cell r="B123">
            <v>0</v>
          </cell>
          <cell r="C123">
            <v>0</v>
          </cell>
          <cell r="D123">
            <v>0</v>
          </cell>
          <cell r="E123">
            <v>0</v>
          </cell>
          <cell r="F123">
            <v>0</v>
          </cell>
          <cell r="G123">
            <v>50</v>
          </cell>
          <cell r="H123">
            <v>50</v>
          </cell>
          <cell r="I123">
            <v>50</v>
          </cell>
          <cell r="J123">
            <v>100</v>
          </cell>
          <cell r="K123">
            <v>50</v>
          </cell>
          <cell r="L123">
            <v>50</v>
          </cell>
          <cell r="M123">
            <v>0</v>
          </cell>
        </row>
        <row r="124">
          <cell r="A124" t="str">
            <v>B000A0YHGS</v>
          </cell>
          <cell r="B124">
            <v>0</v>
          </cell>
          <cell r="C124">
            <v>0</v>
          </cell>
          <cell r="D124">
            <v>100</v>
          </cell>
          <cell r="E124">
            <v>300</v>
          </cell>
          <cell r="F124">
            <v>300</v>
          </cell>
          <cell r="G124">
            <v>400</v>
          </cell>
          <cell r="H124">
            <v>400</v>
          </cell>
          <cell r="I124">
            <v>300</v>
          </cell>
          <cell r="J124">
            <v>100</v>
          </cell>
          <cell r="K124">
            <v>100</v>
          </cell>
          <cell r="L124">
            <v>50</v>
          </cell>
          <cell r="M124">
            <v>50</v>
          </cell>
        </row>
        <row r="125">
          <cell r="A125" t="str">
            <v>B0F33S5JG6</v>
          </cell>
          <cell r="B125">
            <v>0</v>
          </cell>
          <cell r="C125">
            <v>0</v>
          </cell>
          <cell r="D125">
            <v>50</v>
          </cell>
          <cell r="E125">
            <v>100</v>
          </cell>
          <cell r="F125">
            <v>100</v>
          </cell>
          <cell r="G125">
            <v>300</v>
          </cell>
          <cell r="H125">
            <v>300</v>
          </cell>
          <cell r="I125">
            <v>100</v>
          </cell>
          <cell r="J125">
            <v>100</v>
          </cell>
          <cell r="K125">
            <v>50</v>
          </cell>
          <cell r="L125">
            <v>0</v>
          </cell>
          <cell r="M125">
            <v>0</v>
          </cell>
        </row>
        <row r="126">
          <cell r="A126" t="str">
            <v>B09WTKPVB3</v>
          </cell>
          <cell r="B126">
            <v>50</v>
          </cell>
          <cell r="C126">
            <v>50</v>
          </cell>
          <cell r="D126">
            <v>50</v>
          </cell>
          <cell r="E126">
            <v>100</v>
          </cell>
          <cell r="F126">
            <v>100</v>
          </cell>
          <cell r="G126">
            <v>100</v>
          </cell>
          <cell r="H126">
            <v>50</v>
          </cell>
          <cell r="I126">
            <v>50</v>
          </cell>
          <cell r="J126">
            <v>100</v>
          </cell>
          <cell r="K126">
            <v>50</v>
          </cell>
          <cell r="L126">
            <v>50</v>
          </cell>
          <cell r="M126">
            <v>0</v>
          </cell>
        </row>
        <row r="127">
          <cell r="A127" t="str">
            <v>B001D1FVCC</v>
          </cell>
          <cell r="B127">
            <v>0</v>
          </cell>
          <cell r="C127">
            <v>0</v>
          </cell>
          <cell r="D127">
            <v>0</v>
          </cell>
          <cell r="E127">
            <v>0</v>
          </cell>
          <cell r="F127">
            <v>0</v>
          </cell>
          <cell r="G127">
            <v>0</v>
          </cell>
          <cell r="H127">
            <v>0</v>
          </cell>
          <cell r="I127">
            <v>0</v>
          </cell>
          <cell r="J127">
            <v>50</v>
          </cell>
          <cell r="K127">
            <v>0</v>
          </cell>
          <cell r="L127">
            <v>0</v>
          </cell>
          <cell r="M127">
            <v>0</v>
          </cell>
        </row>
        <row r="128">
          <cell r="A128" t="str">
            <v>B000OWB6UW</v>
          </cell>
          <cell r="B128">
            <v>0</v>
          </cell>
          <cell r="C128">
            <v>0</v>
          </cell>
          <cell r="D128">
            <v>50</v>
          </cell>
          <cell r="E128">
            <v>100</v>
          </cell>
          <cell r="F128">
            <v>100</v>
          </cell>
          <cell r="G128">
            <v>200</v>
          </cell>
          <cell r="H128">
            <v>300</v>
          </cell>
          <cell r="I128">
            <v>50</v>
          </cell>
          <cell r="J128">
            <v>50</v>
          </cell>
          <cell r="K128">
            <v>0</v>
          </cell>
          <cell r="L128">
            <v>0</v>
          </cell>
          <cell r="M128">
            <v>0</v>
          </cell>
        </row>
        <row r="129">
          <cell r="A129" t="str">
            <v>B07KDXQQ1J</v>
          </cell>
          <cell r="B129">
            <v>0</v>
          </cell>
          <cell r="C129">
            <v>0</v>
          </cell>
          <cell r="D129">
            <v>0</v>
          </cell>
          <cell r="E129">
            <v>0</v>
          </cell>
          <cell r="F129">
            <v>50</v>
          </cell>
          <cell r="G129">
            <v>50</v>
          </cell>
          <cell r="H129">
            <v>50</v>
          </cell>
          <cell r="I129">
            <v>0</v>
          </cell>
          <cell r="J129">
            <v>50</v>
          </cell>
          <cell r="K129">
            <v>0</v>
          </cell>
          <cell r="L129">
            <v>0</v>
          </cell>
          <cell r="M129">
            <v>0</v>
          </cell>
        </row>
        <row r="130">
          <cell r="A130" t="str">
            <v>B002RBEPMO</v>
          </cell>
          <cell r="B130">
            <v>0</v>
          </cell>
          <cell r="C130">
            <v>0</v>
          </cell>
          <cell r="D130">
            <v>0</v>
          </cell>
          <cell r="E130">
            <v>50</v>
          </cell>
          <cell r="F130">
            <v>50</v>
          </cell>
          <cell r="G130">
            <v>50</v>
          </cell>
          <cell r="H130">
            <v>50</v>
          </cell>
          <cell r="I130">
            <v>50</v>
          </cell>
          <cell r="J130">
            <v>50</v>
          </cell>
          <cell r="K130">
            <v>0</v>
          </cell>
          <cell r="L130">
            <v>0</v>
          </cell>
          <cell r="M130">
            <v>0</v>
          </cell>
        </row>
        <row r="131">
          <cell r="A131" t="str">
            <v>B000UJYJRG</v>
          </cell>
          <cell r="B131">
            <v>0</v>
          </cell>
          <cell r="C131">
            <v>0</v>
          </cell>
          <cell r="D131">
            <v>100</v>
          </cell>
          <cell r="E131">
            <v>300</v>
          </cell>
          <cell r="F131">
            <v>400</v>
          </cell>
          <cell r="G131">
            <v>400</v>
          </cell>
          <cell r="H131">
            <v>200</v>
          </cell>
          <cell r="I131">
            <v>100</v>
          </cell>
          <cell r="J131">
            <v>50</v>
          </cell>
          <cell r="K131">
            <v>0</v>
          </cell>
          <cell r="L131">
            <v>0</v>
          </cell>
          <cell r="M131">
            <v>0</v>
          </cell>
        </row>
        <row r="132">
          <cell r="A132" t="str">
            <v>B0085OOIB0</v>
          </cell>
          <cell r="B132">
            <v>0</v>
          </cell>
          <cell r="C132">
            <v>0</v>
          </cell>
          <cell r="D132">
            <v>50</v>
          </cell>
          <cell r="E132">
            <v>100</v>
          </cell>
          <cell r="F132">
            <v>50</v>
          </cell>
          <cell r="G132">
            <v>100</v>
          </cell>
          <cell r="H132">
            <v>100</v>
          </cell>
          <cell r="I132">
            <v>50</v>
          </cell>
          <cell r="J132">
            <v>50</v>
          </cell>
          <cell r="K132">
            <v>100</v>
          </cell>
          <cell r="L132">
            <v>50</v>
          </cell>
          <cell r="M132">
            <v>50</v>
          </cell>
        </row>
        <row r="133">
          <cell r="A133" t="str">
            <v>B0084NO9KC</v>
          </cell>
          <cell r="B133">
            <v>0</v>
          </cell>
          <cell r="C133">
            <v>0</v>
          </cell>
          <cell r="D133">
            <v>50</v>
          </cell>
          <cell r="E133">
            <v>50</v>
          </cell>
          <cell r="F133">
            <v>50</v>
          </cell>
          <cell r="G133">
            <v>100</v>
          </cell>
          <cell r="H133">
            <v>50</v>
          </cell>
          <cell r="I133">
            <v>50</v>
          </cell>
          <cell r="J133">
            <v>50</v>
          </cell>
          <cell r="K133">
            <v>50</v>
          </cell>
          <cell r="L133">
            <v>50</v>
          </cell>
          <cell r="M133">
            <v>0</v>
          </cell>
        </row>
        <row r="134">
          <cell r="A134" t="str">
            <v>B000OW92BC</v>
          </cell>
          <cell r="B134">
            <v>0</v>
          </cell>
          <cell r="C134">
            <v>0</v>
          </cell>
          <cell r="D134">
            <v>0</v>
          </cell>
          <cell r="E134">
            <v>0</v>
          </cell>
          <cell r="F134">
            <v>0</v>
          </cell>
          <cell r="G134">
            <v>100</v>
          </cell>
          <cell r="H134">
            <v>50</v>
          </cell>
          <cell r="I134">
            <v>0</v>
          </cell>
          <cell r="J134">
            <v>50</v>
          </cell>
          <cell r="K134">
            <v>0</v>
          </cell>
          <cell r="L134">
            <v>0</v>
          </cell>
          <cell r="M134">
            <v>0</v>
          </cell>
        </row>
        <row r="135">
          <cell r="A135" t="str">
            <v>B000WGTK62</v>
          </cell>
          <cell r="B135">
            <v>0</v>
          </cell>
          <cell r="C135">
            <v>0</v>
          </cell>
          <cell r="D135">
            <v>0</v>
          </cell>
          <cell r="E135">
            <v>0</v>
          </cell>
          <cell r="F135">
            <v>0</v>
          </cell>
          <cell r="G135">
            <v>100</v>
          </cell>
          <cell r="H135">
            <v>100</v>
          </cell>
          <cell r="I135">
            <v>50</v>
          </cell>
          <cell r="J135">
            <v>50</v>
          </cell>
          <cell r="K135">
            <v>0</v>
          </cell>
          <cell r="L135">
            <v>0</v>
          </cell>
          <cell r="M135">
            <v>0</v>
          </cell>
        </row>
        <row r="136">
          <cell r="A136" t="str">
            <v>B000HA95W2</v>
          </cell>
          <cell r="B136">
            <v>50</v>
          </cell>
          <cell r="C136">
            <v>0</v>
          </cell>
          <cell r="D136">
            <v>400</v>
          </cell>
          <cell r="E136">
            <v>400</v>
          </cell>
          <cell r="F136">
            <v>300</v>
          </cell>
          <cell r="G136">
            <v>50</v>
          </cell>
          <cell r="H136">
            <v>50</v>
          </cell>
          <cell r="I136">
            <v>50</v>
          </cell>
          <cell r="J136">
            <v>100</v>
          </cell>
          <cell r="K136">
            <v>700</v>
          </cell>
          <cell r="L136">
            <v>900</v>
          </cell>
          <cell r="M136">
            <v>50</v>
          </cell>
        </row>
        <row r="137">
          <cell r="A137" t="str">
            <v>B000CO5RIY</v>
          </cell>
          <cell r="B137">
            <v>50</v>
          </cell>
          <cell r="C137">
            <v>50</v>
          </cell>
          <cell r="D137">
            <v>400</v>
          </cell>
          <cell r="E137">
            <v>300</v>
          </cell>
          <cell r="F137">
            <v>200</v>
          </cell>
          <cell r="G137">
            <v>1000</v>
          </cell>
          <cell r="H137">
            <v>3000</v>
          </cell>
          <cell r="I137">
            <v>1000</v>
          </cell>
          <cell r="J137">
            <v>50</v>
          </cell>
          <cell r="K137">
            <v>50</v>
          </cell>
          <cell r="L137">
            <v>200</v>
          </cell>
          <cell r="M137">
            <v>50</v>
          </cell>
        </row>
        <row r="138">
          <cell r="A138" t="str">
            <v>B000HCUK38</v>
          </cell>
          <cell r="B138">
            <v>0</v>
          </cell>
          <cell r="C138">
            <v>0</v>
          </cell>
          <cell r="D138">
            <v>0</v>
          </cell>
          <cell r="E138">
            <v>0</v>
          </cell>
          <cell r="F138">
            <v>50</v>
          </cell>
          <cell r="G138">
            <v>0</v>
          </cell>
          <cell r="H138">
            <v>0</v>
          </cell>
          <cell r="I138">
            <v>0</v>
          </cell>
          <cell r="J138">
            <v>50</v>
          </cell>
          <cell r="K138">
            <v>0</v>
          </cell>
          <cell r="L138">
            <v>0</v>
          </cell>
          <cell r="M138">
            <v>0</v>
          </cell>
        </row>
        <row r="139">
          <cell r="A139" t="str">
            <v>B07JYFFMV1</v>
          </cell>
          <cell r="B139">
            <v>0</v>
          </cell>
          <cell r="C139">
            <v>0</v>
          </cell>
          <cell r="D139">
            <v>0</v>
          </cell>
          <cell r="E139">
            <v>50</v>
          </cell>
          <cell r="F139">
            <v>100</v>
          </cell>
          <cell r="G139">
            <v>200</v>
          </cell>
          <cell r="H139">
            <v>100</v>
          </cell>
          <cell r="I139">
            <v>100</v>
          </cell>
          <cell r="J139">
            <v>50</v>
          </cell>
          <cell r="K139">
            <v>50</v>
          </cell>
          <cell r="L139">
            <v>50</v>
          </cell>
          <cell r="M139">
            <v>0</v>
          </cell>
        </row>
        <row r="140">
          <cell r="A140" t="str">
            <v>B00QV332A0</v>
          </cell>
          <cell r="B140">
            <v>0</v>
          </cell>
          <cell r="C140">
            <v>0</v>
          </cell>
          <cell r="D140">
            <v>0</v>
          </cell>
          <cell r="E140">
            <v>50</v>
          </cell>
          <cell r="F140">
            <v>50</v>
          </cell>
          <cell r="G140">
            <v>100</v>
          </cell>
          <cell r="H140">
            <v>100</v>
          </cell>
          <cell r="I140">
            <v>100</v>
          </cell>
          <cell r="J140">
            <v>50</v>
          </cell>
          <cell r="K140">
            <v>50</v>
          </cell>
          <cell r="L140">
            <v>0</v>
          </cell>
          <cell r="M140">
            <v>0</v>
          </cell>
        </row>
        <row r="141">
          <cell r="A141" t="str">
            <v>B000UJTCG4</v>
          </cell>
          <cell r="B141">
            <v>0</v>
          </cell>
          <cell r="C141">
            <v>0</v>
          </cell>
          <cell r="D141">
            <v>0</v>
          </cell>
          <cell r="E141">
            <v>0</v>
          </cell>
          <cell r="F141">
            <v>0</v>
          </cell>
          <cell r="G141">
            <v>0</v>
          </cell>
          <cell r="H141">
            <v>0</v>
          </cell>
          <cell r="I141">
            <v>0</v>
          </cell>
          <cell r="J141">
            <v>50</v>
          </cell>
          <cell r="K141">
            <v>0</v>
          </cell>
          <cell r="L141">
            <v>0</v>
          </cell>
          <cell r="M141">
            <v>0</v>
          </cell>
        </row>
        <row r="142">
          <cell r="A142" t="str">
            <v>B000HCUJUW</v>
          </cell>
          <cell r="B142">
            <v>0</v>
          </cell>
          <cell r="C142">
            <v>0</v>
          </cell>
          <cell r="D142">
            <v>50</v>
          </cell>
          <cell r="E142">
            <v>100</v>
          </cell>
          <cell r="F142">
            <v>50</v>
          </cell>
          <cell r="G142">
            <v>50</v>
          </cell>
          <cell r="H142">
            <v>50</v>
          </cell>
          <cell r="I142">
            <v>50</v>
          </cell>
          <cell r="J142">
            <v>50</v>
          </cell>
          <cell r="K142">
            <v>50</v>
          </cell>
          <cell r="L142">
            <v>0</v>
          </cell>
          <cell r="M142">
            <v>0</v>
          </cell>
        </row>
        <row r="143">
          <cell r="A143" t="str">
            <v>B002RBEPQ0</v>
          </cell>
          <cell r="B143">
            <v>0</v>
          </cell>
          <cell r="C143">
            <v>50</v>
          </cell>
          <cell r="D143">
            <v>100</v>
          </cell>
          <cell r="E143">
            <v>300</v>
          </cell>
          <cell r="F143">
            <v>300</v>
          </cell>
          <cell r="G143">
            <v>500</v>
          </cell>
          <cell r="H143">
            <v>200</v>
          </cell>
          <cell r="I143">
            <v>200</v>
          </cell>
          <cell r="J143">
            <v>50</v>
          </cell>
          <cell r="K143">
            <v>100</v>
          </cell>
          <cell r="L143">
            <v>50</v>
          </cell>
          <cell r="M143">
            <v>50</v>
          </cell>
        </row>
        <row r="144">
          <cell r="A144" t="str">
            <v>B00KOW48MU</v>
          </cell>
          <cell r="B144">
            <v>0</v>
          </cell>
          <cell r="C144">
            <v>0</v>
          </cell>
          <cell r="D144">
            <v>0</v>
          </cell>
          <cell r="E144">
            <v>50</v>
          </cell>
          <cell r="F144">
            <v>50</v>
          </cell>
          <cell r="G144">
            <v>200</v>
          </cell>
          <cell r="H144">
            <v>300</v>
          </cell>
          <cell r="I144">
            <v>300</v>
          </cell>
          <cell r="J144">
            <v>50</v>
          </cell>
          <cell r="K144">
            <v>0</v>
          </cell>
          <cell r="L144">
            <v>0</v>
          </cell>
          <cell r="M144">
            <v>0</v>
          </cell>
        </row>
        <row r="145">
          <cell r="A145" t="str">
            <v>B08T3WLXS1</v>
          </cell>
          <cell r="B145">
            <v>0</v>
          </cell>
          <cell r="C145">
            <v>0</v>
          </cell>
          <cell r="D145">
            <v>0</v>
          </cell>
          <cell r="E145">
            <v>0</v>
          </cell>
          <cell r="F145">
            <v>50</v>
          </cell>
          <cell r="G145">
            <v>50</v>
          </cell>
          <cell r="H145">
            <v>50</v>
          </cell>
          <cell r="I145">
            <v>50</v>
          </cell>
          <cell r="J145">
            <v>50</v>
          </cell>
          <cell r="K145">
            <v>0</v>
          </cell>
          <cell r="L145">
            <v>0</v>
          </cell>
          <cell r="M145">
            <v>0</v>
          </cell>
        </row>
        <row r="146">
          <cell r="A146" t="str">
            <v>B008GUI0XU</v>
          </cell>
          <cell r="B146">
            <v>0</v>
          </cell>
          <cell r="C146">
            <v>0</v>
          </cell>
          <cell r="D146">
            <v>0</v>
          </cell>
          <cell r="E146">
            <v>100</v>
          </cell>
          <cell r="F146">
            <v>100</v>
          </cell>
          <cell r="G146">
            <v>100</v>
          </cell>
          <cell r="H146">
            <v>100</v>
          </cell>
          <cell r="I146">
            <v>100</v>
          </cell>
          <cell r="J146">
            <v>50</v>
          </cell>
          <cell r="K146">
            <v>100</v>
          </cell>
          <cell r="L146">
            <v>100</v>
          </cell>
          <cell r="M146">
            <v>50</v>
          </cell>
        </row>
        <row r="147">
          <cell r="A147" t="str">
            <v>B001B2XHS8</v>
          </cell>
          <cell r="B147">
            <v>0</v>
          </cell>
          <cell r="C147">
            <v>0</v>
          </cell>
          <cell r="D147">
            <v>0</v>
          </cell>
          <cell r="E147">
            <v>100</v>
          </cell>
          <cell r="F147">
            <v>50</v>
          </cell>
          <cell r="G147">
            <v>100</v>
          </cell>
          <cell r="H147">
            <v>100</v>
          </cell>
          <cell r="I147">
            <v>100</v>
          </cell>
          <cell r="J147">
            <v>50</v>
          </cell>
          <cell r="K147">
            <v>0</v>
          </cell>
          <cell r="L147">
            <v>0</v>
          </cell>
          <cell r="M147">
            <v>0</v>
          </cell>
        </row>
        <row r="148">
          <cell r="A148" t="str">
            <v>B00USMWZ58</v>
          </cell>
          <cell r="B148">
            <v>0</v>
          </cell>
          <cell r="C148">
            <v>0</v>
          </cell>
          <cell r="D148">
            <v>0</v>
          </cell>
          <cell r="E148">
            <v>0</v>
          </cell>
          <cell r="F148">
            <v>300</v>
          </cell>
          <cell r="G148">
            <v>300</v>
          </cell>
          <cell r="H148">
            <v>300</v>
          </cell>
          <cell r="I148">
            <v>100</v>
          </cell>
          <cell r="J148">
            <v>50</v>
          </cell>
          <cell r="K148">
            <v>0</v>
          </cell>
          <cell r="L148">
            <v>0</v>
          </cell>
          <cell r="M148">
            <v>0</v>
          </cell>
        </row>
        <row r="149">
          <cell r="A149" t="str">
            <v>B0H7FTR8VL</v>
          </cell>
          <cell r="B149">
            <v>0</v>
          </cell>
          <cell r="C149">
            <v>0</v>
          </cell>
          <cell r="D149">
            <v>0</v>
          </cell>
          <cell r="E149">
            <v>0</v>
          </cell>
          <cell r="F149">
            <v>0</v>
          </cell>
          <cell r="G149">
            <v>0</v>
          </cell>
          <cell r="H149">
            <v>0</v>
          </cell>
          <cell r="I149">
            <v>0</v>
          </cell>
          <cell r="J149">
            <v>50</v>
          </cell>
          <cell r="K149">
            <v>0</v>
          </cell>
          <cell r="L149">
            <v>0</v>
          </cell>
          <cell r="M149">
            <v>0</v>
          </cell>
        </row>
        <row r="150">
          <cell r="A150" t="str">
            <v>B000OW94Y2</v>
          </cell>
          <cell r="B150">
            <v>0</v>
          </cell>
          <cell r="C150">
            <v>0</v>
          </cell>
          <cell r="D150">
            <v>0</v>
          </cell>
          <cell r="E150">
            <v>50</v>
          </cell>
          <cell r="F150">
            <v>50</v>
          </cell>
          <cell r="G150">
            <v>100</v>
          </cell>
          <cell r="H150">
            <v>100</v>
          </cell>
          <cell r="I150">
            <v>50</v>
          </cell>
          <cell r="J150">
            <v>50</v>
          </cell>
          <cell r="K150">
            <v>0</v>
          </cell>
          <cell r="L150">
            <v>0</v>
          </cell>
          <cell r="M150">
            <v>0</v>
          </cell>
        </row>
        <row r="151">
          <cell r="A151" t="str">
            <v>B01LZ9LXR2</v>
          </cell>
          <cell r="B151">
            <v>0</v>
          </cell>
          <cell r="C151">
            <v>0</v>
          </cell>
          <cell r="D151">
            <v>0</v>
          </cell>
          <cell r="E151">
            <v>50</v>
          </cell>
          <cell r="F151">
            <v>0</v>
          </cell>
          <cell r="G151">
            <v>0</v>
          </cell>
          <cell r="H151">
            <v>50</v>
          </cell>
          <cell r="I151">
            <v>0</v>
          </cell>
          <cell r="J151">
            <v>50</v>
          </cell>
          <cell r="K151">
            <v>0</v>
          </cell>
          <cell r="L151">
            <v>0</v>
          </cell>
          <cell r="M151">
            <v>0</v>
          </cell>
        </row>
        <row r="152">
          <cell r="A152" t="str">
            <v>B000BQR0XS</v>
          </cell>
          <cell r="B152">
            <v>0</v>
          </cell>
          <cell r="C152">
            <v>0</v>
          </cell>
          <cell r="D152">
            <v>50</v>
          </cell>
          <cell r="E152">
            <v>100</v>
          </cell>
          <cell r="F152">
            <v>200</v>
          </cell>
          <cell r="G152">
            <v>400</v>
          </cell>
          <cell r="H152">
            <v>200</v>
          </cell>
          <cell r="I152">
            <v>100</v>
          </cell>
          <cell r="J152">
            <v>50</v>
          </cell>
          <cell r="K152">
            <v>50</v>
          </cell>
          <cell r="L152">
            <v>50</v>
          </cell>
          <cell r="M152">
            <v>50</v>
          </cell>
        </row>
        <row r="153">
          <cell r="A153" t="str">
            <v>B08DZ71CYV</v>
          </cell>
          <cell r="B153">
            <v>0</v>
          </cell>
          <cell r="C153">
            <v>0</v>
          </cell>
          <cell r="D153">
            <v>50</v>
          </cell>
          <cell r="E153">
            <v>100</v>
          </cell>
          <cell r="F153">
            <v>200</v>
          </cell>
          <cell r="G153">
            <v>200</v>
          </cell>
          <cell r="H153">
            <v>200</v>
          </cell>
          <cell r="I153">
            <v>100</v>
          </cell>
          <cell r="J153">
            <v>50</v>
          </cell>
          <cell r="K153">
            <v>50</v>
          </cell>
          <cell r="L153">
            <v>50</v>
          </cell>
          <cell r="M153">
            <v>50</v>
          </cell>
        </row>
        <row r="154">
          <cell r="A154" t="str">
            <v>B001D10EQA</v>
          </cell>
          <cell r="B154">
            <v>0</v>
          </cell>
          <cell r="C154">
            <v>0</v>
          </cell>
          <cell r="D154">
            <v>0</v>
          </cell>
          <cell r="E154">
            <v>0</v>
          </cell>
          <cell r="F154">
            <v>0</v>
          </cell>
          <cell r="G154">
            <v>50</v>
          </cell>
          <cell r="H154">
            <v>50</v>
          </cell>
          <cell r="I154">
            <v>50</v>
          </cell>
          <cell r="J154">
            <v>50</v>
          </cell>
          <cell r="K154">
            <v>50</v>
          </cell>
          <cell r="L154">
            <v>0</v>
          </cell>
          <cell r="M154">
            <v>0</v>
          </cell>
        </row>
        <row r="155">
          <cell r="A155" t="str">
            <v>B00FGIPQYQ</v>
          </cell>
          <cell r="B155">
            <v>0</v>
          </cell>
          <cell r="C155">
            <v>50</v>
          </cell>
          <cell r="D155">
            <v>50</v>
          </cell>
          <cell r="E155">
            <v>500</v>
          </cell>
          <cell r="F155">
            <v>500</v>
          </cell>
          <cell r="G155">
            <v>400</v>
          </cell>
          <cell r="H155">
            <v>100</v>
          </cell>
          <cell r="I155">
            <v>100</v>
          </cell>
          <cell r="J155">
            <v>50</v>
          </cell>
          <cell r="K155">
            <v>0</v>
          </cell>
          <cell r="L155">
            <v>50</v>
          </cell>
          <cell r="M155">
            <v>50</v>
          </cell>
        </row>
        <row r="156">
          <cell r="A156" t="str">
            <v>B000A0PZPA</v>
          </cell>
          <cell r="B156">
            <v>0</v>
          </cell>
          <cell r="C156">
            <v>0</v>
          </cell>
          <cell r="D156">
            <v>0</v>
          </cell>
          <cell r="E156">
            <v>0</v>
          </cell>
          <cell r="F156">
            <v>400</v>
          </cell>
          <cell r="G156">
            <v>500</v>
          </cell>
          <cell r="H156">
            <v>300</v>
          </cell>
          <cell r="I156">
            <v>200</v>
          </cell>
          <cell r="J156">
            <v>50</v>
          </cell>
          <cell r="K156">
            <v>0</v>
          </cell>
          <cell r="L156">
            <v>0</v>
          </cell>
          <cell r="M156">
            <v>0</v>
          </cell>
        </row>
        <row r="157">
          <cell r="A157" t="str">
            <v>B07KQDKMGY</v>
          </cell>
          <cell r="B157">
            <v>0</v>
          </cell>
          <cell r="C157">
            <v>50</v>
          </cell>
          <cell r="D157">
            <v>50</v>
          </cell>
          <cell r="E157">
            <v>100</v>
          </cell>
          <cell r="F157">
            <v>100</v>
          </cell>
          <cell r="G157">
            <v>100</v>
          </cell>
          <cell r="H157">
            <v>100</v>
          </cell>
          <cell r="I157">
            <v>50</v>
          </cell>
          <cell r="J157">
            <v>50</v>
          </cell>
          <cell r="K157">
            <v>50</v>
          </cell>
          <cell r="L157">
            <v>50</v>
          </cell>
          <cell r="M157">
            <v>50</v>
          </cell>
        </row>
        <row r="158">
          <cell r="A158" t="str">
            <v>B0035H7V34</v>
          </cell>
          <cell r="B158">
            <v>0</v>
          </cell>
          <cell r="C158">
            <v>0</v>
          </cell>
          <cell r="D158">
            <v>0</v>
          </cell>
          <cell r="E158">
            <v>0</v>
          </cell>
          <cell r="F158">
            <v>50</v>
          </cell>
          <cell r="G158">
            <v>0</v>
          </cell>
          <cell r="H158">
            <v>0</v>
          </cell>
          <cell r="I158">
            <v>0</v>
          </cell>
          <cell r="J158">
            <v>50</v>
          </cell>
          <cell r="K158">
            <v>0</v>
          </cell>
          <cell r="L158">
            <v>0</v>
          </cell>
          <cell r="M158">
            <v>0</v>
          </cell>
        </row>
        <row r="159">
          <cell r="A159" t="str">
            <v>B001AS2WL6</v>
          </cell>
          <cell r="B159">
            <v>0</v>
          </cell>
          <cell r="C159">
            <v>0</v>
          </cell>
          <cell r="D159">
            <v>0</v>
          </cell>
          <cell r="E159">
            <v>0</v>
          </cell>
          <cell r="F159">
            <v>0</v>
          </cell>
          <cell r="G159">
            <v>0</v>
          </cell>
          <cell r="H159">
            <v>0</v>
          </cell>
          <cell r="I159">
            <v>0</v>
          </cell>
          <cell r="J159">
            <v>50</v>
          </cell>
          <cell r="K159">
            <v>0</v>
          </cell>
          <cell r="L159">
            <v>0</v>
          </cell>
          <cell r="M159">
            <v>0</v>
          </cell>
        </row>
        <row r="160">
          <cell r="A160" t="str">
            <v>B09WTHQW7W</v>
          </cell>
          <cell r="B160">
            <v>0</v>
          </cell>
          <cell r="C160">
            <v>0</v>
          </cell>
          <cell r="D160">
            <v>0</v>
          </cell>
          <cell r="E160">
            <v>0</v>
          </cell>
          <cell r="F160">
            <v>0</v>
          </cell>
          <cell r="G160">
            <v>0</v>
          </cell>
          <cell r="H160">
            <v>0</v>
          </cell>
          <cell r="I160">
            <v>50</v>
          </cell>
          <cell r="J160">
            <v>50</v>
          </cell>
          <cell r="K160">
            <v>100</v>
          </cell>
          <cell r="L160">
            <v>50</v>
          </cell>
          <cell r="M160">
            <v>0</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B00730QW70</v>
          </cell>
          <cell r="B2">
            <v>10000</v>
          </cell>
          <cell r="C2">
            <v>10000</v>
          </cell>
          <cell r="D2">
            <v>10000</v>
          </cell>
          <cell r="E2">
            <v>40000</v>
          </cell>
          <cell r="F2">
            <v>40000</v>
          </cell>
          <cell r="G2">
            <v>20000</v>
          </cell>
          <cell r="H2">
            <v>20000</v>
          </cell>
          <cell r="I2">
            <v>20000</v>
          </cell>
          <cell r="J2">
            <v>30000</v>
          </cell>
          <cell r="K2">
            <v>20000</v>
          </cell>
          <cell r="L2">
            <v>20000</v>
          </cell>
          <cell r="M2">
            <v>10000</v>
          </cell>
        </row>
        <row r="3">
          <cell r="A3" t="str">
            <v>B0148W0WOE</v>
          </cell>
          <cell r="B3">
            <v>35000</v>
          </cell>
          <cell r="C3">
            <v>30000</v>
          </cell>
          <cell r="D3">
            <v>41000</v>
          </cell>
          <cell r="E3">
            <v>10000</v>
          </cell>
          <cell r="F3">
            <v>10000</v>
          </cell>
          <cell r="G3">
            <v>61000</v>
          </cell>
          <cell r="H3">
            <v>71000</v>
          </cell>
          <cell r="I3">
            <v>30000</v>
          </cell>
          <cell r="J3">
            <v>31000</v>
          </cell>
          <cell r="K3">
            <v>61000</v>
          </cell>
          <cell r="L3">
            <v>50000</v>
          </cell>
          <cell r="M3">
            <v>41000</v>
          </cell>
        </row>
        <row r="4">
          <cell r="A4" t="str">
            <v>B08C3PPYSV</v>
          </cell>
          <cell r="B4">
            <v>5000</v>
          </cell>
          <cell r="C4">
            <v>4000</v>
          </cell>
          <cell r="D4">
            <v>6000</v>
          </cell>
          <cell r="E4">
            <v>10000</v>
          </cell>
          <cell r="F4">
            <v>10000</v>
          </cell>
          <cell r="G4">
            <v>10000</v>
          </cell>
          <cell r="H4">
            <v>10000</v>
          </cell>
          <cell r="I4">
            <v>10000</v>
          </cell>
          <cell r="J4">
            <v>10000</v>
          </cell>
          <cell r="K4">
            <v>9000</v>
          </cell>
          <cell r="L4">
            <v>2000</v>
          </cell>
          <cell r="M4">
            <v>1000</v>
          </cell>
        </row>
        <row r="5">
          <cell r="A5" t="str">
            <v>B00TXFE4RI</v>
          </cell>
          <cell r="B5">
            <v>1000</v>
          </cell>
          <cell r="C5">
            <v>2000</v>
          </cell>
          <cell r="D5">
            <v>3000</v>
          </cell>
          <cell r="E5">
            <v>10000</v>
          </cell>
          <cell r="F5">
            <v>10000</v>
          </cell>
          <cell r="G5">
            <v>10000</v>
          </cell>
          <cell r="H5">
            <v>10000</v>
          </cell>
          <cell r="I5">
            <v>10000</v>
          </cell>
          <cell r="J5">
            <v>10000</v>
          </cell>
          <cell r="K5">
            <v>3000</v>
          </cell>
          <cell r="L5">
            <v>3000</v>
          </cell>
          <cell r="M5">
            <v>2000</v>
          </cell>
        </row>
        <row r="6">
          <cell r="A6" t="str">
            <v>B08HWHD58L</v>
          </cell>
          <cell r="B6">
            <v>4000</v>
          </cell>
          <cell r="C6">
            <v>4000</v>
          </cell>
          <cell r="D6">
            <v>4000</v>
          </cell>
          <cell r="E6">
            <v>2000</v>
          </cell>
          <cell r="F6">
            <v>1000</v>
          </cell>
          <cell r="G6">
            <v>3000</v>
          </cell>
          <cell r="H6">
            <v>6000</v>
          </cell>
          <cell r="I6">
            <v>10000</v>
          </cell>
          <cell r="J6">
            <v>9000</v>
          </cell>
          <cell r="K6">
            <v>7000</v>
          </cell>
          <cell r="L6">
            <v>6000</v>
          </cell>
          <cell r="M6">
            <v>3000</v>
          </cell>
        </row>
        <row r="7">
          <cell r="A7" t="str">
            <v>B0DSM2NQ79</v>
          </cell>
          <cell r="B7">
            <v>1000</v>
          </cell>
          <cell r="C7">
            <v>1000</v>
          </cell>
          <cell r="D7">
            <v>1000</v>
          </cell>
          <cell r="E7">
            <v>800</v>
          </cell>
          <cell r="F7">
            <v>900</v>
          </cell>
          <cell r="G7">
            <v>2000</v>
          </cell>
          <cell r="H7">
            <v>3000</v>
          </cell>
          <cell r="I7">
            <v>5000</v>
          </cell>
          <cell r="J7">
            <v>4000</v>
          </cell>
          <cell r="K7">
            <v>2000</v>
          </cell>
          <cell r="L7">
            <v>1000</v>
          </cell>
          <cell r="M7">
            <v>1000</v>
          </cell>
        </row>
        <row r="8">
          <cell r="A8" t="str">
            <v>B002Y6BC1O</v>
          </cell>
          <cell r="B8">
            <v>1250</v>
          </cell>
          <cell r="C8">
            <v>1250</v>
          </cell>
          <cell r="D8">
            <v>1500</v>
          </cell>
          <cell r="E8">
            <v>3450</v>
          </cell>
          <cell r="F8">
            <v>3200</v>
          </cell>
          <cell r="G8">
            <v>3750</v>
          </cell>
          <cell r="H8">
            <v>3200</v>
          </cell>
          <cell r="I8">
            <v>3200</v>
          </cell>
          <cell r="J8">
            <v>3200</v>
          </cell>
          <cell r="K8">
            <v>2600</v>
          </cell>
          <cell r="L8">
            <v>1500</v>
          </cell>
          <cell r="M8">
            <v>1500</v>
          </cell>
        </row>
        <row r="9">
          <cell r="A9" t="str">
            <v>B0DSM5TLY3</v>
          </cell>
          <cell r="B9">
            <v>400</v>
          </cell>
          <cell r="C9">
            <v>600</v>
          </cell>
          <cell r="D9">
            <v>500</v>
          </cell>
          <cell r="E9">
            <v>1000</v>
          </cell>
          <cell r="F9">
            <v>2000</v>
          </cell>
          <cell r="G9">
            <v>1000</v>
          </cell>
          <cell r="H9">
            <v>1000</v>
          </cell>
          <cell r="I9">
            <v>3000</v>
          </cell>
          <cell r="J9">
            <v>3000</v>
          </cell>
          <cell r="K9">
            <v>600</v>
          </cell>
          <cell r="L9">
            <v>700</v>
          </cell>
          <cell r="M9">
            <v>600</v>
          </cell>
        </row>
        <row r="10">
          <cell r="A10" t="str">
            <v>B07XRSC5WZ</v>
          </cell>
          <cell r="B10">
            <v>1050</v>
          </cell>
          <cell r="C10">
            <v>1000</v>
          </cell>
          <cell r="D10">
            <v>1100</v>
          </cell>
          <cell r="E10">
            <v>1500</v>
          </cell>
          <cell r="F10">
            <v>1500</v>
          </cell>
          <cell r="G10">
            <v>1350</v>
          </cell>
          <cell r="H10">
            <v>1300</v>
          </cell>
          <cell r="I10">
            <v>1300</v>
          </cell>
          <cell r="J10">
            <v>2050</v>
          </cell>
          <cell r="K10">
            <v>1350</v>
          </cell>
          <cell r="L10">
            <v>1250</v>
          </cell>
          <cell r="M10">
            <v>1100</v>
          </cell>
        </row>
        <row r="11">
          <cell r="A11" t="str">
            <v>B003K8JDPM</v>
          </cell>
          <cell r="B11">
            <v>600</v>
          </cell>
          <cell r="C11">
            <v>600</v>
          </cell>
          <cell r="D11">
            <v>1000</v>
          </cell>
          <cell r="E11">
            <v>2000</v>
          </cell>
          <cell r="F11">
            <v>2000</v>
          </cell>
          <cell r="G11">
            <v>2000</v>
          </cell>
          <cell r="H11">
            <v>2000</v>
          </cell>
          <cell r="I11">
            <v>3000</v>
          </cell>
          <cell r="J11">
            <v>2000</v>
          </cell>
          <cell r="K11">
            <v>1000</v>
          </cell>
          <cell r="L11">
            <v>800</v>
          </cell>
          <cell r="M11">
            <v>700</v>
          </cell>
        </row>
        <row r="12">
          <cell r="A12" t="str">
            <v>B005DUTNF0</v>
          </cell>
          <cell r="B12">
            <v>100</v>
          </cell>
          <cell r="C12">
            <v>200</v>
          </cell>
          <cell r="D12">
            <v>2000</v>
          </cell>
          <cell r="E12">
            <v>3000</v>
          </cell>
          <cell r="F12">
            <v>4000</v>
          </cell>
          <cell r="G12">
            <v>1000</v>
          </cell>
          <cell r="H12">
            <v>1000</v>
          </cell>
          <cell r="I12">
            <v>2000</v>
          </cell>
          <cell r="J12">
            <v>2000</v>
          </cell>
          <cell r="K12">
            <v>1000</v>
          </cell>
          <cell r="L12">
            <v>100</v>
          </cell>
          <cell r="M12">
            <v>100</v>
          </cell>
        </row>
        <row r="13">
          <cell r="A13" t="str">
            <v>B0CVR13ZL7</v>
          </cell>
          <cell r="B13">
            <v>250</v>
          </cell>
          <cell r="C13">
            <v>300</v>
          </cell>
          <cell r="D13">
            <v>400</v>
          </cell>
          <cell r="E13">
            <v>900</v>
          </cell>
          <cell r="F13">
            <v>1000</v>
          </cell>
          <cell r="G13">
            <v>1000</v>
          </cell>
          <cell r="H13">
            <v>1000</v>
          </cell>
          <cell r="I13">
            <v>1000</v>
          </cell>
          <cell r="J13">
            <v>1000</v>
          </cell>
          <cell r="K13">
            <v>600</v>
          </cell>
          <cell r="L13">
            <v>500</v>
          </cell>
          <cell r="M13">
            <v>400</v>
          </cell>
        </row>
        <row r="14">
          <cell r="A14" t="str">
            <v>B00407FUTA</v>
          </cell>
          <cell r="B14">
            <v>200</v>
          </cell>
          <cell r="C14">
            <v>100</v>
          </cell>
          <cell r="D14">
            <v>800</v>
          </cell>
          <cell r="E14">
            <v>600</v>
          </cell>
          <cell r="F14">
            <v>1000</v>
          </cell>
          <cell r="G14">
            <v>1000</v>
          </cell>
          <cell r="H14">
            <v>1000</v>
          </cell>
          <cell r="I14">
            <v>1000</v>
          </cell>
          <cell r="J14">
            <v>1000</v>
          </cell>
          <cell r="K14">
            <v>1000</v>
          </cell>
          <cell r="L14">
            <v>700</v>
          </cell>
          <cell r="M14">
            <v>200</v>
          </cell>
        </row>
        <row r="15">
          <cell r="A15" t="str">
            <v>B08HY6BHT9</v>
          </cell>
          <cell r="B15">
            <v>300</v>
          </cell>
          <cell r="C15">
            <v>400</v>
          </cell>
          <cell r="D15">
            <v>500</v>
          </cell>
          <cell r="E15">
            <v>1000</v>
          </cell>
          <cell r="F15">
            <v>1000</v>
          </cell>
          <cell r="G15">
            <v>1000</v>
          </cell>
          <cell r="H15">
            <v>1000</v>
          </cell>
          <cell r="I15">
            <v>2000</v>
          </cell>
          <cell r="J15">
            <v>1000</v>
          </cell>
          <cell r="K15">
            <v>1000</v>
          </cell>
          <cell r="L15">
            <v>400</v>
          </cell>
          <cell r="M15">
            <v>300</v>
          </cell>
        </row>
        <row r="16">
          <cell r="A16" t="str">
            <v>B0CYJMJCQ9</v>
          </cell>
          <cell r="B16">
            <v>200</v>
          </cell>
          <cell r="C16">
            <v>100</v>
          </cell>
          <cell r="D16">
            <v>100</v>
          </cell>
          <cell r="E16">
            <v>100</v>
          </cell>
          <cell r="F16">
            <v>100</v>
          </cell>
          <cell r="G16">
            <v>300</v>
          </cell>
          <cell r="H16">
            <v>350</v>
          </cell>
          <cell r="I16">
            <v>1000</v>
          </cell>
          <cell r="J16">
            <v>1000</v>
          </cell>
          <cell r="K16">
            <v>200</v>
          </cell>
          <cell r="L16">
            <v>200</v>
          </cell>
          <cell r="M16">
            <v>200</v>
          </cell>
        </row>
        <row r="17">
          <cell r="A17" t="str">
            <v>B0DN24MZ7Z</v>
          </cell>
          <cell r="B17">
            <v>50</v>
          </cell>
          <cell r="C17">
            <v>200</v>
          </cell>
          <cell r="D17">
            <v>800</v>
          </cell>
          <cell r="E17">
            <v>900</v>
          </cell>
          <cell r="F17">
            <v>800</v>
          </cell>
          <cell r="G17">
            <v>600</v>
          </cell>
          <cell r="H17">
            <v>1000</v>
          </cell>
          <cell r="I17">
            <v>1000</v>
          </cell>
          <cell r="J17">
            <v>1000</v>
          </cell>
          <cell r="K17">
            <v>300</v>
          </cell>
          <cell r="L17">
            <v>100</v>
          </cell>
          <cell r="M17">
            <v>100</v>
          </cell>
        </row>
        <row r="18">
          <cell r="A18" t="str">
            <v>B074W94HBQ</v>
          </cell>
          <cell r="B18">
            <v>300</v>
          </cell>
          <cell r="C18">
            <v>300</v>
          </cell>
          <cell r="D18">
            <v>400</v>
          </cell>
          <cell r="E18">
            <v>500</v>
          </cell>
          <cell r="F18">
            <v>500</v>
          </cell>
          <cell r="G18">
            <v>400</v>
          </cell>
          <cell r="H18">
            <v>500</v>
          </cell>
          <cell r="I18">
            <v>3000</v>
          </cell>
          <cell r="J18">
            <v>1000</v>
          </cell>
          <cell r="K18">
            <v>500</v>
          </cell>
          <cell r="L18">
            <v>700</v>
          </cell>
          <cell r="M18">
            <v>600</v>
          </cell>
        </row>
        <row r="19">
          <cell r="A19" t="str">
            <v>B0BZ3WVCVX</v>
          </cell>
          <cell r="B19">
            <v>100</v>
          </cell>
          <cell r="C19">
            <v>100</v>
          </cell>
          <cell r="D19">
            <v>50</v>
          </cell>
          <cell r="E19">
            <v>50</v>
          </cell>
          <cell r="F19">
            <v>50</v>
          </cell>
          <cell r="G19">
            <v>700</v>
          </cell>
          <cell r="H19">
            <v>2000</v>
          </cell>
          <cell r="I19">
            <v>2000</v>
          </cell>
          <cell r="J19">
            <v>1000</v>
          </cell>
          <cell r="K19">
            <v>500</v>
          </cell>
          <cell r="L19">
            <v>400</v>
          </cell>
          <cell r="M19">
            <v>600</v>
          </cell>
        </row>
        <row r="20">
          <cell r="A20" t="str">
            <v>B0DYYQQRX1</v>
          </cell>
          <cell r="B20">
            <v>0</v>
          </cell>
          <cell r="C20">
            <v>0</v>
          </cell>
          <cell r="D20">
            <v>50</v>
          </cell>
          <cell r="E20">
            <v>300</v>
          </cell>
          <cell r="F20">
            <v>500</v>
          </cell>
          <cell r="G20">
            <v>500</v>
          </cell>
          <cell r="H20">
            <v>300</v>
          </cell>
          <cell r="I20">
            <v>500</v>
          </cell>
          <cell r="J20">
            <v>900</v>
          </cell>
          <cell r="K20">
            <v>0</v>
          </cell>
          <cell r="L20">
            <v>0</v>
          </cell>
          <cell r="M20">
            <v>0</v>
          </cell>
        </row>
        <row r="21">
          <cell r="A21" t="str">
            <v>B00OXD2CKG</v>
          </cell>
          <cell r="B21">
            <v>300</v>
          </cell>
          <cell r="C21">
            <v>1000</v>
          </cell>
          <cell r="D21">
            <v>1000</v>
          </cell>
          <cell r="E21">
            <v>1000</v>
          </cell>
          <cell r="F21">
            <v>200</v>
          </cell>
          <cell r="G21">
            <v>200</v>
          </cell>
          <cell r="H21">
            <v>200</v>
          </cell>
          <cell r="I21">
            <v>300</v>
          </cell>
          <cell r="J21">
            <v>800</v>
          </cell>
          <cell r="K21">
            <v>300</v>
          </cell>
          <cell r="L21">
            <v>300</v>
          </cell>
          <cell r="M21">
            <v>100</v>
          </cell>
        </row>
        <row r="22">
          <cell r="A22" t="str">
            <v>B08C484NNJ</v>
          </cell>
          <cell r="B22">
            <v>100</v>
          </cell>
          <cell r="C22">
            <v>100</v>
          </cell>
          <cell r="D22">
            <v>200</v>
          </cell>
          <cell r="E22">
            <v>500</v>
          </cell>
          <cell r="F22">
            <v>750</v>
          </cell>
          <cell r="G22">
            <v>1000</v>
          </cell>
          <cell r="H22">
            <v>500</v>
          </cell>
          <cell r="I22">
            <v>700</v>
          </cell>
          <cell r="J22">
            <v>700</v>
          </cell>
          <cell r="K22">
            <v>300</v>
          </cell>
          <cell r="L22">
            <v>200</v>
          </cell>
          <cell r="M22">
            <v>100</v>
          </cell>
        </row>
        <row r="23">
          <cell r="A23" t="str">
            <v>B08HY892HM</v>
          </cell>
          <cell r="B23">
            <v>100</v>
          </cell>
          <cell r="C23">
            <v>100</v>
          </cell>
          <cell r="D23">
            <v>200</v>
          </cell>
          <cell r="E23">
            <v>400</v>
          </cell>
          <cell r="F23">
            <v>500</v>
          </cell>
          <cell r="G23">
            <v>600</v>
          </cell>
          <cell r="H23">
            <v>600</v>
          </cell>
          <cell r="I23">
            <v>600</v>
          </cell>
          <cell r="J23">
            <v>600</v>
          </cell>
          <cell r="K23">
            <v>800</v>
          </cell>
          <cell r="L23">
            <v>300</v>
          </cell>
          <cell r="M23">
            <v>100</v>
          </cell>
        </row>
        <row r="24">
          <cell r="A24" t="str">
            <v>B074W82TL6</v>
          </cell>
          <cell r="B24">
            <v>100</v>
          </cell>
          <cell r="C24">
            <v>100</v>
          </cell>
          <cell r="D24">
            <v>100</v>
          </cell>
          <cell r="E24">
            <v>100</v>
          </cell>
          <cell r="F24">
            <v>100</v>
          </cell>
          <cell r="G24">
            <v>100</v>
          </cell>
          <cell r="H24">
            <v>100</v>
          </cell>
          <cell r="I24">
            <v>300</v>
          </cell>
          <cell r="J24">
            <v>400</v>
          </cell>
          <cell r="K24">
            <v>400</v>
          </cell>
          <cell r="L24">
            <v>200</v>
          </cell>
          <cell r="M24">
            <v>200</v>
          </cell>
        </row>
        <row r="25">
          <cell r="A25" t="str">
            <v>B0CHLJXTRS</v>
          </cell>
          <cell r="B25">
            <v>0</v>
          </cell>
          <cell r="C25">
            <v>0</v>
          </cell>
          <cell r="D25">
            <v>50</v>
          </cell>
          <cell r="E25">
            <v>100</v>
          </cell>
          <cell r="F25">
            <v>200</v>
          </cell>
          <cell r="G25">
            <v>300</v>
          </cell>
          <cell r="H25">
            <v>200</v>
          </cell>
          <cell r="I25">
            <v>300</v>
          </cell>
          <cell r="J25">
            <v>300</v>
          </cell>
          <cell r="K25">
            <v>100</v>
          </cell>
          <cell r="L25">
            <v>50</v>
          </cell>
          <cell r="M25">
            <v>0</v>
          </cell>
        </row>
        <row r="26">
          <cell r="A26" t="str">
            <v>B07PTYTBMM</v>
          </cell>
          <cell r="B26">
            <v>50</v>
          </cell>
          <cell r="C26">
            <v>50</v>
          </cell>
          <cell r="D26">
            <v>100</v>
          </cell>
          <cell r="E26">
            <v>300</v>
          </cell>
          <cell r="F26">
            <v>300</v>
          </cell>
          <cell r="G26">
            <v>500</v>
          </cell>
          <cell r="H26">
            <v>300</v>
          </cell>
          <cell r="I26">
            <v>300</v>
          </cell>
          <cell r="J26">
            <v>300</v>
          </cell>
          <cell r="K26">
            <v>200</v>
          </cell>
          <cell r="L26">
            <v>100</v>
          </cell>
          <cell r="M26">
            <v>100</v>
          </cell>
        </row>
        <row r="27">
          <cell r="A27" t="str">
            <v>B00BEYQ8DO</v>
          </cell>
          <cell r="B27">
            <v>0</v>
          </cell>
          <cell r="C27">
            <v>0</v>
          </cell>
          <cell r="D27">
            <v>200</v>
          </cell>
          <cell r="E27">
            <v>300</v>
          </cell>
          <cell r="F27">
            <v>350</v>
          </cell>
          <cell r="G27">
            <v>450</v>
          </cell>
          <cell r="H27">
            <v>400</v>
          </cell>
          <cell r="I27">
            <v>250</v>
          </cell>
          <cell r="J27">
            <v>300</v>
          </cell>
          <cell r="K27">
            <v>300</v>
          </cell>
          <cell r="L27">
            <v>200</v>
          </cell>
          <cell r="M27">
            <v>150</v>
          </cell>
        </row>
        <row r="28">
          <cell r="A28" t="str">
            <v>B0B4VBN389</v>
          </cell>
          <cell r="B28">
            <v>0</v>
          </cell>
          <cell r="C28">
            <v>0</v>
          </cell>
          <cell r="D28">
            <v>100</v>
          </cell>
          <cell r="E28">
            <v>300</v>
          </cell>
          <cell r="F28">
            <v>400</v>
          </cell>
          <cell r="G28">
            <v>900</v>
          </cell>
          <cell r="H28">
            <v>950</v>
          </cell>
          <cell r="I28">
            <v>900</v>
          </cell>
          <cell r="J28">
            <v>300</v>
          </cell>
          <cell r="K28">
            <v>0</v>
          </cell>
          <cell r="L28">
            <v>0</v>
          </cell>
          <cell r="M28">
            <v>0</v>
          </cell>
        </row>
        <row r="29">
          <cell r="A29" t="str">
            <v>B0084NG8Y2</v>
          </cell>
          <cell r="B29">
            <v>0</v>
          </cell>
          <cell r="C29">
            <v>0</v>
          </cell>
          <cell r="D29">
            <v>100</v>
          </cell>
          <cell r="E29">
            <v>200</v>
          </cell>
          <cell r="F29">
            <v>50</v>
          </cell>
          <cell r="G29">
            <v>100</v>
          </cell>
          <cell r="H29">
            <v>200</v>
          </cell>
          <cell r="I29">
            <v>200</v>
          </cell>
          <cell r="J29">
            <v>200</v>
          </cell>
          <cell r="K29">
            <v>0</v>
          </cell>
          <cell r="L29">
            <v>50</v>
          </cell>
          <cell r="M29">
            <v>50</v>
          </cell>
        </row>
        <row r="30">
          <cell r="A30" t="str">
            <v>B006NA5YH0</v>
          </cell>
          <cell r="B30">
            <v>50</v>
          </cell>
          <cell r="C30">
            <v>50</v>
          </cell>
          <cell r="D30">
            <v>100</v>
          </cell>
          <cell r="E30">
            <v>100</v>
          </cell>
          <cell r="F30">
            <v>300</v>
          </cell>
          <cell r="G30">
            <v>500</v>
          </cell>
          <cell r="H30">
            <v>500</v>
          </cell>
          <cell r="I30">
            <v>400</v>
          </cell>
          <cell r="J30">
            <v>200</v>
          </cell>
          <cell r="K30">
            <v>200</v>
          </cell>
          <cell r="L30">
            <v>200</v>
          </cell>
          <cell r="M30">
            <v>50</v>
          </cell>
        </row>
        <row r="31">
          <cell r="A31" t="str">
            <v>B01G49QTLO</v>
          </cell>
          <cell r="B31">
            <v>0</v>
          </cell>
          <cell r="C31">
            <v>0</v>
          </cell>
          <cell r="D31">
            <v>50</v>
          </cell>
          <cell r="E31">
            <v>0</v>
          </cell>
          <cell r="F31">
            <v>0</v>
          </cell>
          <cell r="G31">
            <v>0</v>
          </cell>
          <cell r="H31">
            <v>100</v>
          </cell>
          <cell r="I31">
            <v>200</v>
          </cell>
          <cell r="J31">
            <v>200</v>
          </cell>
          <cell r="K31">
            <v>50</v>
          </cell>
          <cell r="L31">
            <v>50</v>
          </cell>
          <cell r="M31">
            <v>0</v>
          </cell>
        </row>
        <row r="32">
          <cell r="A32" t="str">
            <v>B0149IBXCC</v>
          </cell>
          <cell r="B32">
            <v>0</v>
          </cell>
          <cell r="C32">
            <v>0</v>
          </cell>
          <cell r="D32">
            <v>100</v>
          </cell>
          <cell r="E32">
            <v>100</v>
          </cell>
          <cell r="F32">
            <v>100</v>
          </cell>
          <cell r="G32">
            <v>200</v>
          </cell>
          <cell r="H32">
            <v>200</v>
          </cell>
          <cell r="I32">
            <v>300</v>
          </cell>
          <cell r="J32">
            <v>200</v>
          </cell>
          <cell r="K32">
            <v>100</v>
          </cell>
          <cell r="L32">
            <v>50</v>
          </cell>
          <cell r="M32">
            <v>0</v>
          </cell>
        </row>
        <row r="33">
          <cell r="A33" t="str">
            <v>B0DZ7BFXP2</v>
          </cell>
          <cell r="B33">
            <v>0</v>
          </cell>
          <cell r="C33">
            <v>0</v>
          </cell>
          <cell r="D33">
            <v>50</v>
          </cell>
          <cell r="E33">
            <v>100</v>
          </cell>
          <cell r="F33">
            <v>100</v>
          </cell>
          <cell r="G33">
            <v>100</v>
          </cell>
          <cell r="H33">
            <v>100</v>
          </cell>
          <cell r="I33">
            <v>100</v>
          </cell>
          <cell r="J33">
            <v>100</v>
          </cell>
          <cell r="K33">
            <v>50</v>
          </cell>
          <cell r="L33">
            <v>0</v>
          </cell>
          <cell r="M33">
            <v>0</v>
          </cell>
        </row>
        <row r="34">
          <cell r="A34" t="str">
            <v>B0D9KTP9MF</v>
          </cell>
          <cell r="B34">
            <v>0</v>
          </cell>
          <cell r="C34">
            <v>0</v>
          </cell>
          <cell r="D34">
            <v>50</v>
          </cell>
          <cell r="E34">
            <v>50</v>
          </cell>
          <cell r="F34">
            <v>50</v>
          </cell>
          <cell r="G34">
            <v>50</v>
          </cell>
          <cell r="H34">
            <v>50</v>
          </cell>
          <cell r="I34">
            <v>600</v>
          </cell>
          <cell r="J34">
            <v>100</v>
          </cell>
          <cell r="K34">
            <v>0</v>
          </cell>
          <cell r="L34">
            <v>0</v>
          </cell>
          <cell r="M34">
            <v>0</v>
          </cell>
        </row>
        <row r="35">
          <cell r="A35" t="str">
            <v>B00FNYAFI0</v>
          </cell>
          <cell r="B35">
            <v>0</v>
          </cell>
          <cell r="C35">
            <v>0</v>
          </cell>
          <cell r="D35">
            <v>100</v>
          </cell>
          <cell r="E35">
            <v>100</v>
          </cell>
          <cell r="F35">
            <v>100</v>
          </cell>
          <cell r="G35">
            <v>100</v>
          </cell>
          <cell r="H35">
            <v>100</v>
          </cell>
          <cell r="I35">
            <v>100</v>
          </cell>
          <cell r="J35">
            <v>100</v>
          </cell>
          <cell r="K35">
            <v>100</v>
          </cell>
          <cell r="L35">
            <v>50</v>
          </cell>
          <cell r="M35">
            <v>0</v>
          </cell>
        </row>
        <row r="36">
          <cell r="A36" t="str">
            <v>B0084HDDIM</v>
          </cell>
          <cell r="B36">
            <v>0</v>
          </cell>
          <cell r="C36">
            <v>0</v>
          </cell>
          <cell r="D36">
            <v>50</v>
          </cell>
          <cell r="E36">
            <v>50</v>
          </cell>
          <cell r="F36">
            <v>100</v>
          </cell>
          <cell r="G36">
            <v>200</v>
          </cell>
          <cell r="H36">
            <v>100</v>
          </cell>
          <cell r="I36">
            <v>100</v>
          </cell>
          <cell r="J36">
            <v>50</v>
          </cell>
          <cell r="K36">
            <v>0</v>
          </cell>
          <cell r="L36">
            <v>0</v>
          </cell>
          <cell r="M36">
            <v>0</v>
          </cell>
        </row>
        <row r="37">
          <cell r="A37" t="str">
            <v>B004CZ866E</v>
          </cell>
          <cell r="B37">
            <v>50</v>
          </cell>
          <cell r="C37">
            <v>50</v>
          </cell>
          <cell r="D37">
            <v>50</v>
          </cell>
          <cell r="E37">
            <v>100</v>
          </cell>
          <cell r="F37">
            <v>100</v>
          </cell>
          <cell r="G37">
            <v>100</v>
          </cell>
          <cell r="H37">
            <v>100</v>
          </cell>
          <cell r="I37">
            <v>100</v>
          </cell>
          <cell r="J37">
            <v>100</v>
          </cell>
          <cell r="K37">
            <v>50</v>
          </cell>
          <cell r="L37">
            <v>50</v>
          </cell>
          <cell r="M37">
            <v>50</v>
          </cell>
        </row>
        <row r="38">
          <cell r="A38" t="str">
            <v>B0DYWW3BSD</v>
          </cell>
          <cell r="B38">
            <v>0</v>
          </cell>
          <cell r="C38">
            <v>0</v>
          </cell>
          <cell r="D38">
            <v>100</v>
          </cell>
          <cell r="E38">
            <v>100</v>
          </cell>
          <cell r="F38">
            <v>100</v>
          </cell>
          <cell r="G38">
            <v>100</v>
          </cell>
          <cell r="H38">
            <v>100</v>
          </cell>
          <cell r="I38">
            <v>100</v>
          </cell>
          <cell r="J38">
            <v>100</v>
          </cell>
          <cell r="K38">
            <v>0</v>
          </cell>
          <cell r="L38">
            <v>0</v>
          </cell>
          <cell r="M38">
            <v>0</v>
          </cell>
        </row>
        <row r="39">
          <cell r="A39" t="str">
            <v>B08DL44MJ5</v>
          </cell>
          <cell r="B39">
            <v>50</v>
          </cell>
          <cell r="C39">
            <v>0</v>
          </cell>
          <cell r="D39">
            <v>50</v>
          </cell>
          <cell r="E39">
            <v>50</v>
          </cell>
          <cell r="F39">
            <v>50</v>
          </cell>
          <cell r="G39">
            <v>100</v>
          </cell>
          <cell r="H39">
            <v>100</v>
          </cell>
          <cell r="I39">
            <v>100</v>
          </cell>
          <cell r="J39">
            <v>100</v>
          </cell>
          <cell r="K39">
            <v>50</v>
          </cell>
          <cell r="L39">
            <v>50</v>
          </cell>
          <cell r="M39">
            <v>50</v>
          </cell>
        </row>
        <row r="40">
          <cell r="A40" t="str">
            <v>B0DFDLZ4GS</v>
          </cell>
          <cell r="B40">
            <v>0</v>
          </cell>
          <cell r="C40">
            <v>0</v>
          </cell>
          <cell r="D40">
            <v>100</v>
          </cell>
          <cell r="E40">
            <v>100</v>
          </cell>
          <cell r="F40">
            <v>100</v>
          </cell>
          <cell r="G40">
            <v>50</v>
          </cell>
          <cell r="H40">
            <v>0</v>
          </cell>
          <cell r="I40">
            <v>0</v>
          </cell>
          <cell r="J40">
            <v>100</v>
          </cell>
          <cell r="K40">
            <v>0</v>
          </cell>
          <cell r="L40">
            <v>0</v>
          </cell>
          <cell r="M40">
            <v>0</v>
          </cell>
        </row>
        <row r="41">
          <cell r="A41" t="str">
            <v>B00HTE2IKK</v>
          </cell>
          <cell r="B41">
            <v>0</v>
          </cell>
          <cell r="C41">
            <v>0</v>
          </cell>
          <cell r="D41">
            <v>0</v>
          </cell>
          <cell r="E41">
            <v>0</v>
          </cell>
          <cell r="F41">
            <v>0</v>
          </cell>
          <cell r="G41">
            <v>0</v>
          </cell>
          <cell r="H41">
            <v>0</v>
          </cell>
          <cell r="I41">
            <v>100</v>
          </cell>
          <cell r="J41">
            <v>100</v>
          </cell>
          <cell r="K41">
            <v>50</v>
          </cell>
          <cell r="L41">
            <v>0</v>
          </cell>
          <cell r="M41">
            <v>0</v>
          </cell>
        </row>
        <row r="42">
          <cell r="A42" t="str">
            <v>B0B4VDS958</v>
          </cell>
          <cell r="B42">
            <v>0</v>
          </cell>
          <cell r="C42">
            <v>0</v>
          </cell>
          <cell r="D42">
            <v>0</v>
          </cell>
          <cell r="E42">
            <v>50</v>
          </cell>
          <cell r="F42">
            <v>50</v>
          </cell>
          <cell r="G42">
            <v>100</v>
          </cell>
          <cell r="H42">
            <v>100</v>
          </cell>
          <cell r="I42">
            <v>100</v>
          </cell>
          <cell r="J42">
            <v>100</v>
          </cell>
          <cell r="K42">
            <v>100</v>
          </cell>
          <cell r="L42">
            <v>50</v>
          </cell>
          <cell r="M42">
            <v>0</v>
          </cell>
        </row>
        <row r="43">
          <cell r="A43" t="str">
            <v>B005UTROPA</v>
          </cell>
          <cell r="B43">
            <v>50</v>
          </cell>
          <cell r="C43">
            <v>50</v>
          </cell>
          <cell r="D43">
            <v>100</v>
          </cell>
          <cell r="E43">
            <v>100</v>
          </cell>
          <cell r="F43">
            <v>300</v>
          </cell>
          <cell r="G43">
            <v>200</v>
          </cell>
          <cell r="H43">
            <v>200</v>
          </cell>
          <cell r="I43">
            <v>100</v>
          </cell>
          <cell r="J43">
            <v>100</v>
          </cell>
          <cell r="K43">
            <v>300</v>
          </cell>
          <cell r="L43">
            <v>100</v>
          </cell>
          <cell r="M43">
            <v>50</v>
          </cell>
        </row>
        <row r="44">
          <cell r="A44" t="str">
            <v>B096W9RJH2</v>
          </cell>
          <cell r="B44">
            <v>0</v>
          </cell>
          <cell r="C44">
            <v>0</v>
          </cell>
          <cell r="D44">
            <v>100</v>
          </cell>
          <cell r="E44">
            <v>200</v>
          </cell>
          <cell r="F44">
            <v>200</v>
          </cell>
          <cell r="G44">
            <v>100</v>
          </cell>
          <cell r="H44">
            <v>100</v>
          </cell>
          <cell r="I44">
            <v>100</v>
          </cell>
          <cell r="J44">
            <v>50</v>
          </cell>
          <cell r="K44">
            <v>100</v>
          </cell>
          <cell r="L44">
            <v>50</v>
          </cell>
          <cell r="M44">
            <v>0</v>
          </cell>
        </row>
        <row r="45">
          <cell r="A45" t="str">
            <v>B0849XJ2JG</v>
          </cell>
          <cell r="B45">
            <v>0</v>
          </cell>
          <cell r="C45">
            <v>0</v>
          </cell>
          <cell r="D45">
            <v>0</v>
          </cell>
          <cell r="E45">
            <v>0</v>
          </cell>
          <cell r="F45">
            <v>0</v>
          </cell>
          <cell r="G45">
            <v>0</v>
          </cell>
          <cell r="H45">
            <v>0</v>
          </cell>
          <cell r="I45">
            <v>0</v>
          </cell>
          <cell r="J45">
            <v>50</v>
          </cell>
          <cell r="K45">
            <v>0</v>
          </cell>
          <cell r="L45">
            <v>0</v>
          </cell>
          <cell r="M45">
            <v>0</v>
          </cell>
        </row>
        <row r="46">
          <cell r="A46" t="str">
            <v>B0DYYS8Q46</v>
          </cell>
          <cell r="B46">
            <v>0</v>
          </cell>
          <cell r="C46">
            <v>0</v>
          </cell>
          <cell r="D46">
            <v>0</v>
          </cell>
          <cell r="E46">
            <v>50</v>
          </cell>
          <cell r="F46">
            <v>50</v>
          </cell>
          <cell r="G46">
            <v>50</v>
          </cell>
          <cell r="H46">
            <v>100</v>
          </cell>
          <cell r="I46">
            <v>100</v>
          </cell>
          <cell r="J46">
            <v>50</v>
          </cell>
          <cell r="K46">
            <v>50</v>
          </cell>
          <cell r="L46">
            <v>50</v>
          </cell>
          <cell r="M46">
            <v>0</v>
          </cell>
        </row>
        <row r="47">
          <cell r="A47" t="str">
            <v>B0GXGR6PP2</v>
          </cell>
          <cell r="B47">
            <v>0</v>
          </cell>
          <cell r="C47">
            <v>0</v>
          </cell>
          <cell r="D47">
            <v>0</v>
          </cell>
          <cell r="E47">
            <v>0</v>
          </cell>
          <cell r="F47">
            <v>0</v>
          </cell>
          <cell r="G47">
            <v>0</v>
          </cell>
          <cell r="H47">
            <v>0</v>
          </cell>
          <cell r="I47">
            <v>50</v>
          </cell>
          <cell r="J47">
            <v>50</v>
          </cell>
          <cell r="K47">
            <v>0</v>
          </cell>
          <cell r="L47">
            <v>0</v>
          </cell>
          <cell r="M47">
            <v>0</v>
          </cell>
        </row>
        <row r="48">
          <cell r="A48" t="str">
            <v>B0069ALA86</v>
          </cell>
          <cell r="B48">
            <v>50</v>
          </cell>
          <cell r="C48">
            <v>50</v>
          </cell>
          <cell r="D48">
            <v>50</v>
          </cell>
          <cell r="E48">
            <v>100</v>
          </cell>
          <cell r="F48">
            <v>50</v>
          </cell>
          <cell r="G48">
            <v>0</v>
          </cell>
          <cell r="H48">
            <v>100</v>
          </cell>
          <cell r="I48">
            <v>100</v>
          </cell>
          <cell r="J48">
            <v>50</v>
          </cell>
          <cell r="K48">
            <v>50</v>
          </cell>
          <cell r="L48">
            <v>50</v>
          </cell>
          <cell r="M48">
            <v>50</v>
          </cell>
        </row>
        <row r="49">
          <cell r="A49" t="str">
            <v>B0G96643VD</v>
          </cell>
          <cell r="B49">
            <v>0</v>
          </cell>
          <cell r="C49">
            <v>0</v>
          </cell>
          <cell r="D49">
            <v>0</v>
          </cell>
          <cell r="E49">
            <v>0</v>
          </cell>
          <cell r="F49">
            <v>50</v>
          </cell>
          <cell r="G49">
            <v>50</v>
          </cell>
          <cell r="H49">
            <v>50</v>
          </cell>
          <cell r="I49">
            <v>50</v>
          </cell>
          <cell r="J49">
            <v>50</v>
          </cell>
          <cell r="K49">
            <v>0</v>
          </cell>
          <cell r="L49">
            <v>0</v>
          </cell>
          <cell r="M49">
            <v>0</v>
          </cell>
        </row>
        <row r="50">
          <cell r="A50" t="str">
            <v>B004HD973W</v>
          </cell>
          <cell r="B50">
            <v>0</v>
          </cell>
          <cell r="C50">
            <v>0</v>
          </cell>
          <cell r="D50">
            <v>0</v>
          </cell>
          <cell r="E50">
            <v>0</v>
          </cell>
          <cell r="F50">
            <v>0</v>
          </cell>
          <cell r="G50">
            <v>0</v>
          </cell>
          <cell r="H50">
            <v>0</v>
          </cell>
          <cell r="I50">
            <v>0</v>
          </cell>
          <cell r="J50">
            <v>50</v>
          </cell>
          <cell r="K50">
            <v>0</v>
          </cell>
          <cell r="L50">
            <v>0</v>
          </cell>
          <cell r="M50">
            <v>0</v>
          </cell>
        </row>
        <row r="51">
          <cell r="A51" t="str">
            <v>B01BZLG0PQ</v>
          </cell>
          <cell r="B51">
            <v>0</v>
          </cell>
          <cell r="C51">
            <v>0</v>
          </cell>
          <cell r="D51">
            <v>50</v>
          </cell>
          <cell r="E51">
            <v>50</v>
          </cell>
          <cell r="F51">
            <v>50</v>
          </cell>
          <cell r="G51">
            <v>50</v>
          </cell>
          <cell r="H51">
            <v>50</v>
          </cell>
          <cell r="I51">
            <v>50</v>
          </cell>
          <cell r="J51">
            <v>50</v>
          </cell>
          <cell r="K51">
            <v>50</v>
          </cell>
          <cell r="L51">
            <v>0</v>
          </cell>
          <cell r="M51">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B0026MD0G6</v>
          </cell>
          <cell r="B2">
            <v>8000</v>
          </cell>
          <cell r="C2">
            <v>7600</v>
          </cell>
          <cell r="D2">
            <v>10000</v>
          </cell>
          <cell r="E2">
            <v>10000</v>
          </cell>
          <cell r="F2">
            <v>10000</v>
          </cell>
          <cell r="G2">
            <v>10000</v>
          </cell>
          <cell r="H2">
            <v>10000</v>
          </cell>
          <cell r="I2">
            <v>15000</v>
          </cell>
          <cell r="J2">
            <v>20000</v>
          </cell>
          <cell r="K2">
            <v>10000</v>
          </cell>
          <cell r="L2">
            <v>10000</v>
          </cell>
          <cell r="M2">
            <v>10000</v>
          </cell>
        </row>
        <row r="3">
          <cell r="A3" t="str">
            <v>B06X952WC5</v>
          </cell>
          <cell r="B3">
            <v>6500</v>
          </cell>
          <cell r="C3">
            <v>5000</v>
          </cell>
          <cell r="D3">
            <v>3000</v>
          </cell>
          <cell r="E3">
            <v>10000</v>
          </cell>
          <cell r="F3">
            <v>10000</v>
          </cell>
          <cell r="G3">
            <v>20000</v>
          </cell>
          <cell r="H3">
            <v>15000</v>
          </cell>
          <cell r="I3">
            <v>10000</v>
          </cell>
          <cell r="J3">
            <v>10000</v>
          </cell>
          <cell r="K3">
            <v>10000</v>
          </cell>
          <cell r="L3">
            <v>10000</v>
          </cell>
          <cell r="M3">
            <v>8000</v>
          </cell>
        </row>
        <row r="4">
          <cell r="A4" t="str">
            <v>B084CVXYCJ</v>
          </cell>
          <cell r="B4">
            <v>2000</v>
          </cell>
          <cell r="C4">
            <v>2000</v>
          </cell>
          <cell r="D4">
            <v>2000</v>
          </cell>
          <cell r="E4">
            <v>6000</v>
          </cell>
          <cell r="F4">
            <v>6000</v>
          </cell>
          <cell r="G4">
            <v>8000</v>
          </cell>
          <cell r="H4">
            <v>8000</v>
          </cell>
          <cell r="I4">
            <v>10000</v>
          </cell>
          <cell r="J4">
            <v>7000</v>
          </cell>
          <cell r="K4">
            <v>3000</v>
          </cell>
          <cell r="L4">
            <v>5000</v>
          </cell>
          <cell r="M4">
            <v>4000</v>
          </cell>
        </row>
        <row r="5">
          <cell r="A5" t="str">
            <v>B001B1LI8A</v>
          </cell>
          <cell r="B5">
            <v>3000</v>
          </cell>
          <cell r="C5">
            <v>3000</v>
          </cell>
          <cell r="D5">
            <v>3000</v>
          </cell>
          <cell r="E5">
            <v>3000</v>
          </cell>
          <cell r="F5">
            <v>4000</v>
          </cell>
          <cell r="G5">
            <v>5000</v>
          </cell>
          <cell r="H5">
            <v>5000</v>
          </cell>
          <cell r="I5">
            <v>5000</v>
          </cell>
          <cell r="J5">
            <v>6000</v>
          </cell>
          <cell r="K5">
            <v>7000</v>
          </cell>
          <cell r="L5">
            <v>7000</v>
          </cell>
          <cell r="M5">
            <v>4000</v>
          </cell>
        </row>
        <row r="6">
          <cell r="A6" t="str">
            <v>B07D4QW6DZ</v>
          </cell>
          <cell r="B6">
            <v>1000</v>
          </cell>
          <cell r="C6">
            <v>1000</v>
          </cell>
          <cell r="D6">
            <v>1000</v>
          </cell>
          <cell r="E6">
            <v>5000</v>
          </cell>
          <cell r="F6">
            <v>1000</v>
          </cell>
          <cell r="G6">
            <v>10000</v>
          </cell>
          <cell r="H6">
            <v>5000</v>
          </cell>
          <cell r="I6">
            <v>7000</v>
          </cell>
          <cell r="J6">
            <v>6000</v>
          </cell>
          <cell r="K6">
            <v>4000</v>
          </cell>
          <cell r="L6">
            <v>2000</v>
          </cell>
          <cell r="M6">
            <v>1000</v>
          </cell>
        </row>
        <row r="7">
          <cell r="A7" t="str">
            <v>B072J8Z28F</v>
          </cell>
          <cell r="B7">
            <v>7000</v>
          </cell>
          <cell r="C7">
            <v>7000</v>
          </cell>
          <cell r="D7">
            <v>10000</v>
          </cell>
          <cell r="E7">
            <v>20000</v>
          </cell>
          <cell r="F7">
            <v>20000</v>
          </cell>
          <cell r="G7">
            <v>10000</v>
          </cell>
          <cell r="H7">
            <v>10000</v>
          </cell>
          <cell r="I7">
            <v>5000</v>
          </cell>
          <cell r="J7">
            <v>7000</v>
          </cell>
          <cell r="K7">
            <v>10000</v>
          </cell>
          <cell r="L7">
            <v>10000</v>
          </cell>
          <cell r="M7">
            <v>6000</v>
          </cell>
        </row>
        <row r="8">
          <cell r="A8" t="str">
            <v>B07MJCNWGR</v>
          </cell>
          <cell r="B8">
            <v>2000</v>
          </cell>
          <cell r="C8">
            <v>2000</v>
          </cell>
          <cell r="D8">
            <v>4000</v>
          </cell>
          <cell r="E8">
            <v>5000</v>
          </cell>
          <cell r="F8">
            <v>9600</v>
          </cell>
          <cell r="G8">
            <v>10000</v>
          </cell>
          <cell r="H8">
            <v>8000</v>
          </cell>
          <cell r="I8">
            <v>10000</v>
          </cell>
          <cell r="J8">
            <v>6000</v>
          </cell>
          <cell r="K8">
            <v>3000</v>
          </cell>
          <cell r="L8">
            <v>2000</v>
          </cell>
          <cell r="M8">
            <v>2000</v>
          </cell>
        </row>
        <row r="9">
          <cell r="A9" t="str">
            <v>B003YHD1WA</v>
          </cell>
          <cell r="B9">
            <v>0</v>
          </cell>
          <cell r="C9">
            <v>0</v>
          </cell>
          <cell r="D9">
            <v>6000</v>
          </cell>
          <cell r="E9">
            <v>3000</v>
          </cell>
          <cell r="F9">
            <v>2000</v>
          </cell>
          <cell r="G9">
            <v>1000</v>
          </cell>
          <cell r="H9">
            <v>2000</v>
          </cell>
          <cell r="I9">
            <v>1000</v>
          </cell>
          <cell r="J9">
            <v>3000</v>
          </cell>
          <cell r="K9">
            <v>0</v>
          </cell>
          <cell r="L9">
            <v>0</v>
          </cell>
          <cell r="M9">
            <v>0</v>
          </cell>
        </row>
        <row r="10">
          <cell r="A10" t="str">
            <v>B01N4SJWFR</v>
          </cell>
          <cell r="B10">
            <v>1000</v>
          </cell>
          <cell r="C10">
            <v>800</v>
          </cell>
          <cell r="D10">
            <v>800</v>
          </cell>
          <cell r="E10">
            <v>1000</v>
          </cell>
          <cell r="F10">
            <v>1000</v>
          </cell>
          <cell r="G10">
            <v>1000</v>
          </cell>
          <cell r="H10">
            <v>2000</v>
          </cell>
          <cell r="I10">
            <v>1000</v>
          </cell>
          <cell r="J10">
            <v>2000</v>
          </cell>
          <cell r="K10">
            <v>1000</v>
          </cell>
          <cell r="L10">
            <v>600</v>
          </cell>
          <cell r="M10">
            <v>1000</v>
          </cell>
        </row>
        <row r="11">
          <cell r="A11" t="str">
            <v>B07732SVD3</v>
          </cell>
          <cell r="B11">
            <v>300</v>
          </cell>
          <cell r="C11">
            <v>500</v>
          </cell>
          <cell r="D11">
            <v>300</v>
          </cell>
          <cell r="E11">
            <v>3000</v>
          </cell>
          <cell r="F11">
            <v>3000</v>
          </cell>
          <cell r="G11">
            <v>5000</v>
          </cell>
          <cell r="H11">
            <v>5000</v>
          </cell>
          <cell r="I11">
            <v>4000</v>
          </cell>
          <cell r="J11">
            <v>2000</v>
          </cell>
          <cell r="K11">
            <v>3000</v>
          </cell>
          <cell r="L11">
            <v>1000</v>
          </cell>
          <cell r="M11">
            <v>500</v>
          </cell>
        </row>
        <row r="12">
          <cell r="A12" t="str">
            <v>B07RV67ZNL</v>
          </cell>
          <cell r="B12">
            <v>1000</v>
          </cell>
          <cell r="C12">
            <v>1000</v>
          </cell>
          <cell r="D12">
            <v>3000</v>
          </cell>
          <cell r="E12">
            <v>4000</v>
          </cell>
          <cell r="F12">
            <v>3000</v>
          </cell>
          <cell r="G12">
            <v>4000</v>
          </cell>
          <cell r="H12">
            <v>6000</v>
          </cell>
          <cell r="I12">
            <v>6000</v>
          </cell>
          <cell r="J12">
            <v>2000</v>
          </cell>
          <cell r="K12">
            <v>4000</v>
          </cell>
          <cell r="L12">
            <v>2000</v>
          </cell>
          <cell r="M12">
            <v>3000</v>
          </cell>
        </row>
        <row r="13">
          <cell r="A13" t="str">
            <v>B09L5CCCHC</v>
          </cell>
          <cell r="B13">
            <v>1000</v>
          </cell>
          <cell r="C13">
            <v>1000</v>
          </cell>
          <cell r="D13">
            <v>3000</v>
          </cell>
          <cell r="E13">
            <v>4000</v>
          </cell>
          <cell r="F13">
            <v>6000</v>
          </cell>
          <cell r="G13">
            <v>2000</v>
          </cell>
          <cell r="H13">
            <v>4000</v>
          </cell>
          <cell r="I13">
            <v>4000</v>
          </cell>
          <cell r="J13">
            <v>1000</v>
          </cell>
          <cell r="K13">
            <v>2000</v>
          </cell>
          <cell r="L13">
            <v>2000</v>
          </cell>
          <cell r="M13">
            <v>1000</v>
          </cell>
        </row>
        <row r="14">
          <cell r="A14" t="str">
            <v>B004I9MMGO</v>
          </cell>
          <cell r="B14">
            <v>300</v>
          </cell>
          <cell r="C14">
            <v>300</v>
          </cell>
          <cell r="D14">
            <v>1000</v>
          </cell>
          <cell r="E14">
            <v>1000</v>
          </cell>
          <cell r="F14">
            <v>1000</v>
          </cell>
          <cell r="G14">
            <v>1000</v>
          </cell>
          <cell r="H14">
            <v>1000</v>
          </cell>
          <cell r="I14">
            <v>1000</v>
          </cell>
          <cell r="J14">
            <v>1000</v>
          </cell>
          <cell r="K14">
            <v>2000</v>
          </cell>
          <cell r="L14">
            <v>1000</v>
          </cell>
          <cell r="M14">
            <v>300</v>
          </cell>
        </row>
        <row r="15">
          <cell r="A15" t="str">
            <v>B00E8LIXPQ</v>
          </cell>
          <cell r="B15">
            <v>1000</v>
          </cell>
          <cell r="C15">
            <v>800</v>
          </cell>
          <cell r="D15">
            <v>1000</v>
          </cell>
          <cell r="E15">
            <v>1000</v>
          </cell>
          <cell r="F15">
            <v>1000</v>
          </cell>
          <cell r="G15">
            <v>1000</v>
          </cell>
          <cell r="H15">
            <v>50</v>
          </cell>
          <cell r="I15">
            <v>100</v>
          </cell>
          <cell r="J15">
            <v>1000</v>
          </cell>
          <cell r="K15">
            <v>2000</v>
          </cell>
          <cell r="L15">
            <v>1000</v>
          </cell>
          <cell r="M15">
            <v>1000</v>
          </cell>
        </row>
        <row r="16">
          <cell r="A16" t="str">
            <v>B0056QWXLW</v>
          </cell>
          <cell r="B16">
            <v>1000</v>
          </cell>
          <cell r="C16">
            <v>1000</v>
          </cell>
          <cell r="D16">
            <v>900</v>
          </cell>
          <cell r="E16">
            <v>800</v>
          </cell>
          <cell r="F16">
            <v>850</v>
          </cell>
          <cell r="G16">
            <v>1000</v>
          </cell>
          <cell r="H16">
            <v>1000</v>
          </cell>
          <cell r="I16">
            <v>1000</v>
          </cell>
          <cell r="J16">
            <v>1000</v>
          </cell>
          <cell r="K16">
            <v>2000</v>
          </cell>
          <cell r="L16">
            <v>2000</v>
          </cell>
          <cell r="M16">
            <v>1000</v>
          </cell>
        </row>
        <row r="17">
          <cell r="A17" t="str">
            <v>B079J5XF31</v>
          </cell>
          <cell r="B17">
            <v>200</v>
          </cell>
          <cell r="C17">
            <v>800</v>
          </cell>
          <cell r="D17">
            <v>750</v>
          </cell>
          <cell r="E17">
            <v>1000</v>
          </cell>
          <cell r="F17">
            <v>1000</v>
          </cell>
          <cell r="G17">
            <v>2000</v>
          </cell>
          <cell r="H17">
            <v>1000</v>
          </cell>
          <cell r="I17">
            <v>1000</v>
          </cell>
          <cell r="J17">
            <v>1000</v>
          </cell>
          <cell r="K17">
            <v>1000</v>
          </cell>
          <cell r="L17">
            <v>1000</v>
          </cell>
          <cell r="M17">
            <v>1000</v>
          </cell>
        </row>
        <row r="18">
          <cell r="A18" t="str">
            <v>B00E8OY1TA</v>
          </cell>
          <cell r="B18">
            <v>200</v>
          </cell>
          <cell r="C18">
            <v>200</v>
          </cell>
          <cell r="D18">
            <v>500</v>
          </cell>
          <cell r="E18">
            <v>1000</v>
          </cell>
          <cell r="F18">
            <v>1000</v>
          </cell>
          <cell r="G18">
            <v>1000</v>
          </cell>
          <cell r="H18">
            <v>1000</v>
          </cell>
          <cell r="I18">
            <v>1000</v>
          </cell>
          <cell r="J18">
            <v>1000</v>
          </cell>
          <cell r="K18">
            <v>300</v>
          </cell>
          <cell r="L18">
            <v>700</v>
          </cell>
          <cell r="M18">
            <v>300</v>
          </cell>
        </row>
        <row r="19">
          <cell r="A19" t="str">
            <v>B00BR1BQUO</v>
          </cell>
          <cell r="B19">
            <v>100</v>
          </cell>
          <cell r="C19">
            <v>100</v>
          </cell>
          <cell r="D19">
            <v>100</v>
          </cell>
          <cell r="E19">
            <v>100</v>
          </cell>
          <cell r="F19">
            <v>100</v>
          </cell>
          <cell r="G19">
            <v>100</v>
          </cell>
          <cell r="H19">
            <v>200</v>
          </cell>
          <cell r="I19">
            <v>300</v>
          </cell>
          <cell r="J19">
            <v>1000</v>
          </cell>
          <cell r="K19">
            <v>200</v>
          </cell>
          <cell r="L19">
            <v>400</v>
          </cell>
          <cell r="M19">
            <v>300</v>
          </cell>
        </row>
        <row r="20">
          <cell r="A20" t="str">
            <v>B005GXKEUM</v>
          </cell>
          <cell r="B20">
            <v>700</v>
          </cell>
          <cell r="C20">
            <v>500</v>
          </cell>
          <cell r="D20">
            <v>500</v>
          </cell>
          <cell r="E20">
            <v>500</v>
          </cell>
          <cell r="F20">
            <v>400</v>
          </cell>
          <cell r="G20">
            <v>500</v>
          </cell>
          <cell r="H20">
            <v>600</v>
          </cell>
          <cell r="I20">
            <v>650</v>
          </cell>
          <cell r="J20">
            <v>900</v>
          </cell>
          <cell r="K20">
            <v>700</v>
          </cell>
          <cell r="L20">
            <v>900</v>
          </cell>
          <cell r="M20">
            <v>650</v>
          </cell>
        </row>
        <row r="21">
          <cell r="A21" t="str">
            <v>B0B3243XHH</v>
          </cell>
          <cell r="B21">
            <v>0</v>
          </cell>
          <cell r="C21">
            <v>0</v>
          </cell>
          <cell r="D21">
            <v>0</v>
          </cell>
          <cell r="E21">
            <v>0</v>
          </cell>
          <cell r="F21">
            <v>50</v>
          </cell>
          <cell r="G21">
            <v>200</v>
          </cell>
          <cell r="H21">
            <v>300</v>
          </cell>
          <cell r="I21">
            <v>1000</v>
          </cell>
          <cell r="J21">
            <v>500</v>
          </cell>
          <cell r="K21">
            <v>300</v>
          </cell>
          <cell r="L21">
            <v>100</v>
          </cell>
          <cell r="M21">
            <v>0</v>
          </cell>
        </row>
        <row r="22">
          <cell r="A22" t="str">
            <v>B003YHJ75K</v>
          </cell>
          <cell r="B22">
            <v>1000</v>
          </cell>
          <cell r="C22">
            <v>200</v>
          </cell>
          <cell r="D22">
            <v>3000</v>
          </cell>
          <cell r="E22">
            <v>1000</v>
          </cell>
          <cell r="F22">
            <v>1000</v>
          </cell>
          <cell r="G22">
            <v>300</v>
          </cell>
          <cell r="H22">
            <v>400</v>
          </cell>
          <cell r="I22">
            <v>200</v>
          </cell>
          <cell r="J22">
            <v>600</v>
          </cell>
          <cell r="K22">
            <v>3000</v>
          </cell>
          <cell r="L22">
            <v>3000</v>
          </cell>
          <cell r="M22">
            <v>1000</v>
          </cell>
        </row>
        <row r="23">
          <cell r="A23" t="str">
            <v>B01BRTNPCC</v>
          </cell>
          <cell r="B23">
            <v>100</v>
          </cell>
          <cell r="C23">
            <v>100</v>
          </cell>
          <cell r="D23">
            <v>100</v>
          </cell>
          <cell r="E23">
            <v>200</v>
          </cell>
          <cell r="F23">
            <v>200</v>
          </cell>
          <cell r="G23">
            <v>200</v>
          </cell>
          <cell r="H23">
            <v>500</v>
          </cell>
          <cell r="I23">
            <v>700</v>
          </cell>
          <cell r="J23">
            <v>400</v>
          </cell>
          <cell r="K23">
            <v>300</v>
          </cell>
          <cell r="L23">
            <v>200</v>
          </cell>
          <cell r="M23">
            <v>100</v>
          </cell>
        </row>
        <row r="24">
          <cell r="A24" t="str">
            <v>B0728JL9SQ</v>
          </cell>
          <cell r="B24">
            <v>500</v>
          </cell>
          <cell r="C24">
            <v>500</v>
          </cell>
          <cell r="D24">
            <v>800</v>
          </cell>
          <cell r="E24">
            <v>1000</v>
          </cell>
          <cell r="F24">
            <v>1000</v>
          </cell>
          <cell r="G24">
            <v>2000</v>
          </cell>
          <cell r="H24">
            <v>1000</v>
          </cell>
          <cell r="I24">
            <v>1000</v>
          </cell>
          <cell r="J24">
            <v>400</v>
          </cell>
          <cell r="K24">
            <v>1000</v>
          </cell>
          <cell r="L24">
            <v>1000</v>
          </cell>
          <cell r="M24">
            <v>600</v>
          </cell>
        </row>
        <row r="25">
          <cell r="A25" t="str">
            <v>B01D1YE6P6</v>
          </cell>
          <cell r="B25">
            <v>200</v>
          </cell>
          <cell r="C25">
            <v>200</v>
          </cell>
          <cell r="D25">
            <v>200</v>
          </cell>
          <cell r="E25">
            <v>200</v>
          </cell>
          <cell r="F25">
            <v>200</v>
          </cell>
          <cell r="G25">
            <v>100</v>
          </cell>
          <cell r="H25">
            <v>0</v>
          </cell>
          <cell r="I25">
            <v>100</v>
          </cell>
          <cell r="J25">
            <v>300</v>
          </cell>
          <cell r="K25">
            <v>300</v>
          </cell>
          <cell r="L25">
            <v>300</v>
          </cell>
          <cell r="M25">
            <v>200</v>
          </cell>
        </row>
        <row r="26">
          <cell r="A26" t="str">
            <v>B0056QWZJW</v>
          </cell>
          <cell r="B26">
            <v>150</v>
          </cell>
          <cell r="C26">
            <v>100</v>
          </cell>
          <cell r="D26">
            <v>100</v>
          </cell>
          <cell r="E26">
            <v>100</v>
          </cell>
          <cell r="F26">
            <v>200</v>
          </cell>
          <cell r="G26">
            <v>200</v>
          </cell>
          <cell r="H26">
            <v>200</v>
          </cell>
          <cell r="I26">
            <v>400</v>
          </cell>
          <cell r="J26">
            <v>300</v>
          </cell>
          <cell r="K26">
            <v>300</v>
          </cell>
          <cell r="L26">
            <v>300</v>
          </cell>
          <cell r="M26">
            <v>200</v>
          </cell>
        </row>
        <row r="27">
          <cell r="A27" t="str">
            <v>B09HHMSM3J</v>
          </cell>
          <cell r="B27">
            <v>500</v>
          </cell>
          <cell r="C27">
            <v>500</v>
          </cell>
          <cell r="D27">
            <v>0</v>
          </cell>
          <cell r="E27">
            <v>0</v>
          </cell>
          <cell r="F27">
            <v>100</v>
          </cell>
          <cell r="G27">
            <v>600</v>
          </cell>
          <cell r="H27">
            <v>300</v>
          </cell>
          <cell r="I27">
            <v>200</v>
          </cell>
          <cell r="J27">
            <v>300</v>
          </cell>
          <cell r="K27">
            <v>100</v>
          </cell>
          <cell r="L27">
            <v>200</v>
          </cell>
          <cell r="M27">
            <v>700</v>
          </cell>
        </row>
        <row r="28">
          <cell r="A28" t="str">
            <v>B08VFBXJGF</v>
          </cell>
          <cell r="B28">
            <v>50</v>
          </cell>
          <cell r="C28">
            <v>50</v>
          </cell>
          <cell r="D28">
            <v>100</v>
          </cell>
          <cell r="E28">
            <v>300</v>
          </cell>
          <cell r="F28">
            <v>400</v>
          </cell>
          <cell r="G28">
            <v>600</v>
          </cell>
          <cell r="H28">
            <v>400</v>
          </cell>
          <cell r="I28">
            <v>500</v>
          </cell>
          <cell r="J28">
            <v>200</v>
          </cell>
          <cell r="K28">
            <v>200</v>
          </cell>
          <cell r="L28">
            <v>200</v>
          </cell>
          <cell r="M28">
            <v>100</v>
          </cell>
        </row>
        <row r="29">
          <cell r="A29" t="str">
            <v>B0FWM6SYSL</v>
          </cell>
          <cell r="B29">
            <v>0</v>
          </cell>
          <cell r="C29">
            <v>0</v>
          </cell>
          <cell r="D29">
            <v>100</v>
          </cell>
          <cell r="E29">
            <v>700</v>
          </cell>
          <cell r="F29">
            <v>50</v>
          </cell>
          <cell r="G29">
            <v>200</v>
          </cell>
          <cell r="H29">
            <v>50</v>
          </cell>
          <cell r="I29">
            <v>100</v>
          </cell>
          <cell r="J29">
            <v>200</v>
          </cell>
          <cell r="K29">
            <v>0</v>
          </cell>
          <cell r="L29">
            <v>0</v>
          </cell>
          <cell r="M29">
            <v>0</v>
          </cell>
        </row>
        <row r="30">
          <cell r="A30" t="str">
            <v>B08511GLXR</v>
          </cell>
          <cell r="B30">
            <v>0</v>
          </cell>
          <cell r="C30">
            <v>0</v>
          </cell>
          <cell r="D30">
            <v>0</v>
          </cell>
          <cell r="E30">
            <v>50</v>
          </cell>
          <cell r="F30">
            <v>50</v>
          </cell>
          <cell r="G30">
            <v>100</v>
          </cell>
          <cell r="H30">
            <v>100</v>
          </cell>
          <cell r="I30">
            <v>200</v>
          </cell>
          <cell r="J30">
            <v>200</v>
          </cell>
          <cell r="K30">
            <v>100</v>
          </cell>
          <cell r="L30">
            <v>0</v>
          </cell>
          <cell r="M30">
            <v>0</v>
          </cell>
        </row>
        <row r="31">
          <cell r="A31" t="str">
            <v>B0B8T5C9SX</v>
          </cell>
          <cell r="B31">
            <v>100</v>
          </cell>
          <cell r="C31">
            <v>100</v>
          </cell>
          <cell r="D31">
            <v>100</v>
          </cell>
          <cell r="E31">
            <v>100</v>
          </cell>
          <cell r="F31">
            <v>200</v>
          </cell>
          <cell r="G31">
            <v>300</v>
          </cell>
          <cell r="H31">
            <v>200</v>
          </cell>
          <cell r="I31">
            <v>100</v>
          </cell>
          <cell r="J31">
            <v>100</v>
          </cell>
          <cell r="K31">
            <v>100</v>
          </cell>
          <cell r="L31">
            <v>100</v>
          </cell>
          <cell r="M31">
            <v>100</v>
          </cell>
        </row>
        <row r="32">
          <cell r="A32" t="str">
            <v>B0BC268VT4</v>
          </cell>
          <cell r="B32">
            <v>50</v>
          </cell>
          <cell r="C32">
            <v>50</v>
          </cell>
          <cell r="D32">
            <v>0</v>
          </cell>
          <cell r="E32">
            <v>0</v>
          </cell>
          <cell r="F32">
            <v>100</v>
          </cell>
          <cell r="G32">
            <v>100</v>
          </cell>
          <cell r="H32">
            <v>100</v>
          </cell>
          <cell r="I32">
            <v>100</v>
          </cell>
          <cell r="J32">
            <v>100</v>
          </cell>
          <cell r="K32">
            <v>0</v>
          </cell>
          <cell r="L32">
            <v>0</v>
          </cell>
          <cell r="M32">
            <v>200</v>
          </cell>
        </row>
        <row r="33">
          <cell r="A33" t="str">
            <v>B09HHNXJ1L</v>
          </cell>
          <cell r="B33">
            <v>100</v>
          </cell>
          <cell r="C33">
            <v>100</v>
          </cell>
          <cell r="D33">
            <v>100</v>
          </cell>
          <cell r="E33">
            <v>200</v>
          </cell>
          <cell r="F33">
            <v>400</v>
          </cell>
          <cell r="G33">
            <v>200</v>
          </cell>
          <cell r="H33">
            <v>200</v>
          </cell>
          <cell r="I33">
            <v>200</v>
          </cell>
          <cell r="J33">
            <v>100</v>
          </cell>
          <cell r="K33">
            <v>200</v>
          </cell>
          <cell r="L33">
            <v>100</v>
          </cell>
          <cell r="M33">
            <v>100</v>
          </cell>
        </row>
        <row r="34">
          <cell r="A34" t="str">
            <v>B0FWS4XKG1</v>
          </cell>
          <cell r="B34">
            <v>0</v>
          </cell>
          <cell r="C34">
            <v>0</v>
          </cell>
          <cell r="D34">
            <v>200</v>
          </cell>
          <cell r="E34">
            <v>400</v>
          </cell>
          <cell r="F34">
            <v>200</v>
          </cell>
          <cell r="G34">
            <v>400</v>
          </cell>
          <cell r="H34">
            <v>300</v>
          </cell>
          <cell r="I34">
            <v>400</v>
          </cell>
          <cell r="J34">
            <v>100</v>
          </cell>
          <cell r="K34">
            <v>0</v>
          </cell>
          <cell r="L34">
            <v>0</v>
          </cell>
          <cell r="M34">
            <v>0</v>
          </cell>
        </row>
        <row r="35">
          <cell r="A35" t="str">
            <v>B0C8KJBXPW</v>
          </cell>
          <cell r="B35">
            <v>50</v>
          </cell>
          <cell r="C35">
            <v>50</v>
          </cell>
          <cell r="D35">
            <v>50</v>
          </cell>
          <cell r="E35">
            <v>0</v>
          </cell>
          <cell r="F35">
            <v>200</v>
          </cell>
          <cell r="G35">
            <v>400</v>
          </cell>
          <cell r="H35">
            <v>400</v>
          </cell>
          <cell r="I35">
            <v>200</v>
          </cell>
          <cell r="J35">
            <v>100</v>
          </cell>
          <cell r="K35">
            <v>0</v>
          </cell>
          <cell r="L35">
            <v>0</v>
          </cell>
          <cell r="M35">
            <v>0</v>
          </cell>
        </row>
        <row r="36">
          <cell r="A36" t="str">
            <v>B09MDRMPPD</v>
          </cell>
          <cell r="B36">
            <v>50</v>
          </cell>
          <cell r="C36">
            <v>50</v>
          </cell>
          <cell r="D36">
            <v>50</v>
          </cell>
          <cell r="E36">
            <v>50</v>
          </cell>
          <cell r="F36">
            <v>200</v>
          </cell>
          <cell r="G36">
            <v>600</v>
          </cell>
          <cell r="H36">
            <v>200</v>
          </cell>
          <cell r="I36">
            <v>400</v>
          </cell>
          <cell r="J36">
            <v>100</v>
          </cell>
          <cell r="K36">
            <v>50</v>
          </cell>
          <cell r="L36">
            <v>50</v>
          </cell>
          <cell r="M36">
            <v>100</v>
          </cell>
        </row>
        <row r="37">
          <cell r="A37" t="str">
            <v>B0FWMH4JVG</v>
          </cell>
          <cell r="B37">
            <v>0</v>
          </cell>
          <cell r="C37">
            <v>0</v>
          </cell>
          <cell r="D37">
            <v>0</v>
          </cell>
          <cell r="E37">
            <v>50</v>
          </cell>
          <cell r="F37">
            <v>50</v>
          </cell>
          <cell r="G37">
            <v>50</v>
          </cell>
          <cell r="H37">
            <v>50</v>
          </cell>
          <cell r="I37">
            <v>100</v>
          </cell>
          <cell r="J37">
            <v>100</v>
          </cell>
          <cell r="K37">
            <v>0</v>
          </cell>
          <cell r="L37">
            <v>0</v>
          </cell>
          <cell r="M37">
            <v>0</v>
          </cell>
        </row>
        <row r="38">
          <cell r="A38" t="str">
            <v>B0C2VZBDJT</v>
          </cell>
          <cell r="B38">
            <v>0</v>
          </cell>
          <cell r="C38">
            <v>0</v>
          </cell>
          <cell r="D38">
            <v>0</v>
          </cell>
          <cell r="E38">
            <v>100</v>
          </cell>
          <cell r="F38">
            <v>2000</v>
          </cell>
          <cell r="G38">
            <v>4000</v>
          </cell>
          <cell r="H38">
            <v>3000</v>
          </cell>
          <cell r="I38">
            <v>200</v>
          </cell>
          <cell r="J38">
            <v>100</v>
          </cell>
          <cell r="K38">
            <v>1000</v>
          </cell>
          <cell r="L38">
            <v>300</v>
          </cell>
          <cell r="M38">
            <v>0</v>
          </cell>
        </row>
        <row r="39">
          <cell r="A39" t="str">
            <v>B004D4V5VM</v>
          </cell>
          <cell r="B39">
            <v>0</v>
          </cell>
          <cell r="C39">
            <v>0</v>
          </cell>
          <cell r="D39">
            <v>0</v>
          </cell>
          <cell r="E39">
            <v>0</v>
          </cell>
          <cell r="F39">
            <v>0</v>
          </cell>
          <cell r="G39">
            <v>0</v>
          </cell>
          <cell r="H39">
            <v>0</v>
          </cell>
          <cell r="I39">
            <v>0</v>
          </cell>
          <cell r="J39">
            <v>50</v>
          </cell>
          <cell r="K39">
            <v>50</v>
          </cell>
          <cell r="L39">
            <v>0</v>
          </cell>
          <cell r="M39">
            <v>0</v>
          </cell>
        </row>
        <row r="40">
          <cell r="A40" t="str">
            <v>B08ML1STTH</v>
          </cell>
          <cell r="B40">
            <v>50</v>
          </cell>
          <cell r="C40">
            <v>50</v>
          </cell>
          <cell r="D40">
            <v>100</v>
          </cell>
          <cell r="E40">
            <v>100</v>
          </cell>
          <cell r="F40">
            <v>100</v>
          </cell>
          <cell r="G40">
            <v>100</v>
          </cell>
          <cell r="H40">
            <v>50</v>
          </cell>
          <cell r="I40">
            <v>50</v>
          </cell>
          <cell r="J40">
            <v>50</v>
          </cell>
          <cell r="K40">
            <v>100</v>
          </cell>
          <cell r="L40">
            <v>50</v>
          </cell>
          <cell r="M40">
            <v>50</v>
          </cell>
        </row>
        <row r="41">
          <cell r="A41" t="str">
            <v>B09YZZ6XB1</v>
          </cell>
          <cell r="B41">
            <v>200</v>
          </cell>
          <cell r="C41">
            <v>200</v>
          </cell>
          <cell r="D41">
            <v>200</v>
          </cell>
          <cell r="E41">
            <v>200</v>
          </cell>
          <cell r="F41">
            <v>200</v>
          </cell>
          <cell r="G41">
            <v>200</v>
          </cell>
          <cell r="H41">
            <v>100</v>
          </cell>
          <cell r="I41">
            <v>50</v>
          </cell>
          <cell r="J41">
            <v>50</v>
          </cell>
          <cell r="K41">
            <v>100</v>
          </cell>
          <cell r="L41">
            <v>100</v>
          </cell>
          <cell r="M41">
            <v>100</v>
          </cell>
        </row>
        <row r="42">
          <cell r="A42" t="str">
            <v>B0081GOX5S</v>
          </cell>
          <cell r="B42">
            <v>0</v>
          </cell>
          <cell r="C42">
            <v>0</v>
          </cell>
          <cell r="D42">
            <v>0</v>
          </cell>
          <cell r="E42">
            <v>0</v>
          </cell>
          <cell r="F42">
            <v>0</v>
          </cell>
          <cell r="G42">
            <v>0</v>
          </cell>
          <cell r="H42">
            <v>0</v>
          </cell>
          <cell r="I42">
            <v>0</v>
          </cell>
          <cell r="J42">
            <v>50</v>
          </cell>
          <cell r="K42">
            <v>0</v>
          </cell>
          <cell r="L42">
            <v>0</v>
          </cell>
          <cell r="M42">
            <v>0</v>
          </cell>
        </row>
        <row r="43">
          <cell r="A43" t="str">
            <v>B07TDS7GLX</v>
          </cell>
          <cell r="B43">
            <v>50</v>
          </cell>
          <cell r="C43">
            <v>100</v>
          </cell>
          <cell r="D43">
            <v>100</v>
          </cell>
          <cell r="E43">
            <v>100</v>
          </cell>
          <cell r="F43">
            <v>200</v>
          </cell>
          <cell r="G43">
            <v>200</v>
          </cell>
          <cell r="H43">
            <v>100</v>
          </cell>
          <cell r="I43">
            <v>200</v>
          </cell>
          <cell r="J43">
            <v>50</v>
          </cell>
          <cell r="K43">
            <v>300</v>
          </cell>
          <cell r="L43">
            <v>100</v>
          </cell>
          <cell r="M43">
            <v>100</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B0H8NNWBQB</v>
          </cell>
          <cell r="B2">
            <v>0</v>
          </cell>
          <cell r="C2">
            <v>0</v>
          </cell>
          <cell r="D2">
            <v>0</v>
          </cell>
          <cell r="E2">
            <v>0</v>
          </cell>
          <cell r="F2">
            <v>0</v>
          </cell>
          <cell r="G2">
            <v>0</v>
          </cell>
          <cell r="H2">
            <v>0</v>
          </cell>
          <cell r="I2">
            <v>0</v>
          </cell>
          <cell r="J2">
            <v>2000</v>
          </cell>
          <cell r="K2">
            <v>0</v>
          </cell>
          <cell r="L2">
            <v>0</v>
          </cell>
          <cell r="M2">
            <v>0</v>
          </cell>
        </row>
        <row r="3">
          <cell r="A3" t="str">
            <v>B0GCQTKDPR</v>
          </cell>
          <cell r="B3">
            <v>0</v>
          </cell>
          <cell r="C3">
            <v>0</v>
          </cell>
          <cell r="D3">
            <v>0</v>
          </cell>
          <cell r="E3">
            <v>0</v>
          </cell>
          <cell r="F3">
            <v>200</v>
          </cell>
          <cell r="G3">
            <v>200</v>
          </cell>
          <cell r="H3">
            <v>300</v>
          </cell>
          <cell r="I3">
            <v>1000</v>
          </cell>
          <cell r="J3">
            <v>1000</v>
          </cell>
          <cell r="K3">
            <v>0</v>
          </cell>
          <cell r="L3">
            <v>0</v>
          </cell>
          <cell r="M3">
            <v>0</v>
          </cell>
        </row>
        <row r="4">
          <cell r="A4" t="str">
            <v>B0GKPZRMNV</v>
          </cell>
          <cell r="B4">
            <v>0</v>
          </cell>
          <cell r="C4">
            <v>0</v>
          </cell>
          <cell r="D4">
            <v>0</v>
          </cell>
          <cell r="E4">
            <v>0</v>
          </cell>
          <cell r="F4">
            <v>500</v>
          </cell>
          <cell r="G4">
            <v>1000</v>
          </cell>
          <cell r="H4">
            <v>1000</v>
          </cell>
          <cell r="I4">
            <v>1000</v>
          </cell>
          <cell r="J4">
            <v>1000</v>
          </cell>
          <cell r="K4">
            <v>0</v>
          </cell>
          <cell r="L4">
            <v>0</v>
          </cell>
          <cell r="M4">
            <v>0</v>
          </cell>
        </row>
        <row r="5">
          <cell r="A5" t="str">
            <v>B0H97M3BX6</v>
          </cell>
          <cell r="B5">
            <v>0</v>
          </cell>
          <cell r="C5">
            <v>0</v>
          </cell>
          <cell r="D5">
            <v>0</v>
          </cell>
          <cell r="E5">
            <v>0</v>
          </cell>
          <cell r="F5">
            <v>0</v>
          </cell>
          <cell r="G5">
            <v>0</v>
          </cell>
          <cell r="H5">
            <v>0</v>
          </cell>
          <cell r="I5">
            <v>0</v>
          </cell>
          <cell r="J5">
            <v>800</v>
          </cell>
          <cell r="K5">
            <v>0</v>
          </cell>
          <cell r="L5">
            <v>0</v>
          </cell>
          <cell r="M5">
            <v>0</v>
          </cell>
        </row>
        <row r="6">
          <cell r="A6" t="str">
            <v>B0H4L87B7M</v>
          </cell>
          <cell r="B6">
            <v>0</v>
          </cell>
          <cell r="C6">
            <v>0</v>
          </cell>
          <cell r="D6">
            <v>0</v>
          </cell>
          <cell r="E6">
            <v>0</v>
          </cell>
          <cell r="F6">
            <v>0</v>
          </cell>
          <cell r="G6">
            <v>0</v>
          </cell>
          <cell r="H6">
            <v>100</v>
          </cell>
          <cell r="I6">
            <v>600</v>
          </cell>
          <cell r="J6">
            <v>700</v>
          </cell>
          <cell r="K6">
            <v>0</v>
          </cell>
          <cell r="L6">
            <v>0</v>
          </cell>
          <cell r="M6">
            <v>0</v>
          </cell>
        </row>
        <row r="7">
          <cell r="A7" t="str">
            <v>B0GR8XLNFL</v>
          </cell>
          <cell r="B7">
            <v>0</v>
          </cell>
          <cell r="C7">
            <v>0</v>
          </cell>
          <cell r="D7">
            <v>0</v>
          </cell>
          <cell r="E7">
            <v>0</v>
          </cell>
          <cell r="F7">
            <v>0</v>
          </cell>
          <cell r="G7">
            <v>100</v>
          </cell>
          <cell r="H7">
            <v>700</v>
          </cell>
          <cell r="I7">
            <v>400</v>
          </cell>
          <cell r="J7">
            <v>600</v>
          </cell>
          <cell r="K7">
            <v>0</v>
          </cell>
          <cell r="L7">
            <v>0</v>
          </cell>
          <cell r="M7">
            <v>0</v>
          </cell>
        </row>
        <row r="8">
          <cell r="A8" t="str">
            <v>B0GCR638LZ</v>
          </cell>
          <cell r="B8">
            <v>0</v>
          </cell>
          <cell r="C8">
            <v>0</v>
          </cell>
          <cell r="D8">
            <v>0</v>
          </cell>
          <cell r="E8">
            <v>0</v>
          </cell>
          <cell r="F8">
            <v>100</v>
          </cell>
          <cell r="G8">
            <v>100</v>
          </cell>
          <cell r="H8">
            <v>200</v>
          </cell>
          <cell r="I8">
            <v>500</v>
          </cell>
          <cell r="J8">
            <v>400</v>
          </cell>
          <cell r="K8">
            <v>0</v>
          </cell>
          <cell r="L8">
            <v>0</v>
          </cell>
          <cell r="M8">
            <v>0</v>
          </cell>
        </row>
        <row r="9">
          <cell r="A9" t="str">
            <v>B0H4FVRJQ7</v>
          </cell>
          <cell r="B9">
            <v>0</v>
          </cell>
          <cell r="C9">
            <v>0</v>
          </cell>
          <cell r="D9">
            <v>800</v>
          </cell>
          <cell r="E9">
            <v>800</v>
          </cell>
          <cell r="F9">
            <v>500</v>
          </cell>
          <cell r="G9">
            <v>400</v>
          </cell>
          <cell r="H9">
            <v>200</v>
          </cell>
          <cell r="I9">
            <v>200</v>
          </cell>
          <cell r="J9">
            <v>400</v>
          </cell>
          <cell r="K9">
            <v>0</v>
          </cell>
          <cell r="L9">
            <v>0</v>
          </cell>
          <cell r="M9">
            <v>0</v>
          </cell>
        </row>
        <row r="10">
          <cell r="A10" t="str">
            <v>B0GGQPZ1Y7</v>
          </cell>
          <cell r="B10">
            <v>0</v>
          </cell>
          <cell r="C10">
            <v>0</v>
          </cell>
          <cell r="D10">
            <v>0</v>
          </cell>
          <cell r="E10">
            <v>0</v>
          </cell>
          <cell r="F10">
            <v>1000</v>
          </cell>
          <cell r="G10">
            <v>1000</v>
          </cell>
          <cell r="H10">
            <v>1000</v>
          </cell>
          <cell r="I10">
            <v>1000</v>
          </cell>
          <cell r="J10">
            <v>400</v>
          </cell>
          <cell r="K10">
            <v>0</v>
          </cell>
          <cell r="L10">
            <v>0</v>
          </cell>
          <cell r="M10">
            <v>0</v>
          </cell>
        </row>
        <row r="11">
          <cell r="A11" t="str">
            <v>B0GJBT1127</v>
          </cell>
          <cell r="B11">
            <v>0</v>
          </cell>
          <cell r="C11">
            <v>0</v>
          </cell>
          <cell r="D11">
            <v>0</v>
          </cell>
          <cell r="E11">
            <v>0</v>
          </cell>
          <cell r="F11">
            <v>200</v>
          </cell>
          <cell r="G11">
            <v>1000</v>
          </cell>
          <cell r="H11">
            <v>800</v>
          </cell>
          <cell r="I11">
            <v>1000</v>
          </cell>
          <cell r="J11">
            <v>400</v>
          </cell>
          <cell r="K11">
            <v>0</v>
          </cell>
          <cell r="L11">
            <v>0</v>
          </cell>
          <cell r="M11">
            <v>0</v>
          </cell>
        </row>
        <row r="12">
          <cell r="A12" t="str">
            <v>B0GYXQJ8P8</v>
          </cell>
          <cell r="B12">
            <v>0</v>
          </cell>
          <cell r="C12">
            <v>0</v>
          </cell>
          <cell r="D12">
            <v>0</v>
          </cell>
          <cell r="E12">
            <v>0</v>
          </cell>
          <cell r="F12">
            <v>0</v>
          </cell>
          <cell r="G12">
            <v>0</v>
          </cell>
          <cell r="H12">
            <v>0</v>
          </cell>
          <cell r="I12">
            <v>100</v>
          </cell>
          <cell r="J12">
            <v>400</v>
          </cell>
          <cell r="K12">
            <v>0</v>
          </cell>
          <cell r="L12">
            <v>0</v>
          </cell>
          <cell r="M12">
            <v>0</v>
          </cell>
        </row>
        <row r="13">
          <cell r="A13" t="str">
            <v>B0F6NG7RQW</v>
          </cell>
          <cell r="B13">
            <v>200</v>
          </cell>
          <cell r="C13">
            <v>500</v>
          </cell>
          <cell r="D13">
            <v>600</v>
          </cell>
          <cell r="E13">
            <v>600</v>
          </cell>
          <cell r="F13">
            <v>600</v>
          </cell>
          <cell r="G13">
            <v>400</v>
          </cell>
          <cell r="H13">
            <v>400</v>
          </cell>
          <cell r="I13">
            <v>600</v>
          </cell>
          <cell r="J13">
            <v>300</v>
          </cell>
          <cell r="K13">
            <v>400</v>
          </cell>
          <cell r="L13">
            <v>700</v>
          </cell>
          <cell r="M13">
            <v>300</v>
          </cell>
        </row>
        <row r="14">
          <cell r="A14" t="str">
            <v>B0F6NGMQ5Q</v>
          </cell>
          <cell r="B14">
            <v>400</v>
          </cell>
          <cell r="C14">
            <v>100</v>
          </cell>
          <cell r="D14">
            <v>100</v>
          </cell>
          <cell r="E14">
            <v>100</v>
          </cell>
          <cell r="F14">
            <v>100</v>
          </cell>
          <cell r="G14">
            <v>50</v>
          </cell>
          <cell r="H14">
            <v>50</v>
          </cell>
          <cell r="I14">
            <v>100</v>
          </cell>
          <cell r="J14">
            <v>300</v>
          </cell>
          <cell r="K14">
            <v>200</v>
          </cell>
          <cell r="L14">
            <v>400</v>
          </cell>
          <cell r="M14">
            <v>300</v>
          </cell>
        </row>
        <row r="15">
          <cell r="A15" t="str">
            <v>B0H4FT347P</v>
          </cell>
          <cell r="B15">
            <v>0</v>
          </cell>
          <cell r="C15">
            <v>0</v>
          </cell>
          <cell r="D15">
            <v>0</v>
          </cell>
          <cell r="E15">
            <v>0</v>
          </cell>
          <cell r="F15">
            <v>0</v>
          </cell>
          <cell r="G15">
            <v>0</v>
          </cell>
          <cell r="H15">
            <v>0</v>
          </cell>
          <cell r="I15">
            <v>0</v>
          </cell>
          <cell r="J15">
            <v>200</v>
          </cell>
          <cell r="K15">
            <v>0</v>
          </cell>
          <cell r="L15">
            <v>0</v>
          </cell>
          <cell r="M15">
            <v>0</v>
          </cell>
        </row>
        <row r="16">
          <cell r="A16" t="str">
            <v>B0GKPLZCM1</v>
          </cell>
          <cell r="B16">
            <v>0</v>
          </cell>
          <cell r="C16">
            <v>0</v>
          </cell>
          <cell r="D16">
            <v>0</v>
          </cell>
          <cell r="E16">
            <v>0</v>
          </cell>
          <cell r="F16">
            <v>100</v>
          </cell>
          <cell r="G16">
            <v>100</v>
          </cell>
          <cell r="H16">
            <v>100</v>
          </cell>
          <cell r="I16">
            <v>150</v>
          </cell>
          <cell r="J16">
            <v>150</v>
          </cell>
          <cell r="K16">
            <v>0</v>
          </cell>
          <cell r="L16">
            <v>0</v>
          </cell>
          <cell r="M16">
            <v>0</v>
          </cell>
        </row>
        <row r="17">
          <cell r="A17" t="str">
            <v>B0H4LDF69Y</v>
          </cell>
          <cell r="B17">
            <v>0</v>
          </cell>
          <cell r="C17">
            <v>0</v>
          </cell>
          <cell r="D17">
            <v>0</v>
          </cell>
          <cell r="E17">
            <v>0</v>
          </cell>
          <cell r="F17">
            <v>0</v>
          </cell>
          <cell r="G17">
            <v>0</v>
          </cell>
          <cell r="H17">
            <v>0</v>
          </cell>
          <cell r="I17">
            <v>100</v>
          </cell>
          <cell r="J17">
            <v>200</v>
          </cell>
          <cell r="K17">
            <v>0</v>
          </cell>
          <cell r="L17">
            <v>0</v>
          </cell>
          <cell r="M17">
            <v>0</v>
          </cell>
        </row>
        <row r="18">
          <cell r="A18" t="str">
            <v>B0GH6N1X3X</v>
          </cell>
          <cell r="B18">
            <v>0</v>
          </cell>
          <cell r="C18">
            <v>0</v>
          </cell>
          <cell r="D18">
            <v>0</v>
          </cell>
          <cell r="E18">
            <v>0</v>
          </cell>
          <cell r="F18">
            <v>100</v>
          </cell>
          <cell r="G18">
            <v>100</v>
          </cell>
          <cell r="H18">
            <v>100</v>
          </cell>
          <cell r="I18">
            <v>100</v>
          </cell>
          <cell r="J18">
            <v>200</v>
          </cell>
          <cell r="K18">
            <v>0</v>
          </cell>
          <cell r="L18">
            <v>0</v>
          </cell>
          <cell r="M18">
            <v>0</v>
          </cell>
        </row>
        <row r="19">
          <cell r="A19" t="str">
            <v>B0H4GF8T52</v>
          </cell>
          <cell r="B19">
            <v>0</v>
          </cell>
          <cell r="C19">
            <v>0</v>
          </cell>
          <cell r="D19">
            <v>0</v>
          </cell>
          <cell r="E19">
            <v>0</v>
          </cell>
          <cell r="F19">
            <v>0</v>
          </cell>
          <cell r="G19">
            <v>0</v>
          </cell>
          <cell r="H19">
            <v>0</v>
          </cell>
          <cell r="I19">
            <v>50</v>
          </cell>
          <cell r="J19">
            <v>100</v>
          </cell>
          <cell r="K19">
            <v>0</v>
          </cell>
          <cell r="L19">
            <v>0</v>
          </cell>
          <cell r="M19">
            <v>0</v>
          </cell>
        </row>
        <row r="20">
          <cell r="A20" t="str">
            <v>B0H4GBXQNC</v>
          </cell>
          <cell r="B20">
            <v>0</v>
          </cell>
          <cell r="C20">
            <v>0</v>
          </cell>
          <cell r="D20">
            <v>0</v>
          </cell>
          <cell r="E20">
            <v>0</v>
          </cell>
          <cell r="F20">
            <v>0</v>
          </cell>
          <cell r="G20">
            <v>0</v>
          </cell>
          <cell r="H20">
            <v>0</v>
          </cell>
          <cell r="I20">
            <v>200</v>
          </cell>
          <cell r="J20">
            <v>100</v>
          </cell>
          <cell r="K20">
            <v>0</v>
          </cell>
          <cell r="L20">
            <v>0</v>
          </cell>
          <cell r="M20">
            <v>0</v>
          </cell>
        </row>
        <row r="21">
          <cell r="A21" t="str">
            <v>B0F6NGNP3Y</v>
          </cell>
          <cell r="B21">
            <v>50</v>
          </cell>
          <cell r="C21">
            <v>50</v>
          </cell>
          <cell r="D21">
            <v>50</v>
          </cell>
          <cell r="E21">
            <v>100</v>
          </cell>
          <cell r="F21">
            <v>100</v>
          </cell>
          <cell r="G21">
            <v>50</v>
          </cell>
          <cell r="H21">
            <v>50</v>
          </cell>
          <cell r="I21">
            <v>400</v>
          </cell>
          <cell r="J21">
            <v>50</v>
          </cell>
          <cell r="K21">
            <v>50</v>
          </cell>
          <cell r="L21">
            <v>50</v>
          </cell>
          <cell r="M21">
            <v>100</v>
          </cell>
        </row>
        <row r="22">
          <cell r="A22" t="str">
            <v>B0FRSB1BCL</v>
          </cell>
          <cell r="B22">
            <v>0</v>
          </cell>
          <cell r="C22">
            <v>50</v>
          </cell>
          <cell r="D22">
            <v>50</v>
          </cell>
          <cell r="E22">
            <v>0</v>
          </cell>
          <cell r="F22">
            <v>50</v>
          </cell>
          <cell r="G22">
            <v>50</v>
          </cell>
          <cell r="H22">
            <v>0</v>
          </cell>
          <cell r="I22">
            <v>0</v>
          </cell>
          <cell r="J22">
            <v>100</v>
          </cell>
          <cell r="K22">
            <v>0</v>
          </cell>
          <cell r="L22">
            <v>0</v>
          </cell>
          <cell r="M22">
            <v>50</v>
          </cell>
        </row>
        <row r="23">
          <cell r="A23" t="str">
            <v>B0GF7VMHMD</v>
          </cell>
          <cell r="B23">
            <v>0</v>
          </cell>
          <cell r="C23">
            <v>0</v>
          </cell>
          <cell r="D23">
            <v>0</v>
          </cell>
          <cell r="E23">
            <v>0</v>
          </cell>
          <cell r="F23">
            <v>100</v>
          </cell>
          <cell r="G23">
            <v>100</v>
          </cell>
          <cell r="H23">
            <v>100</v>
          </cell>
          <cell r="I23">
            <v>100</v>
          </cell>
          <cell r="J23">
            <v>100</v>
          </cell>
          <cell r="K23">
            <v>0</v>
          </cell>
          <cell r="L23">
            <v>0</v>
          </cell>
          <cell r="M23">
            <v>0</v>
          </cell>
        </row>
        <row r="24">
          <cell r="A24" t="str">
            <v>B0GF7MJSMF</v>
          </cell>
          <cell r="B24">
            <v>0</v>
          </cell>
          <cell r="C24">
            <v>0</v>
          </cell>
          <cell r="D24">
            <v>0</v>
          </cell>
          <cell r="E24">
            <v>0</v>
          </cell>
          <cell r="F24">
            <v>100</v>
          </cell>
          <cell r="G24">
            <v>50</v>
          </cell>
          <cell r="H24">
            <v>100</v>
          </cell>
          <cell r="I24">
            <v>100</v>
          </cell>
          <cell r="J24">
            <v>100</v>
          </cell>
          <cell r="K24">
            <v>0</v>
          </cell>
          <cell r="L24">
            <v>0</v>
          </cell>
          <cell r="M24">
            <v>0</v>
          </cell>
        </row>
        <row r="25">
          <cell r="A25" t="str">
            <v>B0F6NLY3QX</v>
          </cell>
          <cell r="B25">
            <v>0</v>
          </cell>
          <cell r="C25">
            <v>50</v>
          </cell>
          <cell r="D25">
            <v>100</v>
          </cell>
          <cell r="E25">
            <v>100</v>
          </cell>
          <cell r="F25">
            <v>100</v>
          </cell>
          <cell r="G25">
            <v>50</v>
          </cell>
          <cell r="H25">
            <v>50</v>
          </cell>
          <cell r="I25">
            <v>100</v>
          </cell>
          <cell r="J25">
            <v>50</v>
          </cell>
          <cell r="K25">
            <v>50</v>
          </cell>
          <cell r="L25">
            <v>100</v>
          </cell>
          <cell r="M25">
            <v>100</v>
          </cell>
        </row>
        <row r="26">
          <cell r="A26" t="str">
            <v>B0F6NGS4Z6</v>
          </cell>
          <cell r="B26">
            <v>100</v>
          </cell>
          <cell r="C26">
            <v>50</v>
          </cell>
          <cell r="D26">
            <v>100</v>
          </cell>
          <cell r="E26">
            <v>0</v>
          </cell>
          <cell r="F26">
            <v>0</v>
          </cell>
          <cell r="G26">
            <v>0</v>
          </cell>
          <cell r="H26">
            <v>0</v>
          </cell>
          <cell r="I26">
            <v>50</v>
          </cell>
          <cell r="J26">
            <v>50</v>
          </cell>
          <cell r="K26">
            <v>50</v>
          </cell>
          <cell r="L26">
            <v>100</v>
          </cell>
          <cell r="M26">
            <v>100</v>
          </cell>
        </row>
        <row r="27">
          <cell r="A27" t="str">
            <v>B0F6NN4434</v>
          </cell>
          <cell r="B27">
            <v>0</v>
          </cell>
          <cell r="C27">
            <v>0</v>
          </cell>
          <cell r="D27">
            <v>0</v>
          </cell>
          <cell r="E27">
            <v>0</v>
          </cell>
          <cell r="F27">
            <v>0</v>
          </cell>
          <cell r="G27">
            <v>0</v>
          </cell>
          <cell r="H27">
            <v>0</v>
          </cell>
          <cell r="I27">
            <v>200</v>
          </cell>
          <cell r="J27">
            <v>50</v>
          </cell>
          <cell r="K27">
            <v>50</v>
          </cell>
          <cell r="L27">
            <v>50</v>
          </cell>
          <cell r="M27">
            <v>50</v>
          </cell>
        </row>
        <row r="28">
          <cell r="A28" t="str">
            <v>B0GH74FPG6</v>
          </cell>
          <cell r="B28">
            <v>0</v>
          </cell>
          <cell r="C28">
            <v>0</v>
          </cell>
          <cell r="D28">
            <v>0</v>
          </cell>
          <cell r="E28">
            <v>300</v>
          </cell>
          <cell r="F28">
            <v>500</v>
          </cell>
          <cell r="G28">
            <v>200</v>
          </cell>
          <cell r="H28">
            <v>300</v>
          </cell>
          <cell r="I28">
            <v>50</v>
          </cell>
          <cell r="J28">
            <v>50</v>
          </cell>
          <cell r="K28">
            <v>0</v>
          </cell>
          <cell r="L28">
            <v>0</v>
          </cell>
          <cell r="M28">
            <v>0</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B07JMDYDVJ</v>
          </cell>
          <cell r="B2">
            <v>10000</v>
          </cell>
          <cell r="C2">
            <v>7000</v>
          </cell>
          <cell r="D2">
            <v>7000</v>
          </cell>
          <cell r="E2">
            <v>10000</v>
          </cell>
          <cell r="F2">
            <v>10000</v>
          </cell>
          <cell r="G2">
            <v>10000</v>
          </cell>
          <cell r="H2">
            <v>10000</v>
          </cell>
          <cell r="I2">
            <v>10000</v>
          </cell>
          <cell r="J2">
            <v>30000</v>
          </cell>
          <cell r="K2">
            <v>30500</v>
          </cell>
          <cell r="L2">
            <v>40500</v>
          </cell>
          <cell r="M2">
            <v>30500</v>
          </cell>
        </row>
        <row r="3">
          <cell r="A3" t="str">
            <v>B0B4KNJT14</v>
          </cell>
          <cell r="B3">
            <v>2000</v>
          </cell>
          <cell r="C3">
            <v>1000</v>
          </cell>
          <cell r="D3">
            <v>1000</v>
          </cell>
          <cell r="E3">
            <v>1000</v>
          </cell>
          <cell r="F3">
            <v>1000</v>
          </cell>
          <cell r="G3">
            <v>2000</v>
          </cell>
          <cell r="H3">
            <v>3000</v>
          </cell>
          <cell r="I3">
            <v>5000</v>
          </cell>
          <cell r="J3">
            <v>9000</v>
          </cell>
          <cell r="K3">
            <v>7000</v>
          </cell>
          <cell r="L3">
            <v>6000</v>
          </cell>
          <cell r="M3">
            <v>4000</v>
          </cell>
        </row>
        <row r="4">
          <cell r="A4" t="str">
            <v>B07SSDHLQ8</v>
          </cell>
          <cell r="B4">
            <v>1000</v>
          </cell>
          <cell r="C4">
            <v>1000</v>
          </cell>
          <cell r="D4">
            <v>1000</v>
          </cell>
          <cell r="E4">
            <v>1000</v>
          </cell>
          <cell r="F4">
            <v>1000</v>
          </cell>
          <cell r="G4">
            <v>2000</v>
          </cell>
          <cell r="H4">
            <v>2000</v>
          </cell>
          <cell r="I4">
            <v>2000</v>
          </cell>
          <cell r="J4">
            <v>5000</v>
          </cell>
          <cell r="K4">
            <v>2000</v>
          </cell>
          <cell r="L4">
            <v>3000</v>
          </cell>
          <cell r="M4">
            <v>2000</v>
          </cell>
        </row>
        <row r="5">
          <cell r="A5" t="str">
            <v>B08GS7L34B</v>
          </cell>
          <cell r="B5">
            <v>3000</v>
          </cell>
          <cell r="C5">
            <v>3000</v>
          </cell>
          <cell r="D5">
            <v>2000</v>
          </cell>
          <cell r="E5">
            <v>2000</v>
          </cell>
          <cell r="F5">
            <v>1000</v>
          </cell>
          <cell r="G5">
            <v>3000</v>
          </cell>
          <cell r="H5">
            <v>3000</v>
          </cell>
          <cell r="I5">
            <v>3000</v>
          </cell>
          <cell r="J5">
            <v>5000</v>
          </cell>
          <cell r="K5">
            <v>6000</v>
          </cell>
          <cell r="L5">
            <v>5000</v>
          </cell>
          <cell r="M5">
            <v>4000</v>
          </cell>
        </row>
        <row r="6">
          <cell r="A6" t="str">
            <v>B01HTZLAG6</v>
          </cell>
          <cell r="B6">
            <v>3000</v>
          </cell>
          <cell r="C6">
            <v>2000</v>
          </cell>
          <cell r="D6">
            <v>1000</v>
          </cell>
          <cell r="E6">
            <v>1000</v>
          </cell>
          <cell r="F6">
            <v>1000</v>
          </cell>
          <cell r="G6">
            <v>2000</v>
          </cell>
          <cell r="H6">
            <v>1000</v>
          </cell>
          <cell r="I6">
            <v>1000</v>
          </cell>
          <cell r="J6">
            <v>2000</v>
          </cell>
          <cell r="K6">
            <v>5000</v>
          </cell>
          <cell r="L6">
            <v>6500</v>
          </cell>
          <cell r="M6">
            <v>4000</v>
          </cell>
        </row>
        <row r="7">
          <cell r="A7" t="str">
            <v>B0D4F8DN84</v>
          </cell>
          <cell r="B7">
            <v>200</v>
          </cell>
          <cell r="C7">
            <v>100</v>
          </cell>
          <cell r="D7">
            <v>100</v>
          </cell>
          <cell r="E7">
            <v>200</v>
          </cell>
          <cell r="F7">
            <v>200</v>
          </cell>
          <cell r="G7">
            <v>200</v>
          </cell>
          <cell r="H7">
            <v>300</v>
          </cell>
          <cell r="I7">
            <v>300</v>
          </cell>
          <cell r="J7">
            <v>2000</v>
          </cell>
          <cell r="K7">
            <v>1000</v>
          </cell>
          <cell r="L7">
            <v>1000</v>
          </cell>
          <cell r="M7">
            <v>600</v>
          </cell>
        </row>
        <row r="8">
          <cell r="A8" t="str">
            <v>B084VSMY2B</v>
          </cell>
          <cell r="B8">
            <v>200</v>
          </cell>
          <cell r="C8">
            <v>200</v>
          </cell>
          <cell r="D8">
            <v>200</v>
          </cell>
          <cell r="E8">
            <v>200</v>
          </cell>
          <cell r="F8">
            <v>1000</v>
          </cell>
          <cell r="G8">
            <v>2000</v>
          </cell>
          <cell r="H8">
            <v>2000</v>
          </cell>
          <cell r="I8">
            <v>1000</v>
          </cell>
          <cell r="J8">
            <v>2000</v>
          </cell>
          <cell r="K8">
            <v>1000</v>
          </cell>
          <cell r="L8">
            <v>500</v>
          </cell>
          <cell r="M8">
            <v>400</v>
          </cell>
        </row>
        <row r="9">
          <cell r="A9" t="str">
            <v>B0C24QVX4Z</v>
          </cell>
          <cell r="B9">
            <v>50</v>
          </cell>
          <cell r="C9">
            <v>50</v>
          </cell>
          <cell r="D9">
            <v>100</v>
          </cell>
          <cell r="E9">
            <v>1000</v>
          </cell>
          <cell r="F9">
            <v>1000</v>
          </cell>
          <cell r="G9">
            <v>1000</v>
          </cell>
          <cell r="H9">
            <v>1000</v>
          </cell>
          <cell r="I9">
            <v>1000</v>
          </cell>
          <cell r="J9">
            <v>1000</v>
          </cell>
          <cell r="K9">
            <v>400</v>
          </cell>
          <cell r="L9">
            <v>200</v>
          </cell>
          <cell r="M9">
            <v>50</v>
          </cell>
        </row>
        <row r="10">
          <cell r="A10" t="str">
            <v>B0GXWSFFR6</v>
          </cell>
          <cell r="B10">
            <v>0</v>
          </cell>
          <cell r="C10">
            <v>0</v>
          </cell>
          <cell r="D10">
            <v>0</v>
          </cell>
          <cell r="E10">
            <v>0</v>
          </cell>
          <cell r="F10">
            <v>0</v>
          </cell>
          <cell r="G10">
            <v>800</v>
          </cell>
          <cell r="H10">
            <v>400</v>
          </cell>
          <cell r="I10">
            <v>400</v>
          </cell>
          <cell r="J10">
            <v>500</v>
          </cell>
          <cell r="K10">
            <v>0</v>
          </cell>
          <cell r="L10">
            <v>0</v>
          </cell>
          <cell r="M10">
            <v>0</v>
          </cell>
        </row>
        <row r="11">
          <cell r="A11" t="str">
            <v>B0C6B2JSKV</v>
          </cell>
          <cell r="B11">
            <v>50</v>
          </cell>
          <cell r="C11">
            <v>50</v>
          </cell>
          <cell r="D11">
            <v>50</v>
          </cell>
          <cell r="E11">
            <v>50</v>
          </cell>
          <cell r="F11">
            <v>50</v>
          </cell>
          <cell r="G11">
            <v>0</v>
          </cell>
          <cell r="H11">
            <v>50</v>
          </cell>
          <cell r="I11">
            <v>50</v>
          </cell>
          <cell r="J11">
            <v>400</v>
          </cell>
          <cell r="K11">
            <v>400</v>
          </cell>
          <cell r="L11">
            <v>200</v>
          </cell>
          <cell r="M11">
            <v>200</v>
          </cell>
        </row>
        <row r="12">
          <cell r="A12" t="str">
            <v>B0BZDQB1NX</v>
          </cell>
          <cell r="B12">
            <v>50</v>
          </cell>
          <cell r="C12">
            <v>50</v>
          </cell>
          <cell r="D12">
            <v>0</v>
          </cell>
          <cell r="E12">
            <v>50</v>
          </cell>
          <cell r="F12">
            <v>50</v>
          </cell>
          <cell r="G12">
            <v>100</v>
          </cell>
          <cell r="H12">
            <v>100</v>
          </cell>
          <cell r="I12">
            <v>200</v>
          </cell>
          <cell r="J12">
            <v>300</v>
          </cell>
          <cell r="K12">
            <v>100</v>
          </cell>
          <cell r="L12">
            <v>50</v>
          </cell>
          <cell r="M12">
            <v>50</v>
          </cell>
        </row>
        <row r="13">
          <cell r="A13" t="str">
            <v>B0GWFR8Y79</v>
          </cell>
          <cell r="B13">
            <v>0</v>
          </cell>
          <cell r="C13">
            <v>0</v>
          </cell>
          <cell r="D13">
            <v>0</v>
          </cell>
          <cell r="E13">
            <v>0</v>
          </cell>
          <cell r="F13">
            <v>0</v>
          </cell>
          <cell r="G13">
            <v>100</v>
          </cell>
          <cell r="H13">
            <v>100</v>
          </cell>
          <cell r="I13">
            <v>200</v>
          </cell>
          <cell r="J13">
            <v>200</v>
          </cell>
          <cell r="K13">
            <v>0</v>
          </cell>
          <cell r="L13">
            <v>0</v>
          </cell>
          <cell r="M13">
            <v>0</v>
          </cell>
        </row>
        <row r="14">
          <cell r="A14" t="str">
            <v>B0GXWVQVRY</v>
          </cell>
          <cell r="B14">
            <v>0</v>
          </cell>
          <cell r="C14">
            <v>0</v>
          </cell>
          <cell r="D14">
            <v>0</v>
          </cell>
          <cell r="E14">
            <v>0</v>
          </cell>
          <cell r="F14">
            <v>0</v>
          </cell>
          <cell r="G14">
            <v>200</v>
          </cell>
          <cell r="H14">
            <v>200</v>
          </cell>
          <cell r="I14">
            <v>200</v>
          </cell>
          <cell r="J14">
            <v>200</v>
          </cell>
          <cell r="K14">
            <v>0</v>
          </cell>
          <cell r="L14">
            <v>0</v>
          </cell>
          <cell r="M14">
            <v>0</v>
          </cell>
        </row>
        <row r="15">
          <cell r="A15" t="str">
            <v>B0BZDR9TND</v>
          </cell>
          <cell r="B15">
            <v>50</v>
          </cell>
          <cell r="C15">
            <v>50</v>
          </cell>
          <cell r="D15">
            <v>50</v>
          </cell>
          <cell r="E15">
            <v>0</v>
          </cell>
          <cell r="F15">
            <v>50</v>
          </cell>
          <cell r="G15">
            <v>100</v>
          </cell>
          <cell r="H15">
            <v>100</v>
          </cell>
          <cell r="I15">
            <v>200</v>
          </cell>
          <cell r="J15">
            <v>200</v>
          </cell>
          <cell r="K15">
            <v>50</v>
          </cell>
          <cell r="L15">
            <v>50</v>
          </cell>
          <cell r="M15">
            <v>50</v>
          </cell>
        </row>
        <row r="16">
          <cell r="A16" t="str">
            <v>B0GXXG9NDW</v>
          </cell>
          <cell r="B16">
            <v>0</v>
          </cell>
          <cell r="C16">
            <v>0</v>
          </cell>
          <cell r="D16">
            <v>0</v>
          </cell>
          <cell r="E16">
            <v>0</v>
          </cell>
          <cell r="F16">
            <v>0</v>
          </cell>
          <cell r="G16">
            <v>0</v>
          </cell>
          <cell r="H16">
            <v>300</v>
          </cell>
          <cell r="I16">
            <v>200</v>
          </cell>
          <cell r="J16">
            <v>200</v>
          </cell>
          <cell r="K16">
            <v>0</v>
          </cell>
          <cell r="L16">
            <v>0</v>
          </cell>
          <cell r="M16">
            <v>0</v>
          </cell>
        </row>
        <row r="17">
          <cell r="A17" t="str">
            <v>B0DDRM991N</v>
          </cell>
          <cell r="B17">
            <v>50</v>
          </cell>
          <cell r="C17">
            <v>50</v>
          </cell>
          <cell r="D17">
            <v>0</v>
          </cell>
          <cell r="E17">
            <v>0</v>
          </cell>
          <cell r="F17">
            <v>0</v>
          </cell>
          <cell r="G17">
            <v>50</v>
          </cell>
          <cell r="H17">
            <v>100</v>
          </cell>
          <cell r="I17">
            <v>50</v>
          </cell>
          <cell r="J17">
            <v>100</v>
          </cell>
          <cell r="K17">
            <v>50</v>
          </cell>
          <cell r="L17">
            <v>50</v>
          </cell>
          <cell r="M17">
            <v>50</v>
          </cell>
        </row>
        <row r="18">
          <cell r="A18" t="str">
            <v>B0G4SBX5ZH</v>
          </cell>
          <cell r="B18">
            <v>0</v>
          </cell>
          <cell r="C18">
            <v>0</v>
          </cell>
          <cell r="D18">
            <v>0</v>
          </cell>
          <cell r="E18">
            <v>0</v>
          </cell>
          <cell r="F18">
            <v>0</v>
          </cell>
          <cell r="G18">
            <v>50</v>
          </cell>
          <cell r="H18">
            <v>100</v>
          </cell>
          <cell r="I18">
            <v>50</v>
          </cell>
          <cell r="J18">
            <v>100</v>
          </cell>
          <cell r="K18">
            <v>0</v>
          </cell>
          <cell r="L18">
            <v>0</v>
          </cell>
          <cell r="M18">
            <v>0</v>
          </cell>
        </row>
        <row r="19">
          <cell r="A19" t="str">
            <v>B0BZDR26NQ</v>
          </cell>
          <cell r="B19">
            <v>0</v>
          </cell>
          <cell r="C19">
            <v>0</v>
          </cell>
          <cell r="D19">
            <v>0</v>
          </cell>
          <cell r="E19">
            <v>50</v>
          </cell>
          <cell r="F19">
            <v>100</v>
          </cell>
          <cell r="G19">
            <v>100</v>
          </cell>
          <cell r="H19">
            <v>100</v>
          </cell>
          <cell r="I19">
            <v>100</v>
          </cell>
          <cell r="J19">
            <v>100</v>
          </cell>
          <cell r="K19">
            <v>100</v>
          </cell>
          <cell r="L19">
            <v>50</v>
          </cell>
          <cell r="M19">
            <v>50</v>
          </cell>
        </row>
        <row r="20">
          <cell r="A20" t="str">
            <v>B07SVHV8G7</v>
          </cell>
          <cell r="B20">
            <v>100</v>
          </cell>
          <cell r="C20">
            <v>100</v>
          </cell>
          <cell r="D20">
            <v>50</v>
          </cell>
          <cell r="E20">
            <v>100</v>
          </cell>
          <cell r="F20">
            <v>100</v>
          </cell>
          <cell r="G20">
            <v>50</v>
          </cell>
          <cell r="H20">
            <v>50</v>
          </cell>
          <cell r="I20">
            <v>50</v>
          </cell>
          <cell r="J20">
            <v>100</v>
          </cell>
          <cell r="K20">
            <v>600</v>
          </cell>
          <cell r="L20">
            <v>300</v>
          </cell>
          <cell r="M20">
            <v>300</v>
          </cell>
        </row>
        <row r="21">
          <cell r="A21" t="str">
            <v>B0BZDSJDMC</v>
          </cell>
          <cell r="B21">
            <v>50</v>
          </cell>
          <cell r="C21">
            <v>50</v>
          </cell>
          <cell r="D21">
            <v>50</v>
          </cell>
          <cell r="E21">
            <v>50</v>
          </cell>
          <cell r="F21">
            <v>50</v>
          </cell>
          <cell r="G21">
            <v>100</v>
          </cell>
          <cell r="H21">
            <v>100</v>
          </cell>
          <cell r="I21">
            <v>100</v>
          </cell>
          <cell r="J21">
            <v>100</v>
          </cell>
          <cell r="K21">
            <v>100</v>
          </cell>
          <cell r="L21">
            <v>50</v>
          </cell>
          <cell r="M21">
            <v>50</v>
          </cell>
        </row>
        <row r="22">
          <cell r="A22" t="str">
            <v>B0F5WQ88HJ</v>
          </cell>
          <cell r="B22">
            <v>200</v>
          </cell>
          <cell r="C22">
            <v>200</v>
          </cell>
          <cell r="D22">
            <v>200</v>
          </cell>
          <cell r="E22">
            <v>200</v>
          </cell>
          <cell r="F22">
            <v>100</v>
          </cell>
          <cell r="G22">
            <v>100</v>
          </cell>
          <cell r="H22">
            <v>100</v>
          </cell>
          <cell r="I22">
            <v>100</v>
          </cell>
          <cell r="J22">
            <v>100</v>
          </cell>
          <cell r="K22">
            <v>200</v>
          </cell>
          <cell r="L22">
            <v>300</v>
          </cell>
          <cell r="M22">
            <v>300</v>
          </cell>
        </row>
        <row r="23">
          <cell r="A23" t="str">
            <v>B0GWN1XXW3</v>
          </cell>
          <cell r="B23">
            <v>0</v>
          </cell>
          <cell r="C23">
            <v>0</v>
          </cell>
          <cell r="D23">
            <v>0</v>
          </cell>
          <cell r="E23">
            <v>0</v>
          </cell>
          <cell r="F23">
            <v>0</v>
          </cell>
          <cell r="G23">
            <v>0</v>
          </cell>
          <cell r="H23">
            <v>100</v>
          </cell>
          <cell r="I23">
            <v>100</v>
          </cell>
          <cell r="J23">
            <v>50</v>
          </cell>
          <cell r="K23">
            <v>0</v>
          </cell>
          <cell r="L23">
            <v>0</v>
          </cell>
          <cell r="M23">
            <v>0</v>
          </cell>
        </row>
        <row r="24">
          <cell r="A24" t="str">
            <v>B0CWLNTNL2</v>
          </cell>
          <cell r="B24">
            <v>0</v>
          </cell>
          <cell r="C24">
            <v>50</v>
          </cell>
          <cell r="D24">
            <v>50</v>
          </cell>
          <cell r="E24">
            <v>50</v>
          </cell>
          <cell r="F24">
            <v>50</v>
          </cell>
          <cell r="G24">
            <v>50</v>
          </cell>
          <cell r="H24">
            <v>50</v>
          </cell>
          <cell r="I24">
            <v>50</v>
          </cell>
          <cell r="J24">
            <v>50</v>
          </cell>
          <cell r="K24">
            <v>100</v>
          </cell>
          <cell r="L24">
            <v>50</v>
          </cell>
          <cell r="M24">
            <v>50</v>
          </cell>
        </row>
        <row r="25">
          <cell r="A25" t="str">
            <v>B0H286PWMZ</v>
          </cell>
          <cell r="B25">
            <v>0</v>
          </cell>
          <cell r="C25">
            <v>0</v>
          </cell>
          <cell r="D25">
            <v>0</v>
          </cell>
          <cell r="E25">
            <v>0</v>
          </cell>
          <cell r="F25">
            <v>0</v>
          </cell>
          <cell r="G25">
            <v>0</v>
          </cell>
          <cell r="H25">
            <v>0</v>
          </cell>
          <cell r="I25">
            <v>50</v>
          </cell>
          <cell r="J25">
            <v>50</v>
          </cell>
          <cell r="K25">
            <v>0</v>
          </cell>
          <cell r="L25">
            <v>0</v>
          </cell>
          <cell r="M25">
            <v>0</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B005BUZL2Q</v>
          </cell>
          <cell r="B2">
            <v>2000</v>
          </cell>
          <cell r="C2">
            <v>1000</v>
          </cell>
          <cell r="D2">
            <v>2000</v>
          </cell>
          <cell r="E2">
            <v>1000</v>
          </cell>
          <cell r="F2">
            <v>2000</v>
          </cell>
          <cell r="G2">
            <v>3000</v>
          </cell>
          <cell r="H2">
            <v>3000</v>
          </cell>
          <cell r="I2">
            <v>3000</v>
          </cell>
          <cell r="J2">
            <v>3000</v>
          </cell>
          <cell r="K2">
            <v>2000</v>
          </cell>
          <cell r="L2">
            <v>3000</v>
          </cell>
          <cell r="M2">
            <v>2000</v>
          </cell>
        </row>
        <row r="3">
          <cell r="A3" t="str">
            <v>B0051SVAMI</v>
          </cell>
          <cell r="B3">
            <v>700</v>
          </cell>
          <cell r="C3">
            <v>600</v>
          </cell>
          <cell r="D3">
            <v>600</v>
          </cell>
          <cell r="E3">
            <v>600</v>
          </cell>
          <cell r="F3">
            <v>800</v>
          </cell>
          <cell r="G3">
            <v>900</v>
          </cell>
          <cell r="H3">
            <v>1000</v>
          </cell>
          <cell r="I3">
            <v>1000</v>
          </cell>
          <cell r="J3">
            <v>900</v>
          </cell>
          <cell r="K3">
            <v>1000</v>
          </cell>
          <cell r="L3">
            <v>1000</v>
          </cell>
          <cell r="M3">
            <v>700</v>
          </cell>
        </row>
        <row r="4">
          <cell r="A4" t="str">
            <v>B00GYASHRS</v>
          </cell>
          <cell r="B4">
            <v>400</v>
          </cell>
          <cell r="C4">
            <v>300</v>
          </cell>
          <cell r="D4">
            <v>400</v>
          </cell>
          <cell r="E4">
            <v>700</v>
          </cell>
          <cell r="F4">
            <v>800</v>
          </cell>
          <cell r="G4">
            <v>1000</v>
          </cell>
          <cell r="H4">
            <v>1000</v>
          </cell>
          <cell r="I4">
            <v>1000</v>
          </cell>
          <cell r="J4">
            <v>900</v>
          </cell>
          <cell r="K4">
            <v>700</v>
          </cell>
          <cell r="L4">
            <v>800</v>
          </cell>
          <cell r="M4">
            <v>500</v>
          </cell>
        </row>
        <row r="5">
          <cell r="A5" t="str">
            <v>B001BM4JLM</v>
          </cell>
          <cell r="B5">
            <v>400</v>
          </cell>
          <cell r="C5">
            <v>400</v>
          </cell>
          <cell r="D5">
            <v>300</v>
          </cell>
          <cell r="E5">
            <v>900</v>
          </cell>
          <cell r="F5">
            <v>1000</v>
          </cell>
          <cell r="G5">
            <v>1000</v>
          </cell>
          <cell r="H5">
            <v>1000</v>
          </cell>
          <cell r="I5">
            <v>1000</v>
          </cell>
          <cell r="J5">
            <v>900</v>
          </cell>
          <cell r="K5">
            <v>400</v>
          </cell>
          <cell r="L5">
            <v>600</v>
          </cell>
          <cell r="M5">
            <v>400</v>
          </cell>
        </row>
        <row r="6">
          <cell r="A6" t="str">
            <v>B007OWP4CG</v>
          </cell>
          <cell r="B6">
            <v>500</v>
          </cell>
          <cell r="C6">
            <v>300</v>
          </cell>
          <cell r="D6">
            <v>800</v>
          </cell>
          <cell r="E6">
            <v>300</v>
          </cell>
          <cell r="F6">
            <v>500</v>
          </cell>
          <cell r="G6">
            <v>700</v>
          </cell>
          <cell r="H6">
            <v>700</v>
          </cell>
          <cell r="I6">
            <v>1000</v>
          </cell>
          <cell r="J6">
            <v>1000</v>
          </cell>
          <cell r="K6">
            <v>1000</v>
          </cell>
          <cell r="L6">
            <v>1000</v>
          </cell>
          <cell r="M6">
            <v>1000</v>
          </cell>
        </row>
        <row r="7">
          <cell r="A7" t="str">
            <v>B004WUP03G</v>
          </cell>
          <cell r="B7">
            <v>0</v>
          </cell>
          <cell r="C7">
            <v>0</v>
          </cell>
          <cell r="D7">
            <v>100</v>
          </cell>
          <cell r="E7">
            <v>100</v>
          </cell>
          <cell r="F7">
            <v>200</v>
          </cell>
          <cell r="G7">
            <v>300</v>
          </cell>
          <cell r="H7">
            <v>200</v>
          </cell>
          <cell r="I7">
            <v>200</v>
          </cell>
          <cell r="J7">
            <v>300</v>
          </cell>
          <cell r="K7">
            <v>200</v>
          </cell>
          <cell r="L7">
            <v>400</v>
          </cell>
          <cell r="M7">
            <v>50</v>
          </cell>
        </row>
        <row r="8">
          <cell r="A8" t="str">
            <v>B009P70L6M</v>
          </cell>
          <cell r="B8">
            <v>100</v>
          </cell>
          <cell r="C8">
            <v>100</v>
          </cell>
          <cell r="D8">
            <v>100</v>
          </cell>
          <cell r="E8">
            <v>100</v>
          </cell>
          <cell r="F8">
            <v>100</v>
          </cell>
          <cell r="G8">
            <v>100</v>
          </cell>
          <cell r="H8">
            <v>100</v>
          </cell>
          <cell r="I8">
            <v>100</v>
          </cell>
          <cell r="J8">
            <v>200</v>
          </cell>
          <cell r="K8">
            <v>200</v>
          </cell>
          <cell r="L8">
            <v>200</v>
          </cell>
          <cell r="M8">
            <v>200</v>
          </cell>
        </row>
        <row r="9">
          <cell r="A9" t="str">
            <v>B075CNJDHJ</v>
          </cell>
          <cell r="B9">
            <v>200</v>
          </cell>
          <cell r="C9">
            <v>200</v>
          </cell>
          <cell r="D9">
            <v>200</v>
          </cell>
          <cell r="E9">
            <v>200</v>
          </cell>
          <cell r="F9">
            <v>300</v>
          </cell>
          <cell r="G9">
            <v>300</v>
          </cell>
          <cell r="H9">
            <v>300</v>
          </cell>
          <cell r="I9">
            <v>200</v>
          </cell>
          <cell r="J9">
            <v>300</v>
          </cell>
          <cell r="K9">
            <v>400</v>
          </cell>
          <cell r="L9">
            <v>400</v>
          </cell>
          <cell r="M9">
            <v>200</v>
          </cell>
        </row>
        <row r="10">
          <cell r="A10" t="str">
            <v>B075CQ2YVY</v>
          </cell>
          <cell r="B10">
            <v>100</v>
          </cell>
          <cell r="C10">
            <v>100</v>
          </cell>
          <cell r="D10">
            <v>100</v>
          </cell>
          <cell r="E10">
            <v>100</v>
          </cell>
          <cell r="F10">
            <v>100</v>
          </cell>
          <cell r="G10">
            <v>200</v>
          </cell>
          <cell r="H10">
            <v>200</v>
          </cell>
          <cell r="I10">
            <v>100</v>
          </cell>
          <cell r="J10">
            <v>200</v>
          </cell>
          <cell r="K10">
            <v>100</v>
          </cell>
          <cell r="L10">
            <v>100</v>
          </cell>
          <cell r="M10">
            <v>100</v>
          </cell>
        </row>
        <row r="11">
          <cell r="A11" t="str">
            <v>B077SZ543C</v>
          </cell>
          <cell r="B11">
            <v>50</v>
          </cell>
          <cell r="C11">
            <v>50</v>
          </cell>
          <cell r="D11">
            <v>100</v>
          </cell>
          <cell r="E11">
            <v>200</v>
          </cell>
          <cell r="F11">
            <v>200</v>
          </cell>
          <cell r="G11">
            <v>200</v>
          </cell>
          <cell r="H11">
            <v>300</v>
          </cell>
          <cell r="I11">
            <v>200</v>
          </cell>
          <cell r="J11">
            <v>100</v>
          </cell>
          <cell r="K11">
            <v>200</v>
          </cell>
          <cell r="L11">
            <v>100</v>
          </cell>
          <cell r="M11">
            <v>100</v>
          </cell>
        </row>
        <row r="12">
          <cell r="A12" t="str">
            <v>B005FYNHUQ</v>
          </cell>
          <cell r="B12">
            <v>0</v>
          </cell>
          <cell r="C12">
            <v>0</v>
          </cell>
          <cell r="D12">
            <v>100</v>
          </cell>
          <cell r="E12">
            <v>200</v>
          </cell>
          <cell r="F12">
            <v>200</v>
          </cell>
          <cell r="G12">
            <v>600</v>
          </cell>
          <cell r="H12">
            <v>300</v>
          </cell>
          <cell r="I12">
            <v>300</v>
          </cell>
          <cell r="J12">
            <v>100</v>
          </cell>
          <cell r="K12">
            <v>100</v>
          </cell>
          <cell r="L12">
            <v>50</v>
          </cell>
          <cell r="M12">
            <v>0</v>
          </cell>
        </row>
        <row r="13">
          <cell r="A13" t="str">
            <v>B00OBYN16G</v>
          </cell>
          <cell r="B13">
            <v>100</v>
          </cell>
          <cell r="C13">
            <v>100</v>
          </cell>
          <cell r="D13">
            <v>200</v>
          </cell>
          <cell r="E13">
            <v>200</v>
          </cell>
          <cell r="F13">
            <v>200</v>
          </cell>
          <cell r="G13">
            <v>200</v>
          </cell>
          <cell r="H13">
            <v>200</v>
          </cell>
          <cell r="I13">
            <v>200</v>
          </cell>
          <cell r="J13">
            <v>100</v>
          </cell>
          <cell r="K13">
            <v>200</v>
          </cell>
          <cell r="L13">
            <v>200</v>
          </cell>
          <cell r="M13">
            <v>200</v>
          </cell>
        </row>
        <row r="14">
          <cell r="A14" t="str">
            <v>B0067TYD6A</v>
          </cell>
          <cell r="B14">
            <v>100</v>
          </cell>
          <cell r="C14">
            <v>50</v>
          </cell>
          <cell r="D14">
            <v>50</v>
          </cell>
          <cell r="E14">
            <v>100</v>
          </cell>
          <cell r="F14">
            <v>100</v>
          </cell>
          <cell r="G14">
            <v>100</v>
          </cell>
          <cell r="H14">
            <v>100</v>
          </cell>
          <cell r="I14">
            <v>100</v>
          </cell>
          <cell r="J14">
            <v>100</v>
          </cell>
          <cell r="K14">
            <v>200</v>
          </cell>
          <cell r="L14">
            <v>200</v>
          </cell>
          <cell r="M14">
            <v>100</v>
          </cell>
        </row>
        <row r="15">
          <cell r="A15" t="str">
            <v>B078YGGR7X</v>
          </cell>
          <cell r="B15">
            <v>0</v>
          </cell>
          <cell r="C15">
            <v>0</v>
          </cell>
          <cell r="D15">
            <v>0</v>
          </cell>
          <cell r="E15">
            <v>50</v>
          </cell>
          <cell r="F15">
            <v>50</v>
          </cell>
          <cell r="G15">
            <v>100</v>
          </cell>
          <cell r="H15">
            <v>100</v>
          </cell>
          <cell r="I15">
            <v>100</v>
          </cell>
          <cell r="J15">
            <v>100</v>
          </cell>
          <cell r="K15">
            <v>50</v>
          </cell>
          <cell r="L15">
            <v>50</v>
          </cell>
          <cell r="M15">
            <v>50</v>
          </cell>
        </row>
        <row r="16">
          <cell r="A16" t="str">
            <v>B0FML7YSZ1</v>
          </cell>
          <cell r="B16">
            <v>0</v>
          </cell>
          <cell r="C16">
            <v>0</v>
          </cell>
          <cell r="D16">
            <v>50</v>
          </cell>
          <cell r="E16">
            <v>100</v>
          </cell>
          <cell r="F16">
            <v>100</v>
          </cell>
          <cell r="G16">
            <v>0</v>
          </cell>
          <cell r="H16">
            <v>0</v>
          </cell>
          <cell r="I16">
            <v>100</v>
          </cell>
          <cell r="J16">
            <v>100</v>
          </cell>
          <cell r="K16">
            <v>0</v>
          </cell>
          <cell r="L16">
            <v>0</v>
          </cell>
          <cell r="M16">
            <v>0</v>
          </cell>
        </row>
        <row r="17">
          <cell r="A17" t="str">
            <v>B00HVB3GH0</v>
          </cell>
          <cell r="B17">
            <v>0</v>
          </cell>
          <cell r="C17">
            <v>0</v>
          </cell>
          <cell r="D17">
            <v>0</v>
          </cell>
          <cell r="E17">
            <v>0</v>
          </cell>
          <cell r="F17">
            <v>50</v>
          </cell>
          <cell r="G17">
            <v>0</v>
          </cell>
          <cell r="H17">
            <v>50</v>
          </cell>
          <cell r="I17">
            <v>0</v>
          </cell>
          <cell r="J17">
            <v>50</v>
          </cell>
          <cell r="K17">
            <v>50</v>
          </cell>
          <cell r="L17">
            <v>50</v>
          </cell>
          <cell r="M17">
            <v>0</v>
          </cell>
        </row>
        <row r="18">
          <cell r="A18" t="str">
            <v>B005FYMOI2</v>
          </cell>
          <cell r="B18">
            <v>0</v>
          </cell>
          <cell r="C18">
            <v>0</v>
          </cell>
          <cell r="D18">
            <v>0</v>
          </cell>
          <cell r="E18">
            <v>50</v>
          </cell>
          <cell r="F18">
            <v>100</v>
          </cell>
          <cell r="G18">
            <v>200</v>
          </cell>
          <cell r="H18">
            <v>200</v>
          </cell>
          <cell r="I18">
            <v>200</v>
          </cell>
          <cell r="J18">
            <v>100</v>
          </cell>
          <cell r="K18">
            <v>100</v>
          </cell>
          <cell r="L18">
            <v>0</v>
          </cell>
          <cell r="M18">
            <v>0</v>
          </cell>
        </row>
        <row r="19">
          <cell r="A19" t="str">
            <v>B09R6CM6BJ</v>
          </cell>
          <cell r="B19">
            <v>50</v>
          </cell>
          <cell r="C19">
            <v>50</v>
          </cell>
          <cell r="D19">
            <v>50</v>
          </cell>
          <cell r="E19">
            <v>50</v>
          </cell>
          <cell r="F19">
            <v>50</v>
          </cell>
          <cell r="G19">
            <v>50</v>
          </cell>
          <cell r="H19">
            <v>50</v>
          </cell>
          <cell r="I19">
            <v>50</v>
          </cell>
          <cell r="J19">
            <v>50</v>
          </cell>
          <cell r="K19">
            <v>100</v>
          </cell>
          <cell r="L19">
            <v>100</v>
          </cell>
          <cell r="M19">
            <v>50</v>
          </cell>
        </row>
        <row r="20">
          <cell r="A20" t="str">
            <v>B01M4RDGFG</v>
          </cell>
          <cell r="B20">
            <v>0</v>
          </cell>
          <cell r="C20">
            <v>0</v>
          </cell>
          <cell r="D20">
            <v>0</v>
          </cell>
          <cell r="E20">
            <v>0</v>
          </cell>
          <cell r="F20">
            <v>50</v>
          </cell>
          <cell r="G20">
            <v>50</v>
          </cell>
          <cell r="H20">
            <v>50</v>
          </cell>
          <cell r="I20">
            <v>50</v>
          </cell>
          <cell r="J20">
            <v>50</v>
          </cell>
          <cell r="K20">
            <v>50</v>
          </cell>
          <cell r="L20">
            <v>0</v>
          </cell>
          <cell r="M20">
            <v>0</v>
          </cell>
        </row>
        <row r="21">
          <cell r="A21" t="str">
            <v>B000HHQ320</v>
          </cell>
          <cell r="B21">
            <v>0</v>
          </cell>
          <cell r="C21">
            <v>0</v>
          </cell>
          <cell r="D21">
            <v>0</v>
          </cell>
          <cell r="E21">
            <v>0</v>
          </cell>
          <cell r="F21">
            <v>0</v>
          </cell>
          <cell r="G21">
            <v>50</v>
          </cell>
          <cell r="H21">
            <v>0</v>
          </cell>
          <cell r="I21">
            <v>0</v>
          </cell>
          <cell r="J21">
            <v>50</v>
          </cell>
          <cell r="K21">
            <v>0</v>
          </cell>
          <cell r="L21">
            <v>50</v>
          </cell>
          <cell r="M21">
            <v>0</v>
          </cell>
        </row>
        <row r="22">
          <cell r="A22" t="str">
            <v>B000HHM5QI</v>
          </cell>
          <cell r="B22">
            <v>0</v>
          </cell>
          <cell r="C22">
            <v>0</v>
          </cell>
          <cell r="D22">
            <v>0</v>
          </cell>
          <cell r="E22">
            <v>0</v>
          </cell>
          <cell r="F22">
            <v>0</v>
          </cell>
          <cell r="G22">
            <v>50</v>
          </cell>
          <cell r="H22">
            <v>50</v>
          </cell>
          <cell r="I22">
            <v>50</v>
          </cell>
          <cell r="J22">
            <v>50</v>
          </cell>
          <cell r="K22">
            <v>0</v>
          </cell>
          <cell r="L22">
            <v>0</v>
          </cell>
          <cell r="M22">
            <v>0</v>
          </cell>
        </row>
        <row r="23">
          <cell r="A23" t="str">
            <v>B007T9SSE0</v>
          </cell>
          <cell r="B23">
            <v>0</v>
          </cell>
          <cell r="C23">
            <v>0</v>
          </cell>
          <cell r="D23">
            <v>0</v>
          </cell>
          <cell r="E23">
            <v>50</v>
          </cell>
          <cell r="F23">
            <v>50</v>
          </cell>
          <cell r="G23">
            <v>100</v>
          </cell>
          <cell r="H23">
            <v>100</v>
          </cell>
          <cell r="I23">
            <v>50</v>
          </cell>
          <cell r="J23">
            <v>50</v>
          </cell>
          <cell r="K23">
            <v>0</v>
          </cell>
          <cell r="L23">
            <v>0</v>
          </cell>
          <cell r="M23">
            <v>0</v>
          </cell>
        </row>
        <row r="24">
          <cell r="A24" t="str">
            <v>B079TDXSL4</v>
          </cell>
          <cell r="B24">
            <v>0</v>
          </cell>
          <cell r="C24">
            <v>0</v>
          </cell>
          <cell r="D24">
            <v>0</v>
          </cell>
          <cell r="E24">
            <v>50</v>
          </cell>
          <cell r="F24">
            <v>50</v>
          </cell>
          <cell r="G24">
            <v>0</v>
          </cell>
          <cell r="H24">
            <v>0</v>
          </cell>
          <cell r="I24">
            <v>0</v>
          </cell>
          <cell r="J24">
            <v>50</v>
          </cell>
          <cell r="K24">
            <v>50</v>
          </cell>
          <cell r="L24">
            <v>50</v>
          </cell>
          <cell r="M24">
            <v>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B072C1RYZY</v>
          </cell>
          <cell r="B2">
            <v>1000</v>
          </cell>
          <cell r="C2">
            <v>1000</v>
          </cell>
          <cell r="D2">
            <v>1000</v>
          </cell>
          <cell r="E2">
            <v>2000</v>
          </cell>
          <cell r="F2">
            <v>800</v>
          </cell>
          <cell r="G2">
            <v>2000</v>
          </cell>
          <cell r="H2">
            <v>1000</v>
          </cell>
          <cell r="I2">
            <v>1000</v>
          </cell>
          <cell r="J2">
            <v>1000</v>
          </cell>
          <cell r="K2">
            <v>1000</v>
          </cell>
          <cell r="L2">
            <v>1000</v>
          </cell>
          <cell r="M2">
            <v>1000</v>
          </cell>
        </row>
        <row r="3">
          <cell r="A3" t="str">
            <v>B072C87MD8</v>
          </cell>
          <cell r="B3">
            <v>200</v>
          </cell>
          <cell r="C3">
            <v>200</v>
          </cell>
          <cell r="D3">
            <v>300</v>
          </cell>
          <cell r="E3">
            <v>500</v>
          </cell>
          <cell r="F3">
            <v>500</v>
          </cell>
          <cell r="G3">
            <v>1000</v>
          </cell>
          <cell r="H3">
            <v>1000</v>
          </cell>
          <cell r="I3">
            <v>500</v>
          </cell>
          <cell r="J3">
            <v>500</v>
          </cell>
          <cell r="K3">
            <v>400</v>
          </cell>
          <cell r="L3">
            <v>200</v>
          </cell>
          <cell r="M3">
            <v>200</v>
          </cell>
        </row>
        <row r="4">
          <cell r="A4" t="str">
            <v>B0728M7D7L</v>
          </cell>
          <cell r="B4">
            <v>300</v>
          </cell>
          <cell r="C4">
            <v>300</v>
          </cell>
          <cell r="D4">
            <v>500</v>
          </cell>
          <cell r="E4">
            <v>700</v>
          </cell>
          <cell r="F4">
            <v>700</v>
          </cell>
          <cell r="G4">
            <v>500</v>
          </cell>
          <cell r="H4">
            <v>100</v>
          </cell>
          <cell r="I4">
            <v>300</v>
          </cell>
          <cell r="J4">
            <v>400</v>
          </cell>
          <cell r="K4">
            <v>300</v>
          </cell>
          <cell r="L4">
            <v>400</v>
          </cell>
          <cell r="M4">
            <v>300</v>
          </cell>
        </row>
        <row r="5">
          <cell r="A5" t="str">
            <v>B072LSRFG6</v>
          </cell>
          <cell r="B5">
            <v>300</v>
          </cell>
          <cell r="C5">
            <v>400</v>
          </cell>
          <cell r="D5">
            <v>600</v>
          </cell>
          <cell r="E5">
            <v>700</v>
          </cell>
          <cell r="F5">
            <v>400</v>
          </cell>
          <cell r="G5">
            <v>500</v>
          </cell>
          <cell r="H5">
            <v>700</v>
          </cell>
          <cell r="I5">
            <v>600</v>
          </cell>
          <cell r="J5">
            <v>200</v>
          </cell>
          <cell r="K5">
            <v>500</v>
          </cell>
          <cell r="L5">
            <v>500</v>
          </cell>
          <cell r="M5">
            <v>200</v>
          </cell>
        </row>
        <row r="6">
          <cell r="A6" t="str">
            <v>B0719V2FT1</v>
          </cell>
          <cell r="B6">
            <v>100</v>
          </cell>
          <cell r="C6">
            <v>200</v>
          </cell>
          <cell r="D6">
            <v>200</v>
          </cell>
          <cell r="E6">
            <v>400</v>
          </cell>
          <cell r="F6">
            <v>500</v>
          </cell>
          <cell r="G6">
            <v>300</v>
          </cell>
          <cell r="H6">
            <v>100</v>
          </cell>
          <cell r="I6">
            <v>100</v>
          </cell>
          <cell r="J6">
            <v>200</v>
          </cell>
          <cell r="K6">
            <v>100</v>
          </cell>
          <cell r="L6">
            <v>100</v>
          </cell>
          <cell r="M6">
            <v>100</v>
          </cell>
        </row>
        <row r="7">
          <cell r="A7" t="str">
            <v>B07178W2MX</v>
          </cell>
          <cell r="B7">
            <v>50</v>
          </cell>
          <cell r="C7">
            <v>50</v>
          </cell>
          <cell r="D7">
            <v>200</v>
          </cell>
          <cell r="E7">
            <v>600</v>
          </cell>
          <cell r="F7">
            <v>700</v>
          </cell>
          <cell r="G7">
            <v>800</v>
          </cell>
          <cell r="H7">
            <v>600</v>
          </cell>
          <cell r="I7">
            <v>100</v>
          </cell>
          <cell r="J7">
            <v>200</v>
          </cell>
          <cell r="K7">
            <v>100</v>
          </cell>
          <cell r="L7">
            <v>100</v>
          </cell>
          <cell r="M7">
            <v>50</v>
          </cell>
        </row>
        <row r="8">
          <cell r="A8" t="str">
            <v>B09854BKK2</v>
          </cell>
          <cell r="B8">
            <v>100</v>
          </cell>
          <cell r="C8">
            <v>100</v>
          </cell>
          <cell r="D8">
            <v>300</v>
          </cell>
          <cell r="E8">
            <v>400</v>
          </cell>
          <cell r="F8">
            <v>300</v>
          </cell>
          <cell r="G8">
            <v>200</v>
          </cell>
          <cell r="H8">
            <v>200</v>
          </cell>
          <cell r="I8">
            <v>100</v>
          </cell>
          <cell r="J8">
            <v>200</v>
          </cell>
          <cell r="K8">
            <v>100</v>
          </cell>
          <cell r="L8">
            <v>200</v>
          </cell>
          <cell r="M8">
            <v>100</v>
          </cell>
        </row>
        <row r="9">
          <cell r="A9" t="str">
            <v>B071LS3FB7</v>
          </cell>
          <cell r="B9">
            <v>100</v>
          </cell>
          <cell r="C9">
            <v>100</v>
          </cell>
          <cell r="D9">
            <v>200</v>
          </cell>
          <cell r="E9">
            <v>400</v>
          </cell>
          <cell r="F9">
            <v>600</v>
          </cell>
          <cell r="G9">
            <v>500</v>
          </cell>
          <cell r="H9">
            <v>600</v>
          </cell>
          <cell r="I9">
            <v>600</v>
          </cell>
          <cell r="J9">
            <v>100</v>
          </cell>
          <cell r="K9">
            <v>100</v>
          </cell>
          <cell r="L9">
            <v>100</v>
          </cell>
          <cell r="M9">
            <v>100</v>
          </cell>
        </row>
        <row r="10">
          <cell r="A10" t="str">
            <v>B071FL88SX</v>
          </cell>
          <cell r="B10">
            <v>0</v>
          </cell>
          <cell r="C10">
            <v>0</v>
          </cell>
          <cell r="D10">
            <v>100</v>
          </cell>
          <cell r="E10">
            <v>300</v>
          </cell>
          <cell r="F10">
            <v>100</v>
          </cell>
          <cell r="G10">
            <v>100</v>
          </cell>
          <cell r="H10">
            <v>200</v>
          </cell>
          <cell r="I10">
            <v>200</v>
          </cell>
          <cell r="J10">
            <v>100</v>
          </cell>
          <cell r="K10">
            <v>200</v>
          </cell>
          <cell r="L10">
            <v>100</v>
          </cell>
          <cell r="M10">
            <v>50</v>
          </cell>
        </row>
        <row r="11">
          <cell r="A11" t="str">
            <v>B0728MLXHM</v>
          </cell>
          <cell r="B11">
            <v>0</v>
          </cell>
          <cell r="C11">
            <v>0</v>
          </cell>
          <cell r="D11">
            <v>50</v>
          </cell>
          <cell r="E11">
            <v>100</v>
          </cell>
          <cell r="F11">
            <v>400</v>
          </cell>
          <cell r="G11">
            <v>600</v>
          </cell>
          <cell r="H11">
            <v>100</v>
          </cell>
          <cell r="I11">
            <v>300</v>
          </cell>
          <cell r="J11">
            <v>100</v>
          </cell>
          <cell r="K11">
            <v>0</v>
          </cell>
          <cell r="L11">
            <v>0</v>
          </cell>
          <cell r="M11">
            <v>0</v>
          </cell>
        </row>
        <row r="12">
          <cell r="A12" t="str">
            <v>B072FT74CT</v>
          </cell>
          <cell r="B12">
            <v>0</v>
          </cell>
          <cell r="C12">
            <v>50</v>
          </cell>
          <cell r="D12">
            <v>100</v>
          </cell>
          <cell r="E12">
            <v>200</v>
          </cell>
          <cell r="F12">
            <v>100</v>
          </cell>
          <cell r="G12">
            <v>300</v>
          </cell>
          <cell r="H12">
            <v>400</v>
          </cell>
          <cell r="I12">
            <v>100</v>
          </cell>
          <cell r="J12">
            <v>100</v>
          </cell>
          <cell r="K12">
            <v>100</v>
          </cell>
          <cell r="L12">
            <v>50</v>
          </cell>
          <cell r="M12">
            <v>50</v>
          </cell>
        </row>
        <row r="13">
          <cell r="A13" t="str">
            <v>B01LW9UGUZ</v>
          </cell>
          <cell r="B13">
            <v>0</v>
          </cell>
          <cell r="C13">
            <v>0</v>
          </cell>
          <cell r="D13">
            <v>50</v>
          </cell>
          <cell r="E13">
            <v>100</v>
          </cell>
          <cell r="F13">
            <v>100</v>
          </cell>
          <cell r="G13">
            <v>100</v>
          </cell>
          <cell r="H13">
            <v>100</v>
          </cell>
          <cell r="I13">
            <v>100</v>
          </cell>
          <cell r="J13">
            <v>100</v>
          </cell>
          <cell r="K13">
            <v>100</v>
          </cell>
          <cell r="L13">
            <v>50</v>
          </cell>
          <cell r="M13">
            <v>50</v>
          </cell>
        </row>
        <row r="14">
          <cell r="A14" t="str">
            <v>B01LWD8OXH</v>
          </cell>
          <cell r="B14">
            <v>50</v>
          </cell>
          <cell r="C14">
            <v>50</v>
          </cell>
          <cell r="D14">
            <v>100</v>
          </cell>
          <cell r="E14">
            <v>100</v>
          </cell>
          <cell r="F14">
            <v>100</v>
          </cell>
          <cell r="G14">
            <v>200</v>
          </cell>
          <cell r="H14">
            <v>200</v>
          </cell>
          <cell r="I14">
            <v>100</v>
          </cell>
          <cell r="J14">
            <v>100</v>
          </cell>
          <cell r="K14">
            <v>50</v>
          </cell>
          <cell r="L14">
            <v>50</v>
          </cell>
          <cell r="M14">
            <v>50</v>
          </cell>
        </row>
        <row r="15">
          <cell r="A15" t="str">
            <v>B07178KLDM</v>
          </cell>
          <cell r="B15">
            <v>0</v>
          </cell>
          <cell r="C15">
            <v>0</v>
          </cell>
          <cell r="D15">
            <v>100</v>
          </cell>
          <cell r="E15">
            <v>200</v>
          </cell>
          <cell r="F15">
            <v>400</v>
          </cell>
          <cell r="G15">
            <v>400</v>
          </cell>
          <cell r="H15">
            <v>100</v>
          </cell>
          <cell r="I15">
            <v>200</v>
          </cell>
          <cell r="J15">
            <v>100</v>
          </cell>
          <cell r="K15">
            <v>200</v>
          </cell>
          <cell r="L15">
            <v>100</v>
          </cell>
          <cell r="M15">
            <v>50</v>
          </cell>
        </row>
        <row r="16">
          <cell r="A16" t="str">
            <v>B071PDHF8W</v>
          </cell>
          <cell r="B16">
            <v>50</v>
          </cell>
          <cell r="C16">
            <v>50</v>
          </cell>
          <cell r="D16">
            <v>50</v>
          </cell>
          <cell r="E16">
            <v>50</v>
          </cell>
          <cell r="F16">
            <v>100</v>
          </cell>
          <cell r="G16">
            <v>100</v>
          </cell>
          <cell r="H16">
            <v>100</v>
          </cell>
          <cell r="I16">
            <v>50</v>
          </cell>
          <cell r="J16">
            <v>50</v>
          </cell>
          <cell r="K16">
            <v>100</v>
          </cell>
          <cell r="L16">
            <v>50</v>
          </cell>
          <cell r="M16">
            <v>50</v>
          </cell>
        </row>
        <row r="17">
          <cell r="A17" t="str">
            <v>B0723FZHHY</v>
          </cell>
          <cell r="B17">
            <v>0</v>
          </cell>
          <cell r="C17">
            <v>0</v>
          </cell>
          <cell r="D17">
            <v>0</v>
          </cell>
          <cell r="E17">
            <v>100</v>
          </cell>
          <cell r="F17">
            <v>200</v>
          </cell>
          <cell r="G17">
            <v>300</v>
          </cell>
          <cell r="H17">
            <v>100</v>
          </cell>
          <cell r="I17">
            <v>100</v>
          </cell>
          <cell r="J17">
            <v>50</v>
          </cell>
          <cell r="K17">
            <v>50</v>
          </cell>
          <cell r="L17">
            <v>50</v>
          </cell>
          <cell r="M17">
            <v>0</v>
          </cell>
        </row>
        <row r="18">
          <cell r="A18" t="str">
            <v>B072FT8CG1</v>
          </cell>
          <cell r="B18">
            <v>0</v>
          </cell>
          <cell r="C18">
            <v>0</v>
          </cell>
          <cell r="D18">
            <v>50</v>
          </cell>
          <cell r="E18">
            <v>100</v>
          </cell>
          <cell r="F18">
            <v>200</v>
          </cell>
          <cell r="G18">
            <v>200</v>
          </cell>
          <cell r="H18">
            <v>300</v>
          </cell>
          <cell r="I18">
            <v>200</v>
          </cell>
          <cell r="J18">
            <v>50</v>
          </cell>
          <cell r="K18">
            <v>50</v>
          </cell>
          <cell r="L18">
            <v>50</v>
          </cell>
          <cell r="M18">
            <v>50</v>
          </cell>
        </row>
        <row r="19">
          <cell r="A19" t="str">
            <v>B0714P77KB</v>
          </cell>
          <cell r="B19">
            <v>50</v>
          </cell>
          <cell r="C19">
            <v>50</v>
          </cell>
          <cell r="D19">
            <v>100</v>
          </cell>
          <cell r="E19">
            <v>100</v>
          </cell>
          <cell r="F19">
            <v>100</v>
          </cell>
          <cell r="G19">
            <v>200</v>
          </cell>
          <cell r="H19">
            <v>100</v>
          </cell>
          <cell r="I19">
            <v>100</v>
          </cell>
          <cell r="J19">
            <v>50</v>
          </cell>
          <cell r="K19">
            <v>50</v>
          </cell>
          <cell r="L19">
            <v>50</v>
          </cell>
          <cell r="M19">
            <v>50</v>
          </cell>
        </row>
        <row r="20">
          <cell r="A20" t="str">
            <v>B071SK83JG</v>
          </cell>
          <cell r="B20">
            <v>0</v>
          </cell>
          <cell r="C20">
            <v>0</v>
          </cell>
          <cell r="D20">
            <v>0</v>
          </cell>
          <cell r="E20">
            <v>50</v>
          </cell>
          <cell r="F20">
            <v>100</v>
          </cell>
          <cell r="G20">
            <v>300</v>
          </cell>
          <cell r="H20">
            <v>300</v>
          </cell>
          <cell r="I20">
            <v>200</v>
          </cell>
          <cell r="J20">
            <v>50</v>
          </cell>
          <cell r="K20">
            <v>0</v>
          </cell>
          <cell r="L20">
            <v>0</v>
          </cell>
          <cell r="M20">
            <v>0</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B07JBRJH79</v>
          </cell>
          <cell r="B2">
            <v>10000</v>
          </cell>
          <cell r="C2">
            <v>10000</v>
          </cell>
          <cell r="D2">
            <v>10000</v>
          </cell>
          <cell r="E2">
            <v>20000</v>
          </cell>
          <cell r="F2">
            <v>40000</v>
          </cell>
          <cell r="G2">
            <v>50000</v>
          </cell>
          <cell r="H2">
            <v>61000</v>
          </cell>
          <cell r="I2">
            <v>80000</v>
          </cell>
          <cell r="J2">
            <v>30000</v>
          </cell>
          <cell r="K2">
            <v>50000</v>
          </cell>
          <cell r="L2">
            <v>20000</v>
          </cell>
          <cell r="M2">
            <v>7000</v>
          </cell>
        </row>
        <row r="3">
          <cell r="A3" t="str">
            <v>B07XL6B8S8</v>
          </cell>
          <cell r="B3">
            <v>200</v>
          </cell>
          <cell r="C3">
            <v>1000</v>
          </cell>
          <cell r="D3">
            <v>2000</v>
          </cell>
          <cell r="E3">
            <v>4000</v>
          </cell>
          <cell r="F3">
            <v>7000</v>
          </cell>
          <cell r="G3">
            <v>2600</v>
          </cell>
          <cell r="H3">
            <v>2000</v>
          </cell>
          <cell r="I3">
            <v>3000</v>
          </cell>
          <cell r="J3">
            <v>5000</v>
          </cell>
          <cell r="K3">
            <v>7000</v>
          </cell>
          <cell r="L3">
            <v>3000</v>
          </cell>
          <cell r="M3">
            <v>1000</v>
          </cell>
        </row>
        <row r="4">
          <cell r="A4" t="str">
            <v>B0BG3GY6QP</v>
          </cell>
          <cell r="B4">
            <v>200</v>
          </cell>
          <cell r="C4">
            <v>700</v>
          </cell>
          <cell r="D4">
            <v>1000</v>
          </cell>
          <cell r="E4">
            <v>5000</v>
          </cell>
          <cell r="F4">
            <v>5000</v>
          </cell>
          <cell r="G4">
            <v>3000</v>
          </cell>
          <cell r="H4">
            <v>5000</v>
          </cell>
          <cell r="I4">
            <v>4000</v>
          </cell>
          <cell r="J4">
            <v>4000</v>
          </cell>
          <cell r="K4">
            <v>2000</v>
          </cell>
          <cell r="L4">
            <v>1000</v>
          </cell>
          <cell r="M4">
            <v>400</v>
          </cell>
        </row>
        <row r="5">
          <cell r="A5" t="str">
            <v>B0DK9Y2LTR</v>
          </cell>
          <cell r="B5">
            <v>2000</v>
          </cell>
          <cell r="C5">
            <v>4000</v>
          </cell>
          <cell r="D5">
            <v>5000</v>
          </cell>
          <cell r="E5">
            <v>5000</v>
          </cell>
          <cell r="F5">
            <v>9000</v>
          </cell>
          <cell r="G5">
            <v>2000</v>
          </cell>
          <cell r="H5">
            <v>2000</v>
          </cell>
          <cell r="I5">
            <v>3000</v>
          </cell>
          <cell r="J5">
            <v>3000</v>
          </cell>
          <cell r="K5">
            <v>4000</v>
          </cell>
          <cell r="L5">
            <v>6000</v>
          </cell>
          <cell r="M5">
            <v>4000</v>
          </cell>
        </row>
        <row r="6">
          <cell r="A6" t="str">
            <v>B0F1F2NZ4H</v>
          </cell>
          <cell r="B6">
            <v>0</v>
          </cell>
          <cell r="C6">
            <v>1000</v>
          </cell>
          <cell r="D6">
            <v>1000</v>
          </cell>
          <cell r="E6">
            <v>1000</v>
          </cell>
          <cell r="F6">
            <v>2000</v>
          </cell>
          <cell r="G6">
            <v>3000</v>
          </cell>
          <cell r="H6">
            <v>4000</v>
          </cell>
          <cell r="I6">
            <v>4000</v>
          </cell>
          <cell r="J6">
            <v>2000</v>
          </cell>
          <cell r="K6">
            <v>2000</v>
          </cell>
          <cell r="L6">
            <v>1000</v>
          </cell>
          <cell r="M6">
            <v>1000</v>
          </cell>
        </row>
        <row r="7">
          <cell r="A7" t="str">
            <v>B09JB996G8</v>
          </cell>
          <cell r="B7">
            <v>600</v>
          </cell>
          <cell r="C7">
            <v>600</v>
          </cell>
          <cell r="D7">
            <v>1000</v>
          </cell>
          <cell r="E7">
            <v>5000</v>
          </cell>
          <cell r="F7">
            <v>6000</v>
          </cell>
          <cell r="G7">
            <v>5000</v>
          </cell>
          <cell r="H7">
            <v>5000</v>
          </cell>
          <cell r="I7">
            <v>4000</v>
          </cell>
          <cell r="J7">
            <v>2000</v>
          </cell>
          <cell r="K7">
            <v>2000</v>
          </cell>
          <cell r="L7">
            <v>1000</v>
          </cell>
          <cell r="M7">
            <v>1000</v>
          </cell>
        </row>
        <row r="8">
          <cell r="A8" t="str">
            <v>B0D7NV4215</v>
          </cell>
          <cell r="B8">
            <v>1000</v>
          </cell>
          <cell r="C8">
            <v>1000</v>
          </cell>
          <cell r="D8">
            <v>1000</v>
          </cell>
          <cell r="E8">
            <v>2000</v>
          </cell>
          <cell r="F8">
            <v>3000</v>
          </cell>
          <cell r="G8">
            <v>4000</v>
          </cell>
          <cell r="H8">
            <v>2000</v>
          </cell>
          <cell r="I8">
            <v>2000</v>
          </cell>
          <cell r="J8">
            <v>1000</v>
          </cell>
          <cell r="K8">
            <v>2000</v>
          </cell>
          <cell r="L8">
            <v>1000</v>
          </cell>
          <cell r="M8">
            <v>2000</v>
          </cell>
        </row>
        <row r="9">
          <cell r="A9" t="str">
            <v>B0H6XXRTSJ</v>
          </cell>
          <cell r="B9">
            <v>0</v>
          </cell>
          <cell r="C9">
            <v>0</v>
          </cell>
          <cell r="D9">
            <v>400</v>
          </cell>
          <cell r="E9">
            <v>500</v>
          </cell>
          <cell r="F9">
            <v>700</v>
          </cell>
          <cell r="G9">
            <v>1000</v>
          </cell>
          <cell r="H9">
            <v>1000</v>
          </cell>
          <cell r="I9">
            <v>1000</v>
          </cell>
          <cell r="J9">
            <v>1000</v>
          </cell>
          <cell r="K9">
            <v>0</v>
          </cell>
          <cell r="L9">
            <v>0</v>
          </cell>
          <cell r="M9">
            <v>0</v>
          </cell>
        </row>
        <row r="10">
          <cell r="A10" t="str">
            <v>B09K9P1CFC</v>
          </cell>
          <cell r="B10">
            <v>300</v>
          </cell>
          <cell r="C10">
            <v>500</v>
          </cell>
          <cell r="D10">
            <v>700</v>
          </cell>
          <cell r="E10">
            <v>900</v>
          </cell>
          <cell r="F10">
            <v>1000</v>
          </cell>
          <cell r="G10">
            <v>1000</v>
          </cell>
          <cell r="H10">
            <v>1000</v>
          </cell>
          <cell r="I10">
            <v>1000</v>
          </cell>
          <cell r="J10">
            <v>700</v>
          </cell>
          <cell r="K10">
            <v>700</v>
          </cell>
          <cell r="L10">
            <v>600</v>
          </cell>
          <cell r="M10">
            <v>300</v>
          </cell>
        </row>
        <row r="11">
          <cell r="A11" t="str">
            <v>B0H6XXKPJH</v>
          </cell>
          <cell r="B11">
            <v>0</v>
          </cell>
          <cell r="C11">
            <v>0</v>
          </cell>
          <cell r="D11">
            <v>0</v>
          </cell>
          <cell r="E11">
            <v>0</v>
          </cell>
          <cell r="F11">
            <v>0</v>
          </cell>
          <cell r="G11">
            <v>0</v>
          </cell>
          <cell r="H11">
            <v>0</v>
          </cell>
          <cell r="I11">
            <v>0</v>
          </cell>
          <cell r="J11">
            <v>800</v>
          </cell>
          <cell r="K11">
            <v>0</v>
          </cell>
          <cell r="L11">
            <v>0</v>
          </cell>
          <cell r="M11">
            <v>0</v>
          </cell>
        </row>
        <row r="12">
          <cell r="A12" t="str">
            <v>B0F1F2TW3X</v>
          </cell>
          <cell r="B12">
            <v>50</v>
          </cell>
          <cell r="C12">
            <v>50</v>
          </cell>
          <cell r="D12">
            <v>100</v>
          </cell>
          <cell r="E12">
            <v>1000</v>
          </cell>
          <cell r="F12">
            <v>1000</v>
          </cell>
          <cell r="G12">
            <v>2000</v>
          </cell>
          <cell r="H12">
            <v>2000</v>
          </cell>
          <cell r="I12">
            <v>1000</v>
          </cell>
          <cell r="J12">
            <v>300</v>
          </cell>
          <cell r="K12">
            <v>900</v>
          </cell>
          <cell r="L12">
            <v>200</v>
          </cell>
          <cell r="M12">
            <v>50</v>
          </cell>
        </row>
        <row r="13">
          <cell r="A13" t="str">
            <v>B0F1DZ56Y5</v>
          </cell>
          <cell r="B13">
            <v>100</v>
          </cell>
          <cell r="C13">
            <v>100</v>
          </cell>
          <cell r="D13">
            <v>0</v>
          </cell>
          <cell r="E13">
            <v>50</v>
          </cell>
          <cell r="F13">
            <v>700</v>
          </cell>
          <cell r="G13">
            <v>100</v>
          </cell>
          <cell r="H13">
            <v>200</v>
          </cell>
          <cell r="I13">
            <v>300</v>
          </cell>
          <cell r="J13">
            <v>400</v>
          </cell>
          <cell r="K13">
            <v>500</v>
          </cell>
          <cell r="L13">
            <v>100</v>
          </cell>
          <cell r="M13">
            <v>0</v>
          </cell>
        </row>
        <row r="14">
          <cell r="A14" t="str">
            <v>B09KBKVL1M</v>
          </cell>
          <cell r="B14">
            <v>50</v>
          </cell>
          <cell r="C14">
            <v>50</v>
          </cell>
          <cell r="D14">
            <v>100</v>
          </cell>
          <cell r="E14">
            <v>300</v>
          </cell>
          <cell r="F14">
            <v>600</v>
          </cell>
          <cell r="G14">
            <v>800</v>
          </cell>
          <cell r="H14">
            <v>850</v>
          </cell>
          <cell r="I14">
            <v>1000</v>
          </cell>
          <cell r="J14">
            <v>300</v>
          </cell>
          <cell r="K14">
            <v>600</v>
          </cell>
          <cell r="L14">
            <v>500</v>
          </cell>
          <cell r="M14">
            <v>100</v>
          </cell>
        </row>
        <row r="15">
          <cell r="A15" t="str">
            <v>B0CH2XP8KZ</v>
          </cell>
          <cell r="B15">
            <v>600</v>
          </cell>
          <cell r="C15">
            <v>700</v>
          </cell>
          <cell r="D15">
            <v>500</v>
          </cell>
          <cell r="E15">
            <v>1000</v>
          </cell>
          <cell r="F15">
            <v>1000</v>
          </cell>
          <cell r="G15">
            <v>1000</v>
          </cell>
          <cell r="H15">
            <v>1000</v>
          </cell>
          <cell r="I15">
            <v>1000</v>
          </cell>
          <cell r="J15">
            <v>400</v>
          </cell>
          <cell r="K15">
            <v>1000</v>
          </cell>
          <cell r="L15">
            <v>1000</v>
          </cell>
          <cell r="M15">
            <v>900</v>
          </cell>
        </row>
        <row r="16">
          <cell r="A16" t="str">
            <v>B0F1DZHH53</v>
          </cell>
          <cell r="B16">
            <v>100</v>
          </cell>
          <cell r="C16">
            <v>100</v>
          </cell>
          <cell r="D16">
            <v>100</v>
          </cell>
          <cell r="E16">
            <v>200</v>
          </cell>
          <cell r="F16">
            <v>300</v>
          </cell>
          <cell r="G16">
            <v>300</v>
          </cell>
          <cell r="H16">
            <v>300</v>
          </cell>
          <cell r="I16">
            <v>300</v>
          </cell>
          <cell r="J16">
            <v>100</v>
          </cell>
          <cell r="K16">
            <v>300</v>
          </cell>
          <cell r="L16">
            <v>200</v>
          </cell>
          <cell r="M16">
            <v>100</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B083JJRHH6</v>
          </cell>
          <cell r="B2">
            <v>200</v>
          </cell>
          <cell r="C2">
            <v>100</v>
          </cell>
          <cell r="D2">
            <v>50</v>
          </cell>
          <cell r="E2">
            <v>50</v>
          </cell>
          <cell r="F2">
            <v>50</v>
          </cell>
          <cell r="G2">
            <v>100</v>
          </cell>
          <cell r="H2">
            <v>50</v>
          </cell>
          <cell r="I2">
            <v>50</v>
          </cell>
          <cell r="J2">
            <v>200</v>
          </cell>
          <cell r="K2">
            <v>500</v>
          </cell>
          <cell r="L2">
            <v>0</v>
          </cell>
          <cell r="M2">
            <v>200</v>
          </cell>
        </row>
        <row r="3">
          <cell r="A3" t="str">
            <v>B01CPURY3S</v>
          </cell>
          <cell r="B3">
            <v>0</v>
          </cell>
          <cell r="C3">
            <v>0</v>
          </cell>
          <cell r="D3">
            <v>100</v>
          </cell>
          <cell r="E3">
            <v>200</v>
          </cell>
          <cell r="F3">
            <v>100</v>
          </cell>
          <cell r="G3">
            <v>200</v>
          </cell>
          <cell r="H3">
            <v>300</v>
          </cell>
          <cell r="I3">
            <v>300</v>
          </cell>
          <cell r="J3">
            <v>200</v>
          </cell>
          <cell r="K3">
            <v>100</v>
          </cell>
          <cell r="L3">
            <v>200</v>
          </cell>
          <cell r="M3">
            <v>50</v>
          </cell>
        </row>
        <row r="4">
          <cell r="A4" t="str">
            <v>B01DTBOV06</v>
          </cell>
          <cell r="B4">
            <v>700</v>
          </cell>
          <cell r="C4">
            <v>600</v>
          </cell>
          <cell r="D4">
            <v>1000</v>
          </cell>
          <cell r="E4">
            <v>1000</v>
          </cell>
          <cell r="F4">
            <v>400</v>
          </cell>
          <cell r="G4">
            <v>100</v>
          </cell>
          <cell r="H4">
            <v>0</v>
          </cell>
          <cell r="I4">
            <v>0</v>
          </cell>
          <cell r="J4">
            <v>100</v>
          </cell>
          <cell r="K4">
            <v>600</v>
          </cell>
          <cell r="L4">
            <v>800</v>
          </cell>
          <cell r="M4">
            <v>800</v>
          </cell>
        </row>
        <row r="5">
          <cell r="A5" t="str">
            <v>B09TG877KC</v>
          </cell>
          <cell r="B5">
            <v>0</v>
          </cell>
          <cell r="C5">
            <v>0</v>
          </cell>
          <cell r="D5">
            <v>0</v>
          </cell>
          <cell r="E5">
            <v>100</v>
          </cell>
          <cell r="F5">
            <v>100</v>
          </cell>
          <cell r="G5">
            <v>50</v>
          </cell>
          <cell r="H5">
            <v>100</v>
          </cell>
          <cell r="I5">
            <v>100</v>
          </cell>
          <cell r="J5">
            <v>200</v>
          </cell>
          <cell r="K5">
            <v>50</v>
          </cell>
          <cell r="L5">
            <v>50</v>
          </cell>
          <cell r="M5">
            <v>0</v>
          </cell>
        </row>
        <row r="6">
          <cell r="A6" t="str">
            <v>B08KGTY7QM</v>
          </cell>
          <cell r="B6">
            <v>200</v>
          </cell>
          <cell r="C6">
            <v>50</v>
          </cell>
          <cell r="D6">
            <v>50</v>
          </cell>
          <cell r="E6">
            <v>50</v>
          </cell>
          <cell r="F6">
            <v>0</v>
          </cell>
          <cell r="G6">
            <v>0</v>
          </cell>
          <cell r="H6">
            <v>0</v>
          </cell>
          <cell r="I6">
            <v>0</v>
          </cell>
          <cell r="J6">
            <v>100</v>
          </cell>
          <cell r="K6">
            <v>0</v>
          </cell>
          <cell r="L6">
            <v>0</v>
          </cell>
          <cell r="M6">
            <v>100</v>
          </cell>
        </row>
        <row r="7">
          <cell r="A7" t="str">
            <v>B083JKN2LX</v>
          </cell>
          <cell r="B7">
            <v>0</v>
          </cell>
          <cell r="C7">
            <v>0</v>
          </cell>
          <cell r="D7">
            <v>0</v>
          </cell>
          <cell r="E7">
            <v>0</v>
          </cell>
          <cell r="F7">
            <v>0</v>
          </cell>
          <cell r="G7">
            <v>0</v>
          </cell>
          <cell r="H7">
            <v>0</v>
          </cell>
          <cell r="I7">
            <v>0</v>
          </cell>
          <cell r="J7">
            <v>100</v>
          </cell>
          <cell r="K7">
            <v>0</v>
          </cell>
          <cell r="L7">
            <v>0</v>
          </cell>
          <cell r="M7">
            <v>0</v>
          </cell>
        </row>
        <row r="8">
          <cell r="A8" t="str">
            <v>B01DTC7FGM</v>
          </cell>
          <cell r="B8">
            <v>0</v>
          </cell>
          <cell r="C8">
            <v>0</v>
          </cell>
          <cell r="D8">
            <v>50</v>
          </cell>
          <cell r="E8">
            <v>100</v>
          </cell>
          <cell r="F8">
            <v>100</v>
          </cell>
          <cell r="G8">
            <v>100</v>
          </cell>
          <cell r="H8">
            <v>50</v>
          </cell>
          <cell r="I8">
            <v>100</v>
          </cell>
          <cell r="J8">
            <v>100</v>
          </cell>
          <cell r="K8">
            <v>50</v>
          </cell>
          <cell r="L8">
            <v>100</v>
          </cell>
          <cell r="M8">
            <v>50</v>
          </cell>
        </row>
        <row r="9">
          <cell r="A9" t="str">
            <v>B01KN3QTWQ</v>
          </cell>
          <cell r="B9">
            <v>100</v>
          </cell>
          <cell r="C9">
            <v>100</v>
          </cell>
          <cell r="D9">
            <v>100</v>
          </cell>
          <cell r="E9">
            <v>100</v>
          </cell>
          <cell r="F9">
            <v>100</v>
          </cell>
          <cell r="G9">
            <v>100</v>
          </cell>
          <cell r="H9">
            <v>100</v>
          </cell>
          <cell r="I9">
            <v>100</v>
          </cell>
          <cell r="J9">
            <v>100</v>
          </cell>
          <cell r="K9">
            <v>100</v>
          </cell>
          <cell r="L9">
            <v>100</v>
          </cell>
          <cell r="M9">
            <v>100</v>
          </cell>
        </row>
        <row r="10">
          <cell r="A10" t="str">
            <v>B093RXQQZK</v>
          </cell>
          <cell r="B10">
            <v>0</v>
          </cell>
          <cell r="C10">
            <v>0</v>
          </cell>
          <cell r="D10">
            <v>50</v>
          </cell>
          <cell r="E10">
            <v>0</v>
          </cell>
          <cell r="F10">
            <v>0</v>
          </cell>
          <cell r="G10">
            <v>0</v>
          </cell>
          <cell r="H10">
            <v>0</v>
          </cell>
          <cell r="I10">
            <v>100</v>
          </cell>
          <cell r="J10">
            <v>100</v>
          </cell>
          <cell r="K10">
            <v>50</v>
          </cell>
          <cell r="L10">
            <v>50</v>
          </cell>
          <cell r="M10">
            <v>50</v>
          </cell>
        </row>
        <row r="11">
          <cell r="A11" t="str">
            <v>B07N6L9QGN</v>
          </cell>
          <cell r="B11">
            <v>0</v>
          </cell>
          <cell r="C11">
            <v>0</v>
          </cell>
          <cell r="D11">
            <v>0</v>
          </cell>
          <cell r="E11">
            <v>0</v>
          </cell>
          <cell r="F11">
            <v>0</v>
          </cell>
          <cell r="G11">
            <v>0</v>
          </cell>
          <cell r="H11">
            <v>0</v>
          </cell>
          <cell r="I11">
            <v>0</v>
          </cell>
          <cell r="J11">
            <v>50</v>
          </cell>
          <cell r="K11">
            <v>100</v>
          </cell>
          <cell r="L11">
            <v>0</v>
          </cell>
          <cell r="M11">
            <v>0</v>
          </cell>
        </row>
        <row r="12">
          <cell r="A12" t="str">
            <v>B093RQ36Q4</v>
          </cell>
          <cell r="B12">
            <v>0</v>
          </cell>
          <cell r="C12">
            <v>0</v>
          </cell>
          <cell r="D12">
            <v>50</v>
          </cell>
          <cell r="E12">
            <v>400</v>
          </cell>
          <cell r="F12">
            <v>400</v>
          </cell>
          <cell r="G12">
            <v>300</v>
          </cell>
          <cell r="H12">
            <v>50</v>
          </cell>
          <cell r="I12">
            <v>0</v>
          </cell>
          <cell r="J12">
            <v>50</v>
          </cell>
          <cell r="K12">
            <v>0</v>
          </cell>
          <cell r="L12">
            <v>50</v>
          </cell>
          <cell r="M12">
            <v>0</v>
          </cell>
        </row>
        <row r="13">
          <cell r="A13" t="str">
            <v>B0B34XJ71L</v>
          </cell>
          <cell r="B13">
            <v>50</v>
          </cell>
          <cell r="C13">
            <v>50</v>
          </cell>
          <cell r="D13">
            <v>0</v>
          </cell>
          <cell r="E13">
            <v>50</v>
          </cell>
          <cell r="F13">
            <v>50</v>
          </cell>
          <cell r="G13">
            <v>0</v>
          </cell>
          <cell r="H13">
            <v>0</v>
          </cell>
          <cell r="I13">
            <v>0</v>
          </cell>
          <cell r="J13">
            <v>50</v>
          </cell>
          <cell r="K13">
            <v>0</v>
          </cell>
          <cell r="L13">
            <v>50</v>
          </cell>
          <cell r="M13">
            <v>50</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B074CB7Y6G</v>
          </cell>
          <cell r="B2">
            <v>2000</v>
          </cell>
          <cell r="C2">
            <v>1000</v>
          </cell>
          <cell r="D2">
            <v>1000</v>
          </cell>
          <cell r="E2">
            <v>2000</v>
          </cell>
          <cell r="F2">
            <v>2000</v>
          </cell>
          <cell r="G2">
            <v>3000</v>
          </cell>
          <cell r="H2">
            <v>3000</v>
          </cell>
          <cell r="I2">
            <v>2000</v>
          </cell>
          <cell r="J2">
            <v>5000</v>
          </cell>
          <cell r="K2">
            <v>4000</v>
          </cell>
          <cell r="L2">
            <v>5000</v>
          </cell>
          <cell r="M2">
            <v>4000</v>
          </cell>
        </row>
        <row r="3">
          <cell r="A3" t="str">
            <v>B07FJXSZTS</v>
          </cell>
          <cell r="B3">
            <v>3000</v>
          </cell>
          <cell r="C3">
            <v>3000</v>
          </cell>
          <cell r="D3">
            <v>4000</v>
          </cell>
          <cell r="E3">
            <v>5000</v>
          </cell>
          <cell r="F3">
            <v>5000</v>
          </cell>
          <cell r="G3">
            <v>4000</v>
          </cell>
          <cell r="H3">
            <v>4000</v>
          </cell>
          <cell r="I3">
            <v>4000</v>
          </cell>
          <cell r="J3">
            <v>3000</v>
          </cell>
          <cell r="K3">
            <v>7000</v>
          </cell>
          <cell r="L3">
            <v>7000</v>
          </cell>
          <cell r="M3">
            <v>4000</v>
          </cell>
        </row>
        <row r="4">
          <cell r="A4" t="str">
            <v>B07DQR4JC1</v>
          </cell>
          <cell r="B4">
            <v>2500</v>
          </cell>
          <cell r="C4">
            <v>2000</v>
          </cell>
          <cell r="D4">
            <v>3000</v>
          </cell>
          <cell r="E4">
            <v>3000</v>
          </cell>
          <cell r="F4">
            <v>3000</v>
          </cell>
          <cell r="G4">
            <v>5000</v>
          </cell>
          <cell r="H4">
            <v>5000</v>
          </cell>
          <cell r="I4">
            <v>5500</v>
          </cell>
          <cell r="J4">
            <v>3000</v>
          </cell>
          <cell r="K4">
            <v>4000</v>
          </cell>
          <cell r="L4">
            <v>4000</v>
          </cell>
          <cell r="M4">
            <v>4000</v>
          </cell>
        </row>
        <row r="5">
          <cell r="A5" t="str">
            <v>B00AAZHNGE</v>
          </cell>
          <cell r="B5">
            <v>1000</v>
          </cell>
          <cell r="C5">
            <v>1000</v>
          </cell>
          <cell r="D5">
            <v>1000</v>
          </cell>
          <cell r="E5">
            <v>600</v>
          </cell>
          <cell r="F5">
            <v>800</v>
          </cell>
          <cell r="G5">
            <v>1000</v>
          </cell>
          <cell r="H5">
            <v>700</v>
          </cell>
          <cell r="I5">
            <v>1000</v>
          </cell>
          <cell r="J5">
            <v>1000</v>
          </cell>
          <cell r="K5">
            <v>1000</v>
          </cell>
          <cell r="L5">
            <v>1000</v>
          </cell>
          <cell r="M5">
            <v>1000</v>
          </cell>
        </row>
        <row r="6">
          <cell r="A6" t="str">
            <v>B07Q86VPBY</v>
          </cell>
          <cell r="B6">
            <v>1000</v>
          </cell>
          <cell r="C6">
            <v>1000</v>
          </cell>
          <cell r="D6">
            <v>1000</v>
          </cell>
          <cell r="E6">
            <v>1000</v>
          </cell>
          <cell r="F6">
            <v>1000</v>
          </cell>
          <cell r="G6">
            <v>1000</v>
          </cell>
          <cell r="H6">
            <v>1000</v>
          </cell>
          <cell r="I6">
            <v>1000</v>
          </cell>
          <cell r="J6">
            <v>1000</v>
          </cell>
          <cell r="K6">
            <v>2050</v>
          </cell>
          <cell r="L6">
            <v>2050</v>
          </cell>
          <cell r="M6">
            <v>2050</v>
          </cell>
        </row>
        <row r="7">
          <cell r="A7" t="str">
            <v>B016TQMQZU</v>
          </cell>
          <cell r="B7">
            <v>0</v>
          </cell>
          <cell r="C7">
            <v>0</v>
          </cell>
          <cell r="D7">
            <v>0</v>
          </cell>
          <cell r="E7">
            <v>0</v>
          </cell>
          <cell r="F7">
            <v>0</v>
          </cell>
          <cell r="G7">
            <v>50</v>
          </cell>
          <cell r="H7">
            <v>100</v>
          </cell>
          <cell r="I7">
            <v>100</v>
          </cell>
          <cell r="J7">
            <v>400</v>
          </cell>
          <cell r="K7">
            <v>0</v>
          </cell>
          <cell r="L7">
            <v>0</v>
          </cell>
          <cell r="M7">
            <v>0</v>
          </cell>
        </row>
        <row r="8">
          <cell r="A8" t="str">
            <v>B0C6BFH4LV</v>
          </cell>
          <cell r="B8">
            <v>100</v>
          </cell>
          <cell r="C8">
            <v>50</v>
          </cell>
          <cell r="D8">
            <v>50</v>
          </cell>
          <cell r="E8">
            <v>50</v>
          </cell>
          <cell r="F8">
            <v>50</v>
          </cell>
          <cell r="G8">
            <v>50</v>
          </cell>
          <cell r="H8">
            <v>50</v>
          </cell>
          <cell r="I8">
            <v>50</v>
          </cell>
          <cell r="J8">
            <v>50</v>
          </cell>
          <cell r="K8">
            <v>50</v>
          </cell>
          <cell r="L8">
            <v>100</v>
          </cell>
          <cell r="M8">
            <v>100</v>
          </cell>
        </row>
        <row r="9">
          <cell r="A9" t="str">
            <v>B0CRN2VJMH</v>
          </cell>
          <cell r="B9">
            <v>0</v>
          </cell>
          <cell r="C9">
            <v>0</v>
          </cell>
          <cell r="D9">
            <v>0</v>
          </cell>
          <cell r="E9">
            <v>0</v>
          </cell>
          <cell r="F9">
            <v>0</v>
          </cell>
          <cell r="G9">
            <v>0</v>
          </cell>
          <cell r="H9">
            <v>0</v>
          </cell>
          <cell r="I9">
            <v>0</v>
          </cell>
          <cell r="J9">
            <v>50</v>
          </cell>
          <cell r="K9">
            <v>0</v>
          </cell>
          <cell r="L9">
            <v>0</v>
          </cell>
          <cell r="M9">
            <v>0</v>
          </cell>
        </row>
        <row r="10">
          <cell r="A10" t="str">
            <v>B0BV3G1CWY</v>
          </cell>
          <cell r="B10">
            <v>0</v>
          </cell>
          <cell r="C10">
            <v>0</v>
          </cell>
          <cell r="D10">
            <v>0</v>
          </cell>
          <cell r="E10">
            <v>0</v>
          </cell>
          <cell r="F10">
            <v>0</v>
          </cell>
          <cell r="G10">
            <v>0</v>
          </cell>
          <cell r="H10">
            <v>0</v>
          </cell>
          <cell r="I10">
            <v>0</v>
          </cell>
          <cell r="J10">
            <v>50</v>
          </cell>
          <cell r="K10">
            <v>50</v>
          </cell>
          <cell r="L10">
            <v>50</v>
          </cell>
          <cell r="M10">
            <v>0</v>
          </cell>
        </row>
        <row r="11">
          <cell r="A11" t="str">
            <v>B07Q8YZZ5M</v>
          </cell>
          <cell r="B11">
            <v>0</v>
          </cell>
          <cell r="C11">
            <v>0</v>
          </cell>
          <cell r="D11">
            <v>0</v>
          </cell>
          <cell r="E11">
            <v>0</v>
          </cell>
          <cell r="F11">
            <v>0</v>
          </cell>
          <cell r="G11">
            <v>0</v>
          </cell>
          <cell r="H11">
            <v>0</v>
          </cell>
          <cell r="I11">
            <v>0</v>
          </cell>
          <cell r="J11">
            <v>50</v>
          </cell>
          <cell r="K11">
            <v>0</v>
          </cell>
          <cell r="L11">
            <v>0</v>
          </cell>
          <cell r="M11">
            <v>0</v>
          </cell>
        </row>
        <row r="12">
          <cell r="A12" t="str">
            <v>B0044UMMY4</v>
          </cell>
          <cell r="B12">
            <v>0</v>
          </cell>
          <cell r="C12">
            <v>0</v>
          </cell>
          <cell r="D12">
            <v>0</v>
          </cell>
          <cell r="E12">
            <v>50</v>
          </cell>
          <cell r="F12">
            <v>0</v>
          </cell>
          <cell r="G12">
            <v>0</v>
          </cell>
          <cell r="H12">
            <v>0</v>
          </cell>
          <cell r="I12">
            <v>0</v>
          </cell>
          <cell r="J12">
            <v>50</v>
          </cell>
          <cell r="K12">
            <v>50</v>
          </cell>
          <cell r="L12">
            <v>50</v>
          </cell>
          <cell r="M12">
            <v>50</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B00L236OMW</v>
          </cell>
          <cell r="B2">
            <v>4000</v>
          </cell>
          <cell r="C2">
            <v>3000</v>
          </cell>
          <cell r="D2">
            <v>3000</v>
          </cell>
          <cell r="E2">
            <v>4000</v>
          </cell>
          <cell r="F2">
            <v>4000</v>
          </cell>
          <cell r="G2">
            <v>2000</v>
          </cell>
          <cell r="H2">
            <v>1000</v>
          </cell>
          <cell r="I2">
            <v>1000</v>
          </cell>
          <cell r="J2">
            <v>2000</v>
          </cell>
          <cell r="K2">
            <v>10000</v>
          </cell>
          <cell r="L2">
            <v>10000</v>
          </cell>
          <cell r="M2">
            <v>10000</v>
          </cell>
        </row>
        <row r="3">
          <cell r="A3" t="str">
            <v>B07CNR241T</v>
          </cell>
          <cell r="B3">
            <v>900</v>
          </cell>
          <cell r="C3">
            <v>600</v>
          </cell>
          <cell r="D3">
            <v>400</v>
          </cell>
          <cell r="E3">
            <v>300</v>
          </cell>
          <cell r="F3">
            <v>500</v>
          </cell>
          <cell r="G3">
            <v>800</v>
          </cell>
          <cell r="H3">
            <v>600</v>
          </cell>
          <cell r="I3">
            <v>700</v>
          </cell>
          <cell r="J3">
            <v>2000</v>
          </cell>
          <cell r="K3">
            <v>3000</v>
          </cell>
          <cell r="L3">
            <v>3000</v>
          </cell>
          <cell r="M3">
            <v>1000</v>
          </cell>
        </row>
        <row r="4">
          <cell r="A4" t="str">
            <v>B016QJP0DU</v>
          </cell>
          <cell r="B4">
            <v>50</v>
          </cell>
          <cell r="C4">
            <v>50</v>
          </cell>
          <cell r="D4">
            <v>50</v>
          </cell>
          <cell r="E4">
            <v>100</v>
          </cell>
          <cell r="F4">
            <v>50</v>
          </cell>
          <cell r="G4">
            <v>100</v>
          </cell>
          <cell r="H4">
            <v>400</v>
          </cell>
          <cell r="I4">
            <v>500</v>
          </cell>
          <cell r="J4">
            <v>1000</v>
          </cell>
          <cell r="K4">
            <v>500</v>
          </cell>
          <cell r="L4">
            <v>500</v>
          </cell>
          <cell r="M4">
            <v>100</v>
          </cell>
        </row>
        <row r="5">
          <cell r="A5" t="str">
            <v>B01LWL8KZW</v>
          </cell>
          <cell r="B5">
            <v>200</v>
          </cell>
          <cell r="C5">
            <v>100</v>
          </cell>
          <cell r="D5">
            <v>50</v>
          </cell>
          <cell r="E5">
            <v>50</v>
          </cell>
          <cell r="F5">
            <v>50</v>
          </cell>
          <cell r="G5">
            <v>100</v>
          </cell>
          <cell r="H5">
            <v>300</v>
          </cell>
          <cell r="I5">
            <v>400</v>
          </cell>
          <cell r="J5">
            <v>1000</v>
          </cell>
          <cell r="K5">
            <v>700</v>
          </cell>
          <cell r="L5">
            <v>500</v>
          </cell>
          <cell r="M5">
            <v>200</v>
          </cell>
        </row>
        <row r="6">
          <cell r="A6" t="str">
            <v>B0119AY5FU</v>
          </cell>
          <cell r="B6">
            <v>0</v>
          </cell>
          <cell r="C6">
            <v>0</v>
          </cell>
          <cell r="D6">
            <v>0</v>
          </cell>
          <cell r="E6">
            <v>0</v>
          </cell>
          <cell r="F6">
            <v>50</v>
          </cell>
          <cell r="G6">
            <v>100</v>
          </cell>
          <cell r="H6">
            <v>100</v>
          </cell>
          <cell r="I6">
            <v>200</v>
          </cell>
          <cell r="J6">
            <v>1000</v>
          </cell>
          <cell r="K6">
            <v>100</v>
          </cell>
          <cell r="L6">
            <v>100</v>
          </cell>
          <cell r="M6">
            <v>50</v>
          </cell>
        </row>
        <row r="7">
          <cell r="A7" t="str">
            <v>B0B78355CP</v>
          </cell>
          <cell r="B7">
            <v>100</v>
          </cell>
          <cell r="C7">
            <v>100</v>
          </cell>
          <cell r="D7">
            <v>50</v>
          </cell>
          <cell r="E7">
            <v>50</v>
          </cell>
          <cell r="F7">
            <v>50</v>
          </cell>
          <cell r="G7">
            <v>100</v>
          </cell>
          <cell r="H7">
            <v>100</v>
          </cell>
          <cell r="I7">
            <v>100</v>
          </cell>
          <cell r="J7">
            <v>300</v>
          </cell>
          <cell r="K7">
            <v>500</v>
          </cell>
          <cell r="L7">
            <v>600</v>
          </cell>
          <cell r="M7">
            <v>200</v>
          </cell>
        </row>
        <row r="8">
          <cell r="A8" t="str">
            <v>B0B782JLPW</v>
          </cell>
          <cell r="B8">
            <v>50</v>
          </cell>
          <cell r="C8">
            <v>0</v>
          </cell>
          <cell r="D8">
            <v>50</v>
          </cell>
          <cell r="E8">
            <v>0</v>
          </cell>
          <cell r="F8">
            <v>0</v>
          </cell>
          <cell r="G8">
            <v>0</v>
          </cell>
          <cell r="H8">
            <v>0</v>
          </cell>
          <cell r="I8">
            <v>0</v>
          </cell>
          <cell r="J8">
            <v>100</v>
          </cell>
          <cell r="K8">
            <v>100</v>
          </cell>
          <cell r="L8">
            <v>200</v>
          </cell>
          <cell r="M8">
            <v>100</v>
          </cell>
        </row>
        <row r="9">
          <cell r="A9" t="str">
            <v>B01LYV88MS</v>
          </cell>
          <cell r="B9">
            <v>0</v>
          </cell>
          <cell r="C9">
            <v>0</v>
          </cell>
          <cell r="D9">
            <v>0</v>
          </cell>
          <cell r="E9">
            <v>0</v>
          </cell>
          <cell r="F9">
            <v>0</v>
          </cell>
          <cell r="G9">
            <v>0</v>
          </cell>
          <cell r="H9">
            <v>0</v>
          </cell>
          <cell r="I9">
            <v>0</v>
          </cell>
          <cell r="J9">
            <v>100</v>
          </cell>
          <cell r="K9">
            <v>0</v>
          </cell>
          <cell r="L9">
            <v>0</v>
          </cell>
          <cell r="M9">
            <v>0</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B0BVRQS4N9</v>
          </cell>
          <cell r="B2">
            <v>100</v>
          </cell>
          <cell r="C2">
            <v>100</v>
          </cell>
          <cell r="D2">
            <v>100</v>
          </cell>
          <cell r="E2">
            <v>200</v>
          </cell>
          <cell r="F2">
            <v>200</v>
          </cell>
          <cell r="G2">
            <v>200</v>
          </cell>
          <cell r="H2">
            <v>200</v>
          </cell>
          <cell r="I2">
            <v>100</v>
          </cell>
          <cell r="J2">
            <v>100</v>
          </cell>
          <cell r="K2">
            <v>200</v>
          </cell>
          <cell r="L2">
            <v>100</v>
          </cell>
          <cell r="M2">
            <v>100</v>
          </cell>
        </row>
        <row r="3">
          <cell r="A3" t="str">
            <v>B0BJ7QCR8Y</v>
          </cell>
          <cell r="B3">
            <v>50</v>
          </cell>
          <cell r="C3">
            <v>50</v>
          </cell>
          <cell r="D3">
            <v>0</v>
          </cell>
          <cell r="E3">
            <v>50</v>
          </cell>
          <cell r="F3">
            <v>50</v>
          </cell>
          <cell r="G3">
            <v>50</v>
          </cell>
          <cell r="H3">
            <v>50</v>
          </cell>
          <cell r="I3">
            <v>100</v>
          </cell>
          <cell r="J3">
            <v>100</v>
          </cell>
          <cell r="K3">
            <v>100</v>
          </cell>
          <cell r="L3">
            <v>100</v>
          </cell>
          <cell r="M3">
            <v>50</v>
          </cell>
        </row>
        <row r="4">
          <cell r="A4" t="str">
            <v>B09FQGSMPS</v>
          </cell>
          <cell r="B4">
            <v>50</v>
          </cell>
          <cell r="C4">
            <v>50</v>
          </cell>
          <cell r="D4">
            <v>0</v>
          </cell>
          <cell r="E4">
            <v>0</v>
          </cell>
          <cell r="F4">
            <v>0</v>
          </cell>
          <cell r="G4">
            <v>0</v>
          </cell>
          <cell r="H4">
            <v>0</v>
          </cell>
          <cell r="I4">
            <v>0</v>
          </cell>
          <cell r="J4">
            <v>50</v>
          </cell>
          <cell r="K4">
            <v>0</v>
          </cell>
          <cell r="L4">
            <v>50</v>
          </cell>
          <cell r="M4">
            <v>50</v>
          </cell>
        </row>
        <row r="5">
          <cell r="A5" t="str">
            <v>B09FR1G48B</v>
          </cell>
          <cell r="B5">
            <v>100</v>
          </cell>
          <cell r="C5">
            <v>50</v>
          </cell>
          <cell r="D5">
            <v>50</v>
          </cell>
          <cell r="E5">
            <v>100</v>
          </cell>
          <cell r="F5">
            <v>100</v>
          </cell>
          <cell r="G5">
            <v>50</v>
          </cell>
          <cell r="H5">
            <v>100</v>
          </cell>
          <cell r="I5">
            <v>50</v>
          </cell>
          <cell r="J5">
            <v>50</v>
          </cell>
          <cell r="K5">
            <v>100</v>
          </cell>
          <cell r="L5">
            <v>100</v>
          </cell>
          <cell r="M5">
            <v>100</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B06XGL8R89</v>
          </cell>
          <cell r="B2">
            <v>4600</v>
          </cell>
          <cell r="C2">
            <v>4600</v>
          </cell>
          <cell r="D2">
            <v>5050</v>
          </cell>
          <cell r="E2">
            <v>5650</v>
          </cell>
          <cell r="F2">
            <v>5650</v>
          </cell>
          <cell r="G2">
            <v>5650</v>
          </cell>
          <cell r="H2">
            <v>5650</v>
          </cell>
          <cell r="I2">
            <v>5650</v>
          </cell>
          <cell r="J2">
            <v>5650</v>
          </cell>
          <cell r="K2">
            <v>5650</v>
          </cell>
          <cell r="L2">
            <v>5650</v>
          </cell>
          <cell r="M2">
            <v>4600</v>
          </cell>
        </row>
        <row r="3">
          <cell r="A3" t="str">
            <v>B06XGMJGXN</v>
          </cell>
          <cell r="B3">
            <v>100</v>
          </cell>
          <cell r="C3">
            <v>100</v>
          </cell>
          <cell r="D3">
            <v>100</v>
          </cell>
          <cell r="E3">
            <v>200</v>
          </cell>
          <cell r="F3">
            <v>100</v>
          </cell>
          <cell r="G3">
            <v>200</v>
          </cell>
          <cell r="H3">
            <v>200</v>
          </cell>
          <cell r="I3">
            <v>300</v>
          </cell>
          <cell r="J3">
            <v>100</v>
          </cell>
          <cell r="K3">
            <v>400</v>
          </cell>
          <cell r="L3">
            <v>200</v>
          </cell>
          <cell r="M3">
            <v>100</v>
          </cell>
        </row>
        <row r="4">
          <cell r="A4" t="str">
            <v>B00RC8KFB2</v>
          </cell>
          <cell r="B4">
            <v>50</v>
          </cell>
          <cell r="C4">
            <v>50</v>
          </cell>
          <cell r="D4">
            <v>50</v>
          </cell>
          <cell r="E4">
            <v>50</v>
          </cell>
          <cell r="F4">
            <v>50</v>
          </cell>
          <cell r="G4">
            <v>50</v>
          </cell>
          <cell r="H4">
            <v>50</v>
          </cell>
          <cell r="I4">
            <v>100</v>
          </cell>
          <cell r="J4">
            <v>50</v>
          </cell>
          <cell r="K4">
            <v>100</v>
          </cell>
          <cell r="L4">
            <v>100</v>
          </cell>
          <cell r="M4">
            <v>50</v>
          </cell>
        </row>
        <row r="5">
          <cell r="A5" t="str">
            <v>B06XG5Y1L7</v>
          </cell>
          <cell r="B5">
            <v>50</v>
          </cell>
          <cell r="C5">
            <v>50</v>
          </cell>
          <cell r="D5">
            <v>50</v>
          </cell>
          <cell r="E5">
            <v>100</v>
          </cell>
          <cell r="F5">
            <v>100</v>
          </cell>
          <cell r="G5">
            <v>100</v>
          </cell>
          <cell r="H5">
            <v>100</v>
          </cell>
          <cell r="I5">
            <v>100</v>
          </cell>
          <cell r="J5">
            <v>100</v>
          </cell>
          <cell r="K5">
            <v>100</v>
          </cell>
          <cell r="L5">
            <v>100</v>
          </cell>
          <cell r="M5">
            <v>50</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B08N9LQNTR</v>
          </cell>
          <cell r="B2">
            <v>0</v>
          </cell>
          <cell r="C2">
            <v>0</v>
          </cell>
          <cell r="D2">
            <v>0</v>
          </cell>
          <cell r="E2">
            <v>0</v>
          </cell>
          <cell r="F2">
            <v>300</v>
          </cell>
          <cell r="G2">
            <v>1000</v>
          </cell>
          <cell r="H2">
            <v>200</v>
          </cell>
          <cell r="I2">
            <v>1000</v>
          </cell>
          <cell r="J2">
            <v>900</v>
          </cell>
          <cell r="K2">
            <v>0</v>
          </cell>
          <cell r="L2">
            <v>0</v>
          </cell>
          <cell r="M2">
            <v>0</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ASIN</v>
          </cell>
          <cell r="B1" t="str">
            <v>Jan</v>
          </cell>
          <cell r="C1" t="str">
            <v>Feb</v>
          </cell>
          <cell r="D1" t="str">
            <v>Mar</v>
          </cell>
          <cell r="E1" t="str">
            <v>Apr</v>
          </cell>
          <cell r="F1" t="str">
            <v>May</v>
          </cell>
          <cell r="G1" t="str">
            <v>Jun</v>
          </cell>
          <cell r="H1" t="str">
            <v>Jul</v>
          </cell>
          <cell r="I1" t="str">
            <v>Aug</v>
          </cell>
          <cell r="J1" t="str">
            <v>Sep</v>
          </cell>
          <cell r="K1" t="str">
            <v>Oct</v>
          </cell>
          <cell r="L1" t="str">
            <v>Nov</v>
          </cell>
          <cell r="M1" t="str">
            <v>Dec</v>
          </cell>
        </row>
        <row r="2">
          <cell r="A2" t="str">
            <v>B005VZYCLM</v>
          </cell>
          <cell r="B2">
            <v>100</v>
          </cell>
          <cell r="C2">
            <v>100</v>
          </cell>
          <cell r="D2">
            <v>100</v>
          </cell>
          <cell r="E2">
            <v>300</v>
          </cell>
          <cell r="F2">
            <v>700</v>
          </cell>
          <cell r="G2">
            <v>1000</v>
          </cell>
          <cell r="H2">
            <v>800</v>
          </cell>
          <cell r="I2">
            <v>800</v>
          </cell>
          <cell r="J2">
            <v>300</v>
          </cell>
          <cell r="K2">
            <v>200</v>
          </cell>
          <cell r="L2">
            <v>200</v>
          </cell>
          <cell r="M2">
            <v>100</v>
          </cell>
        </row>
        <row r="3">
          <cell r="A3" t="str">
            <v>B005VZYCL2</v>
          </cell>
          <cell r="B3">
            <v>50</v>
          </cell>
          <cell r="C3">
            <v>50</v>
          </cell>
          <cell r="D3">
            <v>50</v>
          </cell>
          <cell r="E3">
            <v>50</v>
          </cell>
          <cell r="F3">
            <v>0</v>
          </cell>
          <cell r="G3">
            <v>50</v>
          </cell>
          <cell r="H3">
            <v>0</v>
          </cell>
          <cell r="I3">
            <v>0</v>
          </cell>
          <cell r="J3">
            <v>100</v>
          </cell>
          <cell r="K3">
            <v>50</v>
          </cell>
          <cell r="L3">
            <v>0</v>
          </cell>
          <cell r="M3">
            <v>50</v>
          </cell>
        </row>
        <row r="4">
          <cell r="A4" t="str">
            <v>B005VZYCPS</v>
          </cell>
          <cell r="B4">
            <v>0</v>
          </cell>
          <cell r="C4">
            <v>50</v>
          </cell>
          <cell r="D4">
            <v>100</v>
          </cell>
          <cell r="E4">
            <v>100</v>
          </cell>
          <cell r="F4">
            <v>200</v>
          </cell>
          <cell r="G4">
            <v>100</v>
          </cell>
          <cell r="H4">
            <v>100</v>
          </cell>
          <cell r="I4">
            <v>100</v>
          </cell>
          <cell r="J4">
            <v>50</v>
          </cell>
          <cell r="K4">
            <v>0</v>
          </cell>
          <cell r="L4">
            <v>0</v>
          </cell>
          <cell r="M4">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2B78D-1C77-41CA-A695-0B81C0EA54B4}">
  <dimension ref="A1:AV962"/>
  <sheetViews>
    <sheetView tabSelected="1" topLeftCell="E1" zoomScale="90" zoomScaleNormal="90" workbookViewId="0">
      <pane ySplit="1" topLeftCell="A511" activePane="bottomLeft" state="frozen"/>
      <selection pane="bottomLeft" activeCell="I511" sqref="I511"/>
    </sheetView>
  </sheetViews>
  <sheetFormatPr defaultRowHeight="14.5" x14ac:dyDescent="0.35"/>
  <cols>
    <col min="1" max="1" width="14.1796875" style="4" bestFit="1" customWidth="1"/>
    <col min="2" max="2" width="12.26953125" style="4" bestFit="1" customWidth="1"/>
    <col min="3" max="3" width="30.36328125" style="4" bestFit="1" customWidth="1"/>
    <col min="4" max="4" width="53.54296875" style="4" bestFit="1" customWidth="1"/>
    <col min="5" max="5" width="87.453125" style="4" customWidth="1"/>
    <col min="6" max="6" width="47.7265625" style="4" bestFit="1" customWidth="1"/>
    <col min="7" max="7" width="30.6328125" style="4" customWidth="1"/>
    <col min="8" max="10" width="30" style="4" customWidth="1"/>
    <col min="11" max="11" width="19.54296875" style="4" customWidth="1"/>
    <col min="12" max="12" width="14.453125" style="4" bestFit="1" customWidth="1"/>
    <col min="13" max="13" width="20.1796875" style="4" bestFit="1" customWidth="1"/>
    <col min="14" max="14" width="29.7265625" style="4" bestFit="1" customWidth="1"/>
    <col min="15" max="19" width="6.26953125" style="4" bestFit="1" customWidth="1"/>
    <col min="20" max="24" width="6.81640625" style="4" bestFit="1" customWidth="1"/>
    <col min="25" max="26" width="6.26953125" style="4" bestFit="1" customWidth="1"/>
    <col min="27" max="27" width="17.08984375" style="4" bestFit="1" customWidth="1"/>
    <col min="28" max="28" width="17.08984375" style="4" customWidth="1"/>
    <col min="29" max="29" width="18.90625" style="4" bestFit="1" customWidth="1"/>
    <col min="30" max="30" width="14.6328125" style="4" bestFit="1" customWidth="1"/>
    <col min="31" max="31" width="21.54296875" style="4" bestFit="1" customWidth="1"/>
    <col min="32" max="32" width="17.81640625" style="4" bestFit="1" customWidth="1"/>
    <col min="33" max="33" width="15.08984375" style="4" bestFit="1" customWidth="1"/>
    <col min="34" max="34" width="46.1796875" style="4" bestFit="1" customWidth="1"/>
    <col min="35" max="35" width="46.26953125" style="4" bestFit="1" customWidth="1"/>
    <col min="36" max="36" width="33.54296875" style="4" bestFit="1" customWidth="1"/>
    <col min="37" max="37" width="44.08984375" style="4" bestFit="1" customWidth="1"/>
    <col min="38" max="38" width="65.7265625" style="4" bestFit="1" customWidth="1"/>
    <col min="39" max="39" width="40.7265625" style="4" bestFit="1" customWidth="1"/>
    <col min="40" max="40" width="45.1796875" style="4" bestFit="1" customWidth="1"/>
    <col min="41" max="41" width="51.6328125" style="4" bestFit="1" customWidth="1"/>
    <col min="42" max="42" width="38.90625" style="4" bestFit="1" customWidth="1"/>
    <col min="43" max="44" width="40.81640625" style="4" bestFit="1" customWidth="1"/>
    <col min="45" max="46" width="36.1796875" style="4" bestFit="1" customWidth="1"/>
    <col min="47" max="48" width="30.81640625" style="4" bestFit="1" customWidth="1"/>
    <col min="49" max="16384" width="8.7265625" style="4"/>
  </cols>
  <sheetData>
    <row r="1" spans="1:48" ht="18.5" x14ac:dyDescent="0.4">
      <c r="A1" s="1" t="s">
        <v>0</v>
      </c>
      <c r="B1" s="1" t="s">
        <v>1</v>
      </c>
      <c r="C1" s="1" t="s">
        <v>1775</v>
      </c>
      <c r="D1" s="1" t="s">
        <v>2</v>
      </c>
      <c r="E1" s="1" t="s">
        <v>3</v>
      </c>
      <c r="F1" s="1" t="s">
        <v>4</v>
      </c>
      <c r="G1" s="1" t="s">
        <v>4384</v>
      </c>
      <c r="H1" s="1" t="s">
        <v>5</v>
      </c>
      <c r="I1" s="1" t="s">
        <v>6</v>
      </c>
      <c r="J1" s="1" t="s">
        <v>4383</v>
      </c>
      <c r="K1" s="1" t="s">
        <v>7</v>
      </c>
      <c r="L1" s="1" t="s">
        <v>8</v>
      </c>
      <c r="M1" s="1" t="s">
        <v>9</v>
      </c>
      <c r="N1" s="1" t="s">
        <v>10</v>
      </c>
      <c r="O1" s="2" t="s">
        <v>11</v>
      </c>
      <c r="P1" s="2" t="s">
        <v>12</v>
      </c>
      <c r="Q1" s="2" t="s">
        <v>13</v>
      </c>
      <c r="R1" s="2" t="s">
        <v>14</v>
      </c>
      <c r="S1" s="2" t="s">
        <v>15</v>
      </c>
      <c r="T1" s="2" t="s">
        <v>4382</v>
      </c>
      <c r="U1" s="2" t="s">
        <v>16</v>
      </c>
      <c r="V1" s="2" t="s">
        <v>17</v>
      </c>
      <c r="W1" s="2" t="s">
        <v>18</v>
      </c>
      <c r="X1" s="2" t="s">
        <v>19</v>
      </c>
      <c r="Y1" s="2" t="s">
        <v>20</v>
      </c>
      <c r="Z1" s="2" t="s">
        <v>21</v>
      </c>
      <c r="AA1" s="3" t="s">
        <v>22</v>
      </c>
      <c r="AB1" s="3" t="s">
        <v>1774</v>
      </c>
      <c r="AC1" s="4" t="s">
        <v>23</v>
      </c>
      <c r="AD1" s="4" t="s">
        <v>24</v>
      </c>
      <c r="AE1" s="4" t="s">
        <v>25</v>
      </c>
      <c r="AF1" s="1" t="s">
        <v>26</v>
      </c>
      <c r="AG1" s="1" t="s">
        <v>27</v>
      </c>
      <c r="AH1" s="5" t="s">
        <v>28</v>
      </c>
      <c r="AI1" s="5" t="s">
        <v>29</v>
      </c>
      <c r="AJ1" s="5" t="s">
        <v>30</v>
      </c>
      <c r="AK1" s="5" t="s">
        <v>31</v>
      </c>
      <c r="AL1" s="5" t="s">
        <v>32</v>
      </c>
      <c r="AM1" s="5" t="s">
        <v>33</v>
      </c>
      <c r="AN1" s="5" t="s">
        <v>34</v>
      </c>
      <c r="AO1" s="5" t="s">
        <v>35</v>
      </c>
      <c r="AP1" s="5" t="s">
        <v>36</v>
      </c>
      <c r="AQ1" s="5" t="s">
        <v>37</v>
      </c>
      <c r="AR1" s="5" t="s">
        <v>38</v>
      </c>
      <c r="AS1" s="6" t="s">
        <v>39</v>
      </c>
      <c r="AT1" s="6" t="s">
        <v>40</v>
      </c>
      <c r="AU1" s="17"/>
      <c r="AV1" s="17"/>
    </row>
    <row r="2" spans="1:48" ht="16.5" x14ac:dyDescent="0.4">
      <c r="A2" s="7" t="s">
        <v>41</v>
      </c>
      <c r="B2" s="7" t="s">
        <v>42</v>
      </c>
      <c r="C2" s="7" t="s">
        <v>42</v>
      </c>
      <c r="D2" s="7" t="s">
        <v>43</v>
      </c>
      <c r="E2" s="7" t="s">
        <v>44</v>
      </c>
      <c r="F2" s="7" t="s">
        <v>45</v>
      </c>
      <c r="G2" s="7" t="str">
        <f>VLOOKUP(A2,[1]done!$A:$I,9,0)</f>
        <v>Rodent</v>
      </c>
      <c r="H2" s="7" t="str" cm="1">
        <f t="array" ref="H2">_xlfn.IFS(
OR(ISNUMBER(SEARCH("mouse",E2)),ISNUMBER(SEARCH("rat",E2)),ISNUMBER(SEARCH("mice",E2)),ISNUMBER(SEARCH("rodent",E2))),"Rodent Control",
OR(ISNUMBER(SEARCH("fly",E2)),ISNUMBER(SEARCH("gnat",E2)),ISNUMBER(SEARCH("insect",E2)),ISNUMBER(SEARCH("mosquito",E2))),"Flying Insect Control",
OR(ISNUMBER(SEARCH("roach",E2)),ISNUMBER(SEARCH("ant",E2)),ISNUMBER(SEARCH("spider",E2)),ISNUMBER(SEARCH("cricket",E2)),ISNUMBER(SEARCH("scorpion",E2)),ISNUMBER(SEARCH("centipede",E2)),ISNUMBER(SEARCH("beetle",E2))),"Crawling Insect Control",
OR(ISNUMBER(SEARCH("tree",E2)),ISNUMBER(SEARCH("lantern",E2)),ISNUMBER(SEARCH("garden",E2)),ISNUMBER(SEARCH("plant",E2))),"Garden Pest Control",
OR(ISNUMBER(SEARCH("grass seed",E2)),ISNUMBER(SEARCH("seed mix",E2))),"Grass Seed",
OR(ISNUMBER(SEARCH("lawn food",E2)),ISNUMBER(SEARCH("fertilizer",E2))),"Lawn Fertilizer",
OR(ISNUMBER(SEARCH("patch",E2)),ISNUMBER(SEARCH("repair",E2)),ISNUMBER(SEARCH("thick'r",E2)),ISNUMBER(SEARCH("thick'r lawn",E2)),ISNUMBER(SEARCH("rapid grass",E2))),"Lawn Repair",
OR(ISNUMBER(SEARCH("weed",E2)),ISNUMBER(SEARCH("crabgrass",E2))),"Weed Control",
OR(ISNUMBER(SEARCH("fungicide",E2)),ISNUMBER(SEARCH("moss",E2))),"Disease &amp; Moss Control",
OR(ISNUMBER(SEARCH("plant food",E2)),ISNUMBER(SEARCH("miracid",E2))),"Plant Nutrition",
OR(ISNUMBER(SEARCH("perlite",E2))),"Soil Amendment",
OR(ISNUMBER(SEARCH("spreader",E2)),ISNUMBER(SEARCH("sprayer",E2)),ISNUMBER(SEARCH("mower",E2)),ISNUMBER(SEARCH("sweeper",E2)),ISNUMBER(SEARCH("pruner",E2)),ISNUMBER(SEARCH("trimmer",E2)),ISNUMBER(SEARCH("pole saw",E2))),"Garden Equipment",
TRUE,"Other"
)</f>
        <v>Rodent Control</v>
      </c>
      <c r="I2" s="7" t="str" cm="1">
        <f t="array" ref="I2">_xlfn.IFS(
OR(ISNUMBER(SEARCH("glue trap",E2)),ISNUMBER(SEARCH("glue board",E2))),"Glue Traps",
OR(ISNUMBER(SEARCH("snap trap",E2)),ISNUMBER(SEARCH("power-kill",E2)),ISNUMBER(SEARCH("wide pedal",E2)),ISNUMBER(SEARCH("metal pedal",E2))),"Snap Traps",
OR(ISNUMBER(SEARCH("electronic",E2)),ISNUMBER(SEARCH("zapper",E2))),"Electronic Traps",
OR(ISNUMBER(SEARCH("live catch",E2)),ISNUMBER(SEARCH("multi-catch",E2)),ISNUMBER(SEARCH("catch &amp; hold",E2)),ISNUMBER(SEARCH("tin cat",E2))),"Live Catch Traps",
OR(ISNUMBER(SEARCH("bait",E2)),ISNUMBER(SEARCH("poison",E2))),"Bait &amp; Poison",
ISNUMBER(SEARCH("repellent",E2)),"Repellents",
OR(ISNUMBER(SEARCH("fly trap",E2)),ISNUMBER(SEARCH("fly ribbon",E2)),ISNUMBER(SEARCH("fly stick",E2)),ISNUMBER(SEARCH("window fly",E2)),ISNUMBER(SEARCH("fly magnet",E2))),"Fly Traps",
OR(ISNUMBER(SEARCH("uv",E2)),ISNUMBER(SEARCH("fly light",E2)),ISNUMBER(SEARCH("plug-in",E2))),"UV Fly Traps",
ISNUMBER(SEARCH("roach",E2)),"Roach Traps",
ISNUMBER(SEARCH("ant",E2)),"Ant Traps",
ISNUMBER(SEARCH("spider",E2)),"Spider Traps",
ISNUMBER(SEARCH("mosquito",E2)),"Mosquito Traps",
ISNUMBER(SEARCH("beetle",E2)),"Beetle Traps",
ISNUMBER(SEARCH("lantern",E2)),"Lanternfly Control",
OR(ISNUMBER(SEARCH("tree shield",E2)),ISNUMBER(SEARCH("tree banding",E2)),ISNUMBER(SEARCH("insect barrier",E2))),"Tree Barriers",
OR(ISNUMBER(SEARCH("sun &amp; shade",E2)),ISNUMBER(SEARCH("sun and shade",E2))),"Sun &amp; Shade Mix",
ISNUMBER(SEARCH("tall fescue",E2)),"Tall Fescue",
ISNUMBER(SEARCH("bermudagrass",E2)),"Bermudagrass",
ISNUMBER(SEARCH("kentucky",E2)),"Kentucky Bluegrass",
ISNUMBER(SEARCH("zoysia",E2)),"Zoysia",
ISNUMBER(SEARCH("ryegrass",E2)),"Perennial Ryegrass",
ISNUMBER(SEARCH("centipede",E2)),"Centipede Grass",
ISNUMBER(SEARCH("dense shade",E2)),"Dense Shade Mix",
ISNUMBER(SEARCH("southern gold",E2)),"Southern Gold Mix",
ISNUMBER(SEARCH("heat-tolerant blue",E2)),"Heat-Tolerant Blue Mix",
ISNUMBER(SEARCH("high traffic",E2)),"High Traffic Mix",
ISNUMBER(SEARCH("quick fix",E2)),"Quick Fix Mix",
ISNUMBER(SEARCH("starter",E2)),"Starter Fertilizer",
ISNUMBER(SEARCH("weed &amp; feed",E2)),"Weed &amp; Feed",
ISNUMBER(SEARCH("lawn food",E2)),"Lawn Food",
ISNUMBER(SEARCH("triple action",E2)),"Triple Action Fertilizer",
ISNUMBER(SEARCH("green max",E2)),"Green Max Lawn Food",
ISNUMBER(SEARCH("patchmaster",E2)),"PatchMaster Repair",
ISNUMBER(SEARCH("ez seed",E2)),"EZ Seed Repair",
ISNUMBER(SEARCH("rapid grass",E2)),"Rapid Grass",
ISNUMBER(SEARCH("thick'r lawn",E2)),"Thick'R Lawn",
ISNUMBER(SEARCH("fungicide",E2)),"Fungicide",
ISNUMBER(SEARCH("moss",E2)),"Moss Control",
ISNUMBER(SEARCH("perlite",E2)),"Perlite",
ISNUMBER(SEARCH("plant food",E2)),"Plant Food",
ISNUMBER(SEARCH("spreader",E2)),"Spreader",
ISNUMBER(SEARCH("sprayer",E2)),"Sprayer",
ISNUMBER(SEARCH("mower",E2)),"Lawn Mower",
ISNUMBER(SEARCH("sweeper",E2)),"Lawn Sweeper",
OR(ISNUMBER(SEARCH("pruner",E2)),ISNUMBER(SEARCH("trimmer",E2)),ISNUMBER(SEARCH("pole saw",E2))),"Pruning Tools",
TRUE,"Other"
)</f>
        <v>Glue Traps</v>
      </c>
      <c r="J2" s="7" t="str">
        <f>H2&amp;" - "&amp;I2</f>
        <v>Rodent Control - Glue Traps</v>
      </c>
      <c r="K2" s="7">
        <v>4000</v>
      </c>
      <c r="L2" s="7">
        <v>4.4000000000000004</v>
      </c>
      <c r="M2" s="7">
        <v>6652</v>
      </c>
      <c r="N2" s="7" t="s">
        <v>46</v>
      </c>
      <c r="O2" s="7">
        <f>VLOOKUP(A2,[2]Sheet1!$A:$B,2,0)</f>
        <v>2000</v>
      </c>
      <c r="P2" s="7">
        <f>VLOOKUP(A2,[2]Sheet1!$A:$C,3,0)</f>
        <v>1000</v>
      </c>
      <c r="Q2" s="7">
        <f>VLOOKUP(A2,[2]Sheet1!$A:$D,4,0)</f>
        <v>1000</v>
      </c>
      <c r="R2" s="7">
        <f>VLOOKUP(A2,[2]Sheet1!$A:$E,5,0)</f>
        <v>2000</v>
      </c>
      <c r="S2" s="7">
        <f>VLOOKUP(A2,[2]Sheet1!$A:$F,6,0)</f>
        <v>2000</v>
      </c>
      <c r="T2" s="7">
        <f>VLOOKUP(A2,[2]Sheet1!$A:$G,7,0)</f>
        <v>2000</v>
      </c>
      <c r="U2" s="7">
        <f>VLOOKUP(A2,[2]Sheet1!$A:$H,8,0)</f>
        <v>2000</v>
      </c>
      <c r="V2" s="7">
        <f>VLOOKUP(A2,[2]Sheet1!$A:$I,9,0)</f>
        <v>2000</v>
      </c>
      <c r="W2" s="7">
        <f>VLOOKUP(A2,[2]Sheet1!$A:$K,10,0)</f>
        <v>3000</v>
      </c>
      <c r="X2" s="7">
        <f>VLOOKUP(A2,[2]Sheet1!$A:$L,11,0)</f>
        <v>3000</v>
      </c>
      <c r="Y2" s="7">
        <f>VLOOKUP(A2,[2]Sheet1!$A:$L,12,0)</f>
        <v>3000</v>
      </c>
      <c r="Z2" s="7">
        <f>VLOOKUP(A2,[2]Sheet1!$A:$M,13,0)</f>
        <v>2000</v>
      </c>
      <c r="AA2" s="7">
        <f t="shared" ref="AA2:AA65" si="0">SUM(O2:Z2)</f>
        <v>25000</v>
      </c>
      <c r="AB2" s="7">
        <f>ROUND(AA2/12,0)</f>
        <v>2083</v>
      </c>
      <c r="AC2" s="8">
        <f t="shared" ref="AC2:AC65" si="1">AVERAGE(O2:Z2)</f>
        <v>2083.3333333333335</v>
      </c>
      <c r="AD2" s="9">
        <f>AA2*AG2</f>
        <v>549750</v>
      </c>
      <c r="AE2" s="9">
        <f>AG2*AC2</f>
        <v>45812.5</v>
      </c>
      <c r="AF2" s="9">
        <v>6.13</v>
      </c>
      <c r="AG2" s="9">
        <v>21.99</v>
      </c>
      <c r="AH2" s="9">
        <f>0.1*AS2</f>
        <v>0.11106666666666663</v>
      </c>
      <c r="AI2" s="9">
        <f>0.35*AS2</f>
        <v>0.38873333333333315</v>
      </c>
      <c r="AJ2" s="10">
        <v>0.5</v>
      </c>
      <c r="AK2" s="10">
        <v>0.5</v>
      </c>
      <c r="AL2" s="9">
        <v>6.13</v>
      </c>
      <c r="AM2" s="9">
        <f>0.15*AG2</f>
        <v>3.2984999999999998</v>
      </c>
      <c r="AN2" s="9">
        <f>0.03*AG2</f>
        <v>0.65969999999999995</v>
      </c>
      <c r="AO2" s="9">
        <f>0.2*AG2</f>
        <v>4.3979999999999997</v>
      </c>
      <c r="AP2" s="9">
        <f>0.02*AG2</f>
        <v>0.43979999999999997</v>
      </c>
      <c r="AQ2" s="9">
        <f>0.2*AG2</f>
        <v>4.3979999999999997</v>
      </c>
      <c r="AR2" s="9">
        <f>0.25*AG2</f>
        <v>5.4974999999999996</v>
      </c>
      <c r="AS2" s="11">
        <f>(AG2*(1-(0.15+0.03+0.2+0.02))-AJ2-AK2-AL2-AQ2)/(1+0.1+0.4)</f>
        <v>1.1106666666666662</v>
      </c>
      <c r="AT2" s="12">
        <f>(AG2*(1-(0.15+0.03+0.2+0.02))-AJ2-AK2-AL2-AR2)/(1+0.1+0.4)</f>
        <v>0.37766666666666637</v>
      </c>
    </row>
    <row r="3" spans="1:48" ht="16.5" x14ac:dyDescent="0.4">
      <c r="A3" s="7" t="s">
        <v>47</v>
      </c>
      <c r="B3" s="7" t="s">
        <v>42</v>
      </c>
      <c r="C3" s="7" t="s">
        <v>42</v>
      </c>
      <c r="D3" s="7" t="s">
        <v>48</v>
      </c>
      <c r="E3" s="7" t="s">
        <v>49</v>
      </c>
      <c r="F3" s="7" t="s">
        <v>50</v>
      </c>
      <c r="G3" s="7" t="str">
        <f>VLOOKUP(A3,[1]done!$A:$I,9,0)</f>
        <v>Other Glue boards for insect or rodent</v>
      </c>
      <c r="H3" s="7" t="str" cm="1">
        <f t="array" ref="H3">_xlfn.IFS(
OR(ISNUMBER(SEARCH("mouse",E3)),ISNUMBER(SEARCH("rat",E3)),ISNUMBER(SEARCH("mice",E3)),ISNUMBER(SEARCH("rodent",E3))),"Rodent Control",
OR(ISNUMBER(SEARCH("fly",E3)),ISNUMBER(SEARCH("gnat",E3)),ISNUMBER(SEARCH("insect",E3)),ISNUMBER(SEARCH("mosquito",E3))),"Flying Insect Control",
OR(ISNUMBER(SEARCH("roach",E3)),ISNUMBER(SEARCH("ant",E3)),ISNUMBER(SEARCH("spider",E3)),ISNUMBER(SEARCH("cricket",E3)),ISNUMBER(SEARCH("scorpion",E3)),ISNUMBER(SEARCH("centipede",E3)),ISNUMBER(SEARCH("beetle",E3))),"Crawling Insect Control",
OR(ISNUMBER(SEARCH("tree",E3)),ISNUMBER(SEARCH("lantern",E3)),ISNUMBER(SEARCH("garden",E3)),ISNUMBER(SEARCH("plant",E3))),"Garden Pest Control",
OR(ISNUMBER(SEARCH("grass seed",E3)),ISNUMBER(SEARCH("seed mix",E3))),"Grass Seed",
OR(ISNUMBER(SEARCH("lawn food",E3)),ISNUMBER(SEARCH("fertilizer",E3))),"Lawn Fertilizer",
OR(ISNUMBER(SEARCH("patch",E3)),ISNUMBER(SEARCH("repair",E3)),ISNUMBER(SEARCH("thick'r",E3)),ISNUMBER(SEARCH("thick'r lawn",E3)),ISNUMBER(SEARCH("rapid grass",E3))),"Lawn Repair",
OR(ISNUMBER(SEARCH("weed",E3)),ISNUMBER(SEARCH("crabgrass",E3))),"Weed Control",
OR(ISNUMBER(SEARCH("fungicide",E3)),ISNUMBER(SEARCH("moss",E3))),"Disease &amp; Moss Control",
OR(ISNUMBER(SEARCH("plant food",E3)),ISNUMBER(SEARCH("miracid",E3))),"Plant Nutrition",
OR(ISNUMBER(SEARCH("perlite",E3))),"Soil Amendment",
OR(ISNUMBER(SEARCH("spreader",E3)),ISNUMBER(SEARCH("sprayer",E3)),ISNUMBER(SEARCH("mower",E3)),ISNUMBER(SEARCH("sweeper",E3)),ISNUMBER(SEARCH("pruner",E3)),ISNUMBER(SEARCH("trimmer",E3)),ISNUMBER(SEARCH("pole saw",E3))),"Garden Equipment",
TRUE,"Other"
)</f>
        <v>Flying Insect Control</v>
      </c>
      <c r="I3" s="7" t="str" cm="1">
        <f t="array" ref="I3">_xlfn.IFS(
OR(ISNUMBER(SEARCH("glue trap",E3)),ISNUMBER(SEARCH("glue board",E3))),"Glue Traps",
OR(ISNUMBER(SEARCH("snap trap",E3)),ISNUMBER(SEARCH("power-kill",E3)),ISNUMBER(SEARCH("wide pedal",E3)),ISNUMBER(SEARCH("metal pedal",E3))),"Snap Traps",
OR(ISNUMBER(SEARCH("electronic",E3)),ISNUMBER(SEARCH("zapper",E3))),"Electronic Traps",
OR(ISNUMBER(SEARCH("live catch",E3)),ISNUMBER(SEARCH("multi-catch",E3)),ISNUMBER(SEARCH("catch &amp; hold",E3)),ISNUMBER(SEARCH("tin cat",E3))),"Live Catch Traps",
OR(ISNUMBER(SEARCH("bait",E3)),ISNUMBER(SEARCH("poison",E3))),"Bait &amp; Poison",
ISNUMBER(SEARCH("repellent",E3)),"Repellents",
OR(ISNUMBER(SEARCH("fly trap",E3)),ISNUMBER(SEARCH("fly ribbon",E3)),ISNUMBER(SEARCH("fly stick",E3)),ISNUMBER(SEARCH("window fly",E3)),ISNUMBER(SEARCH("fly magnet",E3))),"Fly Traps",
OR(ISNUMBER(SEARCH("uv",E3)),ISNUMBER(SEARCH("fly light",E3)),ISNUMBER(SEARCH("plug-in",E3))),"UV Fly Traps",
ISNUMBER(SEARCH("roach",E3)),"Roach Traps",
ISNUMBER(SEARCH("ant",E3)),"Ant Traps",
ISNUMBER(SEARCH("spider",E3)),"Spider Traps",
ISNUMBER(SEARCH("mosquito",E3)),"Mosquito Traps",
ISNUMBER(SEARCH("beetle",E3)),"Beetle Traps",
ISNUMBER(SEARCH("lantern",E3)),"Lanternfly Control",
OR(ISNUMBER(SEARCH("tree shield",E3)),ISNUMBER(SEARCH("tree banding",E3)),ISNUMBER(SEARCH("insect barrier",E3))),"Tree Barriers",
OR(ISNUMBER(SEARCH("sun &amp; shade",E3)),ISNUMBER(SEARCH("sun and shade",E3))),"Sun &amp; Shade Mix",
ISNUMBER(SEARCH("tall fescue",E3)),"Tall Fescue",
ISNUMBER(SEARCH("bermudagrass",E3)),"Bermudagrass",
ISNUMBER(SEARCH("kentucky",E3)),"Kentucky Bluegrass",
ISNUMBER(SEARCH("zoysia",E3)),"Zoysia",
ISNUMBER(SEARCH("ryegrass",E3)),"Perennial Ryegrass",
ISNUMBER(SEARCH("centipede",E3)),"Centipede Grass",
ISNUMBER(SEARCH("dense shade",E3)),"Dense Shade Mix",
ISNUMBER(SEARCH("southern gold",E3)),"Southern Gold Mix",
ISNUMBER(SEARCH("heat-tolerant blue",E3)),"Heat-Tolerant Blue Mix",
ISNUMBER(SEARCH("high traffic",E3)),"High Traffic Mix",
ISNUMBER(SEARCH("quick fix",E3)),"Quick Fix Mix",
ISNUMBER(SEARCH("starter",E3)),"Starter Fertilizer",
ISNUMBER(SEARCH("weed &amp; feed",E3)),"Weed &amp; Feed",
ISNUMBER(SEARCH("lawn food",E3)),"Lawn Food",
ISNUMBER(SEARCH("triple action",E3)),"Triple Action Fertilizer",
ISNUMBER(SEARCH("green max",E3)),"Green Max Lawn Food",
ISNUMBER(SEARCH("patchmaster",E3)),"PatchMaster Repair",
ISNUMBER(SEARCH("ez seed",E3)),"EZ Seed Repair",
ISNUMBER(SEARCH("rapid grass",E3)),"Rapid Grass",
ISNUMBER(SEARCH("thick'r lawn",E3)),"Thick'R Lawn",
ISNUMBER(SEARCH("fungicide",E3)),"Fungicide",
ISNUMBER(SEARCH("moss",E3)),"Moss Control",
ISNUMBER(SEARCH("perlite",E3)),"Perlite",
ISNUMBER(SEARCH("plant food",E3)),"Plant Food",
ISNUMBER(SEARCH("spreader",E3)),"Spreader",
ISNUMBER(SEARCH("sprayer",E3)),"Sprayer",
ISNUMBER(SEARCH("mower",E3)),"Lawn Mower",
ISNUMBER(SEARCH("sweeper",E3)),"Lawn Sweeper",
OR(ISNUMBER(SEARCH("pruner",E3)),ISNUMBER(SEARCH("trimmer",E3)),ISNUMBER(SEARCH("pole saw",E3))),"Pruning Tools",
TRUE,"Other"
)</f>
        <v>Glue Traps</v>
      </c>
      <c r="J3" s="7" t="str">
        <f t="shared" ref="J3:J66" si="2">H3&amp;" - "&amp;I3</f>
        <v>Flying Insect Control - Glue Traps</v>
      </c>
      <c r="K3" s="7">
        <v>200</v>
      </c>
      <c r="L3" s="7">
        <v>4.5</v>
      </c>
      <c r="M3" s="7">
        <v>543</v>
      </c>
      <c r="N3" s="7"/>
      <c r="O3" s="7">
        <f>VLOOKUP(A3,[2]Sheet1!$A:$B,2,0)</f>
        <v>100</v>
      </c>
      <c r="P3" s="7">
        <f>VLOOKUP(A3,[2]Sheet1!$A:$C,3,0)</f>
        <v>100</v>
      </c>
      <c r="Q3" s="7">
        <f>VLOOKUP(A3,[2]Sheet1!$A:$D,4,0)</f>
        <v>100</v>
      </c>
      <c r="R3" s="7">
        <f>VLOOKUP(A3,[2]Sheet1!$A:$E,5,0)</f>
        <v>100</v>
      </c>
      <c r="S3" s="7">
        <f>VLOOKUP(A3,[2]Sheet1!$A:$F,6,0)</f>
        <v>100</v>
      </c>
      <c r="T3" s="7">
        <f>VLOOKUP(A3,[2]Sheet1!$A:$G,7,0)</f>
        <v>100</v>
      </c>
      <c r="U3" s="7">
        <f>VLOOKUP(A3,[2]Sheet1!$A:$H,8,0)</f>
        <v>200</v>
      </c>
      <c r="V3" s="7">
        <f>VLOOKUP(A3,[2]Sheet1!$A:$I,9,0)</f>
        <v>200</v>
      </c>
      <c r="W3" s="7">
        <f>VLOOKUP(A3,[2]Sheet1!$A:$K,10,0)</f>
        <v>200</v>
      </c>
      <c r="X3" s="7">
        <f>VLOOKUP(A3,[2]Sheet1!$A:$L,11,0)</f>
        <v>200</v>
      </c>
      <c r="Y3" s="7">
        <f>VLOOKUP(A3,[2]Sheet1!$A:$L,12,0)</f>
        <v>100</v>
      </c>
      <c r="Z3" s="7">
        <f>VLOOKUP(A3,[2]Sheet1!$A:$M,13,0)</f>
        <v>100</v>
      </c>
      <c r="AA3" s="7">
        <f t="shared" si="0"/>
        <v>1600</v>
      </c>
      <c r="AB3" s="7">
        <f t="shared" ref="AB3:AB66" si="3">ROUND(AA3/12,0)</f>
        <v>133</v>
      </c>
      <c r="AC3" s="8">
        <f t="shared" si="1"/>
        <v>133.33333333333334</v>
      </c>
      <c r="AD3" s="9">
        <f t="shared" ref="AD3:AD66" si="4">AA3*AG3</f>
        <v>14384</v>
      </c>
      <c r="AE3" s="9">
        <f t="shared" ref="AE3:AE66" si="5">AG3*AC3</f>
        <v>1198.6666666666667</v>
      </c>
      <c r="AF3" s="9">
        <v>2.58</v>
      </c>
      <c r="AG3" s="9">
        <v>8.99</v>
      </c>
      <c r="AH3" s="9">
        <f t="shared" ref="AH3:AH66" si="6">0.1*AS3</f>
        <v>1.0666666666666678E-3</v>
      </c>
      <c r="AI3" s="9">
        <f t="shared" ref="AI3:AI66" si="7">0.35*AS3</f>
        <v>3.7333333333333368E-3</v>
      </c>
      <c r="AJ3" s="10">
        <v>0.5</v>
      </c>
      <c r="AK3" s="10">
        <v>0.5</v>
      </c>
      <c r="AL3" s="9">
        <v>2.58</v>
      </c>
      <c r="AM3" s="9">
        <f t="shared" ref="AM3:AM66" si="8">0.15*AG3</f>
        <v>1.3485</v>
      </c>
      <c r="AN3" s="9">
        <f t="shared" ref="AN3:AN66" si="9">0.03*AG3</f>
        <v>0.2697</v>
      </c>
      <c r="AO3" s="9">
        <f t="shared" ref="AO3:AO66" si="10">0.2*AG3</f>
        <v>1.798</v>
      </c>
      <c r="AP3" s="9">
        <f t="shared" ref="AP3:AP66" si="11">0.02*AG3</f>
        <v>0.17980000000000002</v>
      </c>
      <c r="AQ3" s="9">
        <f t="shared" ref="AQ3:AQ66" si="12">0.2*AG3</f>
        <v>1.798</v>
      </c>
      <c r="AR3" s="9">
        <f t="shared" ref="AR3:AR66" si="13">0.25*AG3</f>
        <v>2.2475000000000001</v>
      </c>
      <c r="AS3" s="11">
        <f t="shared" ref="AS3:AS66" si="14">(AG3*(1-(0.15+0.03+0.2+0.02))-AJ3-AK3-AL3-AQ3)/(1+0.1+0.4)</f>
        <v>1.0666666666666677E-2</v>
      </c>
      <c r="AT3" s="12">
        <f t="shared" ref="AT3:AT66" si="15">(AG3*(1-(0.15+0.03+0.2+0.02))-AJ3-AK3-AL3-AR3)/(1+0.1+0.4)</f>
        <v>-0.28899999999999998</v>
      </c>
    </row>
    <row r="4" spans="1:48" ht="16.5" x14ac:dyDescent="0.4">
      <c r="A4" s="7" t="s">
        <v>51</v>
      </c>
      <c r="B4" s="7" t="s">
        <v>42</v>
      </c>
      <c r="C4" s="7" t="s">
        <v>42</v>
      </c>
      <c r="D4" s="7" t="s">
        <v>52</v>
      </c>
      <c r="E4" s="7" t="s">
        <v>53</v>
      </c>
      <c r="F4" s="7" t="s">
        <v>54</v>
      </c>
      <c r="G4" s="7" t="str">
        <f>VLOOKUP(A4,[1]done!$A:$I,9,0)</f>
        <v>Mosquito/Fly</v>
      </c>
      <c r="H4" s="7" t="str" cm="1">
        <f t="array" ref="H4">_xlfn.IFS(
OR(ISNUMBER(SEARCH("mouse",E4)),ISNUMBER(SEARCH("rat",E4)),ISNUMBER(SEARCH("mice",E4)),ISNUMBER(SEARCH("rodent",E4))),"Rodent Control",
OR(ISNUMBER(SEARCH("fly",E4)),ISNUMBER(SEARCH("gnat",E4)),ISNUMBER(SEARCH("insect",E4)),ISNUMBER(SEARCH("mosquito",E4))),"Flying Insect Control",
OR(ISNUMBER(SEARCH("roach",E4)),ISNUMBER(SEARCH("ant",E4)),ISNUMBER(SEARCH("spider",E4)),ISNUMBER(SEARCH("cricket",E4)),ISNUMBER(SEARCH("scorpion",E4)),ISNUMBER(SEARCH("centipede",E4)),ISNUMBER(SEARCH("beetle",E4))),"Crawling Insect Control",
OR(ISNUMBER(SEARCH("tree",E4)),ISNUMBER(SEARCH("lantern",E4)),ISNUMBER(SEARCH("garden",E4)),ISNUMBER(SEARCH("plant",E4))),"Garden Pest Control",
OR(ISNUMBER(SEARCH("grass seed",E4)),ISNUMBER(SEARCH("seed mix",E4))),"Grass Seed",
OR(ISNUMBER(SEARCH("lawn food",E4)),ISNUMBER(SEARCH("fertilizer",E4))),"Lawn Fertilizer",
OR(ISNUMBER(SEARCH("patch",E4)),ISNUMBER(SEARCH("repair",E4)),ISNUMBER(SEARCH("thick'r",E4)),ISNUMBER(SEARCH("thick'r lawn",E4)),ISNUMBER(SEARCH("rapid grass",E4))),"Lawn Repair",
OR(ISNUMBER(SEARCH("weed",E4)),ISNUMBER(SEARCH("crabgrass",E4))),"Weed Control",
OR(ISNUMBER(SEARCH("fungicide",E4)),ISNUMBER(SEARCH("moss",E4))),"Disease &amp; Moss Control",
OR(ISNUMBER(SEARCH("plant food",E4)),ISNUMBER(SEARCH("miracid",E4))),"Plant Nutrition",
OR(ISNUMBER(SEARCH("perlite",E4))),"Soil Amendment",
OR(ISNUMBER(SEARCH("spreader",E4)),ISNUMBER(SEARCH("sprayer",E4)),ISNUMBER(SEARCH("mower",E4)),ISNUMBER(SEARCH("sweeper",E4)),ISNUMBER(SEARCH("pruner",E4)),ISNUMBER(SEARCH("trimmer",E4)),ISNUMBER(SEARCH("pole saw",E4))),"Garden Equipment",
TRUE,"Other"
)</f>
        <v>Flying Insect Control</v>
      </c>
      <c r="I4" s="7" t="str" cm="1">
        <f t="array" ref="I4">_xlfn.IFS(
OR(ISNUMBER(SEARCH("glue trap",E4)),ISNUMBER(SEARCH("glue board",E4))),"Glue Traps",
OR(ISNUMBER(SEARCH("snap trap",E4)),ISNUMBER(SEARCH("power-kill",E4)),ISNUMBER(SEARCH("wide pedal",E4)),ISNUMBER(SEARCH("metal pedal",E4))),"Snap Traps",
OR(ISNUMBER(SEARCH("electronic",E4)),ISNUMBER(SEARCH("zapper",E4))),"Electronic Traps",
OR(ISNUMBER(SEARCH("live catch",E4)),ISNUMBER(SEARCH("multi-catch",E4)),ISNUMBER(SEARCH("catch &amp; hold",E4)),ISNUMBER(SEARCH("tin cat",E4))),"Live Catch Traps",
OR(ISNUMBER(SEARCH("bait",E4)),ISNUMBER(SEARCH("poison",E4))),"Bait &amp; Poison",
ISNUMBER(SEARCH("repellent",E4)),"Repellents",
OR(ISNUMBER(SEARCH("fly trap",E4)),ISNUMBER(SEARCH("fly ribbon",E4)),ISNUMBER(SEARCH("fly stick",E4)),ISNUMBER(SEARCH("window fly",E4)),ISNUMBER(SEARCH("fly magnet",E4))),"Fly Traps",
OR(ISNUMBER(SEARCH("uv",E4)),ISNUMBER(SEARCH("fly light",E4)),ISNUMBER(SEARCH("plug-in",E4))),"UV Fly Traps",
ISNUMBER(SEARCH("roach",E4)),"Roach Traps",
ISNUMBER(SEARCH("ant",E4)),"Ant Traps",
ISNUMBER(SEARCH("spider",E4)),"Spider Traps",
ISNUMBER(SEARCH("mosquito",E4)),"Mosquito Traps",
ISNUMBER(SEARCH("beetle",E4)),"Beetle Traps",
ISNUMBER(SEARCH("lantern",E4)),"Lanternfly Control",
OR(ISNUMBER(SEARCH("tree shield",E4)),ISNUMBER(SEARCH("tree banding",E4)),ISNUMBER(SEARCH("insect barrier",E4))),"Tree Barriers",
OR(ISNUMBER(SEARCH("sun &amp; shade",E4)),ISNUMBER(SEARCH("sun and shade",E4))),"Sun &amp; Shade Mix",
ISNUMBER(SEARCH("tall fescue",E4)),"Tall Fescue",
ISNUMBER(SEARCH("bermudagrass",E4)),"Bermudagrass",
ISNUMBER(SEARCH("kentucky",E4)),"Kentucky Bluegrass",
ISNUMBER(SEARCH("zoysia",E4)),"Zoysia",
ISNUMBER(SEARCH("ryegrass",E4)),"Perennial Ryegrass",
ISNUMBER(SEARCH("centipede",E4)),"Centipede Grass",
ISNUMBER(SEARCH("dense shade",E4)),"Dense Shade Mix",
ISNUMBER(SEARCH("southern gold",E4)),"Southern Gold Mix",
ISNUMBER(SEARCH("heat-tolerant blue",E4)),"Heat-Tolerant Blue Mix",
ISNUMBER(SEARCH("high traffic",E4)),"High Traffic Mix",
ISNUMBER(SEARCH("quick fix",E4)),"Quick Fix Mix",
ISNUMBER(SEARCH("starter",E4)),"Starter Fertilizer",
ISNUMBER(SEARCH("weed &amp; feed",E4)),"Weed &amp; Feed",
ISNUMBER(SEARCH("lawn food",E4)),"Lawn Food",
ISNUMBER(SEARCH("triple action",E4)),"Triple Action Fertilizer",
ISNUMBER(SEARCH("green max",E4)),"Green Max Lawn Food",
ISNUMBER(SEARCH("patchmaster",E4)),"PatchMaster Repair",
ISNUMBER(SEARCH("ez seed",E4)),"EZ Seed Repair",
ISNUMBER(SEARCH("rapid grass",E4)),"Rapid Grass",
ISNUMBER(SEARCH("thick'r lawn",E4)),"Thick'R Lawn",
ISNUMBER(SEARCH("fungicide",E4)),"Fungicide",
ISNUMBER(SEARCH("moss",E4)),"Moss Control",
ISNUMBER(SEARCH("perlite",E4)),"Perlite",
ISNUMBER(SEARCH("plant food",E4)),"Plant Food",
ISNUMBER(SEARCH("spreader",E4)),"Spreader",
ISNUMBER(SEARCH("sprayer",E4)),"Sprayer",
ISNUMBER(SEARCH("mower",E4)),"Lawn Mower",
ISNUMBER(SEARCH("sweeper",E4)),"Lawn Sweeper",
OR(ISNUMBER(SEARCH("pruner",E4)),ISNUMBER(SEARCH("trimmer",E4)),ISNUMBER(SEARCH("pole saw",E4))),"Pruning Tools",
TRUE,"Other"
)</f>
        <v>Fly Traps</v>
      </c>
      <c r="J4" s="7" t="str">
        <f t="shared" si="2"/>
        <v>Flying Insect Control - Fly Traps</v>
      </c>
      <c r="K4" s="7">
        <v>100</v>
      </c>
      <c r="L4" s="7">
        <v>4.5</v>
      </c>
      <c r="M4" s="7">
        <v>1812</v>
      </c>
      <c r="N4" s="7" t="s">
        <v>55</v>
      </c>
      <c r="O4" s="7">
        <f>VLOOKUP(A4,[2]Sheet1!$A:$B,2,0)</f>
        <v>0</v>
      </c>
      <c r="P4" s="7">
        <f>VLOOKUP(A4,[2]Sheet1!$A:$C,3,0)</f>
        <v>50</v>
      </c>
      <c r="Q4" s="7">
        <f>VLOOKUP(A4,[2]Sheet1!$A:$D,4,0)</f>
        <v>100</v>
      </c>
      <c r="R4" s="7">
        <f>VLOOKUP(A4,[2]Sheet1!$A:$E,5,0)</f>
        <v>100</v>
      </c>
      <c r="S4" s="7">
        <f>VLOOKUP(A4,[2]Sheet1!$A:$F,6,0)</f>
        <v>100</v>
      </c>
      <c r="T4" s="7">
        <f>VLOOKUP(A4,[2]Sheet1!$A:$G,7,0)</f>
        <v>100</v>
      </c>
      <c r="U4" s="7">
        <f>VLOOKUP(A4,[2]Sheet1!$A:$H,8,0)</f>
        <v>100</v>
      </c>
      <c r="V4" s="7">
        <f>VLOOKUP(A4,[2]Sheet1!$A:$I,9,0)</f>
        <v>100</v>
      </c>
      <c r="W4" s="7">
        <f>VLOOKUP(A4,[2]Sheet1!$A:$K,10,0)</f>
        <v>100</v>
      </c>
      <c r="X4" s="7">
        <f>VLOOKUP(A4,[2]Sheet1!$A:$L,11,0)</f>
        <v>50</v>
      </c>
      <c r="Y4" s="7">
        <f>VLOOKUP(A4,[2]Sheet1!$A:$L,12,0)</f>
        <v>50</v>
      </c>
      <c r="Z4" s="7">
        <f>VLOOKUP(A4,[2]Sheet1!$A:$M,13,0)</f>
        <v>0</v>
      </c>
      <c r="AA4" s="7">
        <f t="shared" si="0"/>
        <v>850</v>
      </c>
      <c r="AB4" s="7">
        <f t="shared" si="3"/>
        <v>71</v>
      </c>
      <c r="AC4" s="8">
        <f t="shared" si="1"/>
        <v>70.833333333333329</v>
      </c>
      <c r="AD4" s="9">
        <f t="shared" si="4"/>
        <v>21241.5</v>
      </c>
      <c r="AE4" s="9">
        <f t="shared" si="5"/>
        <v>1770.1249999999998</v>
      </c>
      <c r="AF4" s="9">
        <v>4.76</v>
      </c>
      <c r="AG4" s="9">
        <v>24.99</v>
      </c>
      <c r="AH4" s="9">
        <f t="shared" si="6"/>
        <v>0.28239999999999987</v>
      </c>
      <c r="AI4" s="9">
        <f t="shared" si="7"/>
        <v>0.98839999999999939</v>
      </c>
      <c r="AJ4" s="10">
        <v>0.5</v>
      </c>
      <c r="AK4" s="10">
        <v>0.5</v>
      </c>
      <c r="AL4" s="9">
        <v>4.76</v>
      </c>
      <c r="AM4" s="9">
        <f t="shared" si="8"/>
        <v>3.7484999999999995</v>
      </c>
      <c r="AN4" s="9">
        <f t="shared" si="9"/>
        <v>0.74969999999999992</v>
      </c>
      <c r="AO4" s="9">
        <f t="shared" si="10"/>
        <v>4.9980000000000002</v>
      </c>
      <c r="AP4" s="9">
        <f t="shared" si="11"/>
        <v>0.49979999999999997</v>
      </c>
      <c r="AQ4" s="9">
        <f t="shared" si="12"/>
        <v>4.9980000000000002</v>
      </c>
      <c r="AR4" s="9">
        <f t="shared" si="13"/>
        <v>6.2474999999999996</v>
      </c>
      <c r="AS4" s="11">
        <f t="shared" si="14"/>
        <v>2.8239999999999985</v>
      </c>
      <c r="AT4" s="12">
        <f t="shared" si="15"/>
        <v>1.990999999999999</v>
      </c>
    </row>
    <row r="5" spans="1:48" ht="16.5" x14ac:dyDescent="0.4">
      <c r="A5" s="7" t="s">
        <v>56</v>
      </c>
      <c r="B5" s="7" t="s">
        <v>42</v>
      </c>
      <c r="C5" s="7" t="s">
        <v>42</v>
      </c>
      <c r="D5" s="7" t="s">
        <v>57</v>
      </c>
      <c r="E5" s="7" t="s">
        <v>58</v>
      </c>
      <c r="F5" s="7" t="s">
        <v>59</v>
      </c>
      <c r="G5" s="7" t="str">
        <f>VLOOKUP(A5,[1]done!$A:$I,9,0)</f>
        <v>Other crawling insects</v>
      </c>
      <c r="H5" s="7" t="str" cm="1">
        <f t="array" ref="H5">_xlfn.IFS(
OR(ISNUMBER(SEARCH("mouse",E5)),ISNUMBER(SEARCH("rat",E5)),ISNUMBER(SEARCH("mice",E5)),ISNUMBER(SEARCH("rodent",E5))),"Rodent Control",
OR(ISNUMBER(SEARCH("fly",E5)),ISNUMBER(SEARCH("gnat",E5)),ISNUMBER(SEARCH("insect",E5)),ISNUMBER(SEARCH("mosquito",E5))),"Flying Insect Control",
OR(ISNUMBER(SEARCH("roach",E5)),ISNUMBER(SEARCH("ant",E5)),ISNUMBER(SEARCH("spider",E5)),ISNUMBER(SEARCH("cricket",E5)),ISNUMBER(SEARCH("scorpion",E5)),ISNUMBER(SEARCH("centipede",E5)),ISNUMBER(SEARCH("beetle",E5))),"Crawling Insect Control",
OR(ISNUMBER(SEARCH("tree",E5)),ISNUMBER(SEARCH("lantern",E5)),ISNUMBER(SEARCH("garden",E5)),ISNUMBER(SEARCH("plant",E5))),"Garden Pest Control",
OR(ISNUMBER(SEARCH("grass seed",E5)),ISNUMBER(SEARCH("seed mix",E5))),"Grass Seed",
OR(ISNUMBER(SEARCH("lawn food",E5)),ISNUMBER(SEARCH("fertilizer",E5))),"Lawn Fertilizer",
OR(ISNUMBER(SEARCH("patch",E5)),ISNUMBER(SEARCH("repair",E5)),ISNUMBER(SEARCH("thick'r",E5)),ISNUMBER(SEARCH("thick'r lawn",E5)),ISNUMBER(SEARCH("rapid grass",E5))),"Lawn Repair",
OR(ISNUMBER(SEARCH("weed",E5)),ISNUMBER(SEARCH("crabgrass",E5))),"Weed Control",
OR(ISNUMBER(SEARCH("fungicide",E5)),ISNUMBER(SEARCH("moss",E5))),"Disease &amp; Moss Control",
OR(ISNUMBER(SEARCH("plant food",E5)),ISNUMBER(SEARCH("miracid",E5))),"Plant Nutrition",
OR(ISNUMBER(SEARCH("perlite",E5))),"Soil Amendment",
OR(ISNUMBER(SEARCH("spreader",E5)),ISNUMBER(SEARCH("sprayer",E5)),ISNUMBER(SEARCH("mower",E5)),ISNUMBER(SEARCH("sweeper",E5)),ISNUMBER(SEARCH("pruner",E5)),ISNUMBER(SEARCH("trimmer",E5)),ISNUMBER(SEARCH("pole saw",E5))),"Garden Equipment",
TRUE,"Other"
)</f>
        <v>Flying Insect Control</v>
      </c>
      <c r="I5" s="7" t="str" cm="1">
        <f t="array" ref="I5">_xlfn.IFS(
OR(ISNUMBER(SEARCH("glue trap",E5)),ISNUMBER(SEARCH("glue board",E5))),"Glue Traps",
OR(ISNUMBER(SEARCH("snap trap",E5)),ISNUMBER(SEARCH("power-kill",E5)),ISNUMBER(SEARCH("wide pedal",E5)),ISNUMBER(SEARCH("metal pedal",E5))),"Snap Traps",
OR(ISNUMBER(SEARCH("electronic",E5)),ISNUMBER(SEARCH("zapper",E5))),"Electronic Traps",
OR(ISNUMBER(SEARCH("live catch",E5)),ISNUMBER(SEARCH("multi-catch",E5)),ISNUMBER(SEARCH("catch &amp; hold",E5)),ISNUMBER(SEARCH("tin cat",E5))),"Live Catch Traps",
OR(ISNUMBER(SEARCH("bait",E5)),ISNUMBER(SEARCH("poison",E5))),"Bait &amp; Poison",
ISNUMBER(SEARCH("repellent",E5)),"Repellents",
OR(ISNUMBER(SEARCH("fly trap",E5)),ISNUMBER(SEARCH("fly ribbon",E5)),ISNUMBER(SEARCH("fly stick",E5)),ISNUMBER(SEARCH("window fly",E5)),ISNUMBER(SEARCH("fly magnet",E5))),"Fly Traps",
OR(ISNUMBER(SEARCH("uv",E5)),ISNUMBER(SEARCH("fly light",E5)),ISNUMBER(SEARCH("plug-in",E5))),"UV Fly Traps",
ISNUMBER(SEARCH("roach",E5)),"Roach Traps",
ISNUMBER(SEARCH("ant",E5)),"Ant Traps",
ISNUMBER(SEARCH("spider",E5)),"Spider Traps",
ISNUMBER(SEARCH("mosquito",E5)),"Mosquito Traps",
ISNUMBER(SEARCH("beetle",E5)),"Beetle Traps",
ISNUMBER(SEARCH("lantern",E5)),"Lanternfly Control",
OR(ISNUMBER(SEARCH("tree shield",E5)),ISNUMBER(SEARCH("tree banding",E5)),ISNUMBER(SEARCH("insect barrier",E5))),"Tree Barriers",
OR(ISNUMBER(SEARCH("sun &amp; shade",E5)),ISNUMBER(SEARCH("sun and shade",E5))),"Sun &amp; Shade Mix",
ISNUMBER(SEARCH("tall fescue",E5)),"Tall Fescue",
ISNUMBER(SEARCH("bermudagrass",E5)),"Bermudagrass",
ISNUMBER(SEARCH("kentucky",E5)),"Kentucky Bluegrass",
ISNUMBER(SEARCH("zoysia",E5)),"Zoysia",
ISNUMBER(SEARCH("ryegrass",E5)),"Perennial Ryegrass",
ISNUMBER(SEARCH("centipede",E5)),"Centipede Grass",
ISNUMBER(SEARCH("dense shade",E5)),"Dense Shade Mix",
ISNUMBER(SEARCH("southern gold",E5)),"Southern Gold Mix",
ISNUMBER(SEARCH("heat-tolerant blue",E5)),"Heat-Tolerant Blue Mix",
ISNUMBER(SEARCH("high traffic",E5)),"High Traffic Mix",
ISNUMBER(SEARCH("quick fix",E5)),"Quick Fix Mix",
ISNUMBER(SEARCH("starter",E5)),"Starter Fertilizer",
ISNUMBER(SEARCH("weed &amp; feed",E5)),"Weed &amp; Feed",
ISNUMBER(SEARCH("lawn food",E5)),"Lawn Food",
ISNUMBER(SEARCH("triple action",E5)),"Triple Action Fertilizer",
ISNUMBER(SEARCH("green max",E5)),"Green Max Lawn Food",
ISNUMBER(SEARCH("patchmaster",E5)),"PatchMaster Repair",
ISNUMBER(SEARCH("ez seed",E5)),"EZ Seed Repair",
ISNUMBER(SEARCH("rapid grass",E5)),"Rapid Grass",
ISNUMBER(SEARCH("thick'r lawn",E5)),"Thick'R Lawn",
ISNUMBER(SEARCH("fungicide",E5)),"Fungicide",
ISNUMBER(SEARCH("moss",E5)),"Moss Control",
ISNUMBER(SEARCH("perlite",E5)),"Perlite",
ISNUMBER(SEARCH("plant food",E5)),"Plant Food",
ISNUMBER(SEARCH("spreader",E5)),"Spreader",
ISNUMBER(SEARCH("sprayer",E5)),"Sprayer",
ISNUMBER(SEARCH("mower",E5)),"Lawn Mower",
ISNUMBER(SEARCH("sweeper",E5)),"Lawn Sweeper",
OR(ISNUMBER(SEARCH("pruner",E5)),ISNUMBER(SEARCH("trimmer",E5)),ISNUMBER(SEARCH("pole saw",E5))),"Pruning Tools",
TRUE,"Other"
)</f>
        <v>Ant Traps</v>
      </c>
      <c r="J5" s="7" t="str">
        <f t="shared" si="2"/>
        <v>Flying Insect Control - Ant Traps</v>
      </c>
      <c r="K5" s="7">
        <v>100</v>
      </c>
      <c r="L5" s="7">
        <v>3.9</v>
      </c>
      <c r="M5" s="7">
        <v>2373</v>
      </c>
      <c r="N5" s="7" t="s">
        <v>60</v>
      </c>
      <c r="O5" s="7">
        <f>VLOOKUP(A5,[2]Sheet1!$A:$B,2,0)</f>
        <v>0</v>
      </c>
      <c r="P5" s="7">
        <f>VLOOKUP(A5,[2]Sheet1!$A:$C,3,0)</f>
        <v>0</v>
      </c>
      <c r="Q5" s="7">
        <f>VLOOKUP(A5,[2]Sheet1!$A:$D,4,0)</f>
        <v>100</v>
      </c>
      <c r="R5" s="7">
        <f>VLOOKUP(A5,[2]Sheet1!$A:$E,5,0)</f>
        <v>200</v>
      </c>
      <c r="S5" s="7">
        <f>VLOOKUP(A5,[2]Sheet1!$A:$F,6,0)</f>
        <v>700</v>
      </c>
      <c r="T5" s="7">
        <f>VLOOKUP(A5,[2]Sheet1!$A:$G,7,0)</f>
        <v>200</v>
      </c>
      <c r="U5" s="7">
        <f>VLOOKUP(A5,[2]Sheet1!$A:$H,8,0)</f>
        <v>200</v>
      </c>
      <c r="V5" s="7">
        <f>VLOOKUP(A5,[2]Sheet1!$A:$I,9,0)</f>
        <v>100</v>
      </c>
      <c r="W5" s="7">
        <f>VLOOKUP(A5,[2]Sheet1!$A:$K,10,0)</f>
        <v>100</v>
      </c>
      <c r="X5" s="7">
        <f>VLOOKUP(A5,[2]Sheet1!$A:$L,11,0)</f>
        <v>300</v>
      </c>
      <c r="Y5" s="7">
        <f>VLOOKUP(A5,[2]Sheet1!$A:$L,12,0)</f>
        <v>200</v>
      </c>
      <c r="Z5" s="7">
        <f>VLOOKUP(A5,[2]Sheet1!$A:$M,13,0)</f>
        <v>50</v>
      </c>
      <c r="AA5" s="7">
        <f t="shared" si="0"/>
        <v>2150</v>
      </c>
      <c r="AB5" s="7">
        <f t="shared" si="3"/>
        <v>179</v>
      </c>
      <c r="AC5" s="8">
        <f t="shared" si="1"/>
        <v>179.16666666666666</v>
      </c>
      <c r="AD5" s="9">
        <f t="shared" si="4"/>
        <v>73078.5</v>
      </c>
      <c r="AE5" s="9">
        <f t="shared" si="5"/>
        <v>6089.875</v>
      </c>
      <c r="AF5" s="9">
        <v>6.34</v>
      </c>
      <c r="AG5" s="9">
        <v>33.99</v>
      </c>
      <c r="AH5" s="9">
        <f t="shared" si="6"/>
        <v>0.41706666666666675</v>
      </c>
      <c r="AI5" s="9">
        <f t="shared" si="7"/>
        <v>1.4597333333333335</v>
      </c>
      <c r="AJ5" s="10">
        <v>0.5</v>
      </c>
      <c r="AK5" s="10">
        <v>0.5</v>
      </c>
      <c r="AL5" s="9">
        <v>6.34</v>
      </c>
      <c r="AM5" s="9">
        <f t="shared" si="8"/>
        <v>5.0985000000000005</v>
      </c>
      <c r="AN5" s="9">
        <f t="shared" si="9"/>
        <v>1.0197000000000001</v>
      </c>
      <c r="AO5" s="9">
        <f t="shared" si="10"/>
        <v>6.7980000000000009</v>
      </c>
      <c r="AP5" s="9">
        <f t="shared" si="11"/>
        <v>0.67980000000000007</v>
      </c>
      <c r="AQ5" s="9">
        <f t="shared" si="12"/>
        <v>6.7980000000000009</v>
      </c>
      <c r="AR5" s="9">
        <f t="shared" si="13"/>
        <v>8.4975000000000005</v>
      </c>
      <c r="AS5" s="11">
        <f t="shared" si="14"/>
        <v>4.1706666666666674</v>
      </c>
      <c r="AT5" s="12">
        <f t="shared" si="15"/>
        <v>3.0376666666666678</v>
      </c>
    </row>
    <row r="6" spans="1:48" ht="16.5" x14ac:dyDescent="0.4">
      <c r="A6" s="7" t="s">
        <v>61</v>
      </c>
      <c r="B6" s="7" t="s">
        <v>42</v>
      </c>
      <c r="C6" s="7" t="s">
        <v>42</v>
      </c>
      <c r="D6" s="7" t="s">
        <v>62</v>
      </c>
      <c r="E6" s="7" t="s">
        <v>63</v>
      </c>
      <c r="F6" s="7" t="s">
        <v>64</v>
      </c>
      <c r="G6" s="7" t="str">
        <f>VLOOKUP(A6,[1]done!$A:$I,9,0)</f>
        <v>Mosquito/Fly</v>
      </c>
      <c r="H6" s="7" t="str" cm="1">
        <f t="array" ref="H6">_xlfn.IFS(
OR(ISNUMBER(SEARCH("mouse",E6)),ISNUMBER(SEARCH("rat",E6)),ISNUMBER(SEARCH("mice",E6)),ISNUMBER(SEARCH("rodent",E6))),"Rodent Control",
OR(ISNUMBER(SEARCH("fly",E6)),ISNUMBER(SEARCH("gnat",E6)),ISNUMBER(SEARCH("insect",E6)),ISNUMBER(SEARCH("mosquito",E6))),"Flying Insect Control",
OR(ISNUMBER(SEARCH("roach",E6)),ISNUMBER(SEARCH("ant",E6)),ISNUMBER(SEARCH("spider",E6)),ISNUMBER(SEARCH("cricket",E6)),ISNUMBER(SEARCH("scorpion",E6)),ISNUMBER(SEARCH("centipede",E6)),ISNUMBER(SEARCH("beetle",E6))),"Crawling Insect Control",
OR(ISNUMBER(SEARCH("tree",E6)),ISNUMBER(SEARCH("lantern",E6)),ISNUMBER(SEARCH("garden",E6)),ISNUMBER(SEARCH("plant",E6))),"Garden Pest Control",
OR(ISNUMBER(SEARCH("grass seed",E6)),ISNUMBER(SEARCH("seed mix",E6))),"Grass Seed",
OR(ISNUMBER(SEARCH("lawn food",E6)),ISNUMBER(SEARCH("fertilizer",E6))),"Lawn Fertilizer",
OR(ISNUMBER(SEARCH("patch",E6)),ISNUMBER(SEARCH("repair",E6)),ISNUMBER(SEARCH("thick'r",E6)),ISNUMBER(SEARCH("thick'r lawn",E6)),ISNUMBER(SEARCH("rapid grass",E6))),"Lawn Repair",
OR(ISNUMBER(SEARCH("weed",E6)),ISNUMBER(SEARCH("crabgrass",E6))),"Weed Control",
OR(ISNUMBER(SEARCH("fungicide",E6)),ISNUMBER(SEARCH("moss",E6))),"Disease &amp; Moss Control",
OR(ISNUMBER(SEARCH("plant food",E6)),ISNUMBER(SEARCH("miracid",E6))),"Plant Nutrition",
OR(ISNUMBER(SEARCH("perlite",E6))),"Soil Amendment",
OR(ISNUMBER(SEARCH("spreader",E6)),ISNUMBER(SEARCH("sprayer",E6)),ISNUMBER(SEARCH("mower",E6)),ISNUMBER(SEARCH("sweeper",E6)),ISNUMBER(SEARCH("pruner",E6)),ISNUMBER(SEARCH("trimmer",E6)),ISNUMBER(SEARCH("pole saw",E6))),"Garden Equipment",
TRUE,"Other"
)</f>
        <v>Flying Insect Control</v>
      </c>
      <c r="I6" s="7" t="str" cm="1">
        <f t="array" ref="I6">_xlfn.IFS(
OR(ISNUMBER(SEARCH("glue trap",E6)),ISNUMBER(SEARCH("glue board",E6))),"Glue Traps",
OR(ISNUMBER(SEARCH("snap trap",E6)),ISNUMBER(SEARCH("power-kill",E6)),ISNUMBER(SEARCH("wide pedal",E6)),ISNUMBER(SEARCH("metal pedal",E6))),"Snap Traps",
OR(ISNUMBER(SEARCH("electronic",E6)),ISNUMBER(SEARCH("zapper",E6))),"Electronic Traps",
OR(ISNUMBER(SEARCH("live catch",E6)),ISNUMBER(SEARCH("multi-catch",E6)),ISNUMBER(SEARCH("catch &amp; hold",E6)),ISNUMBER(SEARCH("tin cat",E6))),"Live Catch Traps",
OR(ISNUMBER(SEARCH("bait",E6)),ISNUMBER(SEARCH("poison",E6))),"Bait &amp; Poison",
ISNUMBER(SEARCH("repellent",E6)),"Repellents",
OR(ISNUMBER(SEARCH("fly trap",E6)),ISNUMBER(SEARCH("fly ribbon",E6)),ISNUMBER(SEARCH("fly stick",E6)),ISNUMBER(SEARCH("window fly",E6)),ISNUMBER(SEARCH("fly magnet",E6))),"Fly Traps",
OR(ISNUMBER(SEARCH("uv",E6)),ISNUMBER(SEARCH("fly light",E6)),ISNUMBER(SEARCH("plug-in",E6))),"UV Fly Traps",
ISNUMBER(SEARCH("roach",E6)),"Roach Traps",
ISNUMBER(SEARCH("ant",E6)),"Ant Traps",
ISNUMBER(SEARCH("spider",E6)),"Spider Traps",
ISNUMBER(SEARCH("mosquito",E6)),"Mosquito Traps",
ISNUMBER(SEARCH("beetle",E6)),"Beetle Traps",
ISNUMBER(SEARCH("lantern",E6)),"Lanternfly Control",
OR(ISNUMBER(SEARCH("tree shield",E6)),ISNUMBER(SEARCH("tree banding",E6)),ISNUMBER(SEARCH("insect barrier",E6))),"Tree Barriers",
OR(ISNUMBER(SEARCH("sun &amp; shade",E6)),ISNUMBER(SEARCH("sun and shade",E6))),"Sun &amp; Shade Mix",
ISNUMBER(SEARCH("tall fescue",E6)),"Tall Fescue",
ISNUMBER(SEARCH("bermudagrass",E6)),"Bermudagrass",
ISNUMBER(SEARCH("kentucky",E6)),"Kentucky Bluegrass",
ISNUMBER(SEARCH("zoysia",E6)),"Zoysia",
ISNUMBER(SEARCH("ryegrass",E6)),"Perennial Ryegrass",
ISNUMBER(SEARCH("centipede",E6)),"Centipede Grass",
ISNUMBER(SEARCH("dense shade",E6)),"Dense Shade Mix",
ISNUMBER(SEARCH("southern gold",E6)),"Southern Gold Mix",
ISNUMBER(SEARCH("heat-tolerant blue",E6)),"Heat-Tolerant Blue Mix",
ISNUMBER(SEARCH("high traffic",E6)),"High Traffic Mix",
ISNUMBER(SEARCH("quick fix",E6)),"Quick Fix Mix",
ISNUMBER(SEARCH("starter",E6)),"Starter Fertilizer",
ISNUMBER(SEARCH("weed &amp; feed",E6)),"Weed &amp; Feed",
ISNUMBER(SEARCH("lawn food",E6)),"Lawn Food",
ISNUMBER(SEARCH("triple action",E6)),"Triple Action Fertilizer",
ISNUMBER(SEARCH("green max",E6)),"Green Max Lawn Food",
ISNUMBER(SEARCH("patchmaster",E6)),"PatchMaster Repair",
ISNUMBER(SEARCH("ez seed",E6)),"EZ Seed Repair",
ISNUMBER(SEARCH("rapid grass",E6)),"Rapid Grass",
ISNUMBER(SEARCH("thick'r lawn",E6)),"Thick'R Lawn",
ISNUMBER(SEARCH("fungicide",E6)),"Fungicide",
ISNUMBER(SEARCH("moss",E6)),"Moss Control",
ISNUMBER(SEARCH("perlite",E6)),"Perlite",
ISNUMBER(SEARCH("plant food",E6)),"Plant Food",
ISNUMBER(SEARCH("spreader",E6)),"Spreader",
ISNUMBER(SEARCH("sprayer",E6)),"Sprayer",
ISNUMBER(SEARCH("mower",E6)),"Lawn Mower",
ISNUMBER(SEARCH("sweeper",E6)),"Lawn Sweeper",
OR(ISNUMBER(SEARCH("pruner",E6)),ISNUMBER(SEARCH("trimmer",E6)),ISNUMBER(SEARCH("pole saw",E6))),"Pruning Tools",
TRUE,"Other"
)</f>
        <v>Glue Traps</v>
      </c>
      <c r="J6" s="7" t="str">
        <f t="shared" si="2"/>
        <v>Flying Insect Control - Glue Traps</v>
      </c>
      <c r="K6" s="7">
        <v>100</v>
      </c>
      <c r="L6" s="7">
        <v>3.1</v>
      </c>
      <c r="M6" s="7">
        <v>129</v>
      </c>
      <c r="N6" s="7" t="s">
        <v>65</v>
      </c>
      <c r="O6" s="7">
        <f>VLOOKUP(A6,[2]Sheet1!$A:$B,2,0)</f>
        <v>0</v>
      </c>
      <c r="P6" s="7">
        <f>VLOOKUP(A6,[2]Sheet1!$A:$C,3,0)</f>
        <v>0</v>
      </c>
      <c r="Q6" s="7">
        <f>VLOOKUP(A6,[2]Sheet1!$A:$D,4,0)</f>
        <v>50</v>
      </c>
      <c r="R6" s="7">
        <f>VLOOKUP(A6,[2]Sheet1!$A:$E,5,0)</f>
        <v>50</v>
      </c>
      <c r="S6" s="7">
        <f>VLOOKUP(A6,[2]Sheet1!$A:$F,6,0)</f>
        <v>100</v>
      </c>
      <c r="T6" s="7">
        <f>VLOOKUP(A6,[2]Sheet1!$A:$G,7,0)</f>
        <v>200</v>
      </c>
      <c r="U6" s="7">
        <f>VLOOKUP(A6,[2]Sheet1!$A:$H,8,0)</f>
        <v>100</v>
      </c>
      <c r="V6" s="7">
        <f>VLOOKUP(A6,[2]Sheet1!$A:$I,9,0)</f>
        <v>100</v>
      </c>
      <c r="W6" s="7">
        <f>VLOOKUP(A6,[2]Sheet1!$A:$K,10,0)</f>
        <v>100</v>
      </c>
      <c r="X6" s="7">
        <f>VLOOKUP(A6,[2]Sheet1!$A:$L,11,0)</f>
        <v>50</v>
      </c>
      <c r="Y6" s="7">
        <f>VLOOKUP(A6,[2]Sheet1!$A:$L,12,0)</f>
        <v>0</v>
      </c>
      <c r="Z6" s="7">
        <f>VLOOKUP(A6,[2]Sheet1!$A:$M,13,0)</f>
        <v>0</v>
      </c>
      <c r="AA6" s="7">
        <f t="shared" si="0"/>
        <v>750</v>
      </c>
      <c r="AB6" s="7">
        <f t="shared" si="3"/>
        <v>63</v>
      </c>
      <c r="AC6" s="8">
        <f t="shared" si="1"/>
        <v>62.5</v>
      </c>
      <c r="AD6" s="9">
        <f t="shared" si="4"/>
        <v>37492.5</v>
      </c>
      <c r="AE6" s="9">
        <f t="shared" si="5"/>
        <v>3124.375</v>
      </c>
      <c r="AF6" s="9">
        <v>9.0500000000000007</v>
      </c>
      <c r="AG6" s="9">
        <v>49.99</v>
      </c>
      <c r="AH6" s="9">
        <f t="shared" si="6"/>
        <v>0.66306666666666658</v>
      </c>
      <c r="AI6" s="9">
        <f t="shared" si="7"/>
        <v>2.3207333333333326</v>
      </c>
      <c r="AJ6" s="10">
        <v>0.5</v>
      </c>
      <c r="AK6" s="10">
        <v>0.5</v>
      </c>
      <c r="AL6" s="9">
        <v>9.0500000000000007</v>
      </c>
      <c r="AM6" s="9">
        <f t="shared" si="8"/>
        <v>7.4984999999999999</v>
      </c>
      <c r="AN6" s="9">
        <f t="shared" si="9"/>
        <v>1.4997</v>
      </c>
      <c r="AO6" s="9">
        <f t="shared" si="10"/>
        <v>9.9980000000000011</v>
      </c>
      <c r="AP6" s="9">
        <f t="shared" si="11"/>
        <v>0.99980000000000002</v>
      </c>
      <c r="AQ6" s="9">
        <f t="shared" si="12"/>
        <v>9.9980000000000011</v>
      </c>
      <c r="AR6" s="9">
        <f t="shared" si="13"/>
        <v>12.4975</v>
      </c>
      <c r="AS6" s="11">
        <f t="shared" si="14"/>
        <v>6.6306666666666656</v>
      </c>
      <c r="AT6" s="12">
        <f t="shared" si="15"/>
        <v>4.9643333333333324</v>
      </c>
    </row>
    <row r="7" spans="1:48" ht="16.5" x14ac:dyDescent="0.4">
      <c r="A7" s="1" t="s">
        <v>66</v>
      </c>
      <c r="B7" s="7" t="s">
        <v>42</v>
      </c>
      <c r="C7" s="7" t="s">
        <v>42</v>
      </c>
      <c r="D7" s="1" t="s">
        <v>67</v>
      </c>
      <c r="E7" s="1" t="s">
        <v>68</v>
      </c>
      <c r="F7" s="1" t="s">
        <v>69</v>
      </c>
      <c r="G7" s="7" t="str">
        <f>VLOOKUP(A7,[1]done!$A:$I,9,0)</f>
        <v>Rodent</v>
      </c>
      <c r="H7" s="7" t="str" cm="1">
        <f t="array" ref="H7">_xlfn.IFS(
OR(ISNUMBER(SEARCH("mouse",E7)),ISNUMBER(SEARCH("rat",E7)),ISNUMBER(SEARCH("mice",E7)),ISNUMBER(SEARCH("rodent",E7))),"Rodent Control",
OR(ISNUMBER(SEARCH("fly",E7)),ISNUMBER(SEARCH("gnat",E7)),ISNUMBER(SEARCH("insect",E7)),ISNUMBER(SEARCH("mosquito",E7))),"Flying Insect Control",
OR(ISNUMBER(SEARCH("roach",E7)),ISNUMBER(SEARCH("ant",E7)),ISNUMBER(SEARCH("spider",E7)),ISNUMBER(SEARCH("cricket",E7)),ISNUMBER(SEARCH("scorpion",E7)),ISNUMBER(SEARCH("centipede",E7)),ISNUMBER(SEARCH("beetle",E7))),"Crawling Insect Control",
OR(ISNUMBER(SEARCH("tree",E7)),ISNUMBER(SEARCH("lantern",E7)),ISNUMBER(SEARCH("garden",E7)),ISNUMBER(SEARCH("plant",E7))),"Garden Pest Control",
OR(ISNUMBER(SEARCH("grass seed",E7)),ISNUMBER(SEARCH("seed mix",E7))),"Grass Seed",
OR(ISNUMBER(SEARCH("lawn food",E7)),ISNUMBER(SEARCH("fertilizer",E7))),"Lawn Fertilizer",
OR(ISNUMBER(SEARCH("patch",E7)),ISNUMBER(SEARCH("repair",E7)),ISNUMBER(SEARCH("thick'r",E7)),ISNUMBER(SEARCH("thick'r lawn",E7)),ISNUMBER(SEARCH("rapid grass",E7))),"Lawn Repair",
OR(ISNUMBER(SEARCH("weed",E7)),ISNUMBER(SEARCH("crabgrass",E7))),"Weed Control",
OR(ISNUMBER(SEARCH("fungicide",E7)),ISNUMBER(SEARCH("moss",E7))),"Disease &amp; Moss Control",
OR(ISNUMBER(SEARCH("plant food",E7)),ISNUMBER(SEARCH("miracid",E7))),"Plant Nutrition",
OR(ISNUMBER(SEARCH("perlite",E7))),"Soil Amendment",
OR(ISNUMBER(SEARCH("spreader",E7)),ISNUMBER(SEARCH("sprayer",E7)),ISNUMBER(SEARCH("mower",E7)),ISNUMBER(SEARCH("sweeper",E7)),ISNUMBER(SEARCH("pruner",E7)),ISNUMBER(SEARCH("trimmer",E7)),ISNUMBER(SEARCH("pole saw",E7))),"Garden Equipment",
TRUE,"Other"
)</f>
        <v>Rodent Control</v>
      </c>
      <c r="I7" s="7" t="str" cm="1">
        <f t="array" ref="I7">_xlfn.IFS(
OR(ISNUMBER(SEARCH("glue trap",E7)),ISNUMBER(SEARCH("glue board",E7))),"Glue Traps",
OR(ISNUMBER(SEARCH("snap trap",E7)),ISNUMBER(SEARCH("power-kill",E7)),ISNUMBER(SEARCH("wide pedal",E7)),ISNUMBER(SEARCH("metal pedal",E7))),"Snap Traps",
OR(ISNUMBER(SEARCH("electronic",E7)),ISNUMBER(SEARCH("zapper",E7))),"Electronic Traps",
OR(ISNUMBER(SEARCH("live catch",E7)),ISNUMBER(SEARCH("multi-catch",E7)),ISNUMBER(SEARCH("catch &amp; hold",E7)),ISNUMBER(SEARCH("tin cat",E7))),"Live Catch Traps",
OR(ISNUMBER(SEARCH("bait",E7)),ISNUMBER(SEARCH("poison",E7))),"Bait &amp; Poison",
ISNUMBER(SEARCH("repellent",E7)),"Repellents",
OR(ISNUMBER(SEARCH("fly trap",E7)),ISNUMBER(SEARCH("fly ribbon",E7)),ISNUMBER(SEARCH("fly stick",E7)),ISNUMBER(SEARCH("window fly",E7)),ISNUMBER(SEARCH("fly magnet",E7))),"Fly Traps",
OR(ISNUMBER(SEARCH("uv",E7)),ISNUMBER(SEARCH("fly light",E7)),ISNUMBER(SEARCH("plug-in",E7))),"UV Fly Traps",
ISNUMBER(SEARCH("roach",E7)),"Roach Traps",
ISNUMBER(SEARCH("ant",E7)),"Ant Traps",
ISNUMBER(SEARCH("spider",E7)),"Spider Traps",
ISNUMBER(SEARCH("mosquito",E7)),"Mosquito Traps",
ISNUMBER(SEARCH("beetle",E7)),"Beetle Traps",
ISNUMBER(SEARCH("lantern",E7)),"Lanternfly Control",
OR(ISNUMBER(SEARCH("tree shield",E7)),ISNUMBER(SEARCH("tree banding",E7)),ISNUMBER(SEARCH("insect barrier",E7))),"Tree Barriers",
OR(ISNUMBER(SEARCH("sun &amp; shade",E7)),ISNUMBER(SEARCH("sun and shade",E7))),"Sun &amp; Shade Mix",
ISNUMBER(SEARCH("tall fescue",E7)),"Tall Fescue",
ISNUMBER(SEARCH("bermudagrass",E7)),"Bermudagrass",
ISNUMBER(SEARCH("kentucky",E7)),"Kentucky Bluegrass",
ISNUMBER(SEARCH("zoysia",E7)),"Zoysia",
ISNUMBER(SEARCH("ryegrass",E7)),"Perennial Ryegrass",
ISNUMBER(SEARCH("centipede",E7)),"Centipede Grass",
ISNUMBER(SEARCH("dense shade",E7)),"Dense Shade Mix",
ISNUMBER(SEARCH("southern gold",E7)),"Southern Gold Mix",
ISNUMBER(SEARCH("heat-tolerant blue",E7)),"Heat-Tolerant Blue Mix",
ISNUMBER(SEARCH("high traffic",E7)),"High Traffic Mix",
ISNUMBER(SEARCH("quick fix",E7)),"Quick Fix Mix",
ISNUMBER(SEARCH("starter",E7)),"Starter Fertilizer",
ISNUMBER(SEARCH("weed &amp; feed",E7)),"Weed &amp; Feed",
ISNUMBER(SEARCH("lawn food",E7)),"Lawn Food",
ISNUMBER(SEARCH("triple action",E7)),"Triple Action Fertilizer",
ISNUMBER(SEARCH("green max",E7)),"Green Max Lawn Food",
ISNUMBER(SEARCH("patchmaster",E7)),"PatchMaster Repair",
ISNUMBER(SEARCH("ez seed",E7)),"EZ Seed Repair",
ISNUMBER(SEARCH("rapid grass",E7)),"Rapid Grass",
ISNUMBER(SEARCH("thick'r lawn",E7)),"Thick'R Lawn",
ISNUMBER(SEARCH("fungicide",E7)),"Fungicide",
ISNUMBER(SEARCH("moss",E7)),"Moss Control",
ISNUMBER(SEARCH("perlite",E7)),"Perlite",
ISNUMBER(SEARCH("plant food",E7)),"Plant Food",
ISNUMBER(SEARCH("spreader",E7)),"Spreader",
ISNUMBER(SEARCH("sprayer",E7)),"Sprayer",
ISNUMBER(SEARCH("mower",E7)),"Lawn Mower",
ISNUMBER(SEARCH("sweeper",E7)),"Lawn Sweeper",
OR(ISNUMBER(SEARCH("pruner",E7)),ISNUMBER(SEARCH("trimmer",E7)),ISNUMBER(SEARCH("pole saw",E7))),"Pruning Tools",
TRUE,"Other"
)</f>
        <v>Glue Traps</v>
      </c>
      <c r="J7" s="7" t="str">
        <f t="shared" si="2"/>
        <v>Rodent Control - Glue Traps</v>
      </c>
      <c r="K7" s="1">
        <v>30000</v>
      </c>
      <c r="L7" s="1">
        <v>4.3</v>
      </c>
      <c r="M7" s="1">
        <v>71743</v>
      </c>
      <c r="N7" s="1" t="s">
        <v>70</v>
      </c>
      <c r="O7" s="1">
        <f>VLOOKUP(A7,[2]Sheet1!$A:$B,2,0)</f>
        <v>10000</v>
      </c>
      <c r="P7" s="1">
        <f>VLOOKUP(A7,[2]Sheet1!$A:$C,3,0)</f>
        <v>10000</v>
      </c>
      <c r="Q7" s="7">
        <f>VLOOKUP(A7,[2]Sheet1!$A:$D,4,0)</f>
        <v>10000</v>
      </c>
      <c r="R7" s="7">
        <f>VLOOKUP(A7,[2]Sheet1!$A:$E,5,0)</f>
        <v>10000</v>
      </c>
      <c r="S7" s="7">
        <f>VLOOKUP(A7,[2]Sheet1!$A:$F,6,0)</f>
        <v>20000</v>
      </c>
      <c r="T7" s="7">
        <f>VLOOKUP(A7,[2]Sheet1!$A:$G,7,0)</f>
        <v>20000</v>
      </c>
      <c r="U7" s="7">
        <f>VLOOKUP(A7,[2]Sheet1!$A:$H,8,0)</f>
        <v>20000</v>
      </c>
      <c r="V7" s="7">
        <f>VLOOKUP(A7,[2]Sheet1!$A:$I,9,0)</f>
        <v>30000</v>
      </c>
      <c r="W7" s="7">
        <f>VLOOKUP(A7,[2]Sheet1!$A:$K,10,0)</f>
        <v>30000</v>
      </c>
      <c r="X7" s="7">
        <f>VLOOKUP(A7,[2]Sheet1!$A:$L,11,0)</f>
        <v>20000</v>
      </c>
      <c r="Y7" s="7">
        <f>VLOOKUP(A7,[2]Sheet1!$A:$L,12,0)</f>
        <v>20000</v>
      </c>
      <c r="Z7" s="7">
        <f>VLOOKUP(A7,[2]Sheet1!$A:$M,13,0)</f>
        <v>20000</v>
      </c>
      <c r="AA7" s="1">
        <f t="shared" si="0"/>
        <v>220000</v>
      </c>
      <c r="AB7" s="7">
        <f t="shared" si="3"/>
        <v>18333</v>
      </c>
      <c r="AC7" s="13">
        <f t="shared" si="1"/>
        <v>18333.333333333332</v>
      </c>
      <c r="AD7" s="9">
        <f t="shared" si="4"/>
        <v>5167800</v>
      </c>
      <c r="AE7" s="9">
        <f t="shared" si="5"/>
        <v>430649.99999999994</v>
      </c>
      <c r="AF7" s="11">
        <v>6.02</v>
      </c>
      <c r="AG7" s="11">
        <v>23.49</v>
      </c>
      <c r="AH7" s="9">
        <f t="shared" si="6"/>
        <v>0.15840000000000004</v>
      </c>
      <c r="AI7" s="11">
        <f t="shared" si="7"/>
        <v>0.55440000000000011</v>
      </c>
      <c r="AJ7" s="14">
        <v>0.5</v>
      </c>
      <c r="AK7" s="14">
        <v>0.5</v>
      </c>
      <c r="AL7" s="11">
        <v>6.02</v>
      </c>
      <c r="AM7" s="9">
        <f t="shared" si="8"/>
        <v>3.5234999999999999</v>
      </c>
      <c r="AN7" s="9">
        <f t="shared" si="9"/>
        <v>0.70469999999999988</v>
      </c>
      <c r="AO7" s="9">
        <f t="shared" si="10"/>
        <v>4.6979999999999995</v>
      </c>
      <c r="AP7" s="9">
        <f t="shared" si="11"/>
        <v>0.4698</v>
      </c>
      <c r="AQ7" s="9">
        <f t="shared" si="12"/>
        <v>4.6979999999999995</v>
      </c>
      <c r="AR7" s="9">
        <f t="shared" si="13"/>
        <v>5.8724999999999996</v>
      </c>
      <c r="AS7" s="11">
        <f t="shared" si="14"/>
        <v>1.5840000000000003</v>
      </c>
      <c r="AT7" s="12">
        <f t="shared" si="15"/>
        <v>0.80100000000000016</v>
      </c>
    </row>
    <row r="8" spans="1:48" ht="16.5" x14ac:dyDescent="0.4">
      <c r="A8" s="1" t="s">
        <v>71</v>
      </c>
      <c r="B8" s="7" t="s">
        <v>42</v>
      </c>
      <c r="C8" s="7" t="s">
        <v>42</v>
      </c>
      <c r="D8" s="1" t="s">
        <v>72</v>
      </c>
      <c r="E8" s="1" t="s">
        <v>73</v>
      </c>
      <c r="F8" s="1" t="s">
        <v>74</v>
      </c>
      <c r="G8" s="7" t="str">
        <f>VLOOKUP(A8,[1]done!$A:$I,9,0)</f>
        <v>Rodent</v>
      </c>
      <c r="H8" s="7" t="str" cm="1">
        <f t="array" ref="H8">_xlfn.IFS(
OR(ISNUMBER(SEARCH("mouse",E8)),ISNUMBER(SEARCH("rat",E8)),ISNUMBER(SEARCH("mice",E8)),ISNUMBER(SEARCH("rodent",E8))),"Rodent Control",
OR(ISNUMBER(SEARCH("fly",E8)),ISNUMBER(SEARCH("gnat",E8)),ISNUMBER(SEARCH("insect",E8)),ISNUMBER(SEARCH("mosquito",E8))),"Flying Insect Control",
OR(ISNUMBER(SEARCH("roach",E8)),ISNUMBER(SEARCH("ant",E8)),ISNUMBER(SEARCH("spider",E8)),ISNUMBER(SEARCH("cricket",E8)),ISNUMBER(SEARCH("scorpion",E8)),ISNUMBER(SEARCH("centipede",E8)),ISNUMBER(SEARCH("beetle",E8))),"Crawling Insect Control",
OR(ISNUMBER(SEARCH("tree",E8)),ISNUMBER(SEARCH("lantern",E8)),ISNUMBER(SEARCH("garden",E8)),ISNUMBER(SEARCH("plant",E8))),"Garden Pest Control",
OR(ISNUMBER(SEARCH("grass seed",E8)),ISNUMBER(SEARCH("seed mix",E8))),"Grass Seed",
OR(ISNUMBER(SEARCH("lawn food",E8)),ISNUMBER(SEARCH("fertilizer",E8))),"Lawn Fertilizer",
OR(ISNUMBER(SEARCH("patch",E8)),ISNUMBER(SEARCH("repair",E8)),ISNUMBER(SEARCH("thick'r",E8)),ISNUMBER(SEARCH("thick'r lawn",E8)),ISNUMBER(SEARCH("rapid grass",E8))),"Lawn Repair",
OR(ISNUMBER(SEARCH("weed",E8)),ISNUMBER(SEARCH("crabgrass",E8))),"Weed Control",
OR(ISNUMBER(SEARCH("fungicide",E8)),ISNUMBER(SEARCH("moss",E8))),"Disease &amp; Moss Control",
OR(ISNUMBER(SEARCH("plant food",E8)),ISNUMBER(SEARCH("miracid",E8))),"Plant Nutrition",
OR(ISNUMBER(SEARCH("perlite",E8))),"Soil Amendment",
OR(ISNUMBER(SEARCH("spreader",E8)),ISNUMBER(SEARCH("sprayer",E8)),ISNUMBER(SEARCH("mower",E8)),ISNUMBER(SEARCH("sweeper",E8)),ISNUMBER(SEARCH("pruner",E8)),ISNUMBER(SEARCH("trimmer",E8)),ISNUMBER(SEARCH("pole saw",E8))),"Garden Equipment",
TRUE,"Other"
)</f>
        <v>Rodent Control</v>
      </c>
      <c r="I8" s="7" t="str" cm="1">
        <f t="array" ref="I8">_xlfn.IFS(
OR(ISNUMBER(SEARCH("glue trap",E8)),ISNUMBER(SEARCH("glue board",E8))),"Glue Traps",
OR(ISNUMBER(SEARCH("snap trap",E8)),ISNUMBER(SEARCH("power-kill",E8)),ISNUMBER(SEARCH("wide pedal",E8)),ISNUMBER(SEARCH("metal pedal",E8))),"Snap Traps",
OR(ISNUMBER(SEARCH("electronic",E8)),ISNUMBER(SEARCH("zapper",E8))),"Electronic Traps",
OR(ISNUMBER(SEARCH("live catch",E8)),ISNUMBER(SEARCH("multi-catch",E8)),ISNUMBER(SEARCH("catch &amp; hold",E8)),ISNUMBER(SEARCH("tin cat",E8))),"Live Catch Traps",
OR(ISNUMBER(SEARCH("bait",E8)),ISNUMBER(SEARCH("poison",E8))),"Bait &amp; Poison",
ISNUMBER(SEARCH("repellent",E8)),"Repellents",
OR(ISNUMBER(SEARCH("fly trap",E8)),ISNUMBER(SEARCH("fly ribbon",E8)),ISNUMBER(SEARCH("fly stick",E8)),ISNUMBER(SEARCH("window fly",E8)),ISNUMBER(SEARCH("fly magnet",E8))),"Fly Traps",
OR(ISNUMBER(SEARCH("uv",E8)),ISNUMBER(SEARCH("fly light",E8)),ISNUMBER(SEARCH("plug-in",E8))),"UV Fly Traps",
ISNUMBER(SEARCH("roach",E8)),"Roach Traps",
ISNUMBER(SEARCH("ant",E8)),"Ant Traps",
ISNUMBER(SEARCH("spider",E8)),"Spider Traps",
ISNUMBER(SEARCH("mosquito",E8)),"Mosquito Traps",
ISNUMBER(SEARCH("beetle",E8)),"Beetle Traps",
ISNUMBER(SEARCH("lantern",E8)),"Lanternfly Control",
OR(ISNUMBER(SEARCH("tree shield",E8)),ISNUMBER(SEARCH("tree banding",E8)),ISNUMBER(SEARCH("insect barrier",E8))),"Tree Barriers",
OR(ISNUMBER(SEARCH("sun &amp; shade",E8)),ISNUMBER(SEARCH("sun and shade",E8))),"Sun &amp; Shade Mix",
ISNUMBER(SEARCH("tall fescue",E8)),"Tall Fescue",
ISNUMBER(SEARCH("bermudagrass",E8)),"Bermudagrass",
ISNUMBER(SEARCH("kentucky",E8)),"Kentucky Bluegrass",
ISNUMBER(SEARCH("zoysia",E8)),"Zoysia",
ISNUMBER(SEARCH("ryegrass",E8)),"Perennial Ryegrass",
ISNUMBER(SEARCH("centipede",E8)),"Centipede Grass",
ISNUMBER(SEARCH("dense shade",E8)),"Dense Shade Mix",
ISNUMBER(SEARCH("southern gold",E8)),"Southern Gold Mix",
ISNUMBER(SEARCH("heat-tolerant blue",E8)),"Heat-Tolerant Blue Mix",
ISNUMBER(SEARCH("high traffic",E8)),"High Traffic Mix",
ISNUMBER(SEARCH("quick fix",E8)),"Quick Fix Mix",
ISNUMBER(SEARCH("starter",E8)),"Starter Fertilizer",
ISNUMBER(SEARCH("weed &amp; feed",E8)),"Weed &amp; Feed",
ISNUMBER(SEARCH("lawn food",E8)),"Lawn Food",
ISNUMBER(SEARCH("triple action",E8)),"Triple Action Fertilizer",
ISNUMBER(SEARCH("green max",E8)),"Green Max Lawn Food",
ISNUMBER(SEARCH("patchmaster",E8)),"PatchMaster Repair",
ISNUMBER(SEARCH("ez seed",E8)),"EZ Seed Repair",
ISNUMBER(SEARCH("rapid grass",E8)),"Rapid Grass",
ISNUMBER(SEARCH("thick'r lawn",E8)),"Thick'R Lawn",
ISNUMBER(SEARCH("fungicide",E8)),"Fungicide",
ISNUMBER(SEARCH("moss",E8)),"Moss Control",
ISNUMBER(SEARCH("perlite",E8)),"Perlite",
ISNUMBER(SEARCH("plant food",E8)),"Plant Food",
ISNUMBER(SEARCH("spreader",E8)),"Spreader",
ISNUMBER(SEARCH("sprayer",E8)),"Sprayer",
ISNUMBER(SEARCH("mower",E8)),"Lawn Mower",
ISNUMBER(SEARCH("sweeper",E8)),"Lawn Sweeper",
OR(ISNUMBER(SEARCH("pruner",E8)),ISNUMBER(SEARCH("trimmer",E8)),ISNUMBER(SEARCH("pole saw",E8))),"Pruning Tools",
TRUE,"Other"
)</f>
        <v>Glue Traps</v>
      </c>
      <c r="J8" s="7" t="str">
        <f t="shared" si="2"/>
        <v>Rodent Control - Glue Traps</v>
      </c>
      <c r="K8" s="1">
        <v>20000</v>
      </c>
      <c r="L8" s="1">
        <v>4.4000000000000004</v>
      </c>
      <c r="M8" s="1">
        <v>7283</v>
      </c>
      <c r="N8" s="1" t="s">
        <v>75</v>
      </c>
      <c r="O8" s="1">
        <f>VLOOKUP(A8,[2]Sheet1!$A:$B,2,0)</f>
        <v>10000</v>
      </c>
      <c r="P8" s="1">
        <f>VLOOKUP(A8,[2]Sheet1!$A:$C,3,0)</f>
        <v>8000</v>
      </c>
      <c r="Q8" s="7">
        <f>VLOOKUP(A8,[2]Sheet1!$A:$D,4,0)</f>
        <v>10000</v>
      </c>
      <c r="R8" s="7">
        <f>VLOOKUP(A8,[2]Sheet1!$A:$E,5,0)</f>
        <v>10000</v>
      </c>
      <c r="S8" s="7">
        <f>VLOOKUP(A8,[2]Sheet1!$A:$F,6,0)</f>
        <v>10000</v>
      </c>
      <c r="T8" s="7">
        <f>VLOOKUP(A8,[2]Sheet1!$A:$G,7,0)</f>
        <v>10000</v>
      </c>
      <c r="U8" s="7">
        <f>VLOOKUP(A8,[2]Sheet1!$A:$H,8,0)</f>
        <v>10000</v>
      </c>
      <c r="V8" s="7">
        <f>VLOOKUP(A8,[2]Sheet1!$A:$I,9,0)</f>
        <v>20000</v>
      </c>
      <c r="W8" s="7">
        <f>VLOOKUP(A8,[2]Sheet1!$A:$K,10,0)</f>
        <v>20000</v>
      </c>
      <c r="X8" s="7">
        <f>VLOOKUP(A8,[2]Sheet1!$A:$L,11,0)</f>
        <v>10000</v>
      </c>
      <c r="Y8" s="7">
        <f>VLOOKUP(A8,[2]Sheet1!$A:$L,12,0)</f>
        <v>10000</v>
      </c>
      <c r="Z8" s="7">
        <f>VLOOKUP(A8,[2]Sheet1!$A:$M,13,0)</f>
        <v>10000</v>
      </c>
      <c r="AA8" s="1">
        <f t="shared" si="0"/>
        <v>138000</v>
      </c>
      <c r="AB8" s="7">
        <f t="shared" si="3"/>
        <v>11500</v>
      </c>
      <c r="AC8" s="13">
        <f t="shared" si="1"/>
        <v>11500</v>
      </c>
      <c r="AD8" s="9">
        <f t="shared" si="4"/>
        <v>3031860</v>
      </c>
      <c r="AE8" s="9">
        <f t="shared" si="5"/>
        <v>252655</v>
      </c>
      <c r="AF8" s="11">
        <v>6.01</v>
      </c>
      <c r="AG8" s="11">
        <v>21.97</v>
      </c>
      <c r="AH8" s="9">
        <f t="shared" si="6"/>
        <v>0.11853333333333325</v>
      </c>
      <c r="AI8" s="11">
        <f t="shared" si="7"/>
        <v>0.41486666666666633</v>
      </c>
      <c r="AJ8" s="14">
        <v>0.5</v>
      </c>
      <c r="AK8" s="14">
        <v>0.5</v>
      </c>
      <c r="AL8" s="11">
        <v>6.01</v>
      </c>
      <c r="AM8" s="9">
        <f t="shared" si="8"/>
        <v>3.2954999999999997</v>
      </c>
      <c r="AN8" s="9">
        <f t="shared" si="9"/>
        <v>0.65909999999999991</v>
      </c>
      <c r="AO8" s="9">
        <f t="shared" si="10"/>
        <v>4.3940000000000001</v>
      </c>
      <c r="AP8" s="9">
        <f t="shared" si="11"/>
        <v>0.43940000000000001</v>
      </c>
      <c r="AQ8" s="9">
        <f t="shared" si="12"/>
        <v>4.3940000000000001</v>
      </c>
      <c r="AR8" s="9">
        <f t="shared" si="13"/>
        <v>5.4924999999999997</v>
      </c>
      <c r="AS8" s="11">
        <f t="shared" si="14"/>
        <v>1.1853333333333325</v>
      </c>
      <c r="AT8" s="12">
        <f t="shared" si="15"/>
        <v>0.4529999999999994</v>
      </c>
    </row>
    <row r="9" spans="1:48" ht="16.5" x14ac:dyDescent="0.4">
      <c r="A9" s="1" t="s">
        <v>76</v>
      </c>
      <c r="B9" s="7" t="s">
        <v>42</v>
      </c>
      <c r="C9" s="7" t="s">
        <v>1776</v>
      </c>
      <c r="D9" s="1" t="s">
        <v>77</v>
      </c>
      <c r="E9" s="1" t="s">
        <v>78</v>
      </c>
      <c r="F9" s="1" t="s">
        <v>79</v>
      </c>
      <c r="G9" s="7" t="str">
        <f>VLOOKUP(A9,[1]done!$A:$I,9,0)</f>
        <v>Rodent</v>
      </c>
      <c r="H9" s="7" t="str" cm="1">
        <f t="array" ref="H9">_xlfn.IFS(
OR(ISNUMBER(SEARCH("mouse",E9)),ISNUMBER(SEARCH("rat",E9)),ISNUMBER(SEARCH("mice",E9)),ISNUMBER(SEARCH("rodent",E9))),"Rodent Control",
OR(ISNUMBER(SEARCH("fly",E9)),ISNUMBER(SEARCH("gnat",E9)),ISNUMBER(SEARCH("insect",E9)),ISNUMBER(SEARCH("mosquito",E9))),"Flying Insect Control",
OR(ISNUMBER(SEARCH("roach",E9)),ISNUMBER(SEARCH("ant",E9)),ISNUMBER(SEARCH("spider",E9)),ISNUMBER(SEARCH("cricket",E9)),ISNUMBER(SEARCH("scorpion",E9)),ISNUMBER(SEARCH("centipede",E9)),ISNUMBER(SEARCH("beetle",E9))),"Crawling Insect Control",
OR(ISNUMBER(SEARCH("tree",E9)),ISNUMBER(SEARCH("lantern",E9)),ISNUMBER(SEARCH("garden",E9)),ISNUMBER(SEARCH("plant",E9))),"Garden Pest Control",
OR(ISNUMBER(SEARCH("grass seed",E9)),ISNUMBER(SEARCH("seed mix",E9))),"Grass Seed",
OR(ISNUMBER(SEARCH("lawn food",E9)),ISNUMBER(SEARCH("fertilizer",E9))),"Lawn Fertilizer",
OR(ISNUMBER(SEARCH("patch",E9)),ISNUMBER(SEARCH("repair",E9)),ISNUMBER(SEARCH("thick'r",E9)),ISNUMBER(SEARCH("thick'r lawn",E9)),ISNUMBER(SEARCH("rapid grass",E9))),"Lawn Repair",
OR(ISNUMBER(SEARCH("weed",E9)),ISNUMBER(SEARCH("crabgrass",E9))),"Weed Control",
OR(ISNUMBER(SEARCH("fungicide",E9)),ISNUMBER(SEARCH("moss",E9))),"Disease &amp; Moss Control",
OR(ISNUMBER(SEARCH("plant food",E9)),ISNUMBER(SEARCH("miracid",E9))),"Plant Nutrition",
OR(ISNUMBER(SEARCH("perlite",E9))),"Soil Amendment",
OR(ISNUMBER(SEARCH("spreader",E9)),ISNUMBER(SEARCH("sprayer",E9)),ISNUMBER(SEARCH("mower",E9)),ISNUMBER(SEARCH("sweeper",E9)),ISNUMBER(SEARCH("pruner",E9)),ISNUMBER(SEARCH("trimmer",E9)),ISNUMBER(SEARCH("pole saw",E9))),"Garden Equipment",
TRUE,"Other"
)</f>
        <v>Rodent Control</v>
      </c>
      <c r="I9" s="7" t="str" cm="1">
        <f t="array" ref="I9">_xlfn.IFS(
OR(ISNUMBER(SEARCH("glue trap",E9)),ISNUMBER(SEARCH("glue board",E9))),"Glue Traps",
OR(ISNUMBER(SEARCH("snap trap",E9)),ISNUMBER(SEARCH("power-kill",E9)),ISNUMBER(SEARCH("wide pedal",E9)),ISNUMBER(SEARCH("metal pedal",E9))),"Snap Traps",
OR(ISNUMBER(SEARCH("electronic",E9)),ISNUMBER(SEARCH("zapper",E9))),"Electronic Traps",
OR(ISNUMBER(SEARCH("live catch",E9)),ISNUMBER(SEARCH("multi-catch",E9)),ISNUMBER(SEARCH("catch &amp; hold",E9)),ISNUMBER(SEARCH("tin cat",E9))),"Live Catch Traps",
OR(ISNUMBER(SEARCH("bait",E9)),ISNUMBER(SEARCH("poison",E9))),"Bait &amp; Poison",
ISNUMBER(SEARCH("repellent",E9)),"Repellents",
OR(ISNUMBER(SEARCH("fly trap",E9)),ISNUMBER(SEARCH("fly ribbon",E9)),ISNUMBER(SEARCH("fly stick",E9)),ISNUMBER(SEARCH("window fly",E9)),ISNUMBER(SEARCH("fly magnet",E9))),"Fly Traps",
OR(ISNUMBER(SEARCH("uv",E9)),ISNUMBER(SEARCH("fly light",E9)),ISNUMBER(SEARCH("plug-in",E9))),"UV Fly Traps",
ISNUMBER(SEARCH("roach",E9)),"Roach Traps",
ISNUMBER(SEARCH("ant",E9)),"Ant Traps",
ISNUMBER(SEARCH("spider",E9)),"Spider Traps",
ISNUMBER(SEARCH("mosquito",E9)),"Mosquito Traps",
ISNUMBER(SEARCH("beetle",E9)),"Beetle Traps",
ISNUMBER(SEARCH("lantern",E9)),"Lanternfly Control",
OR(ISNUMBER(SEARCH("tree shield",E9)),ISNUMBER(SEARCH("tree banding",E9)),ISNUMBER(SEARCH("insect barrier",E9))),"Tree Barriers",
OR(ISNUMBER(SEARCH("sun &amp; shade",E9)),ISNUMBER(SEARCH("sun and shade",E9))),"Sun &amp; Shade Mix",
ISNUMBER(SEARCH("tall fescue",E9)),"Tall Fescue",
ISNUMBER(SEARCH("bermudagrass",E9)),"Bermudagrass",
ISNUMBER(SEARCH("kentucky",E9)),"Kentucky Bluegrass",
ISNUMBER(SEARCH("zoysia",E9)),"Zoysia",
ISNUMBER(SEARCH("ryegrass",E9)),"Perennial Ryegrass",
ISNUMBER(SEARCH("centipede",E9)),"Centipede Grass",
ISNUMBER(SEARCH("dense shade",E9)),"Dense Shade Mix",
ISNUMBER(SEARCH("southern gold",E9)),"Southern Gold Mix",
ISNUMBER(SEARCH("heat-tolerant blue",E9)),"Heat-Tolerant Blue Mix",
ISNUMBER(SEARCH("high traffic",E9)),"High Traffic Mix",
ISNUMBER(SEARCH("quick fix",E9)),"Quick Fix Mix",
ISNUMBER(SEARCH("starter",E9)),"Starter Fertilizer",
ISNUMBER(SEARCH("weed &amp; feed",E9)),"Weed &amp; Feed",
ISNUMBER(SEARCH("lawn food",E9)),"Lawn Food",
ISNUMBER(SEARCH("triple action",E9)),"Triple Action Fertilizer",
ISNUMBER(SEARCH("green max",E9)),"Green Max Lawn Food",
ISNUMBER(SEARCH("patchmaster",E9)),"PatchMaster Repair",
ISNUMBER(SEARCH("ez seed",E9)),"EZ Seed Repair",
ISNUMBER(SEARCH("rapid grass",E9)),"Rapid Grass",
ISNUMBER(SEARCH("thick'r lawn",E9)),"Thick'R Lawn",
ISNUMBER(SEARCH("fungicide",E9)),"Fungicide",
ISNUMBER(SEARCH("moss",E9)),"Moss Control",
ISNUMBER(SEARCH("perlite",E9)),"Perlite",
ISNUMBER(SEARCH("plant food",E9)),"Plant Food",
ISNUMBER(SEARCH("spreader",E9)),"Spreader",
ISNUMBER(SEARCH("sprayer",E9)),"Sprayer",
ISNUMBER(SEARCH("mower",E9)),"Lawn Mower",
ISNUMBER(SEARCH("sweeper",E9)),"Lawn Sweeper",
OR(ISNUMBER(SEARCH("pruner",E9)),ISNUMBER(SEARCH("trimmer",E9)),ISNUMBER(SEARCH("pole saw",E9))),"Pruning Tools",
TRUE,"Other"
)</f>
        <v>Glue Traps</v>
      </c>
      <c r="J9" s="7" t="str">
        <f t="shared" si="2"/>
        <v>Rodent Control - Glue Traps</v>
      </c>
      <c r="K9" s="1">
        <v>10000</v>
      </c>
      <c r="L9" s="1">
        <v>4.4000000000000004</v>
      </c>
      <c r="M9" s="1">
        <v>19474</v>
      </c>
      <c r="N9" s="1" t="s">
        <v>80</v>
      </c>
      <c r="O9" s="1">
        <f>VLOOKUP(A9,[2]Sheet1!$A:$B,2,0)</f>
        <v>6000</v>
      </c>
      <c r="P9" s="1">
        <f>VLOOKUP(A9,[2]Sheet1!$A:$C,3,0)</f>
        <v>5000</v>
      </c>
      <c r="Q9" s="7">
        <f>VLOOKUP(A9,[2]Sheet1!$A:$D,4,0)</f>
        <v>5000</v>
      </c>
      <c r="R9" s="7">
        <f>VLOOKUP(A9,[2]Sheet1!$A:$E,5,0)</f>
        <v>5000</v>
      </c>
      <c r="S9" s="7">
        <f>VLOOKUP(A9,[2]Sheet1!$A:$F,6,0)</f>
        <v>5000</v>
      </c>
      <c r="T9" s="7">
        <f>VLOOKUP(A9,[2]Sheet1!$A:$G,7,0)</f>
        <v>7000</v>
      </c>
      <c r="U9" s="7">
        <f>VLOOKUP(A9,[2]Sheet1!$A:$H,8,0)</f>
        <v>8000</v>
      </c>
      <c r="V9" s="7">
        <f>VLOOKUP(A9,[2]Sheet1!$A:$I,9,0)</f>
        <v>8000</v>
      </c>
      <c r="W9" s="7">
        <f>VLOOKUP(A9,[2]Sheet1!$A:$K,10,0)</f>
        <v>9000</v>
      </c>
      <c r="X9" s="7">
        <f>VLOOKUP(A9,[2]Sheet1!$A:$L,11,0)</f>
        <v>10000</v>
      </c>
      <c r="Y9" s="7">
        <f>VLOOKUP(A9,[2]Sheet1!$A:$L,12,0)</f>
        <v>9000</v>
      </c>
      <c r="Z9" s="7">
        <f>VLOOKUP(A9,[2]Sheet1!$A:$M,13,0)</f>
        <v>7000</v>
      </c>
      <c r="AA9" s="1">
        <f t="shared" si="0"/>
        <v>84000</v>
      </c>
      <c r="AB9" s="7">
        <f t="shared" si="3"/>
        <v>7000</v>
      </c>
      <c r="AC9" s="13">
        <f t="shared" si="1"/>
        <v>7000</v>
      </c>
      <c r="AD9" s="9">
        <f t="shared" si="4"/>
        <v>2855160</v>
      </c>
      <c r="AE9" s="9">
        <f t="shared" si="5"/>
        <v>237930</v>
      </c>
      <c r="AF9" s="11">
        <v>7.55</v>
      </c>
      <c r="AG9" s="11">
        <v>33.99</v>
      </c>
      <c r="AH9" s="9">
        <f t="shared" si="6"/>
        <v>0.33640000000000003</v>
      </c>
      <c r="AI9" s="11">
        <f t="shared" si="7"/>
        <v>1.1774</v>
      </c>
      <c r="AJ9" s="14">
        <v>0.5</v>
      </c>
      <c r="AK9" s="14">
        <v>0.5</v>
      </c>
      <c r="AL9" s="11">
        <v>7.55</v>
      </c>
      <c r="AM9" s="9">
        <f t="shared" si="8"/>
        <v>5.0985000000000005</v>
      </c>
      <c r="AN9" s="9">
        <f t="shared" si="9"/>
        <v>1.0197000000000001</v>
      </c>
      <c r="AO9" s="9">
        <f t="shared" si="10"/>
        <v>6.7980000000000009</v>
      </c>
      <c r="AP9" s="9">
        <f t="shared" si="11"/>
        <v>0.67980000000000007</v>
      </c>
      <c r="AQ9" s="9">
        <f t="shared" si="12"/>
        <v>6.7980000000000009</v>
      </c>
      <c r="AR9" s="9">
        <f t="shared" si="13"/>
        <v>8.4975000000000005</v>
      </c>
      <c r="AS9" s="11">
        <f t="shared" si="14"/>
        <v>3.3640000000000003</v>
      </c>
      <c r="AT9" s="12">
        <f t="shared" si="15"/>
        <v>2.2310000000000003</v>
      </c>
    </row>
    <row r="10" spans="1:48" ht="16.5" x14ac:dyDescent="0.4">
      <c r="A10" s="1" t="s">
        <v>81</v>
      </c>
      <c r="B10" s="7" t="s">
        <v>42</v>
      </c>
      <c r="C10" s="7" t="s">
        <v>1777</v>
      </c>
      <c r="D10" s="1" t="s">
        <v>82</v>
      </c>
      <c r="E10" s="1" t="s">
        <v>83</v>
      </c>
      <c r="F10" s="1" t="s">
        <v>84</v>
      </c>
      <c r="G10" s="7" t="str">
        <f>VLOOKUP(A10,[1]done!$A:$I,9,0)</f>
        <v>Rodent</v>
      </c>
      <c r="H10" s="7" t="str" cm="1">
        <f t="array" ref="H10">_xlfn.IFS(
OR(ISNUMBER(SEARCH("mouse",E10)),ISNUMBER(SEARCH("rat",E10)),ISNUMBER(SEARCH("mice",E10)),ISNUMBER(SEARCH("rodent",E10))),"Rodent Control",
OR(ISNUMBER(SEARCH("fly",E10)),ISNUMBER(SEARCH("gnat",E10)),ISNUMBER(SEARCH("insect",E10)),ISNUMBER(SEARCH("mosquito",E10))),"Flying Insect Control",
OR(ISNUMBER(SEARCH("roach",E10)),ISNUMBER(SEARCH("ant",E10)),ISNUMBER(SEARCH("spider",E10)),ISNUMBER(SEARCH("cricket",E10)),ISNUMBER(SEARCH("scorpion",E10)),ISNUMBER(SEARCH("centipede",E10)),ISNUMBER(SEARCH("beetle",E10))),"Crawling Insect Control",
OR(ISNUMBER(SEARCH("tree",E10)),ISNUMBER(SEARCH("lantern",E10)),ISNUMBER(SEARCH("garden",E10)),ISNUMBER(SEARCH("plant",E10))),"Garden Pest Control",
OR(ISNUMBER(SEARCH("grass seed",E10)),ISNUMBER(SEARCH("seed mix",E10))),"Grass Seed",
OR(ISNUMBER(SEARCH("lawn food",E10)),ISNUMBER(SEARCH("fertilizer",E10))),"Lawn Fertilizer",
OR(ISNUMBER(SEARCH("patch",E10)),ISNUMBER(SEARCH("repair",E10)),ISNUMBER(SEARCH("thick'r",E10)),ISNUMBER(SEARCH("thick'r lawn",E10)),ISNUMBER(SEARCH("rapid grass",E10))),"Lawn Repair",
OR(ISNUMBER(SEARCH("weed",E10)),ISNUMBER(SEARCH("crabgrass",E10))),"Weed Control",
OR(ISNUMBER(SEARCH("fungicide",E10)),ISNUMBER(SEARCH("moss",E10))),"Disease &amp; Moss Control",
OR(ISNUMBER(SEARCH("plant food",E10)),ISNUMBER(SEARCH("miracid",E10))),"Plant Nutrition",
OR(ISNUMBER(SEARCH("perlite",E10))),"Soil Amendment",
OR(ISNUMBER(SEARCH("spreader",E10)),ISNUMBER(SEARCH("sprayer",E10)),ISNUMBER(SEARCH("mower",E10)),ISNUMBER(SEARCH("sweeper",E10)),ISNUMBER(SEARCH("pruner",E10)),ISNUMBER(SEARCH("trimmer",E10)),ISNUMBER(SEARCH("pole saw",E10))),"Garden Equipment",
TRUE,"Other"
)</f>
        <v>Rodent Control</v>
      </c>
      <c r="I10" s="7" t="str" cm="1">
        <f t="array" ref="I10">_xlfn.IFS(
OR(ISNUMBER(SEARCH("glue trap",E10)),ISNUMBER(SEARCH("glue board",E10))),"Glue Traps",
OR(ISNUMBER(SEARCH("snap trap",E10)),ISNUMBER(SEARCH("power-kill",E10)),ISNUMBER(SEARCH("wide pedal",E10)),ISNUMBER(SEARCH("metal pedal",E10))),"Snap Traps",
OR(ISNUMBER(SEARCH("electronic",E10)),ISNUMBER(SEARCH("zapper",E10))),"Electronic Traps",
OR(ISNUMBER(SEARCH("live catch",E10)),ISNUMBER(SEARCH("multi-catch",E10)),ISNUMBER(SEARCH("catch &amp; hold",E10)),ISNUMBER(SEARCH("tin cat",E10))),"Live Catch Traps",
OR(ISNUMBER(SEARCH("bait",E10)),ISNUMBER(SEARCH("poison",E10))),"Bait &amp; Poison",
ISNUMBER(SEARCH("repellent",E10)),"Repellents",
OR(ISNUMBER(SEARCH("fly trap",E10)),ISNUMBER(SEARCH("fly ribbon",E10)),ISNUMBER(SEARCH("fly stick",E10)),ISNUMBER(SEARCH("window fly",E10)),ISNUMBER(SEARCH("fly magnet",E10))),"Fly Traps",
OR(ISNUMBER(SEARCH("uv",E10)),ISNUMBER(SEARCH("fly light",E10)),ISNUMBER(SEARCH("plug-in",E10))),"UV Fly Traps",
ISNUMBER(SEARCH("roach",E10)),"Roach Traps",
ISNUMBER(SEARCH("ant",E10)),"Ant Traps",
ISNUMBER(SEARCH("spider",E10)),"Spider Traps",
ISNUMBER(SEARCH("mosquito",E10)),"Mosquito Traps",
ISNUMBER(SEARCH("beetle",E10)),"Beetle Traps",
ISNUMBER(SEARCH("lantern",E10)),"Lanternfly Control",
OR(ISNUMBER(SEARCH("tree shield",E10)),ISNUMBER(SEARCH("tree banding",E10)),ISNUMBER(SEARCH("insect barrier",E10))),"Tree Barriers",
OR(ISNUMBER(SEARCH("sun &amp; shade",E10)),ISNUMBER(SEARCH("sun and shade",E10))),"Sun &amp; Shade Mix",
ISNUMBER(SEARCH("tall fescue",E10)),"Tall Fescue",
ISNUMBER(SEARCH("bermudagrass",E10)),"Bermudagrass",
ISNUMBER(SEARCH("kentucky",E10)),"Kentucky Bluegrass",
ISNUMBER(SEARCH("zoysia",E10)),"Zoysia",
ISNUMBER(SEARCH("ryegrass",E10)),"Perennial Ryegrass",
ISNUMBER(SEARCH("centipede",E10)),"Centipede Grass",
ISNUMBER(SEARCH("dense shade",E10)),"Dense Shade Mix",
ISNUMBER(SEARCH("southern gold",E10)),"Southern Gold Mix",
ISNUMBER(SEARCH("heat-tolerant blue",E10)),"Heat-Tolerant Blue Mix",
ISNUMBER(SEARCH("high traffic",E10)),"High Traffic Mix",
ISNUMBER(SEARCH("quick fix",E10)),"Quick Fix Mix",
ISNUMBER(SEARCH("starter",E10)),"Starter Fertilizer",
ISNUMBER(SEARCH("weed &amp; feed",E10)),"Weed &amp; Feed",
ISNUMBER(SEARCH("lawn food",E10)),"Lawn Food",
ISNUMBER(SEARCH("triple action",E10)),"Triple Action Fertilizer",
ISNUMBER(SEARCH("green max",E10)),"Green Max Lawn Food",
ISNUMBER(SEARCH("patchmaster",E10)),"PatchMaster Repair",
ISNUMBER(SEARCH("ez seed",E10)),"EZ Seed Repair",
ISNUMBER(SEARCH("rapid grass",E10)),"Rapid Grass",
ISNUMBER(SEARCH("thick'r lawn",E10)),"Thick'R Lawn",
ISNUMBER(SEARCH("fungicide",E10)),"Fungicide",
ISNUMBER(SEARCH("moss",E10)),"Moss Control",
ISNUMBER(SEARCH("perlite",E10)),"Perlite",
ISNUMBER(SEARCH("plant food",E10)),"Plant Food",
ISNUMBER(SEARCH("spreader",E10)),"Spreader",
ISNUMBER(SEARCH("sprayer",E10)),"Sprayer",
ISNUMBER(SEARCH("mower",E10)),"Lawn Mower",
ISNUMBER(SEARCH("sweeper",E10)),"Lawn Sweeper",
OR(ISNUMBER(SEARCH("pruner",E10)),ISNUMBER(SEARCH("trimmer",E10)),ISNUMBER(SEARCH("pole saw",E10))),"Pruning Tools",
TRUE,"Other"
)</f>
        <v>Glue Traps</v>
      </c>
      <c r="J10" s="7" t="str">
        <f t="shared" si="2"/>
        <v>Rodent Control - Glue Traps</v>
      </c>
      <c r="K10" s="1">
        <v>10000</v>
      </c>
      <c r="L10" s="1">
        <v>4.3</v>
      </c>
      <c r="M10" s="1">
        <v>27227</v>
      </c>
      <c r="N10" s="1" t="s">
        <v>85</v>
      </c>
      <c r="O10" s="1">
        <f>VLOOKUP(A10,[2]Sheet1!$A:$B,2,0)</f>
        <v>5000</v>
      </c>
      <c r="P10" s="1">
        <f>VLOOKUP(A10,[2]Sheet1!$A:$C,3,0)</f>
        <v>4000</v>
      </c>
      <c r="Q10" s="7">
        <f>VLOOKUP(A10,[2]Sheet1!$A:$D,4,0)</f>
        <v>4000</v>
      </c>
      <c r="R10" s="7">
        <f>VLOOKUP(A10,[2]Sheet1!$A:$E,5,0)</f>
        <v>5000</v>
      </c>
      <c r="S10" s="7">
        <f>VLOOKUP(A10,[2]Sheet1!$A:$F,6,0)</f>
        <v>7000</v>
      </c>
      <c r="T10" s="7">
        <f>VLOOKUP(A10,[2]Sheet1!$A:$G,7,0)</f>
        <v>8000</v>
      </c>
      <c r="U10" s="7">
        <f>VLOOKUP(A10,[2]Sheet1!$A:$H,8,0)</f>
        <v>8000</v>
      </c>
      <c r="V10" s="7">
        <f>VLOOKUP(A10,[2]Sheet1!$A:$I,9,0)</f>
        <v>10000</v>
      </c>
      <c r="W10" s="7">
        <f>VLOOKUP(A10,[2]Sheet1!$A:$K,10,0)</f>
        <v>10000</v>
      </c>
      <c r="X10" s="7">
        <f>VLOOKUP(A10,[2]Sheet1!$A:$L,11,0)</f>
        <v>10000</v>
      </c>
      <c r="Y10" s="7">
        <f>VLOOKUP(A10,[2]Sheet1!$A:$L,12,0)</f>
        <v>10000</v>
      </c>
      <c r="Z10" s="7">
        <f>VLOOKUP(A10,[2]Sheet1!$A:$M,13,0)</f>
        <v>8000</v>
      </c>
      <c r="AA10" s="1">
        <f t="shared" si="0"/>
        <v>89000</v>
      </c>
      <c r="AB10" s="7">
        <f t="shared" si="3"/>
        <v>7417</v>
      </c>
      <c r="AC10" s="13">
        <f t="shared" si="1"/>
        <v>7416.666666666667</v>
      </c>
      <c r="AD10" s="9">
        <f t="shared" si="4"/>
        <v>2312220</v>
      </c>
      <c r="AE10" s="9">
        <f t="shared" si="5"/>
        <v>192685</v>
      </c>
      <c r="AF10" s="11">
        <v>7.07</v>
      </c>
      <c r="AG10" s="11">
        <v>25.98</v>
      </c>
      <c r="AH10" s="9">
        <f t="shared" si="6"/>
        <v>0.15479999999999991</v>
      </c>
      <c r="AI10" s="11">
        <f t="shared" si="7"/>
        <v>0.54179999999999962</v>
      </c>
      <c r="AJ10" s="14">
        <v>0.5</v>
      </c>
      <c r="AK10" s="14">
        <v>0.5</v>
      </c>
      <c r="AL10" s="11">
        <v>7.07</v>
      </c>
      <c r="AM10" s="9">
        <f t="shared" si="8"/>
        <v>3.8969999999999998</v>
      </c>
      <c r="AN10" s="9">
        <f t="shared" si="9"/>
        <v>0.77939999999999998</v>
      </c>
      <c r="AO10" s="9">
        <f t="shared" si="10"/>
        <v>5.1960000000000006</v>
      </c>
      <c r="AP10" s="9">
        <f t="shared" si="11"/>
        <v>0.51960000000000006</v>
      </c>
      <c r="AQ10" s="9">
        <f t="shared" si="12"/>
        <v>5.1960000000000006</v>
      </c>
      <c r="AR10" s="9">
        <f t="shared" si="13"/>
        <v>6.4950000000000001</v>
      </c>
      <c r="AS10" s="11">
        <f t="shared" si="14"/>
        <v>1.5479999999999989</v>
      </c>
      <c r="AT10" s="12">
        <f t="shared" si="15"/>
        <v>0.68199999999999916</v>
      </c>
    </row>
    <row r="11" spans="1:48" s="18" customFormat="1" ht="16.5" x14ac:dyDescent="0.4">
      <c r="A11" s="7" t="s">
        <v>86</v>
      </c>
      <c r="B11" s="7" t="s">
        <v>42</v>
      </c>
      <c r="C11" s="7" t="s">
        <v>42</v>
      </c>
      <c r="D11" s="7" t="s">
        <v>87</v>
      </c>
      <c r="E11" s="7" t="s">
        <v>88</v>
      </c>
      <c r="F11" s="7" t="s">
        <v>89</v>
      </c>
      <c r="G11" s="7" t="str">
        <f>VLOOKUP(A11,[1]done!$A:$I,9,0)</f>
        <v>Rodent</v>
      </c>
      <c r="H11" s="7" t="str" cm="1">
        <f t="array" ref="H11">_xlfn.IFS(
OR(ISNUMBER(SEARCH("mouse",E11)),ISNUMBER(SEARCH("rat",E11)),ISNUMBER(SEARCH("mice",E11)),ISNUMBER(SEARCH("rodent",E11))),"Rodent Control",
OR(ISNUMBER(SEARCH("fly",E11)),ISNUMBER(SEARCH("gnat",E11)),ISNUMBER(SEARCH("insect",E11)),ISNUMBER(SEARCH("mosquito",E11))),"Flying Insect Control",
OR(ISNUMBER(SEARCH("roach",E11)),ISNUMBER(SEARCH("ant",E11)),ISNUMBER(SEARCH("spider",E11)),ISNUMBER(SEARCH("cricket",E11)),ISNUMBER(SEARCH("scorpion",E11)),ISNUMBER(SEARCH("centipede",E11)),ISNUMBER(SEARCH("beetle",E11))),"Crawling Insect Control",
OR(ISNUMBER(SEARCH("tree",E11)),ISNUMBER(SEARCH("lantern",E11)),ISNUMBER(SEARCH("garden",E11)),ISNUMBER(SEARCH("plant",E11))),"Garden Pest Control",
OR(ISNUMBER(SEARCH("grass seed",E11)),ISNUMBER(SEARCH("seed mix",E11))),"Grass Seed",
OR(ISNUMBER(SEARCH("lawn food",E11)),ISNUMBER(SEARCH("fertilizer",E11))),"Lawn Fertilizer",
OR(ISNUMBER(SEARCH("patch",E11)),ISNUMBER(SEARCH("repair",E11)),ISNUMBER(SEARCH("thick'r",E11)),ISNUMBER(SEARCH("thick'r lawn",E11)),ISNUMBER(SEARCH("rapid grass",E11))),"Lawn Repair",
OR(ISNUMBER(SEARCH("weed",E11)),ISNUMBER(SEARCH("crabgrass",E11))),"Weed Control",
OR(ISNUMBER(SEARCH("fungicide",E11)),ISNUMBER(SEARCH("moss",E11))),"Disease &amp; Moss Control",
OR(ISNUMBER(SEARCH("plant food",E11)),ISNUMBER(SEARCH("miracid",E11))),"Plant Nutrition",
OR(ISNUMBER(SEARCH("perlite",E11))),"Soil Amendment",
OR(ISNUMBER(SEARCH("spreader",E11)),ISNUMBER(SEARCH("sprayer",E11)),ISNUMBER(SEARCH("mower",E11)),ISNUMBER(SEARCH("sweeper",E11)),ISNUMBER(SEARCH("pruner",E11)),ISNUMBER(SEARCH("trimmer",E11)),ISNUMBER(SEARCH("pole saw",E11))),"Garden Equipment",
TRUE,"Other"
)</f>
        <v>Rodent Control</v>
      </c>
      <c r="I11" s="7" t="str" cm="1">
        <f t="array" ref="I11">_xlfn.IFS(
OR(ISNUMBER(SEARCH("glue trap",E11)),ISNUMBER(SEARCH("glue board",E11))),"Glue Traps",
OR(ISNUMBER(SEARCH("snap trap",E11)),ISNUMBER(SEARCH("power-kill",E11)),ISNUMBER(SEARCH("wide pedal",E11)),ISNUMBER(SEARCH("metal pedal",E11))),"Snap Traps",
OR(ISNUMBER(SEARCH("electronic",E11)),ISNUMBER(SEARCH("zapper",E11))),"Electronic Traps",
OR(ISNUMBER(SEARCH("live catch",E11)),ISNUMBER(SEARCH("multi-catch",E11)),ISNUMBER(SEARCH("catch &amp; hold",E11)),ISNUMBER(SEARCH("tin cat",E11))),"Live Catch Traps",
OR(ISNUMBER(SEARCH("bait",E11)),ISNUMBER(SEARCH("poison",E11))),"Bait &amp; Poison",
ISNUMBER(SEARCH("repellent",E11)),"Repellents",
OR(ISNUMBER(SEARCH("fly trap",E11)),ISNUMBER(SEARCH("fly ribbon",E11)),ISNUMBER(SEARCH("fly stick",E11)),ISNUMBER(SEARCH("window fly",E11)),ISNUMBER(SEARCH("fly magnet",E11))),"Fly Traps",
OR(ISNUMBER(SEARCH("uv",E11)),ISNUMBER(SEARCH("fly light",E11)),ISNUMBER(SEARCH("plug-in",E11))),"UV Fly Traps",
ISNUMBER(SEARCH("roach",E11)),"Roach Traps",
ISNUMBER(SEARCH("ant",E11)),"Ant Traps",
ISNUMBER(SEARCH("spider",E11)),"Spider Traps",
ISNUMBER(SEARCH("mosquito",E11)),"Mosquito Traps",
ISNUMBER(SEARCH("beetle",E11)),"Beetle Traps",
ISNUMBER(SEARCH("lantern",E11)),"Lanternfly Control",
OR(ISNUMBER(SEARCH("tree shield",E11)),ISNUMBER(SEARCH("tree banding",E11)),ISNUMBER(SEARCH("insect barrier",E11))),"Tree Barriers",
OR(ISNUMBER(SEARCH("sun &amp; shade",E11)),ISNUMBER(SEARCH("sun and shade",E11))),"Sun &amp; Shade Mix",
ISNUMBER(SEARCH("tall fescue",E11)),"Tall Fescue",
ISNUMBER(SEARCH("bermudagrass",E11)),"Bermudagrass",
ISNUMBER(SEARCH("kentucky",E11)),"Kentucky Bluegrass",
ISNUMBER(SEARCH("zoysia",E11)),"Zoysia",
ISNUMBER(SEARCH("ryegrass",E11)),"Perennial Ryegrass",
ISNUMBER(SEARCH("centipede",E11)),"Centipede Grass",
ISNUMBER(SEARCH("dense shade",E11)),"Dense Shade Mix",
ISNUMBER(SEARCH("southern gold",E11)),"Southern Gold Mix",
ISNUMBER(SEARCH("heat-tolerant blue",E11)),"Heat-Tolerant Blue Mix",
ISNUMBER(SEARCH("high traffic",E11)),"High Traffic Mix",
ISNUMBER(SEARCH("quick fix",E11)),"Quick Fix Mix",
ISNUMBER(SEARCH("starter",E11)),"Starter Fertilizer",
ISNUMBER(SEARCH("weed &amp; feed",E11)),"Weed &amp; Feed",
ISNUMBER(SEARCH("lawn food",E11)),"Lawn Food",
ISNUMBER(SEARCH("triple action",E11)),"Triple Action Fertilizer",
ISNUMBER(SEARCH("green max",E11)),"Green Max Lawn Food",
ISNUMBER(SEARCH("patchmaster",E11)),"PatchMaster Repair",
ISNUMBER(SEARCH("ez seed",E11)),"EZ Seed Repair",
ISNUMBER(SEARCH("rapid grass",E11)),"Rapid Grass",
ISNUMBER(SEARCH("thick'r lawn",E11)),"Thick'R Lawn",
ISNUMBER(SEARCH("fungicide",E11)),"Fungicide",
ISNUMBER(SEARCH("moss",E11)),"Moss Control",
ISNUMBER(SEARCH("perlite",E11)),"Perlite",
ISNUMBER(SEARCH("plant food",E11)),"Plant Food",
ISNUMBER(SEARCH("spreader",E11)),"Spreader",
ISNUMBER(SEARCH("sprayer",E11)),"Sprayer",
ISNUMBER(SEARCH("mower",E11)),"Lawn Mower",
ISNUMBER(SEARCH("sweeper",E11)),"Lawn Sweeper",
OR(ISNUMBER(SEARCH("pruner",E11)),ISNUMBER(SEARCH("trimmer",E11)),ISNUMBER(SEARCH("pole saw",E11))),"Pruning Tools",
TRUE,"Other"
)</f>
        <v>Glue Traps</v>
      </c>
      <c r="J11" s="7" t="str">
        <f t="shared" si="2"/>
        <v>Rodent Control - Glue Traps</v>
      </c>
      <c r="K11" s="7">
        <v>10000</v>
      </c>
      <c r="L11" s="7">
        <v>4.4000000000000004</v>
      </c>
      <c r="M11" s="7">
        <v>9444</v>
      </c>
      <c r="N11" s="7" t="s">
        <v>90</v>
      </c>
      <c r="O11" s="7">
        <f>VLOOKUP(A11,[2]Sheet1!$A:$B,2,0)</f>
        <v>8000</v>
      </c>
      <c r="P11" s="7">
        <f>VLOOKUP(A11,[2]Sheet1!$A:$C,3,0)</f>
        <v>3000</v>
      </c>
      <c r="Q11" s="7">
        <f>VLOOKUP(A11,[2]Sheet1!$A:$D,4,0)</f>
        <v>3000</v>
      </c>
      <c r="R11" s="7">
        <f>VLOOKUP(A11,[2]Sheet1!$A:$E,5,0)</f>
        <v>4000</v>
      </c>
      <c r="S11" s="7">
        <f>VLOOKUP(A11,[2]Sheet1!$A:$F,6,0)</f>
        <v>4000</v>
      </c>
      <c r="T11" s="7">
        <f>VLOOKUP(A11,[2]Sheet1!$A:$G,7,0)</f>
        <v>6000</v>
      </c>
      <c r="U11" s="7">
        <f>VLOOKUP(A11,[2]Sheet1!$A:$H,8,0)</f>
        <v>10000</v>
      </c>
      <c r="V11" s="7">
        <f>VLOOKUP(A11,[2]Sheet1!$A:$I,9,0)</f>
        <v>10000</v>
      </c>
      <c r="W11" s="7">
        <f>VLOOKUP(A11,[2]Sheet1!$A:$K,10,0)</f>
        <v>10000</v>
      </c>
      <c r="X11" s="7">
        <f>VLOOKUP(A11,[2]Sheet1!$A:$L,11,0)</f>
        <v>6000</v>
      </c>
      <c r="Y11" s="7">
        <f>VLOOKUP(A11,[2]Sheet1!$A:$L,12,0)</f>
        <v>7000</v>
      </c>
      <c r="Z11" s="7">
        <f>VLOOKUP(A11,[2]Sheet1!$A:$M,13,0)</f>
        <v>6000</v>
      </c>
      <c r="AA11" s="7">
        <f t="shared" si="0"/>
        <v>77000</v>
      </c>
      <c r="AB11" s="7">
        <f t="shared" si="3"/>
        <v>6417</v>
      </c>
      <c r="AC11" s="8">
        <f t="shared" si="1"/>
        <v>6416.666666666667</v>
      </c>
      <c r="AD11" s="9">
        <f t="shared" si="4"/>
        <v>1154230</v>
      </c>
      <c r="AE11" s="9">
        <f t="shared" si="5"/>
        <v>96185.833333333343</v>
      </c>
      <c r="AF11" s="9">
        <v>5.22</v>
      </c>
      <c r="AG11" s="9">
        <v>14.99</v>
      </c>
      <c r="AH11" s="9">
        <f t="shared" si="6"/>
        <v>-1.4933333333333347E-2</v>
      </c>
      <c r="AI11" s="9">
        <f t="shared" si="7"/>
        <v>-5.2266666666666704E-2</v>
      </c>
      <c r="AJ11" s="10">
        <v>0.5</v>
      </c>
      <c r="AK11" s="10">
        <v>0.5</v>
      </c>
      <c r="AL11" s="9">
        <v>5.22</v>
      </c>
      <c r="AM11" s="9">
        <f t="shared" si="8"/>
        <v>2.2484999999999999</v>
      </c>
      <c r="AN11" s="9">
        <f t="shared" si="9"/>
        <v>0.44969999999999999</v>
      </c>
      <c r="AO11" s="9">
        <f t="shared" si="10"/>
        <v>2.9980000000000002</v>
      </c>
      <c r="AP11" s="9">
        <f t="shared" si="11"/>
        <v>0.29980000000000001</v>
      </c>
      <c r="AQ11" s="9">
        <f t="shared" si="12"/>
        <v>2.9980000000000002</v>
      </c>
      <c r="AR11" s="9">
        <f t="shared" si="13"/>
        <v>3.7475000000000001</v>
      </c>
      <c r="AS11" s="11">
        <f t="shared" si="14"/>
        <v>-0.14933333333333346</v>
      </c>
      <c r="AT11" s="12">
        <f t="shared" si="15"/>
        <v>-0.64900000000000002</v>
      </c>
    </row>
    <row r="12" spans="1:48" ht="16.5" x14ac:dyDescent="0.4">
      <c r="A12" s="1" t="s">
        <v>91</v>
      </c>
      <c r="B12" s="7" t="s">
        <v>42</v>
      </c>
      <c r="C12" s="7" t="s">
        <v>42</v>
      </c>
      <c r="D12" s="1" t="s">
        <v>92</v>
      </c>
      <c r="E12" s="1" t="s">
        <v>93</v>
      </c>
      <c r="F12" s="1" t="s">
        <v>94</v>
      </c>
      <c r="G12" s="7" t="str">
        <f>VLOOKUP(A12,[1]done!$A:$I,9,0)</f>
        <v>Rodent</v>
      </c>
      <c r="H12" s="7" t="str" cm="1">
        <f t="array" ref="H12">_xlfn.IFS(
OR(ISNUMBER(SEARCH("mouse",E12)),ISNUMBER(SEARCH("rat",E12)),ISNUMBER(SEARCH("mice",E12)),ISNUMBER(SEARCH("rodent",E12))),"Rodent Control",
OR(ISNUMBER(SEARCH("fly",E12)),ISNUMBER(SEARCH("gnat",E12)),ISNUMBER(SEARCH("insect",E12)),ISNUMBER(SEARCH("mosquito",E12))),"Flying Insect Control",
OR(ISNUMBER(SEARCH("roach",E12)),ISNUMBER(SEARCH("ant",E12)),ISNUMBER(SEARCH("spider",E12)),ISNUMBER(SEARCH("cricket",E12)),ISNUMBER(SEARCH("scorpion",E12)),ISNUMBER(SEARCH("centipede",E12)),ISNUMBER(SEARCH("beetle",E12))),"Crawling Insect Control",
OR(ISNUMBER(SEARCH("tree",E12)),ISNUMBER(SEARCH("lantern",E12)),ISNUMBER(SEARCH("garden",E12)),ISNUMBER(SEARCH("plant",E12))),"Garden Pest Control",
OR(ISNUMBER(SEARCH("grass seed",E12)),ISNUMBER(SEARCH("seed mix",E12))),"Grass Seed",
OR(ISNUMBER(SEARCH("lawn food",E12)),ISNUMBER(SEARCH("fertilizer",E12))),"Lawn Fertilizer",
OR(ISNUMBER(SEARCH("patch",E12)),ISNUMBER(SEARCH("repair",E12)),ISNUMBER(SEARCH("thick'r",E12)),ISNUMBER(SEARCH("thick'r lawn",E12)),ISNUMBER(SEARCH("rapid grass",E12))),"Lawn Repair",
OR(ISNUMBER(SEARCH("weed",E12)),ISNUMBER(SEARCH("crabgrass",E12))),"Weed Control",
OR(ISNUMBER(SEARCH("fungicide",E12)),ISNUMBER(SEARCH("moss",E12))),"Disease &amp; Moss Control",
OR(ISNUMBER(SEARCH("plant food",E12)),ISNUMBER(SEARCH("miracid",E12))),"Plant Nutrition",
OR(ISNUMBER(SEARCH("perlite",E12))),"Soil Amendment",
OR(ISNUMBER(SEARCH("spreader",E12)),ISNUMBER(SEARCH("sprayer",E12)),ISNUMBER(SEARCH("mower",E12)),ISNUMBER(SEARCH("sweeper",E12)),ISNUMBER(SEARCH("pruner",E12)),ISNUMBER(SEARCH("trimmer",E12)),ISNUMBER(SEARCH("pole saw",E12))),"Garden Equipment",
TRUE,"Other"
)</f>
        <v>Rodent Control</v>
      </c>
      <c r="I12" s="7" t="str" cm="1">
        <f t="array" ref="I12">_xlfn.IFS(
OR(ISNUMBER(SEARCH("glue trap",E12)),ISNUMBER(SEARCH("glue board",E12))),"Glue Traps",
OR(ISNUMBER(SEARCH("snap trap",E12)),ISNUMBER(SEARCH("power-kill",E12)),ISNUMBER(SEARCH("wide pedal",E12)),ISNUMBER(SEARCH("metal pedal",E12))),"Snap Traps",
OR(ISNUMBER(SEARCH("electronic",E12)),ISNUMBER(SEARCH("zapper",E12))),"Electronic Traps",
OR(ISNUMBER(SEARCH("live catch",E12)),ISNUMBER(SEARCH("multi-catch",E12)),ISNUMBER(SEARCH("catch &amp; hold",E12)),ISNUMBER(SEARCH("tin cat",E12))),"Live Catch Traps",
OR(ISNUMBER(SEARCH("bait",E12)),ISNUMBER(SEARCH("poison",E12))),"Bait &amp; Poison",
ISNUMBER(SEARCH("repellent",E12)),"Repellents",
OR(ISNUMBER(SEARCH("fly trap",E12)),ISNUMBER(SEARCH("fly ribbon",E12)),ISNUMBER(SEARCH("fly stick",E12)),ISNUMBER(SEARCH("window fly",E12)),ISNUMBER(SEARCH("fly magnet",E12))),"Fly Traps",
OR(ISNUMBER(SEARCH("uv",E12)),ISNUMBER(SEARCH("fly light",E12)),ISNUMBER(SEARCH("plug-in",E12))),"UV Fly Traps",
ISNUMBER(SEARCH("roach",E12)),"Roach Traps",
ISNUMBER(SEARCH("ant",E12)),"Ant Traps",
ISNUMBER(SEARCH("spider",E12)),"Spider Traps",
ISNUMBER(SEARCH("mosquito",E12)),"Mosquito Traps",
ISNUMBER(SEARCH("beetle",E12)),"Beetle Traps",
ISNUMBER(SEARCH("lantern",E12)),"Lanternfly Control",
OR(ISNUMBER(SEARCH("tree shield",E12)),ISNUMBER(SEARCH("tree banding",E12)),ISNUMBER(SEARCH("insect barrier",E12))),"Tree Barriers",
OR(ISNUMBER(SEARCH("sun &amp; shade",E12)),ISNUMBER(SEARCH("sun and shade",E12))),"Sun &amp; Shade Mix",
ISNUMBER(SEARCH("tall fescue",E12)),"Tall Fescue",
ISNUMBER(SEARCH("bermudagrass",E12)),"Bermudagrass",
ISNUMBER(SEARCH("kentucky",E12)),"Kentucky Bluegrass",
ISNUMBER(SEARCH("zoysia",E12)),"Zoysia",
ISNUMBER(SEARCH("ryegrass",E12)),"Perennial Ryegrass",
ISNUMBER(SEARCH("centipede",E12)),"Centipede Grass",
ISNUMBER(SEARCH("dense shade",E12)),"Dense Shade Mix",
ISNUMBER(SEARCH("southern gold",E12)),"Southern Gold Mix",
ISNUMBER(SEARCH("heat-tolerant blue",E12)),"Heat-Tolerant Blue Mix",
ISNUMBER(SEARCH("high traffic",E12)),"High Traffic Mix",
ISNUMBER(SEARCH("quick fix",E12)),"Quick Fix Mix",
ISNUMBER(SEARCH("starter",E12)),"Starter Fertilizer",
ISNUMBER(SEARCH("weed &amp; feed",E12)),"Weed &amp; Feed",
ISNUMBER(SEARCH("lawn food",E12)),"Lawn Food",
ISNUMBER(SEARCH("triple action",E12)),"Triple Action Fertilizer",
ISNUMBER(SEARCH("green max",E12)),"Green Max Lawn Food",
ISNUMBER(SEARCH("patchmaster",E12)),"PatchMaster Repair",
ISNUMBER(SEARCH("ez seed",E12)),"EZ Seed Repair",
ISNUMBER(SEARCH("rapid grass",E12)),"Rapid Grass",
ISNUMBER(SEARCH("thick'r lawn",E12)),"Thick'R Lawn",
ISNUMBER(SEARCH("fungicide",E12)),"Fungicide",
ISNUMBER(SEARCH("moss",E12)),"Moss Control",
ISNUMBER(SEARCH("perlite",E12)),"Perlite",
ISNUMBER(SEARCH("plant food",E12)),"Plant Food",
ISNUMBER(SEARCH("spreader",E12)),"Spreader",
ISNUMBER(SEARCH("sprayer",E12)),"Sprayer",
ISNUMBER(SEARCH("mower",E12)),"Lawn Mower",
ISNUMBER(SEARCH("sweeper",E12)),"Lawn Sweeper",
OR(ISNUMBER(SEARCH("pruner",E12)),ISNUMBER(SEARCH("trimmer",E12)),ISNUMBER(SEARCH("pole saw",E12))),"Pruning Tools",
TRUE,"Other"
)</f>
        <v>Glue Traps</v>
      </c>
      <c r="J12" s="7" t="str">
        <f t="shared" si="2"/>
        <v>Rodent Control - Glue Traps</v>
      </c>
      <c r="K12" s="1">
        <v>10000</v>
      </c>
      <c r="L12" s="1">
        <v>4.5</v>
      </c>
      <c r="M12" s="1">
        <v>13203</v>
      </c>
      <c r="N12" s="1" t="s">
        <v>95</v>
      </c>
      <c r="O12" s="1">
        <f>VLOOKUP(A12,[2]Sheet1!$A:$B,2,0)</f>
        <v>5000</v>
      </c>
      <c r="P12" s="1">
        <f>VLOOKUP(A12,[2]Sheet1!$A:$C,3,0)</f>
        <v>5000</v>
      </c>
      <c r="Q12" s="7">
        <f>VLOOKUP(A12,[2]Sheet1!$A:$D,4,0)</f>
        <v>5000</v>
      </c>
      <c r="R12" s="7">
        <f>VLOOKUP(A12,[2]Sheet1!$A:$E,5,0)</f>
        <v>6000</v>
      </c>
      <c r="S12" s="7">
        <f>VLOOKUP(A12,[2]Sheet1!$A:$F,6,0)</f>
        <v>6000</v>
      </c>
      <c r="T12" s="7">
        <f>VLOOKUP(A12,[2]Sheet1!$A:$G,7,0)</f>
        <v>6000</v>
      </c>
      <c r="U12" s="7">
        <f>VLOOKUP(A12,[2]Sheet1!$A:$H,8,0)</f>
        <v>7000</v>
      </c>
      <c r="V12" s="7">
        <f>VLOOKUP(A12,[2]Sheet1!$A:$I,9,0)</f>
        <v>4000</v>
      </c>
      <c r="W12" s="7">
        <f>VLOOKUP(A12,[2]Sheet1!$A:$K,10,0)</f>
        <v>7000</v>
      </c>
      <c r="X12" s="7">
        <f>VLOOKUP(A12,[2]Sheet1!$A:$L,11,0)</f>
        <v>9000</v>
      </c>
      <c r="Y12" s="7">
        <f>VLOOKUP(A12,[2]Sheet1!$A:$L,12,0)</f>
        <v>6000</v>
      </c>
      <c r="Z12" s="7">
        <f>VLOOKUP(A12,[2]Sheet1!$A:$M,13,0)</f>
        <v>8000</v>
      </c>
      <c r="AA12" s="1">
        <f t="shared" si="0"/>
        <v>74000</v>
      </c>
      <c r="AB12" s="7">
        <f t="shared" si="3"/>
        <v>6167</v>
      </c>
      <c r="AC12" s="13">
        <f t="shared" si="1"/>
        <v>6166.666666666667</v>
      </c>
      <c r="AD12" s="9">
        <f t="shared" si="4"/>
        <v>1773040</v>
      </c>
      <c r="AE12" s="9">
        <f t="shared" si="5"/>
        <v>147753.33333333334</v>
      </c>
      <c r="AF12" s="11">
        <v>6.48</v>
      </c>
      <c r="AG12" s="11">
        <v>23.96</v>
      </c>
      <c r="AH12" s="9">
        <f t="shared" si="6"/>
        <v>0.14026666666666657</v>
      </c>
      <c r="AI12" s="11">
        <f t="shared" si="7"/>
        <v>0.49093333333333294</v>
      </c>
      <c r="AJ12" s="14">
        <v>0.5</v>
      </c>
      <c r="AK12" s="14">
        <v>0.5</v>
      </c>
      <c r="AL12" s="11">
        <v>6.48</v>
      </c>
      <c r="AM12" s="9">
        <f t="shared" si="8"/>
        <v>3.5939999999999999</v>
      </c>
      <c r="AN12" s="9">
        <f t="shared" si="9"/>
        <v>0.71879999999999999</v>
      </c>
      <c r="AO12" s="9">
        <f t="shared" si="10"/>
        <v>4.7920000000000007</v>
      </c>
      <c r="AP12" s="9">
        <f t="shared" si="11"/>
        <v>0.47920000000000001</v>
      </c>
      <c r="AQ12" s="9">
        <f t="shared" si="12"/>
        <v>4.7920000000000007</v>
      </c>
      <c r="AR12" s="9">
        <f t="shared" si="13"/>
        <v>5.99</v>
      </c>
      <c r="AS12" s="11">
        <f t="shared" si="14"/>
        <v>1.4026666666666656</v>
      </c>
      <c r="AT12" s="12">
        <f t="shared" si="15"/>
        <v>0.6039999999999992</v>
      </c>
    </row>
    <row r="13" spans="1:48" ht="16.5" x14ac:dyDescent="0.4">
      <c r="A13" s="1" t="s">
        <v>96</v>
      </c>
      <c r="B13" s="7" t="s">
        <v>42</v>
      </c>
      <c r="C13" s="7" t="s">
        <v>42</v>
      </c>
      <c r="D13" s="1" t="s">
        <v>97</v>
      </c>
      <c r="E13" s="1" t="s">
        <v>98</v>
      </c>
      <c r="F13" s="1" t="s">
        <v>99</v>
      </c>
      <c r="G13" s="7" t="str">
        <f>VLOOKUP(A13,[1]done!$A:$I,9,0)</f>
        <v>Other crawling insects</v>
      </c>
      <c r="H13" s="7" t="str" cm="1">
        <f t="array" ref="H13">_xlfn.IFS(
OR(ISNUMBER(SEARCH("mouse",E13)),ISNUMBER(SEARCH("rat",E13)),ISNUMBER(SEARCH("mice",E13)),ISNUMBER(SEARCH("rodent",E13))),"Rodent Control",
OR(ISNUMBER(SEARCH("fly",E13)),ISNUMBER(SEARCH("gnat",E13)),ISNUMBER(SEARCH("insect",E13)),ISNUMBER(SEARCH("mosquito",E13))),"Flying Insect Control",
OR(ISNUMBER(SEARCH("roach",E13)),ISNUMBER(SEARCH("ant",E13)),ISNUMBER(SEARCH("spider",E13)),ISNUMBER(SEARCH("cricket",E13)),ISNUMBER(SEARCH("scorpion",E13)),ISNUMBER(SEARCH("centipede",E13)),ISNUMBER(SEARCH("beetle",E13))),"Crawling Insect Control",
OR(ISNUMBER(SEARCH("tree",E13)),ISNUMBER(SEARCH("lantern",E13)),ISNUMBER(SEARCH("garden",E13)),ISNUMBER(SEARCH("plant",E13))),"Garden Pest Control",
OR(ISNUMBER(SEARCH("grass seed",E13)),ISNUMBER(SEARCH("seed mix",E13))),"Grass Seed",
OR(ISNUMBER(SEARCH("lawn food",E13)),ISNUMBER(SEARCH("fertilizer",E13))),"Lawn Fertilizer",
OR(ISNUMBER(SEARCH("patch",E13)),ISNUMBER(SEARCH("repair",E13)),ISNUMBER(SEARCH("thick'r",E13)),ISNUMBER(SEARCH("thick'r lawn",E13)),ISNUMBER(SEARCH("rapid grass",E13))),"Lawn Repair",
OR(ISNUMBER(SEARCH("weed",E13)),ISNUMBER(SEARCH("crabgrass",E13))),"Weed Control",
OR(ISNUMBER(SEARCH("fungicide",E13)),ISNUMBER(SEARCH("moss",E13))),"Disease &amp; Moss Control",
OR(ISNUMBER(SEARCH("plant food",E13)),ISNUMBER(SEARCH("miracid",E13))),"Plant Nutrition",
OR(ISNUMBER(SEARCH("perlite",E13))),"Soil Amendment",
OR(ISNUMBER(SEARCH("spreader",E13)),ISNUMBER(SEARCH("sprayer",E13)),ISNUMBER(SEARCH("mower",E13)),ISNUMBER(SEARCH("sweeper",E13)),ISNUMBER(SEARCH("pruner",E13)),ISNUMBER(SEARCH("trimmer",E13)),ISNUMBER(SEARCH("pole saw",E13))),"Garden Equipment",
TRUE,"Other"
)</f>
        <v>Flying Insect Control</v>
      </c>
      <c r="I13" s="7" t="str" cm="1">
        <f t="array" ref="I13">_xlfn.IFS(
OR(ISNUMBER(SEARCH("glue trap",E13)),ISNUMBER(SEARCH("glue board",E13))),"Glue Traps",
OR(ISNUMBER(SEARCH("snap trap",E13)),ISNUMBER(SEARCH("power-kill",E13)),ISNUMBER(SEARCH("wide pedal",E13)),ISNUMBER(SEARCH("metal pedal",E13))),"Snap Traps",
OR(ISNUMBER(SEARCH("electronic",E13)),ISNUMBER(SEARCH("zapper",E13))),"Electronic Traps",
OR(ISNUMBER(SEARCH("live catch",E13)),ISNUMBER(SEARCH("multi-catch",E13)),ISNUMBER(SEARCH("catch &amp; hold",E13)),ISNUMBER(SEARCH("tin cat",E13))),"Live Catch Traps",
OR(ISNUMBER(SEARCH("bait",E13)),ISNUMBER(SEARCH("poison",E13))),"Bait &amp; Poison",
ISNUMBER(SEARCH("repellent",E13)),"Repellents",
OR(ISNUMBER(SEARCH("fly trap",E13)),ISNUMBER(SEARCH("fly ribbon",E13)),ISNUMBER(SEARCH("fly stick",E13)),ISNUMBER(SEARCH("window fly",E13)),ISNUMBER(SEARCH("fly magnet",E13))),"Fly Traps",
OR(ISNUMBER(SEARCH("uv",E13)),ISNUMBER(SEARCH("fly light",E13)),ISNUMBER(SEARCH("plug-in",E13))),"UV Fly Traps",
ISNUMBER(SEARCH("roach",E13)),"Roach Traps",
ISNUMBER(SEARCH("ant",E13)),"Ant Traps",
ISNUMBER(SEARCH("spider",E13)),"Spider Traps",
ISNUMBER(SEARCH("mosquito",E13)),"Mosquito Traps",
ISNUMBER(SEARCH("beetle",E13)),"Beetle Traps",
ISNUMBER(SEARCH("lantern",E13)),"Lanternfly Control",
OR(ISNUMBER(SEARCH("tree shield",E13)),ISNUMBER(SEARCH("tree banding",E13)),ISNUMBER(SEARCH("insect barrier",E13))),"Tree Barriers",
OR(ISNUMBER(SEARCH("sun &amp; shade",E13)),ISNUMBER(SEARCH("sun and shade",E13))),"Sun &amp; Shade Mix",
ISNUMBER(SEARCH("tall fescue",E13)),"Tall Fescue",
ISNUMBER(SEARCH("bermudagrass",E13)),"Bermudagrass",
ISNUMBER(SEARCH("kentucky",E13)),"Kentucky Bluegrass",
ISNUMBER(SEARCH("zoysia",E13)),"Zoysia",
ISNUMBER(SEARCH("ryegrass",E13)),"Perennial Ryegrass",
ISNUMBER(SEARCH("centipede",E13)),"Centipede Grass",
ISNUMBER(SEARCH("dense shade",E13)),"Dense Shade Mix",
ISNUMBER(SEARCH("southern gold",E13)),"Southern Gold Mix",
ISNUMBER(SEARCH("heat-tolerant blue",E13)),"Heat-Tolerant Blue Mix",
ISNUMBER(SEARCH("high traffic",E13)),"High Traffic Mix",
ISNUMBER(SEARCH("quick fix",E13)),"Quick Fix Mix",
ISNUMBER(SEARCH("starter",E13)),"Starter Fertilizer",
ISNUMBER(SEARCH("weed &amp; feed",E13)),"Weed &amp; Feed",
ISNUMBER(SEARCH("lawn food",E13)),"Lawn Food",
ISNUMBER(SEARCH("triple action",E13)),"Triple Action Fertilizer",
ISNUMBER(SEARCH("green max",E13)),"Green Max Lawn Food",
ISNUMBER(SEARCH("patchmaster",E13)),"PatchMaster Repair",
ISNUMBER(SEARCH("ez seed",E13)),"EZ Seed Repair",
ISNUMBER(SEARCH("rapid grass",E13)),"Rapid Grass",
ISNUMBER(SEARCH("thick'r lawn",E13)),"Thick'R Lawn",
ISNUMBER(SEARCH("fungicide",E13)),"Fungicide",
ISNUMBER(SEARCH("moss",E13)),"Moss Control",
ISNUMBER(SEARCH("perlite",E13)),"Perlite",
ISNUMBER(SEARCH("plant food",E13)),"Plant Food",
ISNUMBER(SEARCH("spreader",E13)),"Spreader",
ISNUMBER(SEARCH("sprayer",E13)),"Sprayer",
ISNUMBER(SEARCH("mower",E13)),"Lawn Mower",
ISNUMBER(SEARCH("sweeper",E13)),"Lawn Sweeper",
OR(ISNUMBER(SEARCH("pruner",E13)),ISNUMBER(SEARCH("trimmer",E13)),ISNUMBER(SEARCH("pole saw",E13))),"Pruning Tools",
TRUE,"Other"
)</f>
        <v>Glue Traps</v>
      </c>
      <c r="J13" s="7" t="str">
        <f t="shared" si="2"/>
        <v>Flying Insect Control - Glue Traps</v>
      </c>
      <c r="K13" s="1">
        <v>8000</v>
      </c>
      <c r="L13" s="1">
        <v>4.4000000000000004</v>
      </c>
      <c r="M13" s="1">
        <v>11043</v>
      </c>
      <c r="N13" s="1" t="s">
        <v>100</v>
      </c>
      <c r="O13" s="1">
        <f>VLOOKUP(A13,[2]Sheet1!$A:$B,2,0)</f>
        <v>1000</v>
      </c>
      <c r="P13" s="1">
        <f>VLOOKUP(A13,[2]Sheet1!$A:$C,3,0)</f>
        <v>1000</v>
      </c>
      <c r="Q13" s="7">
        <f>VLOOKUP(A13,[2]Sheet1!$A:$D,4,0)</f>
        <v>2000</v>
      </c>
      <c r="R13" s="7">
        <f>VLOOKUP(A13,[2]Sheet1!$A:$E,5,0)</f>
        <v>3000</v>
      </c>
      <c r="S13" s="7">
        <f>VLOOKUP(A13,[2]Sheet1!$A:$F,6,0)</f>
        <v>3000</v>
      </c>
      <c r="T13" s="7">
        <f>VLOOKUP(A13,[2]Sheet1!$A:$G,7,0)</f>
        <v>6000</v>
      </c>
      <c r="U13" s="7">
        <f>VLOOKUP(A13,[2]Sheet1!$A:$H,8,0)</f>
        <v>6000</v>
      </c>
      <c r="V13" s="7">
        <f>VLOOKUP(A13,[2]Sheet1!$A:$I,9,0)</f>
        <v>6000</v>
      </c>
      <c r="W13" s="7">
        <f>VLOOKUP(A13,[2]Sheet1!$A:$K,10,0)</f>
        <v>7000</v>
      </c>
      <c r="X13" s="7">
        <f>VLOOKUP(A13,[2]Sheet1!$A:$L,11,0)</f>
        <v>4000</v>
      </c>
      <c r="Y13" s="7">
        <f>VLOOKUP(A13,[2]Sheet1!$A:$L,12,0)</f>
        <v>4000</v>
      </c>
      <c r="Z13" s="7">
        <f>VLOOKUP(A13,[2]Sheet1!$A:$M,13,0)</f>
        <v>3000</v>
      </c>
      <c r="AA13" s="1">
        <f t="shared" si="0"/>
        <v>46000</v>
      </c>
      <c r="AB13" s="7">
        <f t="shared" si="3"/>
        <v>3833</v>
      </c>
      <c r="AC13" s="13">
        <f t="shared" si="1"/>
        <v>3833.3333333333335</v>
      </c>
      <c r="AD13" s="9">
        <f t="shared" si="4"/>
        <v>735080</v>
      </c>
      <c r="AE13" s="9">
        <f t="shared" si="5"/>
        <v>61256.666666666672</v>
      </c>
      <c r="AF13" s="11">
        <v>3.66</v>
      </c>
      <c r="AG13" s="11">
        <v>15.98</v>
      </c>
      <c r="AH13" s="9">
        <f t="shared" si="6"/>
        <v>0.11546666666666659</v>
      </c>
      <c r="AI13" s="11">
        <f t="shared" si="7"/>
        <v>0.40413333333333301</v>
      </c>
      <c r="AJ13" s="14">
        <v>0.5</v>
      </c>
      <c r="AK13" s="14">
        <v>0.5</v>
      </c>
      <c r="AL13" s="11">
        <v>3.66</v>
      </c>
      <c r="AM13" s="9">
        <f t="shared" si="8"/>
        <v>2.3969999999999998</v>
      </c>
      <c r="AN13" s="9">
        <f t="shared" si="9"/>
        <v>0.47939999999999999</v>
      </c>
      <c r="AO13" s="9">
        <f t="shared" si="10"/>
        <v>3.1960000000000002</v>
      </c>
      <c r="AP13" s="9">
        <f t="shared" si="11"/>
        <v>0.3196</v>
      </c>
      <c r="AQ13" s="9">
        <f t="shared" si="12"/>
        <v>3.1960000000000002</v>
      </c>
      <c r="AR13" s="9">
        <f t="shared" si="13"/>
        <v>3.9950000000000001</v>
      </c>
      <c r="AS13" s="11">
        <f t="shared" si="14"/>
        <v>1.1546666666666658</v>
      </c>
      <c r="AT13" s="12">
        <f t="shared" si="15"/>
        <v>0.62199999999999933</v>
      </c>
    </row>
    <row r="14" spans="1:48" ht="16.5" x14ac:dyDescent="0.4">
      <c r="A14" s="1" t="s">
        <v>101</v>
      </c>
      <c r="B14" s="7" t="s">
        <v>42</v>
      </c>
      <c r="C14" s="7" t="s">
        <v>42</v>
      </c>
      <c r="D14" s="1" t="s">
        <v>102</v>
      </c>
      <c r="E14" s="1" t="s">
        <v>103</v>
      </c>
      <c r="F14" s="1" t="s">
        <v>104</v>
      </c>
      <c r="G14" s="7" t="str">
        <f>VLOOKUP(A14,[1]done!$A:$I,9,0)</f>
        <v>Cockroach</v>
      </c>
      <c r="H14" s="7" t="str" cm="1">
        <f t="array" ref="H14">_xlfn.IFS(
OR(ISNUMBER(SEARCH("mouse",E14)),ISNUMBER(SEARCH("rat",E14)),ISNUMBER(SEARCH("mice",E14)),ISNUMBER(SEARCH("rodent",E14))),"Rodent Control",
OR(ISNUMBER(SEARCH("fly",E14)),ISNUMBER(SEARCH("gnat",E14)),ISNUMBER(SEARCH("insect",E14)),ISNUMBER(SEARCH("mosquito",E14))),"Flying Insect Control",
OR(ISNUMBER(SEARCH("roach",E14)),ISNUMBER(SEARCH("ant",E14)),ISNUMBER(SEARCH("spider",E14)),ISNUMBER(SEARCH("cricket",E14)),ISNUMBER(SEARCH("scorpion",E14)),ISNUMBER(SEARCH("centipede",E14)),ISNUMBER(SEARCH("beetle",E14))),"Crawling Insect Control",
OR(ISNUMBER(SEARCH("tree",E14)),ISNUMBER(SEARCH("lantern",E14)),ISNUMBER(SEARCH("garden",E14)),ISNUMBER(SEARCH("plant",E14))),"Garden Pest Control",
OR(ISNUMBER(SEARCH("grass seed",E14)),ISNUMBER(SEARCH("seed mix",E14))),"Grass Seed",
OR(ISNUMBER(SEARCH("lawn food",E14)),ISNUMBER(SEARCH("fertilizer",E14))),"Lawn Fertilizer",
OR(ISNUMBER(SEARCH("patch",E14)),ISNUMBER(SEARCH("repair",E14)),ISNUMBER(SEARCH("thick'r",E14)),ISNUMBER(SEARCH("thick'r lawn",E14)),ISNUMBER(SEARCH("rapid grass",E14))),"Lawn Repair",
OR(ISNUMBER(SEARCH("weed",E14)),ISNUMBER(SEARCH("crabgrass",E14))),"Weed Control",
OR(ISNUMBER(SEARCH("fungicide",E14)),ISNUMBER(SEARCH("moss",E14))),"Disease &amp; Moss Control",
OR(ISNUMBER(SEARCH("plant food",E14)),ISNUMBER(SEARCH("miracid",E14))),"Plant Nutrition",
OR(ISNUMBER(SEARCH("perlite",E14))),"Soil Amendment",
OR(ISNUMBER(SEARCH("spreader",E14)),ISNUMBER(SEARCH("sprayer",E14)),ISNUMBER(SEARCH("mower",E14)),ISNUMBER(SEARCH("sweeper",E14)),ISNUMBER(SEARCH("pruner",E14)),ISNUMBER(SEARCH("trimmer",E14)),ISNUMBER(SEARCH("pole saw",E14))),"Garden Equipment",
TRUE,"Other"
)</f>
        <v>Crawling Insect Control</v>
      </c>
      <c r="I14" s="7" t="str" cm="1">
        <f t="array" ref="I14">_xlfn.IFS(
OR(ISNUMBER(SEARCH("glue trap",E14)),ISNUMBER(SEARCH("glue board",E14))),"Glue Traps",
OR(ISNUMBER(SEARCH("snap trap",E14)),ISNUMBER(SEARCH("power-kill",E14)),ISNUMBER(SEARCH("wide pedal",E14)),ISNUMBER(SEARCH("metal pedal",E14))),"Snap Traps",
OR(ISNUMBER(SEARCH("electronic",E14)),ISNUMBER(SEARCH("zapper",E14))),"Electronic Traps",
OR(ISNUMBER(SEARCH("live catch",E14)),ISNUMBER(SEARCH("multi-catch",E14)),ISNUMBER(SEARCH("catch &amp; hold",E14)),ISNUMBER(SEARCH("tin cat",E14))),"Live Catch Traps",
OR(ISNUMBER(SEARCH("bait",E14)),ISNUMBER(SEARCH("poison",E14))),"Bait &amp; Poison",
ISNUMBER(SEARCH("repellent",E14)),"Repellents",
OR(ISNUMBER(SEARCH("fly trap",E14)),ISNUMBER(SEARCH("fly ribbon",E14)),ISNUMBER(SEARCH("fly stick",E14)),ISNUMBER(SEARCH("window fly",E14)),ISNUMBER(SEARCH("fly magnet",E14))),"Fly Traps",
OR(ISNUMBER(SEARCH("uv",E14)),ISNUMBER(SEARCH("fly light",E14)),ISNUMBER(SEARCH("plug-in",E14))),"UV Fly Traps",
ISNUMBER(SEARCH("roach",E14)),"Roach Traps",
ISNUMBER(SEARCH("ant",E14)),"Ant Traps",
ISNUMBER(SEARCH("spider",E14)),"Spider Traps",
ISNUMBER(SEARCH("mosquito",E14)),"Mosquito Traps",
ISNUMBER(SEARCH("beetle",E14)),"Beetle Traps",
ISNUMBER(SEARCH("lantern",E14)),"Lanternfly Control",
OR(ISNUMBER(SEARCH("tree shield",E14)),ISNUMBER(SEARCH("tree banding",E14)),ISNUMBER(SEARCH("insect barrier",E14))),"Tree Barriers",
OR(ISNUMBER(SEARCH("sun &amp; shade",E14)),ISNUMBER(SEARCH("sun and shade",E14))),"Sun &amp; Shade Mix",
ISNUMBER(SEARCH("tall fescue",E14)),"Tall Fescue",
ISNUMBER(SEARCH("bermudagrass",E14)),"Bermudagrass",
ISNUMBER(SEARCH("kentucky",E14)),"Kentucky Bluegrass",
ISNUMBER(SEARCH("zoysia",E14)),"Zoysia",
ISNUMBER(SEARCH("ryegrass",E14)),"Perennial Ryegrass",
ISNUMBER(SEARCH("centipede",E14)),"Centipede Grass",
ISNUMBER(SEARCH("dense shade",E14)),"Dense Shade Mix",
ISNUMBER(SEARCH("southern gold",E14)),"Southern Gold Mix",
ISNUMBER(SEARCH("heat-tolerant blue",E14)),"Heat-Tolerant Blue Mix",
ISNUMBER(SEARCH("high traffic",E14)),"High Traffic Mix",
ISNUMBER(SEARCH("quick fix",E14)),"Quick Fix Mix",
ISNUMBER(SEARCH("starter",E14)),"Starter Fertilizer",
ISNUMBER(SEARCH("weed &amp; feed",E14)),"Weed &amp; Feed",
ISNUMBER(SEARCH("lawn food",E14)),"Lawn Food",
ISNUMBER(SEARCH("triple action",E14)),"Triple Action Fertilizer",
ISNUMBER(SEARCH("green max",E14)),"Green Max Lawn Food",
ISNUMBER(SEARCH("patchmaster",E14)),"PatchMaster Repair",
ISNUMBER(SEARCH("ez seed",E14)),"EZ Seed Repair",
ISNUMBER(SEARCH("rapid grass",E14)),"Rapid Grass",
ISNUMBER(SEARCH("thick'r lawn",E14)),"Thick'R Lawn",
ISNUMBER(SEARCH("fungicide",E14)),"Fungicide",
ISNUMBER(SEARCH("moss",E14)),"Moss Control",
ISNUMBER(SEARCH("perlite",E14)),"Perlite",
ISNUMBER(SEARCH("plant food",E14)),"Plant Food",
ISNUMBER(SEARCH("spreader",E14)),"Spreader",
ISNUMBER(SEARCH("sprayer",E14)),"Sprayer",
ISNUMBER(SEARCH("mower",E14)),"Lawn Mower",
ISNUMBER(SEARCH("sweeper",E14)),"Lawn Sweeper",
OR(ISNUMBER(SEARCH("pruner",E14)),ISNUMBER(SEARCH("trimmer",E14)),ISNUMBER(SEARCH("pole saw",E14))),"Pruning Tools",
TRUE,"Other"
)</f>
        <v>Glue Traps</v>
      </c>
      <c r="J14" s="7" t="str">
        <f t="shared" si="2"/>
        <v>Crawling Insect Control - Glue Traps</v>
      </c>
      <c r="K14" s="1">
        <v>8000</v>
      </c>
      <c r="L14" s="1">
        <v>4.3</v>
      </c>
      <c r="M14" s="1">
        <v>2995</v>
      </c>
      <c r="N14" s="1" t="s">
        <v>105</v>
      </c>
      <c r="O14" s="1">
        <f>VLOOKUP(A14,[2]Sheet1!$A:$B,2,0)</f>
        <v>1000</v>
      </c>
      <c r="P14" s="1">
        <f>VLOOKUP(A14,[2]Sheet1!$A:$C,3,0)</f>
        <v>2000</v>
      </c>
      <c r="Q14" s="7">
        <f>VLOOKUP(A14,[2]Sheet1!$A:$D,4,0)</f>
        <v>1000</v>
      </c>
      <c r="R14" s="7">
        <f>VLOOKUP(A14,[2]Sheet1!$A:$E,5,0)</f>
        <v>2000</v>
      </c>
      <c r="S14" s="7">
        <f>VLOOKUP(A14,[2]Sheet1!$A:$F,6,0)</f>
        <v>2000</v>
      </c>
      <c r="T14" s="7">
        <f>VLOOKUP(A14,[2]Sheet1!$A:$G,7,0)</f>
        <v>4000</v>
      </c>
      <c r="U14" s="7">
        <f>VLOOKUP(A14,[2]Sheet1!$A:$H,8,0)</f>
        <v>4000</v>
      </c>
      <c r="V14" s="7">
        <f>VLOOKUP(A14,[2]Sheet1!$A:$I,9,0)</f>
        <v>5000</v>
      </c>
      <c r="W14" s="7">
        <f>VLOOKUP(A14,[2]Sheet1!$A:$K,10,0)</f>
        <v>8000</v>
      </c>
      <c r="X14" s="7">
        <f>VLOOKUP(A14,[2]Sheet1!$A:$L,11,0)</f>
        <v>3000</v>
      </c>
      <c r="Y14" s="7">
        <f>VLOOKUP(A14,[2]Sheet1!$A:$L,12,0)</f>
        <v>3000</v>
      </c>
      <c r="Z14" s="7">
        <f>VLOOKUP(A14,[2]Sheet1!$A:$M,13,0)</f>
        <v>1000</v>
      </c>
      <c r="AA14" s="1">
        <f t="shared" si="0"/>
        <v>36000</v>
      </c>
      <c r="AB14" s="7">
        <f t="shared" si="3"/>
        <v>3000</v>
      </c>
      <c r="AC14" s="13">
        <f t="shared" si="1"/>
        <v>3000</v>
      </c>
      <c r="AD14" s="9">
        <f t="shared" si="4"/>
        <v>341640</v>
      </c>
      <c r="AE14" s="9">
        <f t="shared" si="5"/>
        <v>28470</v>
      </c>
      <c r="AF14" s="11">
        <v>3.01</v>
      </c>
      <c r="AG14" s="11">
        <v>9.49</v>
      </c>
      <c r="AH14" s="9">
        <f t="shared" si="6"/>
        <v>-1.4266666666666664E-2</v>
      </c>
      <c r="AI14" s="11">
        <f t="shared" si="7"/>
        <v>-4.9933333333333323E-2</v>
      </c>
      <c r="AJ14" s="14">
        <v>0.5</v>
      </c>
      <c r="AK14" s="14">
        <v>0.5</v>
      </c>
      <c r="AL14" s="11">
        <v>3.01</v>
      </c>
      <c r="AM14" s="9">
        <f t="shared" si="8"/>
        <v>1.4235</v>
      </c>
      <c r="AN14" s="9">
        <f t="shared" si="9"/>
        <v>0.28470000000000001</v>
      </c>
      <c r="AO14" s="9">
        <f t="shared" si="10"/>
        <v>1.8980000000000001</v>
      </c>
      <c r="AP14" s="9">
        <f t="shared" si="11"/>
        <v>0.1898</v>
      </c>
      <c r="AQ14" s="9">
        <f t="shared" si="12"/>
        <v>1.8980000000000001</v>
      </c>
      <c r="AR14" s="9">
        <f t="shared" si="13"/>
        <v>2.3725000000000001</v>
      </c>
      <c r="AS14" s="11">
        <f t="shared" si="14"/>
        <v>-0.14266666666666664</v>
      </c>
      <c r="AT14" s="12">
        <f t="shared" si="15"/>
        <v>-0.45899999999999991</v>
      </c>
    </row>
    <row r="15" spans="1:48" ht="16.5" x14ac:dyDescent="0.4">
      <c r="A15" s="1" t="s">
        <v>106</v>
      </c>
      <c r="B15" s="7" t="s">
        <v>42</v>
      </c>
      <c r="C15" s="7" t="s">
        <v>42</v>
      </c>
      <c r="D15" s="1" t="s">
        <v>107</v>
      </c>
      <c r="E15" s="1" t="s">
        <v>108</v>
      </c>
      <c r="F15" s="1" t="s">
        <v>109</v>
      </c>
      <c r="G15" s="7" t="str">
        <f>VLOOKUP(A15,[1]done!$A:$I,9,0)</f>
        <v>Mosquito/Fly</v>
      </c>
      <c r="H15" s="7" t="str" cm="1">
        <f t="array" ref="H15">_xlfn.IFS(
OR(ISNUMBER(SEARCH("mouse",E15)),ISNUMBER(SEARCH("rat",E15)),ISNUMBER(SEARCH("mice",E15)),ISNUMBER(SEARCH("rodent",E15))),"Rodent Control",
OR(ISNUMBER(SEARCH("fly",E15)),ISNUMBER(SEARCH("gnat",E15)),ISNUMBER(SEARCH("insect",E15)),ISNUMBER(SEARCH("mosquito",E15))),"Flying Insect Control",
OR(ISNUMBER(SEARCH("roach",E15)),ISNUMBER(SEARCH("ant",E15)),ISNUMBER(SEARCH("spider",E15)),ISNUMBER(SEARCH("cricket",E15)),ISNUMBER(SEARCH("scorpion",E15)),ISNUMBER(SEARCH("centipede",E15)),ISNUMBER(SEARCH("beetle",E15))),"Crawling Insect Control",
OR(ISNUMBER(SEARCH("tree",E15)),ISNUMBER(SEARCH("lantern",E15)),ISNUMBER(SEARCH("garden",E15)),ISNUMBER(SEARCH("plant",E15))),"Garden Pest Control",
OR(ISNUMBER(SEARCH("grass seed",E15)),ISNUMBER(SEARCH("seed mix",E15))),"Grass Seed",
OR(ISNUMBER(SEARCH("lawn food",E15)),ISNUMBER(SEARCH("fertilizer",E15))),"Lawn Fertilizer",
OR(ISNUMBER(SEARCH("patch",E15)),ISNUMBER(SEARCH("repair",E15)),ISNUMBER(SEARCH("thick'r",E15)),ISNUMBER(SEARCH("thick'r lawn",E15)),ISNUMBER(SEARCH("rapid grass",E15))),"Lawn Repair",
OR(ISNUMBER(SEARCH("weed",E15)),ISNUMBER(SEARCH("crabgrass",E15))),"Weed Control",
OR(ISNUMBER(SEARCH("fungicide",E15)),ISNUMBER(SEARCH("moss",E15))),"Disease &amp; Moss Control",
OR(ISNUMBER(SEARCH("plant food",E15)),ISNUMBER(SEARCH("miracid",E15))),"Plant Nutrition",
OR(ISNUMBER(SEARCH("perlite",E15))),"Soil Amendment",
OR(ISNUMBER(SEARCH("spreader",E15)),ISNUMBER(SEARCH("sprayer",E15)),ISNUMBER(SEARCH("mower",E15)),ISNUMBER(SEARCH("sweeper",E15)),ISNUMBER(SEARCH("pruner",E15)),ISNUMBER(SEARCH("trimmer",E15)),ISNUMBER(SEARCH("pole saw",E15))),"Garden Equipment",
TRUE,"Other"
)</f>
        <v>Flying Insect Control</v>
      </c>
      <c r="I15" s="7" t="str" cm="1">
        <f t="array" ref="I15">_xlfn.IFS(
OR(ISNUMBER(SEARCH("glue trap",E15)),ISNUMBER(SEARCH("glue board",E15))),"Glue Traps",
OR(ISNUMBER(SEARCH("snap trap",E15)),ISNUMBER(SEARCH("power-kill",E15)),ISNUMBER(SEARCH("wide pedal",E15)),ISNUMBER(SEARCH("metal pedal",E15))),"Snap Traps",
OR(ISNUMBER(SEARCH("electronic",E15)),ISNUMBER(SEARCH("zapper",E15))),"Electronic Traps",
OR(ISNUMBER(SEARCH("live catch",E15)),ISNUMBER(SEARCH("multi-catch",E15)),ISNUMBER(SEARCH("catch &amp; hold",E15)),ISNUMBER(SEARCH("tin cat",E15))),"Live Catch Traps",
OR(ISNUMBER(SEARCH("bait",E15)),ISNUMBER(SEARCH("poison",E15))),"Bait &amp; Poison",
ISNUMBER(SEARCH("repellent",E15)),"Repellents",
OR(ISNUMBER(SEARCH("fly trap",E15)),ISNUMBER(SEARCH("fly ribbon",E15)),ISNUMBER(SEARCH("fly stick",E15)),ISNUMBER(SEARCH("window fly",E15)),ISNUMBER(SEARCH("fly magnet",E15))),"Fly Traps",
OR(ISNUMBER(SEARCH("uv",E15)),ISNUMBER(SEARCH("fly light",E15)),ISNUMBER(SEARCH("plug-in",E15))),"UV Fly Traps",
ISNUMBER(SEARCH("roach",E15)),"Roach Traps",
ISNUMBER(SEARCH("ant",E15)),"Ant Traps",
ISNUMBER(SEARCH("spider",E15)),"Spider Traps",
ISNUMBER(SEARCH("mosquito",E15)),"Mosquito Traps",
ISNUMBER(SEARCH("beetle",E15)),"Beetle Traps",
ISNUMBER(SEARCH("lantern",E15)),"Lanternfly Control",
OR(ISNUMBER(SEARCH("tree shield",E15)),ISNUMBER(SEARCH("tree banding",E15)),ISNUMBER(SEARCH("insect barrier",E15))),"Tree Barriers",
OR(ISNUMBER(SEARCH("sun &amp; shade",E15)),ISNUMBER(SEARCH("sun and shade",E15))),"Sun &amp; Shade Mix",
ISNUMBER(SEARCH("tall fescue",E15)),"Tall Fescue",
ISNUMBER(SEARCH("bermudagrass",E15)),"Bermudagrass",
ISNUMBER(SEARCH("kentucky",E15)),"Kentucky Bluegrass",
ISNUMBER(SEARCH("zoysia",E15)),"Zoysia",
ISNUMBER(SEARCH("ryegrass",E15)),"Perennial Ryegrass",
ISNUMBER(SEARCH("centipede",E15)),"Centipede Grass",
ISNUMBER(SEARCH("dense shade",E15)),"Dense Shade Mix",
ISNUMBER(SEARCH("southern gold",E15)),"Southern Gold Mix",
ISNUMBER(SEARCH("heat-tolerant blue",E15)),"Heat-Tolerant Blue Mix",
ISNUMBER(SEARCH("high traffic",E15)),"High Traffic Mix",
ISNUMBER(SEARCH("quick fix",E15)),"Quick Fix Mix",
ISNUMBER(SEARCH("starter",E15)),"Starter Fertilizer",
ISNUMBER(SEARCH("weed &amp; feed",E15)),"Weed &amp; Feed",
ISNUMBER(SEARCH("lawn food",E15)),"Lawn Food",
ISNUMBER(SEARCH("triple action",E15)),"Triple Action Fertilizer",
ISNUMBER(SEARCH("green max",E15)),"Green Max Lawn Food",
ISNUMBER(SEARCH("patchmaster",E15)),"PatchMaster Repair",
ISNUMBER(SEARCH("ez seed",E15)),"EZ Seed Repair",
ISNUMBER(SEARCH("rapid grass",E15)),"Rapid Grass",
ISNUMBER(SEARCH("thick'r lawn",E15)),"Thick'R Lawn",
ISNUMBER(SEARCH("fungicide",E15)),"Fungicide",
ISNUMBER(SEARCH("moss",E15)),"Moss Control",
ISNUMBER(SEARCH("perlite",E15)),"Perlite",
ISNUMBER(SEARCH("plant food",E15)),"Plant Food",
ISNUMBER(SEARCH("spreader",E15)),"Spreader",
ISNUMBER(SEARCH("sprayer",E15)),"Sprayer",
ISNUMBER(SEARCH("mower",E15)),"Lawn Mower",
ISNUMBER(SEARCH("sweeper",E15)),"Lawn Sweeper",
OR(ISNUMBER(SEARCH("pruner",E15)),ISNUMBER(SEARCH("trimmer",E15)),ISNUMBER(SEARCH("pole saw",E15))),"Pruning Tools",
TRUE,"Other"
)</f>
        <v>Fly Traps</v>
      </c>
      <c r="J15" s="7" t="str">
        <f t="shared" si="2"/>
        <v>Flying Insect Control - Fly Traps</v>
      </c>
      <c r="K15" s="1">
        <v>8000</v>
      </c>
      <c r="L15" s="1">
        <v>4</v>
      </c>
      <c r="M15" s="1">
        <v>13143</v>
      </c>
      <c r="N15" s="1"/>
      <c r="O15" s="1">
        <f>VLOOKUP(A15,[2]Sheet1!$A:$B,2,0)</f>
        <v>500</v>
      </c>
      <c r="P15" s="1">
        <f>VLOOKUP(A15,[2]Sheet1!$A:$C,3,0)</f>
        <v>500</v>
      </c>
      <c r="Q15" s="7">
        <f>VLOOKUP(A15,[2]Sheet1!$A:$D,4,0)</f>
        <v>500</v>
      </c>
      <c r="R15" s="7">
        <f>VLOOKUP(A15,[2]Sheet1!$A:$E,5,0)</f>
        <v>1000</v>
      </c>
      <c r="S15" s="7">
        <f>VLOOKUP(A15,[2]Sheet1!$A:$F,6,0)</f>
        <v>1000</v>
      </c>
      <c r="T15" s="7">
        <f>VLOOKUP(A15,[2]Sheet1!$A:$G,7,0)</f>
        <v>3000</v>
      </c>
      <c r="U15" s="7">
        <f>VLOOKUP(A15,[2]Sheet1!$A:$H,8,0)</f>
        <v>7000</v>
      </c>
      <c r="V15" s="7">
        <f>VLOOKUP(A15,[2]Sheet1!$A:$I,9,0)</f>
        <v>10000</v>
      </c>
      <c r="W15" s="7">
        <f>VLOOKUP(A15,[2]Sheet1!$A:$K,10,0)</f>
        <v>10000</v>
      </c>
      <c r="X15" s="7">
        <f>VLOOKUP(A15,[2]Sheet1!$A:$L,11,0)</f>
        <v>7000</v>
      </c>
      <c r="Y15" s="7">
        <f>VLOOKUP(A15,[2]Sheet1!$A:$L,12,0)</f>
        <v>1000</v>
      </c>
      <c r="Z15" s="7">
        <f>VLOOKUP(A15,[2]Sheet1!$A:$M,13,0)</f>
        <v>500</v>
      </c>
      <c r="AA15" s="1">
        <f t="shared" si="0"/>
        <v>42000</v>
      </c>
      <c r="AB15" s="7">
        <f t="shared" si="3"/>
        <v>3500</v>
      </c>
      <c r="AC15" s="13">
        <f t="shared" si="1"/>
        <v>3500</v>
      </c>
      <c r="AD15" s="9">
        <f t="shared" si="4"/>
        <v>440580</v>
      </c>
      <c r="AE15" s="9">
        <f t="shared" si="5"/>
        <v>36715</v>
      </c>
      <c r="AF15" s="11">
        <v>4.09</v>
      </c>
      <c r="AG15" s="11">
        <v>10.49</v>
      </c>
      <c r="AH15" s="9">
        <f t="shared" si="6"/>
        <v>-5.9600000000000042E-2</v>
      </c>
      <c r="AI15" s="11">
        <f t="shared" si="7"/>
        <v>-0.20860000000000015</v>
      </c>
      <c r="AJ15" s="14">
        <v>0.5</v>
      </c>
      <c r="AK15" s="14">
        <v>0.5</v>
      </c>
      <c r="AL15" s="11">
        <v>4.09</v>
      </c>
      <c r="AM15" s="9">
        <f t="shared" si="8"/>
        <v>1.5734999999999999</v>
      </c>
      <c r="AN15" s="9">
        <f t="shared" si="9"/>
        <v>0.31469999999999998</v>
      </c>
      <c r="AO15" s="9">
        <f t="shared" si="10"/>
        <v>2.0980000000000003</v>
      </c>
      <c r="AP15" s="9">
        <f t="shared" si="11"/>
        <v>0.20980000000000001</v>
      </c>
      <c r="AQ15" s="9">
        <f t="shared" si="12"/>
        <v>2.0980000000000003</v>
      </c>
      <c r="AR15" s="9">
        <f t="shared" si="13"/>
        <v>2.6225000000000001</v>
      </c>
      <c r="AS15" s="11">
        <f t="shared" si="14"/>
        <v>-0.59600000000000042</v>
      </c>
      <c r="AT15" s="12">
        <f t="shared" si="15"/>
        <v>-0.94566666666666688</v>
      </c>
    </row>
    <row r="16" spans="1:48" ht="16.5" x14ac:dyDescent="0.4">
      <c r="A16" s="1" t="s">
        <v>110</v>
      </c>
      <c r="B16" s="7" t="s">
        <v>42</v>
      </c>
      <c r="C16" s="7" t="s">
        <v>42</v>
      </c>
      <c r="D16" s="1" t="s">
        <v>111</v>
      </c>
      <c r="E16" s="1" t="s">
        <v>112</v>
      </c>
      <c r="F16" s="1" t="s">
        <v>113</v>
      </c>
      <c r="G16" s="7" t="str">
        <f>VLOOKUP(A16,[1]done!$A:$I,9,0)</f>
        <v>Rodent</v>
      </c>
      <c r="H16" s="7" t="str" cm="1">
        <f t="array" ref="H16">_xlfn.IFS(
OR(ISNUMBER(SEARCH("mouse",E16)),ISNUMBER(SEARCH("rat",E16)),ISNUMBER(SEARCH("mice",E16)),ISNUMBER(SEARCH("rodent",E16))),"Rodent Control",
OR(ISNUMBER(SEARCH("fly",E16)),ISNUMBER(SEARCH("gnat",E16)),ISNUMBER(SEARCH("insect",E16)),ISNUMBER(SEARCH("mosquito",E16))),"Flying Insect Control",
OR(ISNUMBER(SEARCH("roach",E16)),ISNUMBER(SEARCH("ant",E16)),ISNUMBER(SEARCH("spider",E16)),ISNUMBER(SEARCH("cricket",E16)),ISNUMBER(SEARCH("scorpion",E16)),ISNUMBER(SEARCH("centipede",E16)),ISNUMBER(SEARCH("beetle",E16))),"Crawling Insect Control",
OR(ISNUMBER(SEARCH("tree",E16)),ISNUMBER(SEARCH("lantern",E16)),ISNUMBER(SEARCH("garden",E16)),ISNUMBER(SEARCH("plant",E16))),"Garden Pest Control",
OR(ISNUMBER(SEARCH("grass seed",E16)),ISNUMBER(SEARCH("seed mix",E16))),"Grass Seed",
OR(ISNUMBER(SEARCH("lawn food",E16)),ISNUMBER(SEARCH("fertilizer",E16))),"Lawn Fertilizer",
OR(ISNUMBER(SEARCH("patch",E16)),ISNUMBER(SEARCH("repair",E16)),ISNUMBER(SEARCH("thick'r",E16)),ISNUMBER(SEARCH("thick'r lawn",E16)),ISNUMBER(SEARCH("rapid grass",E16))),"Lawn Repair",
OR(ISNUMBER(SEARCH("weed",E16)),ISNUMBER(SEARCH("crabgrass",E16))),"Weed Control",
OR(ISNUMBER(SEARCH("fungicide",E16)),ISNUMBER(SEARCH("moss",E16))),"Disease &amp; Moss Control",
OR(ISNUMBER(SEARCH("plant food",E16)),ISNUMBER(SEARCH("miracid",E16))),"Plant Nutrition",
OR(ISNUMBER(SEARCH("perlite",E16))),"Soil Amendment",
OR(ISNUMBER(SEARCH("spreader",E16)),ISNUMBER(SEARCH("sprayer",E16)),ISNUMBER(SEARCH("mower",E16)),ISNUMBER(SEARCH("sweeper",E16)),ISNUMBER(SEARCH("pruner",E16)),ISNUMBER(SEARCH("trimmer",E16)),ISNUMBER(SEARCH("pole saw",E16))),"Garden Equipment",
TRUE,"Other"
)</f>
        <v>Rodent Control</v>
      </c>
      <c r="I16" s="7" t="str" cm="1">
        <f t="array" ref="I16">_xlfn.IFS(
OR(ISNUMBER(SEARCH("glue trap",E16)),ISNUMBER(SEARCH("glue board",E16))),"Glue Traps",
OR(ISNUMBER(SEARCH("snap trap",E16)),ISNUMBER(SEARCH("power-kill",E16)),ISNUMBER(SEARCH("wide pedal",E16)),ISNUMBER(SEARCH("metal pedal",E16))),"Snap Traps",
OR(ISNUMBER(SEARCH("electronic",E16)),ISNUMBER(SEARCH("zapper",E16))),"Electronic Traps",
OR(ISNUMBER(SEARCH("live catch",E16)),ISNUMBER(SEARCH("multi-catch",E16)),ISNUMBER(SEARCH("catch &amp; hold",E16)),ISNUMBER(SEARCH("tin cat",E16))),"Live Catch Traps",
OR(ISNUMBER(SEARCH("bait",E16)),ISNUMBER(SEARCH("poison",E16))),"Bait &amp; Poison",
ISNUMBER(SEARCH("repellent",E16)),"Repellents",
OR(ISNUMBER(SEARCH("fly trap",E16)),ISNUMBER(SEARCH("fly ribbon",E16)),ISNUMBER(SEARCH("fly stick",E16)),ISNUMBER(SEARCH("window fly",E16)),ISNUMBER(SEARCH("fly magnet",E16))),"Fly Traps",
OR(ISNUMBER(SEARCH("uv",E16)),ISNUMBER(SEARCH("fly light",E16)),ISNUMBER(SEARCH("plug-in",E16))),"UV Fly Traps",
ISNUMBER(SEARCH("roach",E16)),"Roach Traps",
ISNUMBER(SEARCH("ant",E16)),"Ant Traps",
ISNUMBER(SEARCH("spider",E16)),"Spider Traps",
ISNUMBER(SEARCH("mosquito",E16)),"Mosquito Traps",
ISNUMBER(SEARCH("beetle",E16)),"Beetle Traps",
ISNUMBER(SEARCH("lantern",E16)),"Lanternfly Control",
OR(ISNUMBER(SEARCH("tree shield",E16)),ISNUMBER(SEARCH("tree banding",E16)),ISNUMBER(SEARCH("insect barrier",E16))),"Tree Barriers",
OR(ISNUMBER(SEARCH("sun &amp; shade",E16)),ISNUMBER(SEARCH("sun and shade",E16))),"Sun &amp; Shade Mix",
ISNUMBER(SEARCH("tall fescue",E16)),"Tall Fescue",
ISNUMBER(SEARCH("bermudagrass",E16)),"Bermudagrass",
ISNUMBER(SEARCH("kentucky",E16)),"Kentucky Bluegrass",
ISNUMBER(SEARCH("zoysia",E16)),"Zoysia",
ISNUMBER(SEARCH("ryegrass",E16)),"Perennial Ryegrass",
ISNUMBER(SEARCH("centipede",E16)),"Centipede Grass",
ISNUMBER(SEARCH("dense shade",E16)),"Dense Shade Mix",
ISNUMBER(SEARCH("southern gold",E16)),"Southern Gold Mix",
ISNUMBER(SEARCH("heat-tolerant blue",E16)),"Heat-Tolerant Blue Mix",
ISNUMBER(SEARCH("high traffic",E16)),"High Traffic Mix",
ISNUMBER(SEARCH("quick fix",E16)),"Quick Fix Mix",
ISNUMBER(SEARCH("starter",E16)),"Starter Fertilizer",
ISNUMBER(SEARCH("weed &amp; feed",E16)),"Weed &amp; Feed",
ISNUMBER(SEARCH("lawn food",E16)),"Lawn Food",
ISNUMBER(SEARCH("triple action",E16)),"Triple Action Fertilizer",
ISNUMBER(SEARCH("green max",E16)),"Green Max Lawn Food",
ISNUMBER(SEARCH("patchmaster",E16)),"PatchMaster Repair",
ISNUMBER(SEARCH("ez seed",E16)),"EZ Seed Repair",
ISNUMBER(SEARCH("rapid grass",E16)),"Rapid Grass",
ISNUMBER(SEARCH("thick'r lawn",E16)),"Thick'R Lawn",
ISNUMBER(SEARCH("fungicide",E16)),"Fungicide",
ISNUMBER(SEARCH("moss",E16)),"Moss Control",
ISNUMBER(SEARCH("perlite",E16)),"Perlite",
ISNUMBER(SEARCH("plant food",E16)),"Plant Food",
ISNUMBER(SEARCH("spreader",E16)),"Spreader",
ISNUMBER(SEARCH("sprayer",E16)),"Sprayer",
ISNUMBER(SEARCH("mower",E16)),"Lawn Mower",
ISNUMBER(SEARCH("sweeper",E16)),"Lawn Sweeper",
OR(ISNUMBER(SEARCH("pruner",E16)),ISNUMBER(SEARCH("trimmer",E16)),ISNUMBER(SEARCH("pole saw",E16))),"Pruning Tools",
TRUE,"Other"
)</f>
        <v>Glue Traps</v>
      </c>
      <c r="J16" s="7" t="str">
        <f t="shared" si="2"/>
        <v>Rodent Control - Glue Traps</v>
      </c>
      <c r="K16" s="1">
        <v>5000</v>
      </c>
      <c r="L16" s="1">
        <v>4.4000000000000004</v>
      </c>
      <c r="M16" s="1">
        <v>7862</v>
      </c>
      <c r="N16" s="1" t="s">
        <v>114</v>
      </c>
      <c r="O16" s="1">
        <f>VLOOKUP(A16,[2]Sheet1!$A:$B,2,0)</f>
        <v>5000</v>
      </c>
      <c r="P16" s="1">
        <f>VLOOKUP(A16,[2]Sheet1!$A:$C,3,0)</f>
        <v>3000</v>
      </c>
      <c r="Q16" s="7">
        <f>VLOOKUP(A16,[2]Sheet1!$A:$D,4,0)</f>
        <v>4000</v>
      </c>
      <c r="R16" s="7">
        <f>VLOOKUP(A16,[2]Sheet1!$A:$E,5,0)</f>
        <v>3000</v>
      </c>
      <c r="S16" s="7">
        <f>VLOOKUP(A16,[2]Sheet1!$A:$F,6,0)</f>
        <v>3000</v>
      </c>
      <c r="T16" s="7">
        <f>VLOOKUP(A16,[2]Sheet1!$A:$G,7,0)</f>
        <v>3000</v>
      </c>
      <c r="U16" s="7">
        <f>VLOOKUP(A16,[2]Sheet1!$A:$H,8,0)</f>
        <v>5000</v>
      </c>
      <c r="V16" s="7">
        <f>VLOOKUP(A16,[2]Sheet1!$A:$I,9,0)</f>
        <v>5000</v>
      </c>
      <c r="W16" s="7">
        <f>VLOOKUP(A16,[2]Sheet1!$A:$K,10,0)</f>
        <v>6000</v>
      </c>
      <c r="X16" s="7">
        <f>VLOOKUP(A16,[2]Sheet1!$A:$L,11,0)</f>
        <v>10000</v>
      </c>
      <c r="Y16" s="7">
        <f>VLOOKUP(A16,[2]Sheet1!$A:$L,12,0)</f>
        <v>10000</v>
      </c>
      <c r="Z16" s="7">
        <f>VLOOKUP(A16,[2]Sheet1!$A:$M,13,0)</f>
        <v>7000</v>
      </c>
      <c r="AA16" s="1">
        <f t="shared" si="0"/>
        <v>64000</v>
      </c>
      <c r="AB16" s="7">
        <f t="shared" si="3"/>
        <v>5333</v>
      </c>
      <c r="AC16" s="13">
        <f t="shared" si="1"/>
        <v>5333.333333333333</v>
      </c>
      <c r="AD16" s="9">
        <f t="shared" si="4"/>
        <v>1006080</v>
      </c>
      <c r="AE16" s="9">
        <f t="shared" si="5"/>
        <v>83840</v>
      </c>
      <c r="AF16" s="11">
        <v>5.22</v>
      </c>
      <c r="AG16" s="11">
        <v>15.72</v>
      </c>
      <c r="AH16" s="9">
        <f t="shared" si="6"/>
        <v>4.5333333333333675E-3</v>
      </c>
      <c r="AI16" s="11">
        <f t="shared" si="7"/>
        <v>1.5866666666666782E-2</v>
      </c>
      <c r="AJ16" s="14">
        <v>0.5</v>
      </c>
      <c r="AK16" s="14">
        <v>0.5</v>
      </c>
      <c r="AL16" s="11">
        <v>5.22</v>
      </c>
      <c r="AM16" s="9">
        <f t="shared" si="8"/>
        <v>2.3580000000000001</v>
      </c>
      <c r="AN16" s="9">
        <f t="shared" si="9"/>
        <v>0.47160000000000002</v>
      </c>
      <c r="AO16" s="9">
        <f t="shared" si="10"/>
        <v>3.1440000000000001</v>
      </c>
      <c r="AP16" s="9">
        <f t="shared" si="11"/>
        <v>0.31440000000000001</v>
      </c>
      <c r="AQ16" s="9">
        <f t="shared" si="12"/>
        <v>3.1440000000000001</v>
      </c>
      <c r="AR16" s="9">
        <f t="shared" si="13"/>
        <v>3.93</v>
      </c>
      <c r="AS16" s="11">
        <f t="shared" si="14"/>
        <v>4.533333333333367E-2</v>
      </c>
      <c r="AT16" s="12">
        <f t="shared" si="15"/>
        <v>-0.47866666666666635</v>
      </c>
    </row>
    <row r="17" spans="1:46" ht="16.5" x14ac:dyDescent="0.4">
      <c r="A17" s="1" t="s">
        <v>115</v>
      </c>
      <c r="B17" s="7" t="s">
        <v>42</v>
      </c>
      <c r="C17" s="7" t="s">
        <v>1777</v>
      </c>
      <c r="D17" s="1" t="s">
        <v>116</v>
      </c>
      <c r="E17" s="1" t="s">
        <v>117</v>
      </c>
      <c r="F17" s="1" t="s">
        <v>118</v>
      </c>
      <c r="G17" s="7" t="str">
        <f>VLOOKUP(A17,[1]done!$A:$I,9,0)</f>
        <v>Rodent</v>
      </c>
      <c r="H17" s="7" t="str" cm="1">
        <f t="array" ref="H17">_xlfn.IFS(
OR(ISNUMBER(SEARCH("mouse",E17)),ISNUMBER(SEARCH("rat",E17)),ISNUMBER(SEARCH("mice",E17)),ISNUMBER(SEARCH("rodent",E17))),"Rodent Control",
OR(ISNUMBER(SEARCH("fly",E17)),ISNUMBER(SEARCH("gnat",E17)),ISNUMBER(SEARCH("insect",E17)),ISNUMBER(SEARCH("mosquito",E17))),"Flying Insect Control",
OR(ISNUMBER(SEARCH("roach",E17)),ISNUMBER(SEARCH("ant",E17)),ISNUMBER(SEARCH("spider",E17)),ISNUMBER(SEARCH("cricket",E17)),ISNUMBER(SEARCH("scorpion",E17)),ISNUMBER(SEARCH("centipede",E17)),ISNUMBER(SEARCH("beetle",E17))),"Crawling Insect Control",
OR(ISNUMBER(SEARCH("tree",E17)),ISNUMBER(SEARCH("lantern",E17)),ISNUMBER(SEARCH("garden",E17)),ISNUMBER(SEARCH("plant",E17))),"Garden Pest Control",
OR(ISNUMBER(SEARCH("grass seed",E17)),ISNUMBER(SEARCH("seed mix",E17))),"Grass Seed",
OR(ISNUMBER(SEARCH("lawn food",E17)),ISNUMBER(SEARCH("fertilizer",E17))),"Lawn Fertilizer",
OR(ISNUMBER(SEARCH("patch",E17)),ISNUMBER(SEARCH("repair",E17)),ISNUMBER(SEARCH("thick'r",E17)),ISNUMBER(SEARCH("thick'r lawn",E17)),ISNUMBER(SEARCH("rapid grass",E17))),"Lawn Repair",
OR(ISNUMBER(SEARCH("weed",E17)),ISNUMBER(SEARCH("crabgrass",E17))),"Weed Control",
OR(ISNUMBER(SEARCH("fungicide",E17)),ISNUMBER(SEARCH("moss",E17))),"Disease &amp; Moss Control",
OR(ISNUMBER(SEARCH("plant food",E17)),ISNUMBER(SEARCH("miracid",E17))),"Plant Nutrition",
OR(ISNUMBER(SEARCH("perlite",E17))),"Soil Amendment",
OR(ISNUMBER(SEARCH("spreader",E17)),ISNUMBER(SEARCH("sprayer",E17)),ISNUMBER(SEARCH("mower",E17)),ISNUMBER(SEARCH("sweeper",E17)),ISNUMBER(SEARCH("pruner",E17)),ISNUMBER(SEARCH("trimmer",E17)),ISNUMBER(SEARCH("pole saw",E17))),"Garden Equipment",
TRUE,"Other"
)</f>
        <v>Rodent Control</v>
      </c>
      <c r="I17" s="7" t="str" cm="1">
        <f t="array" ref="I17">_xlfn.IFS(
OR(ISNUMBER(SEARCH("glue trap",E17)),ISNUMBER(SEARCH("glue board",E17))),"Glue Traps",
OR(ISNUMBER(SEARCH("snap trap",E17)),ISNUMBER(SEARCH("power-kill",E17)),ISNUMBER(SEARCH("wide pedal",E17)),ISNUMBER(SEARCH("metal pedal",E17))),"Snap Traps",
OR(ISNUMBER(SEARCH("electronic",E17)),ISNUMBER(SEARCH("zapper",E17))),"Electronic Traps",
OR(ISNUMBER(SEARCH("live catch",E17)),ISNUMBER(SEARCH("multi-catch",E17)),ISNUMBER(SEARCH("catch &amp; hold",E17)),ISNUMBER(SEARCH("tin cat",E17))),"Live Catch Traps",
OR(ISNUMBER(SEARCH("bait",E17)),ISNUMBER(SEARCH("poison",E17))),"Bait &amp; Poison",
ISNUMBER(SEARCH("repellent",E17)),"Repellents",
OR(ISNUMBER(SEARCH("fly trap",E17)),ISNUMBER(SEARCH("fly ribbon",E17)),ISNUMBER(SEARCH("fly stick",E17)),ISNUMBER(SEARCH("window fly",E17)),ISNUMBER(SEARCH("fly magnet",E17))),"Fly Traps",
OR(ISNUMBER(SEARCH("uv",E17)),ISNUMBER(SEARCH("fly light",E17)),ISNUMBER(SEARCH("plug-in",E17))),"UV Fly Traps",
ISNUMBER(SEARCH("roach",E17)),"Roach Traps",
ISNUMBER(SEARCH("ant",E17)),"Ant Traps",
ISNUMBER(SEARCH("spider",E17)),"Spider Traps",
ISNUMBER(SEARCH("mosquito",E17)),"Mosquito Traps",
ISNUMBER(SEARCH("beetle",E17)),"Beetle Traps",
ISNUMBER(SEARCH("lantern",E17)),"Lanternfly Control",
OR(ISNUMBER(SEARCH("tree shield",E17)),ISNUMBER(SEARCH("tree banding",E17)),ISNUMBER(SEARCH("insect barrier",E17))),"Tree Barriers",
OR(ISNUMBER(SEARCH("sun &amp; shade",E17)),ISNUMBER(SEARCH("sun and shade",E17))),"Sun &amp; Shade Mix",
ISNUMBER(SEARCH("tall fescue",E17)),"Tall Fescue",
ISNUMBER(SEARCH("bermudagrass",E17)),"Bermudagrass",
ISNUMBER(SEARCH("kentucky",E17)),"Kentucky Bluegrass",
ISNUMBER(SEARCH("zoysia",E17)),"Zoysia",
ISNUMBER(SEARCH("ryegrass",E17)),"Perennial Ryegrass",
ISNUMBER(SEARCH("centipede",E17)),"Centipede Grass",
ISNUMBER(SEARCH("dense shade",E17)),"Dense Shade Mix",
ISNUMBER(SEARCH("southern gold",E17)),"Southern Gold Mix",
ISNUMBER(SEARCH("heat-tolerant blue",E17)),"Heat-Tolerant Blue Mix",
ISNUMBER(SEARCH("high traffic",E17)),"High Traffic Mix",
ISNUMBER(SEARCH("quick fix",E17)),"Quick Fix Mix",
ISNUMBER(SEARCH("starter",E17)),"Starter Fertilizer",
ISNUMBER(SEARCH("weed &amp; feed",E17)),"Weed &amp; Feed",
ISNUMBER(SEARCH("lawn food",E17)),"Lawn Food",
ISNUMBER(SEARCH("triple action",E17)),"Triple Action Fertilizer",
ISNUMBER(SEARCH("green max",E17)),"Green Max Lawn Food",
ISNUMBER(SEARCH("patchmaster",E17)),"PatchMaster Repair",
ISNUMBER(SEARCH("ez seed",E17)),"EZ Seed Repair",
ISNUMBER(SEARCH("rapid grass",E17)),"Rapid Grass",
ISNUMBER(SEARCH("thick'r lawn",E17)),"Thick'R Lawn",
ISNUMBER(SEARCH("fungicide",E17)),"Fungicide",
ISNUMBER(SEARCH("moss",E17)),"Moss Control",
ISNUMBER(SEARCH("perlite",E17)),"Perlite",
ISNUMBER(SEARCH("plant food",E17)),"Plant Food",
ISNUMBER(SEARCH("spreader",E17)),"Spreader",
ISNUMBER(SEARCH("sprayer",E17)),"Sprayer",
ISNUMBER(SEARCH("mower",E17)),"Lawn Mower",
ISNUMBER(SEARCH("sweeper",E17)),"Lawn Sweeper",
OR(ISNUMBER(SEARCH("pruner",E17)),ISNUMBER(SEARCH("trimmer",E17)),ISNUMBER(SEARCH("pole saw",E17))),"Pruning Tools",
TRUE,"Other"
)</f>
        <v>Glue Traps</v>
      </c>
      <c r="J17" s="7" t="str">
        <f t="shared" si="2"/>
        <v>Rodent Control - Glue Traps</v>
      </c>
      <c r="K17" s="1">
        <v>6000</v>
      </c>
      <c r="L17" s="1">
        <v>4.3</v>
      </c>
      <c r="M17" s="1">
        <v>27227</v>
      </c>
      <c r="N17" s="1" t="s">
        <v>119</v>
      </c>
      <c r="O17" s="1">
        <f>VLOOKUP(A17,[2]Sheet1!$A:$B,2,0)</f>
        <v>3000</v>
      </c>
      <c r="P17" s="1">
        <f>VLOOKUP(A17,[2]Sheet1!$A:$C,3,0)</f>
        <v>3000</v>
      </c>
      <c r="Q17" s="7">
        <f>VLOOKUP(A17,[2]Sheet1!$A:$D,4,0)</f>
        <v>4000</v>
      </c>
      <c r="R17" s="7">
        <f>VLOOKUP(A17,[2]Sheet1!$A:$E,5,0)</f>
        <v>5000</v>
      </c>
      <c r="S17" s="7">
        <f>VLOOKUP(A17,[2]Sheet1!$A:$F,6,0)</f>
        <v>6000</v>
      </c>
      <c r="T17" s="7">
        <f>VLOOKUP(A17,[2]Sheet1!$A:$G,7,0)</f>
        <v>7000</v>
      </c>
      <c r="U17" s="7">
        <f>VLOOKUP(A17,[2]Sheet1!$A:$H,8,0)</f>
        <v>5000</v>
      </c>
      <c r="V17" s="7">
        <f>VLOOKUP(A17,[2]Sheet1!$A:$I,9,0)</f>
        <v>6000</v>
      </c>
      <c r="W17" s="7">
        <f>VLOOKUP(A17,[2]Sheet1!$A:$K,10,0)</f>
        <v>6000</v>
      </c>
      <c r="X17" s="7">
        <f>VLOOKUP(A17,[2]Sheet1!$A:$L,11,0)</f>
        <v>5000</v>
      </c>
      <c r="Y17" s="7">
        <f>VLOOKUP(A17,[2]Sheet1!$A:$L,12,0)</f>
        <v>5000</v>
      </c>
      <c r="Z17" s="7">
        <f>VLOOKUP(A17,[2]Sheet1!$A:$M,13,0)</f>
        <v>5000</v>
      </c>
      <c r="AA17" s="1">
        <f t="shared" si="0"/>
        <v>60000</v>
      </c>
      <c r="AB17" s="7">
        <f t="shared" si="3"/>
        <v>5000</v>
      </c>
      <c r="AC17" s="13">
        <f t="shared" si="1"/>
        <v>5000</v>
      </c>
      <c r="AD17" s="9">
        <f t="shared" si="4"/>
        <v>1919400</v>
      </c>
      <c r="AE17" s="9">
        <f t="shared" si="5"/>
        <v>159950</v>
      </c>
      <c r="AF17" s="11">
        <v>6.48</v>
      </c>
      <c r="AG17" s="11">
        <v>31.99</v>
      </c>
      <c r="AH17" s="9">
        <f t="shared" si="6"/>
        <v>0.35439999999999994</v>
      </c>
      <c r="AI17" s="11">
        <f t="shared" si="7"/>
        <v>1.2403999999999997</v>
      </c>
      <c r="AJ17" s="14">
        <v>0.5</v>
      </c>
      <c r="AK17" s="14">
        <v>0.5</v>
      </c>
      <c r="AL17" s="11">
        <v>6.48</v>
      </c>
      <c r="AM17" s="9">
        <f t="shared" si="8"/>
        <v>4.7984999999999998</v>
      </c>
      <c r="AN17" s="9">
        <f t="shared" si="9"/>
        <v>0.95969999999999989</v>
      </c>
      <c r="AO17" s="9">
        <f t="shared" si="10"/>
        <v>6.3979999999999997</v>
      </c>
      <c r="AP17" s="9">
        <f t="shared" si="11"/>
        <v>0.63980000000000004</v>
      </c>
      <c r="AQ17" s="9">
        <f t="shared" si="12"/>
        <v>6.3979999999999997</v>
      </c>
      <c r="AR17" s="9">
        <f t="shared" si="13"/>
        <v>7.9974999999999996</v>
      </c>
      <c r="AS17" s="11">
        <f t="shared" si="14"/>
        <v>3.5439999999999992</v>
      </c>
      <c r="AT17" s="12">
        <f t="shared" si="15"/>
        <v>2.477666666666666</v>
      </c>
    </row>
    <row r="18" spans="1:46" ht="16.5" x14ac:dyDescent="0.4">
      <c r="A18" s="1" t="s">
        <v>120</v>
      </c>
      <c r="B18" s="7" t="s">
        <v>42</v>
      </c>
      <c r="C18" s="7" t="s">
        <v>42</v>
      </c>
      <c r="D18" s="1" t="s">
        <v>121</v>
      </c>
      <c r="E18" s="1" t="s">
        <v>122</v>
      </c>
      <c r="F18" s="1" t="s">
        <v>123</v>
      </c>
      <c r="G18" s="7" t="str">
        <f>VLOOKUP(A18,[1]done!$A:$I,9,0)</f>
        <v>Other crawling insects</v>
      </c>
      <c r="H18" s="7" t="str" cm="1">
        <f t="array" ref="H18">_xlfn.IFS(
OR(ISNUMBER(SEARCH("mouse",E18)),ISNUMBER(SEARCH("rat",E18)),ISNUMBER(SEARCH("mice",E18)),ISNUMBER(SEARCH("rodent",E18))),"Rodent Control",
OR(ISNUMBER(SEARCH("fly",E18)),ISNUMBER(SEARCH("gnat",E18)),ISNUMBER(SEARCH("insect",E18)),ISNUMBER(SEARCH("mosquito",E18))),"Flying Insect Control",
OR(ISNUMBER(SEARCH("roach",E18)),ISNUMBER(SEARCH("ant",E18)),ISNUMBER(SEARCH("spider",E18)),ISNUMBER(SEARCH("cricket",E18)),ISNUMBER(SEARCH("scorpion",E18)),ISNUMBER(SEARCH("centipede",E18)),ISNUMBER(SEARCH("beetle",E18))),"Crawling Insect Control",
OR(ISNUMBER(SEARCH("tree",E18)),ISNUMBER(SEARCH("lantern",E18)),ISNUMBER(SEARCH("garden",E18)),ISNUMBER(SEARCH("plant",E18))),"Garden Pest Control",
OR(ISNUMBER(SEARCH("grass seed",E18)),ISNUMBER(SEARCH("seed mix",E18))),"Grass Seed",
OR(ISNUMBER(SEARCH("lawn food",E18)),ISNUMBER(SEARCH("fertilizer",E18))),"Lawn Fertilizer",
OR(ISNUMBER(SEARCH("patch",E18)),ISNUMBER(SEARCH("repair",E18)),ISNUMBER(SEARCH("thick'r",E18)),ISNUMBER(SEARCH("thick'r lawn",E18)),ISNUMBER(SEARCH("rapid grass",E18))),"Lawn Repair",
OR(ISNUMBER(SEARCH("weed",E18)),ISNUMBER(SEARCH("crabgrass",E18))),"Weed Control",
OR(ISNUMBER(SEARCH("fungicide",E18)),ISNUMBER(SEARCH("moss",E18))),"Disease &amp; Moss Control",
OR(ISNUMBER(SEARCH("plant food",E18)),ISNUMBER(SEARCH("miracid",E18))),"Plant Nutrition",
OR(ISNUMBER(SEARCH("perlite",E18))),"Soil Amendment",
OR(ISNUMBER(SEARCH("spreader",E18)),ISNUMBER(SEARCH("sprayer",E18)),ISNUMBER(SEARCH("mower",E18)),ISNUMBER(SEARCH("sweeper",E18)),ISNUMBER(SEARCH("pruner",E18)),ISNUMBER(SEARCH("trimmer",E18)),ISNUMBER(SEARCH("pole saw",E18))),"Garden Equipment",
TRUE,"Other"
)</f>
        <v>Flying Insect Control</v>
      </c>
      <c r="I18" s="7" t="str" cm="1">
        <f t="array" ref="I18">_xlfn.IFS(
OR(ISNUMBER(SEARCH("glue trap",E18)),ISNUMBER(SEARCH("glue board",E18))),"Glue Traps",
OR(ISNUMBER(SEARCH("snap trap",E18)),ISNUMBER(SEARCH("power-kill",E18)),ISNUMBER(SEARCH("wide pedal",E18)),ISNUMBER(SEARCH("metal pedal",E18))),"Snap Traps",
OR(ISNUMBER(SEARCH("electronic",E18)),ISNUMBER(SEARCH("zapper",E18))),"Electronic Traps",
OR(ISNUMBER(SEARCH("live catch",E18)),ISNUMBER(SEARCH("multi-catch",E18)),ISNUMBER(SEARCH("catch &amp; hold",E18)),ISNUMBER(SEARCH("tin cat",E18))),"Live Catch Traps",
OR(ISNUMBER(SEARCH("bait",E18)),ISNUMBER(SEARCH("poison",E18))),"Bait &amp; Poison",
ISNUMBER(SEARCH("repellent",E18)),"Repellents",
OR(ISNUMBER(SEARCH("fly trap",E18)),ISNUMBER(SEARCH("fly ribbon",E18)),ISNUMBER(SEARCH("fly stick",E18)),ISNUMBER(SEARCH("window fly",E18)),ISNUMBER(SEARCH("fly magnet",E18))),"Fly Traps",
OR(ISNUMBER(SEARCH("uv",E18)),ISNUMBER(SEARCH("fly light",E18)),ISNUMBER(SEARCH("plug-in",E18))),"UV Fly Traps",
ISNUMBER(SEARCH("roach",E18)),"Roach Traps",
ISNUMBER(SEARCH("ant",E18)),"Ant Traps",
ISNUMBER(SEARCH("spider",E18)),"Spider Traps",
ISNUMBER(SEARCH("mosquito",E18)),"Mosquito Traps",
ISNUMBER(SEARCH("beetle",E18)),"Beetle Traps",
ISNUMBER(SEARCH("lantern",E18)),"Lanternfly Control",
OR(ISNUMBER(SEARCH("tree shield",E18)),ISNUMBER(SEARCH("tree banding",E18)),ISNUMBER(SEARCH("insect barrier",E18))),"Tree Barriers",
OR(ISNUMBER(SEARCH("sun &amp; shade",E18)),ISNUMBER(SEARCH("sun and shade",E18))),"Sun &amp; Shade Mix",
ISNUMBER(SEARCH("tall fescue",E18)),"Tall Fescue",
ISNUMBER(SEARCH("bermudagrass",E18)),"Bermudagrass",
ISNUMBER(SEARCH("kentucky",E18)),"Kentucky Bluegrass",
ISNUMBER(SEARCH("zoysia",E18)),"Zoysia",
ISNUMBER(SEARCH("ryegrass",E18)),"Perennial Ryegrass",
ISNUMBER(SEARCH("centipede",E18)),"Centipede Grass",
ISNUMBER(SEARCH("dense shade",E18)),"Dense Shade Mix",
ISNUMBER(SEARCH("southern gold",E18)),"Southern Gold Mix",
ISNUMBER(SEARCH("heat-tolerant blue",E18)),"Heat-Tolerant Blue Mix",
ISNUMBER(SEARCH("high traffic",E18)),"High Traffic Mix",
ISNUMBER(SEARCH("quick fix",E18)),"Quick Fix Mix",
ISNUMBER(SEARCH("starter",E18)),"Starter Fertilizer",
ISNUMBER(SEARCH("weed &amp; feed",E18)),"Weed &amp; Feed",
ISNUMBER(SEARCH("lawn food",E18)),"Lawn Food",
ISNUMBER(SEARCH("triple action",E18)),"Triple Action Fertilizer",
ISNUMBER(SEARCH("green max",E18)),"Green Max Lawn Food",
ISNUMBER(SEARCH("patchmaster",E18)),"PatchMaster Repair",
ISNUMBER(SEARCH("ez seed",E18)),"EZ Seed Repair",
ISNUMBER(SEARCH("rapid grass",E18)),"Rapid Grass",
ISNUMBER(SEARCH("thick'r lawn",E18)),"Thick'R Lawn",
ISNUMBER(SEARCH("fungicide",E18)),"Fungicide",
ISNUMBER(SEARCH("moss",E18)),"Moss Control",
ISNUMBER(SEARCH("perlite",E18)),"Perlite",
ISNUMBER(SEARCH("plant food",E18)),"Plant Food",
ISNUMBER(SEARCH("spreader",E18)),"Spreader",
ISNUMBER(SEARCH("sprayer",E18)),"Sprayer",
ISNUMBER(SEARCH("mower",E18)),"Lawn Mower",
ISNUMBER(SEARCH("sweeper",E18)),"Lawn Sweeper",
OR(ISNUMBER(SEARCH("pruner",E18)),ISNUMBER(SEARCH("trimmer",E18)),ISNUMBER(SEARCH("pole saw",E18))),"Pruning Tools",
TRUE,"Other"
)</f>
        <v>Glue Traps</v>
      </c>
      <c r="J18" s="7" t="str">
        <f t="shared" si="2"/>
        <v>Flying Insect Control - Glue Traps</v>
      </c>
      <c r="K18" s="1">
        <v>6000</v>
      </c>
      <c r="L18" s="1">
        <v>4.4000000000000004</v>
      </c>
      <c r="M18" s="1">
        <v>11044</v>
      </c>
      <c r="N18" s="1" t="s">
        <v>124</v>
      </c>
      <c r="O18" s="1">
        <f>VLOOKUP(A18,[2]Sheet1!$A:$B,2,0)</f>
        <v>1000</v>
      </c>
      <c r="P18" s="1">
        <f>VLOOKUP(A18,[2]Sheet1!$A:$C,3,0)</f>
        <v>700</v>
      </c>
      <c r="Q18" s="7">
        <f>VLOOKUP(A18,[2]Sheet1!$A:$D,4,0)</f>
        <v>1000</v>
      </c>
      <c r="R18" s="7">
        <f>VLOOKUP(A18,[2]Sheet1!$A:$E,5,0)</f>
        <v>1000</v>
      </c>
      <c r="S18" s="7">
        <f>VLOOKUP(A18,[2]Sheet1!$A:$F,6,0)</f>
        <v>2000</v>
      </c>
      <c r="T18" s="7">
        <f>VLOOKUP(A18,[2]Sheet1!$A:$G,7,0)</f>
        <v>3000</v>
      </c>
      <c r="U18" s="7">
        <f>VLOOKUP(A18,[2]Sheet1!$A:$H,8,0)</f>
        <v>4000</v>
      </c>
      <c r="V18" s="7">
        <f>VLOOKUP(A18,[2]Sheet1!$A:$I,9,0)</f>
        <v>4000</v>
      </c>
      <c r="W18" s="7">
        <f>VLOOKUP(A18,[2]Sheet1!$A:$K,10,0)</f>
        <v>6000</v>
      </c>
      <c r="X18" s="7">
        <f>VLOOKUP(A18,[2]Sheet1!$A:$L,11,0)</f>
        <v>4000</v>
      </c>
      <c r="Y18" s="7">
        <f>VLOOKUP(A18,[2]Sheet1!$A:$L,12,0)</f>
        <v>2000</v>
      </c>
      <c r="Z18" s="7">
        <f>VLOOKUP(A18,[2]Sheet1!$A:$M,13,0)</f>
        <v>1000</v>
      </c>
      <c r="AA18" s="1">
        <f t="shared" si="0"/>
        <v>29700</v>
      </c>
      <c r="AB18" s="7">
        <f t="shared" si="3"/>
        <v>2475</v>
      </c>
      <c r="AC18" s="13">
        <f t="shared" si="1"/>
        <v>2475</v>
      </c>
      <c r="AD18" s="9">
        <f t="shared" si="4"/>
        <v>593703</v>
      </c>
      <c r="AE18" s="9">
        <f t="shared" si="5"/>
        <v>49475.249999999993</v>
      </c>
      <c r="AF18" s="11">
        <v>3.81</v>
      </c>
      <c r="AG18" s="11">
        <v>19.989999999999998</v>
      </c>
      <c r="AH18" s="9">
        <f t="shared" si="6"/>
        <v>0.21239999999999984</v>
      </c>
      <c r="AI18" s="11">
        <f t="shared" si="7"/>
        <v>0.74339999999999939</v>
      </c>
      <c r="AJ18" s="14">
        <v>0.5</v>
      </c>
      <c r="AK18" s="14">
        <v>0.5</v>
      </c>
      <c r="AL18" s="11">
        <v>3.81</v>
      </c>
      <c r="AM18" s="9">
        <f t="shared" si="8"/>
        <v>2.9984999999999995</v>
      </c>
      <c r="AN18" s="9">
        <f t="shared" si="9"/>
        <v>0.5996999999999999</v>
      </c>
      <c r="AO18" s="9">
        <f t="shared" si="10"/>
        <v>3.9979999999999998</v>
      </c>
      <c r="AP18" s="9">
        <f t="shared" si="11"/>
        <v>0.39979999999999999</v>
      </c>
      <c r="AQ18" s="9">
        <f t="shared" si="12"/>
        <v>3.9979999999999998</v>
      </c>
      <c r="AR18" s="9">
        <f t="shared" si="13"/>
        <v>4.9974999999999996</v>
      </c>
      <c r="AS18" s="11">
        <f t="shared" si="14"/>
        <v>2.1239999999999983</v>
      </c>
      <c r="AT18" s="12">
        <f t="shared" si="15"/>
        <v>1.4576666666666653</v>
      </c>
    </row>
    <row r="19" spans="1:46" ht="16.5" x14ac:dyDescent="0.4">
      <c r="A19" s="1" t="s">
        <v>125</v>
      </c>
      <c r="B19" s="7" t="s">
        <v>42</v>
      </c>
      <c r="C19" s="7" t="s">
        <v>42</v>
      </c>
      <c r="D19" s="1" t="s">
        <v>126</v>
      </c>
      <c r="E19" s="1" t="s">
        <v>127</v>
      </c>
      <c r="F19" s="1" t="s">
        <v>128</v>
      </c>
      <c r="G19" s="7" t="str">
        <f>VLOOKUP(A19,[1]done!$A:$I,9,0)</f>
        <v>Other crawling insects</v>
      </c>
      <c r="H19" s="7" t="str" cm="1">
        <f t="array" ref="H19">_xlfn.IFS(
OR(ISNUMBER(SEARCH("mouse",E19)),ISNUMBER(SEARCH("rat",E19)),ISNUMBER(SEARCH("mice",E19)),ISNUMBER(SEARCH("rodent",E19))),"Rodent Control",
OR(ISNUMBER(SEARCH("fly",E19)),ISNUMBER(SEARCH("gnat",E19)),ISNUMBER(SEARCH("insect",E19)),ISNUMBER(SEARCH("mosquito",E19))),"Flying Insect Control",
OR(ISNUMBER(SEARCH("roach",E19)),ISNUMBER(SEARCH("ant",E19)),ISNUMBER(SEARCH("spider",E19)),ISNUMBER(SEARCH("cricket",E19)),ISNUMBER(SEARCH("scorpion",E19)),ISNUMBER(SEARCH("centipede",E19)),ISNUMBER(SEARCH("beetle",E19))),"Crawling Insect Control",
OR(ISNUMBER(SEARCH("tree",E19)),ISNUMBER(SEARCH("lantern",E19)),ISNUMBER(SEARCH("garden",E19)),ISNUMBER(SEARCH("plant",E19))),"Garden Pest Control",
OR(ISNUMBER(SEARCH("grass seed",E19)),ISNUMBER(SEARCH("seed mix",E19))),"Grass Seed",
OR(ISNUMBER(SEARCH("lawn food",E19)),ISNUMBER(SEARCH("fertilizer",E19))),"Lawn Fertilizer",
OR(ISNUMBER(SEARCH("patch",E19)),ISNUMBER(SEARCH("repair",E19)),ISNUMBER(SEARCH("thick'r",E19)),ISNUMBER(SEARCH("thick'r lawn",E19)),ISNUMBER(SEARCH("rapid grass",E19))),"Lawn Repair",
OR(ISNUMBER(SEARCH("weed",E19)),ISNUMBER(SEARCH("crabgrass",E19))),"Weed Control",
OR(ISNUMBER(SEARCH("fungicide",E19)),ISNUMBER(SEARCH("moss",E19))),"Disease &amp; Moss Control",
OR(ISNUMBER(SEARCH("plant food",E19)),ISNUMBER(SEARCH("miracid",E19))),"Plant Nutrition",
OR(ISNUMBER(SEARCH("perlite",E19))),"Soil Amendment",
OR(ISNUMBER(SEARCH("spreader",E19)),ISNUMBER(SEARCH("sprayer",E19)),ISNUMBER(SEARCH("mower",E19)),ISNUMBER(SEARCH("sweeper",E19)),ISNUMBER(SEARCH("pruner",E19)),ISNUMBER(SEARCH("trimmer",E19)),ISNUMBER(SEARCH("pole saw",E19))),"Garden Equipment",
TRUE,"Other"
)</f>
        <v>Flying Insect Control</v>
      </c>
      <c r="I19" s="7" t="str" cm="1">
        <f t="array" ref="I19">_xlfn.IFS(
OR(ISNUMBER(SEARCH("glue trap",E19)),ISNUMBER(SEARCH("glue board",E19))),"Glue Traps",
OR(ISNUMBER(SEARCH("snap trap",E19)),ISNUMBER(SEARCH("power-kill",E19)),ISNUMBER(SEARCH("wide pedal",E19)),ISNUMBER(SEARCH("metal pedal",E19))),"Snap Traps",
OR(ISNUMBER(SEARCH("electronic",E19)),ISNUMBER(SEARCH("zapper",E19))),"Electronic Traps",
OR(ISNUMBER(SEARCH("live catch",E19)),ISNUMBER(SEARCH("multi-catch",E19)),ISNUMBER(SEARCH("catch &amp; hold",E19)),ISNUMBER(SEARCH("tin cat",E19))),"Live Catch Traps",
OR(ISNUMBER(SEARCH("bait",E19)),ISNUMBER(SEARCH("poison",E19))),"Bait &amp; Poison",
ISNUMBER(SEARCH("repellent",E19)),"Repellents",
OR(ISNUMBER(SEARCH("fly trap",E19)),ISNUMBER(SEARCH("fly ribbon",E19)),ISNUMBER(SEARCH("fly stick",E19)),ISNUMBER(SEARCH("window fly",E19)),ISNUMBER(SEARCH("fly magnet",E19))),"Fly Traps",
OR(ISNUMBER(SEARCH("uv",E19)),ISNUMBER(SEARCH("fly light",E19)),ISNUMBER(SEARCH("plug-in",E19))),"UV Fly Traps",
ISNUMBER(SEARCH("roach",E19)),"Roach Traps",
ISNUMBER(SEARCH("ant",E19)),"Ant Traps",
ISNUMBER(SEARCH("spider",E19)),"Spider Traps",
ISNUMBER(SEARCH("mosquito",E19)),"Mosquito Traps",
ISNUMBER(SEARCH("beetle",E19)),"Beetle Traps",
ISNUMBER(SEARCH("lantern",E19)),"Lanternfly Control",
OR(ISNUMBER(SEARCH("tree shield",E19)),ISNUMBER(SEARCH("tree banding",E19)),ISNUMBER(SEARCH("insect barrier",E19))),"Tree Barriers",
OR(ISNUMBER(SEARCH("sun &amp; shade",E19)),ISNUMBER(SEARCH("sun and shade",E19))),"Sun &amp; Shade Mix",
ISNUMBER(SEARCH("tall fescue",E19)),"Tall Fescue",
ISNUMBER(SEARCH("bermudagrass",E19)),"Bermudagrass",
ISNUMBER(SEARCH("kentucky",E19)),"Kentucky Bluegrass",
ISNUMBER(SEARCH("zoysia",E19)),"Zoysia",
ISNUMBER(SEARCH("ryegrass",E19)),"Perennial Ryegrass",
ISNUMBER(SEARCH("centipede",E19)),"Centipede Grass",
ISNUMBER(SEARCH("dense shade",E19)),"Dense Shade Mix",
ISNUMBER(SEARCH("southern gold",E19)),"Southern Gold Mix",
ISNUMBER(SEARCH("heat-tolerant blue",E19)),"Heat-Tolerant Blue Mix",
ISNUMBER(SEARCH("high traffic",E19)),"High Traffic Mix",
ISNUMBER(SEARCH("quick fix",E19)),"Quick Fix Mix",
ISNUMBER(SEARCH("starter",E19)),"Starter Fertilizer",
ISNUMBER(SEARCH("weed &amp; feed",E19)),"Weed &amp; Feed",
ISNUMBER(SEARCH("lawn food",E19)),"Lawn Food",
ISNUMBER(SEARCH("triple action",E19)),"Triple Action Fertilizer",
ISNUMBER(SEARCH("green max",E19)),"Green Max Lawn Food",
ISNUMBER(SEARCH("patchmaster",E19)),"PatchMaster Repair",
ISNUMBER(SEARCH("ez seed",E19)),"EZ Seed Repair",
ISNUMBER(SEARCH("rapid grass",E19)),"Rapid Grass",
ISNUMBER(SEARCH("thick'r lawn",E19)),"Thick'R Lawn",
ISNUMBER(SEARCH("fungicide",E19)),"Fungicide",
ISNUMBER(SEARCH("moss",E19)),"Moss Control",
ISNUMBER(SEARCH("perlite",E19)),"Perlite",
ISNUMBER(SEARCH("plant food",E19)),"Plant Food",
ISNUMBER(SEARCH("spreader",E19)),"Spreader",
ISNUMBER(SEARCH("sprayer",E19)),"Sprayer",
ISNUMBER(SEARCH("mower",E19)),"Lawn Mower",
ISNUMBER(SEARCH("sweeper",E19)),"Lawn Sweeper",
OR(ISNUMBER(SEARCH("pruner",E19)),ISNUMBER(SEARCH("trimmer",E19)),ISNUMBER(SEARCH("pole saw",E19))),"Pruning Tools",
TRUE,"Other"
)</f>
        <v>Glue Traps</v>
      </c>
      <c r="J19" s="7" t="str">
        <f t="shared" si="2"/>
        <v>Flying Insect Control - Glue Traps</v>
      </c>
      <c r="K19" s="1">
        <v>6000</v>
      </c>
      <c r="L19" s="1">
        <v>4.5</v>
      </c>
      <c r="M19" s="1">
        <v>3649</v>
      </c>
      <c r="N19" s="1" t="s">
        <v>129</v>
      </c>
      <c r="O19" s="1">
        <f>VLOOKUP(A19,[2]Sheet1!$A:$B,2,0)</f>
        <v>700</v>
      </c>
      <c r="P19" s="1">
        <f>VLOOKUP(A19,[2]Sheet1!$A:$C,3,0)</f>
        <v>600</v>
      </c>
      <c r="Q19" s="7">
        <f>VLOOKUP(A19,[2]Sheet1!$A:$D,4,0)</f>
        <v>700</v>
      </c>
      <c r="R19" s="7">
        <f>VLOOKUP(A19,[2]Sheet1!$A:$E,5,0)</f>
        <v>1000</v>
      </c>
      <c r="S19" s="7">
        <f>VLOOKUP(A19,[2]Sheet1!$A:$F,6,0)</f>
        <v>1000</v>
      </c>
      <c r="T19" s="7">
        <f>VLOOKUP(A19,[2]Sheet1!$A:$G,7,0)</f>
        <v>1000</v>
      </c>
      <c r="U19" s="7">
        <f>VLOOKUP(A19,[2]Sheet1!$A:$H,8,0)</f>
        <v>2000</v>
      </c>
      <c r="V19" s="7">
        <f>VLOOKUP(A19,[2]Sheet1!$A:$I,9,0)</f>
        <v>2000</v>
      </c>
      <c r="W19" s="7">
        <f>VLOOKUP(A19,[2]Sheet1!$A:$K,10,0)</f>
        <v>5000</v>
      </c>
      <c r="X19" s="7">
        <f>VLOOKUP(A19,[2]Sheet1!$A:$L,11,0)</f>
        <v>5000</v>
      </c>
      <c r="Y19" s="7">
        <f>VLOOKUP(A19,[2]Sheet1!$A:$L,12,0)</f>
        <v>2000</v>
      </c>
      <c r="Z19" s="7">
        <f>VLOOKUP(A19,[2]Sheet1!$A:$M,13,0)</f>
        <v>2000</v>
      </c>
      <c r="AA19" s="1">
        <f t="shared" si="0"/>
        <v>23000</v>
      </c>
      <c r="AB19" s="7">
        <f t="shared" si="3"/>
        <v>1917</v>
      </c>
      <c r="AC19" s="13">
        <f t="shared" si="1"/>
        <v>1916.6666666666667</v>
      </c>
      <c r="AD19" s="9">
        <f t="shared" si="4"/>
        <v>275770</v>
      </c>
      <c r="AE19" s="9">
        <f t="shared" si="5"/>
        <v>22980.833333333336</v>
      </c>
      <c r="AF19" s="11">
        <v>3.61</v>
      </c>
      <c r="AG19" s="11">
        <v>11.99</v>
      </c>
      <c r="AH19" s="9">
        <f t="shared" si="6"/>
        <v>1.2399999999999996E-2</v>
      </c>
      <c r="AI19" s="11">
        <f t="shared" si="7"/>
        <v>4.339999999999998E-2</v>
      </c>
      <c r="AJ19" s="14">
        <v>0.5</v>
      </c>
      <c r="AK19" s="14">
        <v>0.5</v>
      </c>
      <c r="AL19" s="11">
        <v>3.61</v>
      </c>
      <c r="AM19" s="9">
        <f t="shared" si="8"/>
        <v>1.7985</v>
      </c>
      <c r="AN19" s="9">
        <f t="shared" si="9"/>
        <v>0.35970000000000002</v>
      </c>
      <c r="AO19" s="9">
        <f t="shared" si="10"/>
        <v>2.3980000000000001</v>
      </c>
      <c r="AP19" s="9">
        <f t="shared" si="11"/>
        <v>0.23980000000000001</v>
      </c>
      <c r="AQ19" s="9">
        <f t="shared" si="12"/>
        <v>2.3980000000000001</v>
      </c>
      <c r="AR19" s="9">
        <f t="shared" si="13"/>
        <v>2.9975000000000001</v>
      </c>
      <c r="AS19" s="11">
        <f t="shared" si="14"/>
        <v>0.12399999999999996</v>
      </c>
      <c r="AT19" s="12">
        <f t="shared" si="15"/>
        <v>-0.27566666666666667</v>
      </c>
    </row>
    <row r="20" spans="1:46" ht="16.5" x14ac:dyDescent="0.4">
      <c r="A20" s="1" t="s">
        <v>130</v>
      </c>
      <c r="B20" s="7" t="s">
        <v>42</v>
      </c>
      <c r="C20" s="7" t="s">
        <v>42</v>
      </c>
      <c r="D20" s="1" t="s">
        <v>131</v>
      </c>
      <c r="E20" s="1" t="s">
        <v>132</v>
      </c>
      <c r="F20" s="1" t="s">
        <v>133</v>
      </c>
      <c r="G20" s="7" t="str">
        <f>VLOOKUP(A20,[1]done!$A:$I,9,0)</f>
        <v>Mosquito/Fly</v>
      </c>
      <c r="H20" s="7" t="str" cm="1">
        <f t="array" ref="H20">_xlfn.IFS(
OR(ISNUMBER(SEARCH("mouse",E20)),ISNUMBER(SEARCH("rat",E20)),ISNUMBER(SEARCH("mice",E20)),ISNUMBER(SEARCH("rodent",E20))),"Rodent Control",
OR(ISNUMBER(SEARCH("fly",E20)),ISNUMBER(SEARCH("gnat",E20)),ISNUMBER(SEARCH("insect",E20)),ISNUMBER(SEARCH("mosquito",E20))),"Flying Insect Control",
OR(ISNUMBER(SEARCH("roach",E20)),ISNUMBER(SEARCH("ant",E20)),ISNUMBER(SEARCH("spider",E20)),ISNUMBER(SEARCH("cricket",E20)),ISNUMBER(SEARCH("scorpion",E20)),ISNUMBER(SEARCH("centipede",E20)),ISNUMBER(SEARCH("beetle",E20))),"Crawling Insect Control",
OR(ISNUMBER(SEARCH("tree",E20)),ISNUMBER(SEARCH("lantern",E20)),ISNUMBER(SEARCH("garden",E20)),ISNUMBER(SEARCH("plant",E20))),"Garden Pest Control",
OR(ISNUMBER(SEARCH("grass seed",E20)),ISNUMBER(SEARCH("seed mix",E20))),"Grass Seed",
OR(ISNUMBER(SEARCH("lawn food",E20)),ISNUMBER(SEARCH("fertilizer",E20))),"Lawn Fertilizer",
OR(ISNUMBER(SEARCH("patch",E20)),ISNUMBER(SEARCH("repair",E20)),ISNUMBER(SEARCH("thick'r",E20)),ISNUMBER(SEARCH("thick'r lawn",E20)),ISNUMBER(SEARCH("rapid grass",E20))),"Lawn Repair",
OR(ISNUMBER(SEARCH("weed",E20)),ISNUMBER(SEARCH("crabgrass",E20))),"Weed Control",
OR(ISNUMBER(SEARCH("fungicide",E20)),ISNUMBER(SEARCH("moss",E20))),"Disease &amp; Moss Control",
OR(ISNUMBER(SEARCH("plant food",E20)),ISNUMBER(SEARCH("miracid",E20))),"Plant Nutrition",
OR(ISNUMBER(SEARCH("perlite",E20))),"Soil Amendment",
OR(ISNUMBER(SEARCH("spreader",E20)),ISNUMBER(SEARCH("sprayer",E20)),ISNUMBER(SEARCH("mower",E20)),ISNUMBER(SEARCH("sweeper",E20)),ISNUMBER(SEARCH("pruner",E20)),ISNUMBER(SEARCH("trimmer",E20)),ISNUMBER(SEARCH("pole saw",E20))),"Garden Equipment",
TRUE,"Other"
)</f>
        <v>Flying Insect Control</v>
      </c>
      <c r="I20" s="7" t="str" cm="1">
        <f t="array" ref="I20">_xlfn.IFS(
OR(ISNUMBER(SEARCH("glue trap",E20)),ISNUMBER(SEARCH("glue board",E20))),"Glue Traps",
OR(ISNUMBER(SEARCH("snap trap",E20)),ISNUMBER(SEARCH("power-kill",E20)),ISNUMBER(SEARCH("wide pedal",E20)),ISNUMBER(SEARCH("metal pedal",E20))),"Snap Traps",
OR(ISNUMBER(SEARCH("electronic",E20)),ISNUMBER(SEARCH("zapper",E20))),"Electronic Traps",
OR(ISNUMBER(SEARCH("live catch",E20)),ISNUMBER(SEARCH("multi-catch",E20)),ISNUMBER(SEARCH("catch &amp; hold",E20)),ISNUMBER(SEARCH("tin cat",E20))),"Live Catch Traps",
OR(ISNUMBER(SEARCH("bait",E20)),ISNUMBER(SEARCH("poison",E20))),"Bait &amp; Poison",
ISNUMBER(SEARCH("repellent",E20)),"Repellents",
OR(ISNUMBER(SEARCH("fly trap",E20)),ISNUMBER(SEARCH("fly ribbon",E20)),ISNUMBER(SEARCH("fly stick",E20)),ISNUMBER(SEARCH("window fly",E20)),ISNUMBER(SEARCH("fly magnet",E20))),"Fly Traps",
OR(ISNUMBER(SEARCH("uv",E20)),ISNUMBER(SEARCH("fly light",E20)),ISNUMBER(SEARCH("plug-in",E20))),"UV Fly Traps",
ISNUMBER(SEARCH("roach",E20)),"Roach Traps",
ISNUMBER(SEARCH("ant",E20)),"Ant Traps",
ISNUMBER(SEARCH("spider",E20)),"Spider Traps",
ISNUMBER(SEARCH("mosquito",E20)),"Mosquito Traps",
ISNUMBER(SEARCH("beetle",E20)),"Beetle Traps",
ISNUMBER(SEARCH("lantern",E20)),"Lanternfly Control",
OR(ISNUMBER(SEARCH("tree shield",E20)),ISNUMBER(SEARCH("tree banding",E20)),ISNUMBER(SEARCH("insect barrier",E20))),"Tree Barriers",
OR(ISNUMBER(SEARCH("sun &amp; shade",E20)),ISNUMBER(SEARCH("sun and shade",E20))),"Sun &amp; Shade Mix",
ISNUMBER(SEARCH("tall fescue",E20)),"Tall Fescue",
ISNUMBER(SEARCH("bermudagrass",E20)),"Bermudagrass",
ISNUMBER(SEARCH("kentucky",E20)),"Kentucky Bluegrass",
ISNUMBER(SEARCH("zoysia",E20)),"Zoysia",
ISNUMBER(SEARCH("ryegrass",E20)),"Perennial Ryegrass",
ISNUMBER(SEARCH("centipede",E20)),"Centipede Grass",
ISNUMBER(SEARCH("dense shade",E20)),"Dense Shade Mix",
ISNUMBER(SEARCH("southern gold",E20)),"Southern Gold Mix",
ISNUMBER(SEARCH("heat-tolerant blue",E20)),"Heat-Tolerant Blue Mix",
ISNUMBER(SEARCH("high traffic",E20)),"High Traffic Mix",
ISNUMBER(SEARCH("quick fix",E20)),"Quick Fix Mix",
ISNUMBER(SEARCH("starter",E20)),"Starter Fertilizer",
ISNUMBER(SEARCH("weed &amp; feed",E20)),"Weed &amp; Feed",
ISNUMBER(SEARCH("lawn food",E20)),"Lawn Food",
ISNUMBER(SEARCH("triple action",E20)),"Triple Action Fertilizer",
ISNUMBER(SEARCH("green max",E20)),"Green Max Lawn Food",
ISNUMBER(SEARCH("patchmaster",E20)),"PatchMaster Repair",
ISNUMBER(SEARCH("ez seed",E20)),"EZ Seed Repair",
ISNUMBER(SEARCH("rapid grass",E20)),"Rapid Grass",
ISNUMBER(SEARCH("thick'r lawn",E20)),"Thick'R Lawn",
ISNUMBER(SEARCH("fungicide",E20)),"Fungicide",
ISNUMBER(SEARCH("moss",E20)),"Moss Control",
ISNUMBER(SEARCH("perlite",E20)),"Perlite",
ISNUMBER(SEARCH("plant food",E20)),"Plant Food",
ISNUMBER(SEARCH("spreader",E20)),"Spreader",
ISNUMBER(SEARCH("sprayer",E20)),"Sprayer",
ISNUMBER(SEARCH("mower",E20)),"Lawn Mower",
ISNUMBER(SEARCH("sweeper",E20)),"Lawn Sweeper",
OR(ISNUMBER(SEARCH("pruner",E20)),ISNUMBER(SEARCH("trimmer",E20)),ISNUMBER(SEARCH("pole saw",E20))),"Pruning Tools",
TRUE,"Other"
)</f>
        <v>Fly Traps</v>
      </c>
      <c r="J20" s="7" t="str">
        <f t="shared" si="2"/>
        <v>Flying Insect Control - Fly Traps</v>
      </c>
      <c r="K20" s="1">
        <v>5000</v>
      </c>
      <c r="L20" s="1">
        <v>4.4000000000000004</v>
      </c>
      <c r="M20" s="1">
        <v>14438</v>
      </c>
      <c r="N20" s="1" t="s">
        <v>134</v>
      </c>
      <c r="O20" s="1">
        <f>VLOOKUP(A20,[2]Sheet1!$A:$B,2,0)</f>
        <v>500</v>
      </c>
      <c r="P20" s="1">
        <f>VLOOKUP(A20,[2]Sheet1!$A:$C,3,0)</f>
        <v>500</v>
      </c>
      <c r="Q20" s="7">
        <f>VLOOKUP(A20,[2]Sheet1!$A:$D,4,0)</f>
        <v>1000</v>
      </c>
      <c r="R20" s="7">
        <f>VLOOKUP(A20,[2]Sheet1!$A:$E,5,0)</f>
        <v>1000</v>
      </c>
      <c r="S20" s="7">
        <f>VLOOKUP(A20,[2]Sheet1!$A:$F,6,0)</f>
        <v>2000</v>
      </c>
      <c r="T20" s="7">
        <f>VLOOKUP(A20,[2]Sheet1!$A:$G,7,0)</f>
        <v>3000</v>
      </c>
      <c r="U20" s="7">
        <f>VLOOKUP(A20,[2]Sheet1!$A:$H,8,0)</f>
        <v>5000</v>
      </c>
      <c r="V20" s="7">
        <f>VLOOKUP(A20,[2]Sheet1!$A:$I,9,0)</f>
        <v>10000</v>
      </c>
      <c r="W20" s="7">
        <f>VLOOKUP(A20,[2]Sheet1!$A:$K,10,0)</f>
        <v>7000</v>
      </c>
      <c r="X20" s="7">
        <f>VLOOKUP(A20,[2]Sheet1!$A:$L,11,0)</f>
        <v>2000</v>
      </c>
      <c r="Y20" s="7">
        <f>VLOOKUP(A20,[2]Sheet1!$A:$L,12,0)</f>
        <v>1000</v>
      </c>
      <c r="Z20" s="7">
        <f>VLOOKUP(A20,[2]Sheet1!$A:$M,13,0)</f>
        <v>750</v>
      </c>
      <c r="AA20" s="1">
        <f t="shared" si="0"/>
        <v>33750</v>
      </c>
      <c r="AB20" s="7">
        <f t="shared" si="3"/>
        <v>2813</v>
      </c>
      <c r="AC20" s="13">
        <f t="shared" si="1"/>
        <v>2812.5</v>
      </c>
      <c r="AD20" s="9">
        <f t="shared" si="4"/>
        <v>387787.5</v>
      </c>
      <c r="AE20" s="9">
        <f t="shared" si="5"/>
        <v>32315.625</v>
      </c>
      <c r="AF20" s="11">
        <v>3.44</v>
      </c>
      <c r="AG20" s="11">
        <v>11.49</v>
      </c>
      <c r="AH20" s="9">
        <f t="shared" si="6"/>
        <v>1.040000000000001E-2</v>
      </c>
      <c r="AI20" s="11">
        <f t="shared" si="7"/>
        <v>3.640000000000003E-2</v>
      </c>
      <c r="AJ20" s="14">
        <v>0.5</v>
      </c>
      <c r="AK20" s="14">
        <v>0.5</v>
      </c>
      <c r="AL20" s="11">
        <v>3.44</v>
      </c>
      <c r="AM20" s="9">
        <f t="shared" si="8"/>
        <v>1.7235</v>
      </c>
      <c r="AN20" s="9">
        <f t="shared" si="9"/>
        <v>0.34470000000000001</v>
      </c>
      <c r="AO20" s="9">
        <f t="shared" si="10"/>
        <v>2.298</v>
      </c>
      <c r="AP20" s="9">
        <f t="shared" si="11"/>
        <v>0.2298</v>
      </c>
      <c r="AQ20" s="9">
        <f t="shared" si="12"/>
        <v>2.298</v>
      </c>
      <c r="AR20" s="9">
        <f t="shared" si="13"/>
        <v>2.8725000000000001</v>
      </c>
      <c r="AS20" s="11">
        <f t="shared" si="14"/>
        <v>0.10400000000000009</v>
      </c>
      <c r="AT20" s="12">
        <f t="shared" si="15"/>
        <v>-0.27899999999999991</v>
      </c>
    </row>
    <row r="21" spans="1:46" ht="16.5" x14ac:dyDescent="0.4">
      <c r="A21" s="1" t="s">
        <v>135</v>
      </c>
      <c r="B21" s="7" t="s">
        <v>42</v>
      </c>
      <c r="C21" s="7" t="s">
        <v>42</v>
      </c>
      <c r="D21" s="1" t="s">
        <v>136</v>
      </c>
      <c r="E21" s="1" t="s">
        <v>137</v>
      </c>
      <c r="F21" s="1" t="s">
        <v>138</v>
      </c>
      <c r="G21" s="7" t="str">
        <f>VLOOKUP(A21,[1]done!$A:$I,9,0)</f>
        <v>Other crawling insects</v>
      </c>
      <c r="H21" s="7" t="str" cm="1">
        <f t="array" ref="H21">_xlfn.IFS(
OR(ISNUMBER(SEARCH("mouse",E21)),ISNUMBER(SEARCH("rat",E21)),ISNUMBER(SEARCH("mice",E21)),ISNUMBER(SEARCH("rodent",E21))),"Rodent Control",
OR(ISNUMBER(SEARCH("fly",E21)),ISNUMBER(SEARCH("gnat",E21)),ISNUMBER(SEARCH("insect",E21)),ISNUMBER(SEARCH("mosquito",E21))),"Flying Insect Control",
OR(ISNUMBER(SEARCH("roach",E21)),ISNUMBER(SEARCH("ant",E21)),ISNUMBER(SEARCH("spider",E21)),ISNUMBER(SEARCH("cricket",E21)),ISNUMBER(SEARCH("scorpion",E21)),ISNUMBER(SEARCH("centipede",E21)),ISNUMBER(SEARCH("beetle",E21))),"Crawling Insect Control",
OR(ISNUMBER(SEARCH("tree",E21)),ISNUMBER(SEARCH("lantern",E21)),ISNUMBER(SEARCH("garden",E21)),ISNUMBER(SEARCH("plant",E21))),"Garden Pest Control",
OR(ISNUMBER(SEARCH("grass seed",E21)),ISNUMBER(SEARCH("seed mix",E21))),"Grass Seed",
OR(ISNUMBER(SEARCH("lawn food",E21)),ISNUMBER(SEARCH("fertilizer",E21))),"Lawn Fertilizer",
OR(ISNUMBER(SEARCH("patch",E21)),ISNUMBER(SEARCH("repair",E21)),ISNUMBER(SEARCH("thick'r",E21)),ISNUMBER(SEARCH("thick'r lawn",E21)),ISNUMBER(SEARCH("rapid grass",E21))),"Lawn Repair",
OR(ISNUMBER(SEARCH("weed",E21)),ISNUMBER(SEARCH("crabgrass",E21))),"Weed Control",
OR(ISNUMBER(SEARCH("fungicide",E21)),ISNUMBER(SEARCH("moss",E21))),"Disease &amp; Moss Control",
OR(ISNUMBER(SEARCH("plant food",E21)),ISNUMBER(SEARCH("miracid",E21))),"Plant Nutrition",
OR(ISNUMBER(SEARCH("perlite",E21))),"Soil Amendment",
OR(ISNUMBER(SEARCH("spreader",E21)),ISNUMBER(SEARCH("sprayer",E21)),ISNUMBER(SEARCH("mower",E21)),ISNUMBER(SEARCH("sweeper",E21)),ISNUMBER(SEARCH("pruner",E21)),ISNUMBER(SEARCH("trimmer",E21)),ISNUMBER(SEARCH("pole saw",E21))),"Garden Equipment",
TRUE,"Other"
)</f>
        <v>Flying Insect Control</v>
      </c>
      <c r="I21" s="7" t="str" cm="1">
        <f t="array" ref="I21">_xlfn.IFS(
OR(ISNUMBER(SEARCH("glue trap",E21)),ISNUMBER(SEARCH("glue board",E21))),"Glue Traps",
OR(ISNUMBER(SEARCH("snap trap",E21)),ISNUMBER(SEARCH("power-kill",E21)),ISNUMBER(SEARCH("wide pedal",E21)),ISNUMBER(SEARCH("metal pedal",E21))),"Snap Traps",
OR(ISNUMBER(SEARCH("electronic",E21)),ISNUMBER(SEARCH("zapper",E21))),"Electronic Traps",
OR(ISNUMBER(SEARCH("live catch",E21)),ISNUMBER(SEARCH("multi-catch",E21)),ISNUMBER(SEARCH("catch &amp; hold",E21)),ISNUMBER(SEARCH("tin cat",E21))),"Live Catch Traps",
OR(ISNUMBER(SEARCH("bait",E21)),ISNUMBER(SEARCH("poison",E21))),"Bait &amp; Poison",
ISNUMBER(SEARCH("repellent",E21)),"Repellents",
OR(ISNUMBER(SEARCH("fly trap",E21)),ISNUMBER(SEARCH("fly ribbon",E21)),ISNUMBER(SEARCH("fly stick",E21)),ISNUMBER(SEARCH("window fly",E21)),ISNUMBER(SEARCH("fly magnet",E21))),"Fly Traps",
OR(ISNUMBER(SEARCH("uv",E21)),ISNUMBER(SEARCH("fly light",E21)),ISNUMBER(SEARCH("plug-in",E21))),"UV Fly Traps",
ISNUMBER(SEARCH("roach",E21)),"Roach Traps",
ISNUMBER(SEARCH("ant",E21)),"Ant Traps",
ISNUMBER(SEARCH("spider",E21)),"Spider Traps",
ISNUMBER(SEARCH("mosquito",E21)),"Mosquito Traps",
ISNUMBER(SEARCH("beetle",E21)),"Beetle Traps",
ISNUMBER(SEARCH("lantern",E21)),"Lanternfly Control",
OR(ISNUMBER(SEARCH("tree shield",E21)),ISNUMBER(SEARCH("tree banding",E21)),ISNUMBER(SEARCH("insect barrier",E21))),"Tree Barriers",
OR(ISNUMBER(SEARCH("sun &amp; shade",E21)),ISNUMBER(SEARCH("sun and shade",E21))),"Sun &amp; Shade Mix",
ISNUMBER(SEARCH("tall fescue",E21)),"Tall Fescue",
ISNUMBER(SEARCH("bermudagrass",E21)),"Bermudagrass",
ISNUMBER(SEARCH("kentucky",E21)),"Kentucky Bluegrass",
ISNUMBER(SEARCH("zoysia",E21)),"Zoysia",
ISNUMBER(SEARCH("ryegrass",E21)),"Perennial Ryegrass",
ISNUMBER(SEARCH("centipede",E21)),"Centipede Grass",
ISNUMBER(SEARCH("dense shade",E21)),"Dense Shade Mix",
ISNUMBER(SEARCH("southern gold",E21)),"Southern Gold Mix",
ISNUMBER(SEARCH("heat-tolerant blue",E21)),"Heat-Tolerant Blue Mix",
ISNUMBER(SEARCH("high traffic",E21)),"High Traffic Mix",
ISNUMBER(SEARCH("quick fix",E21)),"Quick Fix Mix",
ISNUMBER(SEARCH("starter",E21)),"Starter Fertilizer",
ISNUMBER(SEARCH("weed &amp; feed",E21)),"Weed &amp; Feed",
ISNUMBER(SEARCH("lawn food",E21)),"Lawn Food",
ISNUMBER(SEARCH("triple action",E21)),"Triple Action Fertilizer",
ISNUMBER(SEARCH("green max",E21)),"Green Max Lawn Food",
ISNUMBER(SEARCH("patchmaster",E21)),"PatchMaster Repair",
ISNUMBER(SEARCH("ez seed",E21)),"EZ Seed Repair",
ISNUMBER(SEARCH("rapid grass",E21)),"Rapid Grass",
ISNUMBER(SEARCH("thick'r lawn",E21)),"Thick'R Lawn",
ISNUMBER(SEARCH("fungicide",E21)),"Fungicide",
ISNUMBER(SEARCH("moss",E21)),"Moss Control",
ISNUMBER(SEARCH("perlite",E21)),"Perlite",
ISNUMBER(SEARCH("plant food",E21)),"Plant Food",
ISNUMBER(SEARCH("spreader",E21)),"Spreader",
ISNUMBER(SEARCH("sprayer",E21)),"Sprayer",
ISNUMBER(SEARCH("mower",E21)),"Lawn Mower",
ISNUMBER(SEARCH("sweeper",E21)),"Lawn Sweeper",
OR(ISNUMBER(SEARCH("pruner",E21)),ISNUMBER(SEARCH("trimmer",E21)),ISNUMBER(SEARCH("pole saw",E21))),"Pruning Tools",
TRUE,"Other"
)</f>
        <v>Glue Traps</v>
      </c>
      <c r="J21" s="7" t="str">
        <f t="shared" si="2"/>
        <v>Flying Insect Control - Glue Traps</v>
      </c>
      <c r="K21" s="1">
        <v>5000</v>
      </c>
      <c r="L21" s="1">
        <v>4.4000000000000004</v>
      </c>
      <c r="M21" s="1">
        <v>2519</v>
      </c>
      <c r="N21" s="1"/>
      <c r="O21" s="1">
        <f>VLOOKUP(A21,[2]Sheet1!$A:$B,2,0)</f>
        <v>2000</v>
      </c>
      <c r="P21" s="1">
        <f>VLOOKUP(A21,[2]Sheet1!$A:$C,3,0)</f>
        <v>1000</v>
      </c>
      <c r="Q21" s="7">
        <f>VLOOKUP(A21,[2]Sheet1!$A:$D,4,0)</f>
        <v>1000</v>
      </c>
      <c r="R21" s="7">
        <f>VLOOKUP(A21,[2]Sheet1!$A:$E,5,0)</f>
        <v>200</v>
      </c>
      <c r="S21" s="7">
        <f>VLOOKUP(A21,[2]Sheet1!$A:$F,6,0)</f>
        <v>400</v>
      </c>
      <c r="T21" s="7">
        <f>VLOOKUP(A21,[2]Sheet1!$A:$G,7,0)</f>
        <v>2000</v>
      </c>
      <c r="U21" s="7">
        <f>VLOOKUP(A21,[2]Sheet1!$A:$H,8,0)</f>
        <v>4000</v>
      </c>
      <c r="V21" s="7">
        <f>VLOOKUP(A21,[2]Sheet1!$A:$I,9,0)</f>
        <v>5000</v>
      </c>
      <c r="W21" s="7">
        <f>VLOOKUP(A21,[2]Sheet1!$A:$K,10,0)</f>
        <v>5000</v>
      </c>
      <c r="X21" s="7">
        <f>VLOOKUP(A21,[2]Sheet1!$A:$L,11,0)</f>
        <v>5000</v>
      </c>
      <c r="Y21" s="7">
        <f>VLOOKUP(A21,[2]Sheet1!$A:$L,12,0)</f>
        <v>3000</v>
      </c>
      <c r="Z21" s="7">
        <f>VLOOKUP(A21,[2]Sheet1!$A:$M,13,0)</f>
        <v>3000</v>
      </c>
      <c r="AA21" s="1">
        <f t="shared" si="0"/>
        <v>31600</v>
      </c>
      <c r="AB21" s="7">
        <f t="shared" si="3"/>
        <v>2633</v>
      </c>
      <c r="AC21" s="13">
        <f t="shared" si="1"/>
        <v>2633.3333333333335</v>
      </c>
      <c r="AD21" s="9">
        <f t="shared" si="4"/>
        <v>331484</v>
      </c>
      <c r="AE21" s="9">
        <f t="shared" si="5"/>
        <v>27623.666666666668</v>
      </c>
      <c r="AF21" s="11">
        <v>4.09</v>
      </c>
      <c r="AG21" s="11">
        <v>10.49</v>
      </c>
      <c r="AH21" s="9">
        <f t="shared" si="6"/>
        <v>-5.9600000000000042E-2</v>
      </c>
      <c r="AI21" s="11">
        <f t="shared" si="7"/>
        <v>-0.20860000000000015</v>
      </c>
      <c r="AJ21" s="14">
        <v>0.5</v>
      </c>
      <c r="AK21" s="14">
        <v>0.5</v>
      </c>
      <c r="AL21" s="11">
        <v>4.09</v>
      </c>
      <c r="AM21" s="9">
        <f t="shared" si="8"/>
        <v>1.5734999999999999</v>
      </c>
      <c r="AN21" s="9">
        <f t="shared" si="9"/>
        <v>0.31469999999999998</v>
      </c>
      <c r="AO21" s="9">
        <f t="shared" si="10"/>
        <v>2.0980000000000003</v>
      </c>
      <c r="AP21" s="9">
        <f t="shared" si="11"/>
        <v>0.20980000000000001</v>
      </c>
      <c r="AQ21" s="9">
        <f t="shared" si="12"/>
        <v>2.0980000000000003</v>
      </c>
      <c r="AR21" s="9">
        <f t="shared" si="13"/>
        <v>2.6225000000000001</v>
      </c>
      <c r="AS21" s="11">
        <f t="shared" si="14"/>
        <v>-0.59600000000000042</v>
      </c>
      <c r="AT21" s="12">
        <f t="shared" si="15"/>
        <v>-0.94566666666666688</v>
      </c>
    </row>
    <row r="22" spans="1:46" ht="16.5" x14ac:dyDescent="0.4">
      <c r="A22" s="1" t="s">
        <v>139</v>
      </c>
      <c r="B22" s="7" t="s">
        <v>42</v>
      </c>
      <c r="C22" s="7" t="s">
        <v>42</v>
      </c>
      <c r="D22" s="1" t="s">
        <v>140</v>
      </c>
      <c r="E22" s="1" t="s">
        <v>141</v>
      </c>
      <c r="F22" s="1" t="s">
        <v>142</v>
      </c>
      <c r="G22" s="7" t="str">
        <f>VLOOKUP(A22,[1]done!$A:$I,9,0)</f>
        <v>Rodent</v>
      </c>
      <c r="H22" s="7" t="str" cm="1">
        <f t="array" ref="H22">_xlfn.IFS(
OR(ISNUMBER(SEARCH("mouse",E22)),ISNUMBER(SEARCH("rat",E22)),ISNUMBER(SEARCH("mice",E22)),ISNUMBER(SEARCH("rodent",E22))),"Rodent Control",
OR(ISNUMBER(SEARCH("fly",E22)),ISNUMBER(SEARCH("gnat",E22)),ISNUMBER(SEARCH("insect",E22)),ISNUMBER(SEARCH("mosquito",E22))),"Flying Insect Control",
OR(ISNUMBER(SEARCH("roach",E22)),ISNUMBER(SEARCH("ant",E22)),ISNUMBER(SEARCH("spider",E22)),ISNUMBER(SEARCH("cricket",E22)),ISNUMBER(SEARCH("scorpion",E22)),ISNUMBER(SEARCH("centipede",E22)),ISNUMBER(SEARCH("beetle",E22))),"Crawling Insect Control",
OR(ISNUMBER(SEARCH("tree",E22)),ISNUMBER(SEARCH("lantern",E22)),ISNUMBER(SEARCH("garden",E22)),ISNUMBER(SEARCH("plant",E22))),"Garden Pest Control",
OR(ISNUMBER(SEARCH("grass seed",E22)),ISNUMBER(SEARCH("seed mix",E22))),"Grass Seed",
OR(ISNUMBER(SEARCH("lawn food",E22)),ISNUMBER(SEARCH("fertilizer",E22))),"Lawn Fertilizer",
OR(ISNUMBER(SEARCH("patch",E22)),ISNUMBER(SEARCH("repair",E22)),ISNUMBER(SEARCH("thick'r",E22)),ISNUMBER(SEARCH("thick'r lawn",E22)),ISNUMBER(SEARCH("rapid grass",E22))),"Lawn Repair",
OR(ISNUMBER(SEARCH("weed",E22)),ISNUMBER(SEARCH("crabgrass",E22))),"Weed Control",
OR(ISNUMBER(SEARCH("fungicide",E22)),ISNUMBER(SEARCH("moss",E22))),"Disease &amp; Moss Control",
OR(ISNUMBER(SEARCH("plant food",E22)),ISNUMBER(SEARCH("miracid",E22))),"Plant Nutrition",
OR(ISNUMBER(SEARCH("perlite",E22))),"Soil Amendment",
OR(ISNUMBER(SEARCH("spreader",E22)),ISNUMBER(SEARCH("sprayer",E22)),ISNUMBER(SEARCH("mower",E22)),ISNUMBER(SEARCH("sweeper",E22)),ISNUMBER(SEARCH("pruner",E22)),ISNUMBER(SEARCH("trimmer",E22)),ISNUMBER(SEARCH("pole saw",E22))),"Garden Equipment",
TRUE,"Other"
)</f>
        <v>Rodent Control</v>
      </c>
      <c r="I22" s="7" t="str" cm="1">
        <f t="array" ref="I22">_xlfn.IFS(
OR(ISNUMBER(SEARCH("glue trap",E22)),ISNUMBER(SEARCH("glue board",E22))),"Glue Traps",
OR(ISNUMBER(SEARCH("snap trap",E22)),ISNUMBER(SEARCH("power-kill",E22)),ISNUMBER(SEARCH("wide pedal",E22)),ISNUMBER(SEARCH("metal pedal",E22))),"Snap Traps",
OR(ISNUMBER(SEARCH("electronic",E22)),ISNUMBER(SEARCH("zapper",E22))),"Electronic Traps",
OR(ISNUMBER(SEARCH("live catch",E22)),ISNUMBER(SEARCH("multi-catch",E22)),ISNUMBER(SEARCH("catch &amp; hold",E22)),ISNUMBER(SEARCH("tin cat",E22))),"Live Catch Traps",
OR(ISNUMBER(SEARCH("bait",E22)),ISNUMBER(SEARCH("poison",E22))),"Bait &amp; Poison",
ISNUMBER(SEARCH("repellent",E22)),"Repellents",
OR(ISNUMBER(SEARCH("fly trap",E22)),ISNUMBER(SEARCH("fly ribbon",E22)),ISNUMBER(SEARCH("fly stick",E22)),ISNUMBER(SEARCH("window fly",E22)),ISNUMBER(SEARCH("fly magnet",E22))),"Fly Traps",
OR(ISNUMBER(SEARCH("uv",E22)),ISNUMBER(SEARCH("fly light",E22)),ISNUMBER(SEARCH("plug-in",E22))),"UV Fly Traps",
ISNUMBER(SEARCH("roach",E22)),"Roach Traps",
ISNUMBER(SEARCH("ant",E22)),"Ant Traps",
ISNUMBER(SEARCH("spider",E22)),"Spider Traps",
ISNUMBER(SEARCH("mosquito",E22)),"Mosquito Traps",
ISNUMBER(SEARCH("beetle",E22)),"Beetle Traps",
ISNUMBER(SEARCH("lantern",E22)),"Lanternfly Control",
OR(ISNUMBER(SEARCH("tree shield",E22)),ISNUMBER(SEARCH("tree banding",E22)),ISNUMBER(SEARCH("insect barrier",E22))),"Tree Barriers",
OR(ISNUMBER(SEARCH("sun &amp; shade",E22)),ISNUMBER(SEARCH("sun and shade",E22))),"Sun &amp; Shade Mix",
ISNUMBER(SEARCH("tall fescue",E22)),"Tall Fescue",
ISNUMBER(SEARCH("bermudagrass",E22)),"Bermudagrass",
ISNUMBER(SEARCH("kentucky",E22)),"Kentucky Bluegrass",
ISNUMBER(SEARCH("zoysia",E22)),"Zoysia",
ISNUMBER(SEARCH("ryegrass",E22)),"Perennial Ryegrass",
ISNUMBER(SEARCH("centipede",E22)),"Centipede Grass",
ISNUMBER(SEARCH("dense shade",E22)),"Dense Shade Mix",
ISNUMBER(SEARCH("southern gold",E22)),"Southern Gold Mix",
ISNUMBER(SEARCH("heat-tolerant blue",E22)),"Heat-Tolerant Blue Mix",
ISNUMBER(SEARCH("high traffic",E22)),"High Traffic Mix",
ISNUMBER(SEARCH("quick fix",E22)),"Quick Fix Mix",
ISNUMBER(SEARCH("starter",E22)),"Starter Fertilizer",
ISNUMBER(SEARCH("weed &amp; feed",E22)),"Weed &amp; Feed",
ISNUMBER(SEARCH("lawn food",E22)),"Lawn Food",
ISNUMBER(SEARCH("triple action",E22)),"Triple Action Fertilizer",
ISNUMBER(SEARCH("green max",E22)),"Green Max Lawn Food",
ISNUMBER(SEARCH("patchmaster",E22)),"PatchMaster Repair",
ISNUMBER(SEARCH("ez seed",E22)),"EZ Seed Repair",
ISNUMBER(SEARCH("rapid grass",E22)),"Rapid Grass",
ISNUMBER(SEARCH("thick'r lawn",E22)),"Thick'R Lawn",
ISNUMBER(SEARCH("fungicide",E22)),"Fungicide",
ISNUMBER(SEARCH("moss",E22)),"Moss Control",
ISNUMBER(SEARCH("perlite",E22)),"Perlite",
ISNUMBER(SEARCH("plant food",E22)),"Plant Food",
ISNUMBER(SEARCH("spreader",E22)),"Spreader",
ISNUMBER(SEARCH("sprayer",E22)),"Sprayer",
ISNUMBER(SEARCH("mower",E22)),"Lawn Mower",
ISNUMBER(SEARCH("sweeper",E22)),"Lawn Sweeper",
OR(ISNUMBER(SEARCH("pruner",E22)),ISNUMBER(SEARCH("trimmer",E22)),ISNUMBER(SEARCH("pole saw",E22))),"Pruning Tools",
TRUE,"Other"
)</f>
        <v>Glue Traps</v>
      </c>
      <c r="J22" s="7" t="str">
        <f t="shared" si="2"/>
        <v>Rodent Control - Glue Traps</v>
      </c>
      <c r="K22" s="1">
        <v>4000</v>
      </c>
      <c r="L22" s="1">
        <v>4.5</v>
      </c>
      <c r="M22" s="1">
        <v>1597</v>
      </c>
      <c r="N22" s="1" t="s">
        <v>80</v>
      </c>
      <c r="O22" s="1">
        <f>VLOOKUP(A22,[2]Sheet1!$A:$B,2,0)</f>
        <v>2000</v>
      </c>
      <c r="P22" s="1">
        <f>VLOOKUP(A22,[2]Sheet1!$A:$C,3,0)</f>
        <v>2000</v>
      </c>
      <c r="Q22" s="7">
        <f>VLOOKUP(A22,[2]Sheet1!$A:$D,4,0)</f>
        <v>2000</v>
      </c>
      <c r="R22" s="7">
        <f>VLOOKUP(A22,[2]Sheet1!$A:$E,5,0)</f>
        <v>3000</v>
      </c>
      <c r="S22" s="7">
        <f>VLOOKUP(A22,[2]Sheet1!$A:$F,6,0)</f>
        <v>2000</v>
      </c>
      <c r="T22" s="7">
        <f>VLOOKUP(A22,[2]Sheet1!$A:$G,7,0)</f>
        <v>2000</v>
      </c>
      <c r="U22" s="7">
        <f>VLOOKUP(A22,[2]Sheet1!$A:$H,8,0)</f>
        <v>4000</v>
      </c>
      <c r="V22" s="7">
        <f>VLOOKUP(A22,[2]Sheet1!$A:$I,9,0)</f>
        <v>4000</v>
      </c>
      <c r="W22" s="7">
        <f>VLOOKUP(A22,[2]Sheet1!$A:$K,10,0)</f>
        <v>4000</v>
      </c>
      <c r="X22" s="7">
        <f>VLOOKUP(A22,[2]Sheet1!$A:$L,11,0)</f>
        <v>4000</v>
      </c>
      <c r="Y22" s="7">
        <f>VLOOKUP(A22,[2]Sheet1!$A:$L,12,0)</f>
        <v>4000</v>
      </c>
      <c r="Z22" s="7">
        <f>VLOOKUP(A22,[2]Sheet1!$A:$M,13,0)</f>
        <v>3000</v>
      </c>
      <c r="AA22" s="1">
        <f t="shared" si="0"/>
        <v>36000</v>
      </c>
      <c r="AB22" s="7">
        <f t="shared" si="3"/>
        <v>3000</v>
      </c>
      <c r="AC22" s="13">
        <f t="shared" si="1"/>
        <v>3000</v>
      </c>
      <c r="AD22" s="9">
        <f t="shared" si="4"/>
        <v>1220040</v>
      </c>
      <c r="AE22" s="9">
        <f t="shared" si="5"/>
        <v>101670</v>
      </c>
      <c r="AF22" s="11">
        <v>7.15</v>
      </c>
      <c r="AG22" s="11">
        <v>33.89</v>
      </c>
      <c r="AH22" s="9">
        <f t="shared" si="6"/>
        <v>0.36039999999999994</v>
      </c>
      <c r="AI22" s="11">
        <f t="shared" si="7"/>
        <v>1.2613999999999996</v>
      </c>
      <c r="AJ22" s="14">
        <v>0.5</v>
      </c>
      <c r="AK22" s="14">
        <v>0.5</v>
      </c>
      <c r="AL22" s="11">
        <v>7.15</v>
      </c>
      <c r="AM22" s="9">
        <f t="shared" si="8"/>
        <v>5.0834999999999999</v>
      </c>
      <c r="AN22" s="9">
        <f t="shared" si="9"/>
        <v>1.0166999999999999</v>
      </c>
      <c r="AO22" s="9">
        <f t="shared" si="10"/>
        <v>6.7780000000000005</v>
      </c>
      <c r="AP22" s="9">
        <f t="shared" si="11"/>
        <v>0.67780000000000007</v>
      </c>
      <c r="AQ22" s="9">
        <f t="shared" si="12"/>
        <v>6.7780000000000005</v>
      </c>
      <c r="AR22" s="9">
        <f t="shared" si="13"/>
        <v>8.4725000000000001</v>
      </c>
      <c r="AS22" s="11">
        <f t="shared" si="14"/>
        <v>3.6039999999999992</v>
      </c>
      <c r="AT22" s="12">
        <f t="shared" si="15"/>
        <v>2.4743333333333326</v>
      </c>
    </row>
    <row r="23" spans="1:46" ht="16.5" x14ac:dyDescent="0.4">
      <c r="A23" s="1" t="s">
        <v>143</v>
      </c>
      <c r="B23" s="7" t="s">
        <v>42</v>
      </c>
      <c r="C23" s="7" t="s">
        <v>1778</v>
      </c>
      <c r="D23" s="1" t="s">
        <v>144</v>
      </c>
      <c r="E23" s="1" t="s">
        <v>145</v>
      </c>
      <c r="F23" s="1" t="s">
        <v>146</v>
      </c>
      <c r="G23" s="7" t="str">
        <f>VLOOKUP(A23,[1]done!$A:$I,9,0)</f>
        <v>Cockroach</v>
      </c>
      <c r="H23" s="7" t="str" cm="1">
        <f t="array" ref="H23">_xlfn.IFS(
OR(ISNUMBER(SEARCH("mouse",E23)),ISNUMBER(SEARCH("rat",E23)),ISNUMBER(SEARCH("mice",E23)),ISNUMBER(SEARCH("rodent",E23))),"Rodent Control",
OR(ISNUMBER(SEARCH("fly",E23)),ISNUMBER(SEARCH("gnat",E23)),ISNUMBER(SEARCH("insect",E23)),ISNUMBER(SEARCH("mosquito",E23))),"Flying Insect Control",
OR(ISNUMBER(SEARCH("roach",E23)),ISNUMBER(SEARCH("ant",E23)),ISNUMBER(SEARCH("spider",E23)),ISNUMBER(SEARCH("cricket",E23)),ISNUMBER(SEARCH("scorpion",E23)),ISNUMBER(SEARCH("centipede",E23)),ISNUMBER(SEARCH("beetle",E23))),"Crawling Insect Control",
OR(ISNUMBER(SEARCH("tree",E23)),ISNUMBER(SEARCH("lantern",E23)),ISNUMBER(SEARCH("garden",E23)),ISNUMBER(SEARCH("plant",E23))),"Garden Pest Control",
OR(ISNUMBER(SEARCH("grass seed",E23)),ISNUMBER(SEARCH("seed mix",E23))),"Grass Seed",
OR(ISNUMBER(SEARCH("lawn food",E23)),ISNUMBER(SEARCH("fertilizer",E23))),"Lawn Fertilizer",
OR(ISNUMBER(SEARCH("patch",E23)),ISNUMBER(SEARCH("repair",E23)),ISNUMBER(SEARCH("thick'r",E23)),ISNUMBER(SEARCH("thick'r lawn",E23)),ISNUMBER(SEARCH("rapid grass",E23))),"Lawn Repair",
OR(ISNUMBER(SEARCH("weed",E23)),ISNUMBER(SEARCH("crabgrass",E23))),"Weed Control",
OR(ISNUMBER(SEARCH("fungicide",E23)),ISNUMBER(SEARCH("moss",E23))),"Disease &amp; Moss Control",
OR(ISNUMBER(SEARCH("plant food",E23)),ISNUMBER(SEARCH("miracid",E23))),"Plant Nutrition",
OR(ISNUMBER(SEARCH("perlite",E23))),"Soil Amendment",
OR(ISNUMBER(SEARCH("spreader",E23)),ISNUMBER(SEARCH("sprayer",E23)),ISNUMBER(SEARCH("mower",E23)),ISNUMBER(SEARCH("sweeper",E23)),ISNUMBER(SEARCH("pruner",E23)),ISNUMBER(SEARCH("trimmer",E23)),ISNUMBER(SEARCH("pole saw",E23))),"Garden Equipment",
TRUE,"Other"
)</f>
        <v>Crawling Insect Control</v>
      </c>
      <c r="I23" s="7" t="str" cm="1">
        <f t="array" ref="I23">_xlfn.IFS(
OR(ISNUMBER(SEARCH("glue trap",E23)),ISNUMBER(SEARCH("glue board",E23))),"Glue Traps",
OR(ISNUMBER(SEARCH("snap trap",E23)),ISNUMBER(SEARCH("power-kill",E23)),ISNUMBER(SEARCH("wide pedal",E23)),ISNUMBER(SEARCH("metal pedal",E23))),"Snap Traps",
OR(ISNUMBER(SEARCH("electronic",E23)),ISNUMBER(SEARCH("zapper",E23))),"Electronic Traps",
OR(ISNUMBER(SEARCH("live catch",E23)),ISNUMBER(SEARCH("multi-catch",E23)),ISNUMBER(SEARCH("catch &amp; hold",E23)),ISNUMBER(SEARCH("tin cat",E23))),"Live Catch Traps",
OR(ISNUMBER(SEARCH("bait",E23)),ISNUMBER(SEARCH("poison",E23))),"Bait &amp; Poison",
ISNUMBER(SEARCH("repellent",E23)),"Repellents",
OR(ISNUMBER(SEARCH("fly trap",E23)),ISNUMBER(SEARCH("fly ribbon",E23)),ISNUMBER(SEARCH("fly stick",E23)),ISNUMBER(SEARCH("window fly",E23)),ISNUMBER(SEARCH("fly magnet",E23))),"Fly Traps",
OR(ISNUMBER(SEARCH("uv",E23)),ISNUMBER(SEARCH("fly light",E23)),ISNUMBER(SEARCH("plug-in",E23))),"UV Fly Traps",
ISNUMBER(SEARCH("roach",E23)),"Roach Traps",
ISNUMBER(SEARCH("ant",E23)),"Ant Traps",
ISNUMBER(SEARCH("spider",E23)),"Spider Traps",
ISNUMBER(SEARCH("mosquito",E23)),"Mosquito Traps",
ISNUMBER(SEARCH("beetle",E23)),"Beetle Traps",
ISNUMBER(SEARCH("lantern",E23)),"Lanternfly Control",
OR(ISNUMBER(SEARCH("tree shield",E23)),ISNUMBER(SEARCH("tree banding",E23)),ISNUMBER(SEARCH("insect barrier",E23))),"Tree Barriers",
OR(ISNUMBER(SEARCH("sun &amp; shade",E23)),ISNUMBER(SEARCH("sun and shade",E23))),"Sun &amp; Shade Mix",
ISNUMBER(SEARCH("tall fescue",E23)),"Tall Fescue",
ISNUMBER(SEARCH("bermudagrass",E23)),"Bermudagrass",
ISNUMBER(SEARCH("kentucky",E23)),"Kentucky Bluegrass",
ISNUMBER(SEARCH("zoysia",E23)),"Zoysia",
ISNUMBER(SEARCH("ryegrass",E23)),"Perennial Ryegrass",
ISNUMBER(SEARCH("centipede",E23)),"Centipede Grass",
ISNUMBER(SEARCH("dense shade",E23)),"Dense Shade Mix",
ISNUMBER(SEARCH("southern gold",E23)),"Southern Gold Mix",
ISNUMBER(SEARCH("heat-tolerant blue",E23)),"Heat-Tolerant Blue Mix",
ISNUMBER(SEARCH("high traffic",E23)),"High Traffic Mix",
ISNUMBER(SEARCH("quick fix",E23)),"Quick Fix Mix",
ISNUMBER(SEARCH("starter",E23)),"Starter Fertilizer",
ISNUMBER(SEARCH("weed &amp; feed",E23)),"Weed &amp; Feed",
ISNUMBER(SEARCH("lawn food",E23)),"Lawn Food",
ISNUMBER(SEARCH("triple action",E23)),"Triple Action Fertilizer",
ISNUMBER(SEARCH("green max",E23)),"Green Max Lawn Food",
ISNUMBER(SEARCH("patchmaster",E23)),"PatchMaster Repair",
ISNUMBER(SEARCH("ez seed",E23)),"EZ Seed Repair",
ISNUMBER(SEARCH("rapid grass",E23)),"Rapid Grass",
ISNUMBER(SEARCH("thick'r lawn",E23)),"Thick'R Lawn",
ISNUMBER(SEARCH("fungicide",E23)),"Fungicide",
ISNUMBER(SEARCH("moss",E23)),"Moss Control",
ISNUMBER(SEARCH("perlite",E23)),"Perlite",
ISNUMBER(SEARCH("plant food",E23)),"Plant Food",
ISNUMBER(SEARCH("spreader",E23)),"Spreader",
ISNUMBER(SEARCH("sprayer",E23)),"Sprayer",
ISNUMBER(SEARCH("mower",E23)),"Lawn Mower",
ISNUMBER(SEARCH("sweeper",E23)),"Lawn Sweeper",
OR(ISNUMBER(SEARCH("pruner",E23)),ISNUMBER(SEARCH("trimmer",E23)),ISNUMBER(SEARCH("pole saw",E23))),"Pruning Tools",
TRUE,"Other"
)</f>
        <v>Glue Traps</v>
      </c>
      <c r="J23" s="7" t="str">
        <f t="shared" si="2"/>
        <v>Crawling Insect Control - Glue Traps</v>
      </c>
      <c r="K23" s="1">
        <v>3000</v>
      </c>
      <c r="L23" s="1">
        <v>4.4000000000000004</v>
      </c>
      <c r="M23" s="1">
        <v>474</v>
      </c>
      <c r="N23" s="1" t="s">
        <v>147</v>
      </c>
      <c r="O23" s="1">
        <f>VLOOKUP(A23,[2]Sheet1!$A:$B,2,0)</f>
        <v>1000</v>
      </c>
      <c r="P23" s="1">
        <f>VLOOKUP(A23,[2]Sheet1!$A:$C,3,0)</f>
        <v>1000</v>
      </c>
      <c r="Q23" s="7">
        <f>VLOOKUP(A23,[2]Sheet1!$A:$D,4,0)</f>
        <v>1000</v>
      </c>
      <c r="R23" s="7">
        <f>VLOOKUP(A23,[2]Sheet1!$A:$E,5,0)</f>
        <v>1000</v>
      </c>
      <c r="S23" s="7">
        <f>VLOOKUP(A23,[2]Sheet1!$A:$F,6,0)</f>
        <v>1000</v>
      </c>
      <c r="T23" s="7">
        <f>VLOOKUP(A23,[2]Sheet1!$A:$G,7,0)</f>
        <v>1000</v>
      </c>
      <c r="U23" s="7">
        <f>VLOOKUP(A23,[2]Sheet1!$A:$H,8,0)</f>
        <v>1000</v>
      </c>
      <c r="V23" s="7">
        <f>VLOOKUP(A23,[2]Sheet1!$A:$I,9,0)</f>
        <v>2000</v>
      </c>
      <c r="W23" s="7">
        <f>VLOOKUP(A23,[2]Sheet1!$A:$K,10,0)</f>
        <v>3000</v>
      </c>
      <c r="X23" s="7">
        <f>VLOOKUP(A23,[2]Sheet1!$A:$L,11,0)</f>
        <v>1000</v>
      </c>
      <c r="Y23" s="7">
        <f>VLOOKUP(A23,[2]Sheet1!$A:$L,12,0)</f>
        <v>1000</v>
      </c>
      <c r="Z23" s="7">
        <f>VLOOKUP(A23,[2]Sheet1!$A:$M,13,0)</f>
        <v>1000</v>
      </c>
      <c r="AA23" s="1">
        <f t="shared" si="0"/>
        <v>15000</v>
      </c>
      <c r="AB23" s="7">
        <f t="shared" si="3"/>
        <v>1250</v>
      </c>
      <c r="AC23" s="13">
        <f t="shared" si="1"/>
        <v>1250</v>
      </c>
      <c r="AD23" s="9">
        <f t="shared" si="4"/>
        <v>209850</v>
      </c>
      <c r="AE23" s="9">
        <f t="shared" si="5"/>
        <v>17487.5</v>
      </c>
      <c r="AF23" s="11">
        <v>3.57</v>
      </c>
      <c r="AG23" s="11">
        <v>13.99</v>
      </c>
      <c r="AH23" s="9">
        <f t="shared" si="6"/>
        <v>6.8400000000000016E-2</v>
      </c>
      <c r="AI23" s="11">
        <f t="shared" si="7"/>
        <v>0.23940000000000003</v>
      </c>
      <c r="AJ23" s="14">
        <v>0.5</v>
      </c>
      <c r="AK23" s="14">
        <v>0.5</v>
      </c>
      <c r="AL23" s="11">
        <v>3.57</v>
      </c>
      <c r="AM23" s="9">
        <f t="shared" si="8"/>
        <v>2.0985</v>
      </c>
      <c r="AN23" s="9">
        <f t="shared" si="9"/>
        <v>0.41970000000000002</v>
      </c>
      <c r="AO23" s="9">
        <f t="shared" si="10"/>
        <v>2.798</v>
      </c>
      <c r="AP23" s="9">
        <f t="shared" si="11"/>
        <v>0.27979999999999999</v>
      </c>
      <c r="AQ23" s="9">
        <f t="shared" si="12"/>
        <v>2.798</v>
      </c>
      <c r="AR23" s="9">
        <f t="shared" si="13"/>
        <v>3.4975000000000001</v>
      </c>
      <c r="AS23" s="11">
        <f t="shared" si="14"/>
        <v>0.68400000000000016</v>
      </c>
      <c r="AT23" s="12">
        <f t="shared" si="15"/>
        <v>0.21766666666666681</v>
      </c>
    </row>
    <row r="24" spans="1:46" ht="16.5" x14ac:dyDescent="0.4">
      <c r="A24" s="1" t="s">
        <v>148</v>
      </c>
      <c r="B24" s="7" t="s">
        <v>42</v>
      </c>
      <c r="C24" s="7" t="s">
        <v>42</v>
      </c>
      <c r="D24" s="1" t="s">
        <v>149</v>
      </c>
      <c r="E24" s="1" t="s">
        <v>150</v>
      </c>
      <c r="F24" s="1" t="s">
        <v>151</v>
      </c>
      <c r="G24" s="7" t="str">
        <f>VLOOKUP(A24,[1]done!$A:$I,9,0)</f>
        <v>Rodent</v>
      </c>
      <c r="H24" s="7" t="str" cm="1">
        <f t="array" ref="H24">_xlfn.IFS(
OR(ISNUMBER(SEARCH("mouse",E24)),ISNUMBER(SEARCH("rat",E24)),ISNUMBER(SEARCH("mice",E24)),ISNUMBER(SEARCH("rodent",E24))),"Rodent Control",
OR(ISNUMBER(SEARCH("fly",E24)),ISNUMBER(SEARCH("gnat",E24)),ISNUMBER(SEARCH("insect",E24)),ISNUMBER(SEARCH("mosquito",E24))),"Flying Insect Control",
OR(ISNUMBER(SEARCH("roach",E24)),ISNUMBER(SEARCH("ant",E24)),ISNUMBER(SEARCH("spider",E24)),ISNUMBER(SEARCH("cricket",E24)),ISNUMBER(SEARCH("scorpion",E24)),ISNUMBER(SEARCH("centipede",E24)),ISNUMBER(SEARCH("beetle",E24))),"Crawling Insect Control",
OR(ISNUMBER(SEARCH("tree",E24)),ISNUMBER(SEARCH("lantern",E24)),ISNUMBER(SEARCH("garden",E24)),ISNUMBER(SEARCH("plant",E24))),"Garden Pest Control",
OR(ISNUMBER(SEARCH("grass seed",E24)),ISNUMBER(SEARCH("seed mix",E24))),"Grass Seed",
OR(ISNUMBER(SEARCH("lawn food",E24)),ISNUMBER(SEARCH("fertilizer",E24))),"Lawn Fertilizer",
OR(ISNUMBER(SEARCH("patch",E24)),ISNUMBER(SEARCH("repair",E24)),ISNUMBER(SEARCH("thick'r",E24)),ISNUMBER(SEARCH("thick'r lawn",E24)),ISNUMBER(SEARCH("rapid grass",E24))),"Lawn Repair",
OR(ISNUMBER(SEARCH("weed",E24)),ISNUMBER(SEARCH("crabgrass",E24))),"Weed Control",
OR(ISNUMBER(SEARCH("fungicide",E24)),ISNUMBER(SEARCH("moss",E24))),"Disease &amp; Moss Control",
OR(ISNUMBER(SEARCH("plant food",E24)),ISNUMBER(SEARCH("miracid",E24))),"Plant Nutrition",
OR(ISNUMBER(SEARCH("perlite",E24))),"Soil Amendment",
OR(ISNUMBER(SEARCH("spreader",E24)),ISNUMBER(SEARCH("sprayer",E24)),ISNUMBER(SEARCH("mower",E24)),ISNUMBER(SEARCH("sweeper",E24)),ISNUMBER(SEARCH("pruner",E24)),ISNUMBER(SEARCH("trimmer",E24)),ISNUMBER(SEARCH("pole saw",E24))),"Garden Equipment",
TRUE,"Other"
)</f>
        <v>Rodent Control</v>
      </c>
      <c r="I24" s="7" t="str" cm="1">
        <f t="array" ref="I24">_xlfn.IFS(
OR(ISNUMBER(SEARCH("glue trap",E24)),ISNUMBER(SEARCH("glue board",E24))),"Glue Traps",
OR(ISNUMBER(SEARCH("snap trap",E24)),ISNUMBER(SEARCH("power-kill",E24)),ISNUMBER(SEARCH("wide pedal",E24)),ISNUMBER(SEARCH("metal pedal",E24))),"Snap Traps",
OR(ISNUMBER(SEARCH("electronic",E24)),ISNUMBER(SEARCH("zapper",E24))),"Electronic Traps",
OR(ISNUMBER(SEARCH("live catch",E24)),ISNUMBER(SEARCH("multi-catch",E24)),ISNUMBER(SEARCH("catch &amp; hold",E24)),ISNUMBER(SEARCH("tin cat",E24))),"Live Catch Traps",
OR(ISNUMBER(SEARCH("bait",E24)),ISNUMBER(SEARCH("poison",E24))),"Bait &amp; Poison",
ISNUMBER(SEARCH("repellent",E24)),"Repellents",
OR(ISNUMBER(SEARCH("fly trap",E24)),ISNUMBER(SEARCH("fly ribbon",E24)),ISNUMBER(SEARCH("fly stick",E24)),ISNUMBER(SEARCH("window fly",E24)),ISNUMBER(SEARCH("fly magnet",E24))),"Fly Traps",
OR(ISNUMBER(SEARCH("uv",E24)),ISNUMBER(SEARCH("fly light",E24)),ISNUMBER(SEARCH("plug-in",E24))),"UV Fly Traps",
ISNUMBER(SEARCH("roach",E24)),"Roach Traps",
ISNUMBER(SEARCH("ant",E24)),"Ant Traps",
ISNUMBER(SEARCH("spider",E24)),"Spider Traps",
ISNUMBER(SEARCH("mosquito",E24)),"Mosquito Traps",
ISNUMBER(SEARCH("beetle",E24)),"Beetle Traps",
ISNUMBER(SEARCH("lantern",E24)),"Lanternfly Control",
OR(ISNUMBER(SEARCH("tree shield",E24)),ISNUMBER(SEARCH("tree banding",E24)),ISNUMBER(SEARCH("insect barrier",E24))),"Tree Barriers",
OR(ISNUMBER(SEARCH("sun &amp; shade",E24)),ISNUMBER(SEARCH("sun and shade",E24))),"Sun &amp; Shade Mix",
ISNUMBER(SEARCH("tall fescue",E24)),"Tall Fescue",
ISNUMBER(SEARCH("bermudagrass",E24)),"Bermudagrass",
ISNUMBER(SEARCH("kentucky",E24)),"Kentucky Bluegrass",
ISNUMBER(SEARCH("zoysia",E24)),"Zoysia",
ISNUMBER(SEARCH("ryegrass",E24)),"Perennial Ryegrass",
ISNUMBER(SEARCH("centipede",E24)),"Centipede Grass",
ISNUMBER(SEARCH("dense shade",E24)),"Dense Shade Mix",
ISNUMBER(SEARCH("southern gold",E24)),"Southern Gold Mix",
ISNUMBER(SEARCH("heat-tolerant blue",E24)),"Heat-Tolerant Blue Mix",
ISNUMBER(SEARCH("high traffic",E24)),"High Traffic Mix",
ISNUMBER(SEARCH("quick fix",E24)),"Quick Fix Mix",
ISNUMBER(SEARCH("starter",E24)),"Starter Fertilizer",
ISNUMBER(SEARCH("weed &amp; feed",E24)),"Weed &amp; Feed",
ISNUMBER(SEARCH("lawn food",E24)),"Lawn Food",
ISNUMBER(SEARCH("triple action",E24)),"Triple Action Fertilizer",
ISNUMBER(SEARCH("green max",E24)),"Green Max Lawn Food",
ISNUMBER(SEARCH("patchmaster",E24)),"PatchMaster Repair",
ISNUMBER(SEARCH("ez seed",E24)),"EZ Seed Repair",
ISNUMBER(SEARCH("rapid grass",E24)),"Rapid Grass",
ISNUMBER(SEARCH("thick'r lawn",E24)),"Thick'R Lawn",
ISNUMBER(SEARCH("fungicide",E24)),"Fungicide",
ISNUMBER(SEARCH("moss",E24)),"Moss Control",
ISNUMBER(SEARCH("perlite",E24)),"Perlite",
ISNUMBER(SEARCH("plant food",E24)),"Plant Food",
ISNUMBER(SEARCH("spreader",E24)),"Spreader",
ISNUMBER(SEARCH("sprayer",E24)),"Sprayer",
ISNUMBER(SEARCH("mower",E24)),"Lawn Mower",
ISNUMBER(SEARCH("sweeper",E24)),"Lawn Sweeper",
OR(ISNUMBER(SEARCH("pruner",E24)),ISNUMBER(SEARCH("trimmer",E24)),ISNUMBER(SEARCH("pole saw",E24))),"Pruning Tools",
TRUE,"Other"
)</f>
        <v>Glue Traps</v>
      </c>
      <c r="J24" s="7" t="str">
        <f t="shared" si="2"/>
        <v>Rodent Control - Glue Traps</v>
      </c>
      <c r="K24" s="1">
        <v>2000</v>
      </c>
      <c r="L24" s="1">
        <v>4.4000000000000004</v>
      </c>
      <c r="M24" s="1">
        <v>2006</v>
      </c>
      <c r="N24" s="1" t="s">
        <v>70</v>
      </c>
      <c r="O24" s="1">
        <f>VLOOKUP(A24,[2]Sheet1!$A:$B,2,0)</f>
        <v>2000</v>
      </c>
      <c r="P24" s="1">
        <f>VLOOKUP(A24,[2]Sheet1!$A:$C,3,0)</f>
        <v>1000</v>
      </c>
      <c r="Q24" s="7">
        <f>VLOOKUP(A24,[2]Sheet1!$A:$D,4,0)</f>
        <v>1000</v>
      </c>
      <c r="R24" s="7">
        <f>VLOOKUP(A24,[2]Sheet1!$A:$E,5,0)</f>
        <v>2000</v>
      </c>
      <c r="S24" s="7">
        <f>VLOOKUP(A24,[2]Sheet1!$A:$F,6,0)</f>
        <v>2000</v>
      </c>
      <c r="T24" s="7">
        <f>VLOOKUP(A24,[2]Sheet1!$A:$G,7,0)</f>
        <v>3000</v>
      </c>
      <c r="U24" s="7">
        <f>VLOOKUP(A24,[2]Sheet1!$A:$H,8,0)</f>
        <v>3000</v>
      </c>
      <c r="V24" s="7">
        <f>VLOOKUP(A24,[2]Sheet1!$A:$I,9,0)</f>
        <v>3000</v>
      </c>
      <c r="W24" s="7">
        <f>VLOOKUP(A24,[2]Sheet1!$A:$K,10,0)</f>
        <v>2000</v>
      </c>
      <c r="X24" s="7">
        <f>VLOOKUP(A24,[2]Sheet1!$A:$L,11,0)</f>
        <v>6000</v>
      </c>
      <c r="Y24" s="7">
        <f>VLOOKUP(A24,[2]Sheet1!$A:$L,12,0)</f>
        <v>3000</v>
      </c>
      <c r="Z24" s="7">
        <f>VLOOKUP(A24,[2]Sheet1!$A:$M,13,0)</f>
        <v>2000</v>
      </c>
      <c r="AA24" s="1">
        <f t="shared" si="0"/>
        <v>30000</v>
      </c>
      <c r="AB24" s="7">
        <f t="shared" si="3"/>
        <v>2500</v>
      </c>
      <c r="AC24" s="13">
        <f t="shared" si="1"/>
        <v>2500</v>
      </c>
      <c r="AD24" s="9">
        <f t="shared" si="4"/>
        <v>704700</v>
      </c>
      <c r="AE24" s="9">
        <f t="shared" si="5"/>
        <v>58724.999999999993</v>
      </c>
      <c r="AF24" s="11">
        <v>5.91</v>
      </c>
      <c r="AG24" s="11">
        <v>23.49</v>
      </c>
      <c r="AH24" s="9">
        <f t="shared" si="6"/>
        <v>0.16573333333333332</v>
      </c>
      <c r="AI24" s="11">
        <f t="shared" si="7"/>
        <v>0.58006666666666651</v>
      </c>
      <c r="AJ24" s="14">
        <v>0.5</v>
      </c>
      <c r="AK24" s="14">
        <v>0.5</v>
      </c>
      <c r="AL24" s="11">
        <v>5.91</v>
      </c>
      <c r="AM24" s="9">
        <f t="shared" si="8"/>
        <v>3.5234999999999999</v>
      </c>
      <c r="AN24" s="9">
        <f t="shared" si="9"/>
        <v>0.70469999999999988</v>
      </c>
      <c r="AO24" s="9">
        <f t="shared" si="10"/>
        <v>4.6979999999999995</v>
      </c>
      <c r="AP24" s="9">
        <f t="shared" si="11"/>
        <v>0.4698</v>
      </c>
      <c r="AQ24" s="9">
        <f t="shared" si="12"/>
        <v>4.6979999999999995</v>
      </c>
      <c r="AR24" s="9">
        <f t="shared" si="13"/>
        <v>5.8724999999999996</v>
      </c>
      <c r="AS24" s="11">
        <f t="shared" si="14"/>
        <v>1.6573333333333331</v>
      </c>
      <c r="AT24" s="12">
        <f t="shared" si="15"/>
        <v>0.87433333333333307</v>
      </c>
    </row>
    <row r="25" spans="1:46" s="18" customFormat="1" ht="16.5" x14ac:dyDescent="0.4">
      <c r="A25" s="7" t="s">
        <v>152</v>
      </c>
      <c r="B25" s="7" t="s">
        <v>42</v>
      </c>
      <c r="C25" s="7" t="s">
        <v>42</v>
      </c>
      <c r="D25" s="7" t="s">
        <v>153</v>
      </c>
      <c r="E25" s="7" t="s">
        <v>154</v>
      </c>
      <c r="F25" s="7" t="s">
        <v>155</v>
      </c>
      <c r="G25" s="7" t="str">
        <f>VLOOKUP(A25,[1]done!$A:$I,9,0)</f>
        <v>Rodent</v>
      </c>
      <c r="H25" s="7" t="str" cm="1">
        <f t="array" ref="H25">_xlfn.IFS(
OR(ISNUMBER(SEARCH("mouse",E25)),ISNUMBER(SEARCH("rat",E25)),ISNUMBER(SEARCH("mice",E25)),ISNUMBER(SEARCH("rodent",E25))),"Rodent Control",
OR(ISNUMBER(SEARCH("fly",E25)),ISNUMBER(SEARCH("gnat",E25)),ISNUMBER(SEARCH("insect",E25)),ISNUMBER(SEARCH("mosquito",E25))),"Flying Insect Control",
OR(ISNUMBER(SEARCH("roach",E25)),ISNUMBER(SEARCH("ant",E25)),ISNUMBER(SEARCH("spider",E25)),ISNUMBER(SEARCH("cricket",E25)),ISNUMBER(SEARCH("scorpion",E25)),ISNUMBER(SEARCH("centipede",E25)),ISNUMBER(SEARCH("beetle",E25))),"Crawling Insect Control",
OR(ISNUMBER(SEARCH("tree",E25)),ISNUMBER(SEARCH("lantern",E25)),ISNUMBER(SEARCH("garden",E25)),ISNUMBER(SEARCH("plant",E25))),"Garden Pest Control",
OR(ISNUMBER(SEARCH("grass seed",E25)),ISNUMBER(SEARCH("seed mix",E25))),"Grass Seed",
OR(ISNUMBER(SEARCH("lawn food",E25)),ISNUMBER(SEARCH("fertilizer",E25))),"Lawn Fertilizer",
OR(ISNUMBER(SEARCH("patch",E25)),ISNUMBER(SEARCH("repair",E25)),ISNUMBER(SEARCH("thick'r",E25)),ISNUMBER(SEARCH("thick'r lawn",E25)),ISNUMBER(SEARCH("rapid grass",E25))),"Lawn Repair",
OR(ISNUMBER(SEARCH("weed",E25)),ISNUMBER(SEARCH("crabgrass",E25))),"Weed Control",
OR(ISNUMBER(SEARCH("fungicide",E25)),ISNUMBER(SEARCH("moss",E25))),"Disease &amp; Moss Control",
OR(ISNUMBER(SEARCH("plant food",E25)),ISNUMBER(SEARCH("miracid",E25))),"Plant Nutrition",
OR(ISNUMBER(SEARCH("perlite",E25))),"Soil Amendment",
OR(ISNUMBER(SEARCH("spreader",E25)),ISNUMBER(SEARCH("sprayer",E25)),ISNUMBER(SEARCH("mower",E25)),ISNUMBER(SEARCH("sweeper",E25)),ISNUMBER(SEARCH("pruner",E25)),ISNUMBER(SEARCH("trimmer",E25)),ISNUMBER(SEARCH("pole saw",E25))),"Garden Equipment",
TRUE,"Other"
)</f>
        <v>Rodent Control</v>
      </c>
      <c r="I25" s="7" t="str" cm="1">
        <f t="array" ref="I25">_xlfn.IFS(
OR(ISNUMBER(SEARCH("glue trap",E25)),ISNUMBER(SEARCH("glue board",E25))),"Glue Traps",
OR(ISNUMBER(SEARCH("snap trap",E25)),ISNUMBER(SEARCH("power-kill",E25)),ISNUMBER(SEARCH("wide pedal",E25)),ISNUMBER(SEARCH("metal pedal",E25))),"Snap Traps",
OR(ISNUMBER(SEARCH("electronic",E25)),ISNUMBER(SEARCH("zapper",E25))),"Electronic Traps",
OR(ISNUMBER(SEARCH("live catch",E25)),ISNUMBER(SEARCH("multi-catch",E25)),ISNUMBER(SEARCH("catch &amp; hold",E25)),ISNUMBER(SEARCH("tin cat",E25))),"Live Catch Traps",
OR(ISNUMBER(SEARCH("bait",E25)),ISNUMBER(SEARCH("poison",E25))),"Bait &amp; Poison",
ISNUMBER(SEARCH("repellent",E25)),"Repellents",
OR(ISNUMBER(SEARCH("fly trap",E25)),ISNUMBER(SEARCH("fly ribbon",E25)),ISNUMBER(SEARCH("fly stick",E25)),ISNUMBER(SEARCH("window fly",E25)),ISNUMBER(SEARCH("fly magnet",E25))),"Fly Traps",
OR(ISNUMBER(SEARCH("uv",E25)),ISNUMBER(SEARCH("fly light",E25)),ISNUMBER(SEARCH("plug-in",E25))),"UV Fly Traps",
ISNUMBER(SEARCH("roach",E25)),"Roach Traps",
ISNUMBER(SEARCH("ant",E25)),"Ant Traps",
ISNUMBER(SEARCH("spider",E25)),"Spider Traps",
ISNUMBER(SEARCH("mosquito",E25)),"Mosquito Traps",
ISNUMBER(SEARCH("beetle",E25)),"Beetle Traps",
ISNUMBER(SEARCH("lantern",E25)),"Lanternfly Control",
OR(ISNUMBER(SEARCH("tree shield",E25)),ISNUMBER(SEARCH("tree banding",E25)),ISNUMBER(SEARCH("insect barrier",E25))),"Tree Barriers",
OR(ISNUMBER(SEARCH("sun &amp; shade",E25)),ISNUMBER(SEARCH("sun and shade",E25))),"Sun &amp; Shade Mix",
ISNUMBER(SEARCH("tall fescue",E25)),"Tall Fescue",
ISNUMBER(SEARCH("bermudagrass",E25)),"Bermudagrass",
ISNUMBER(SEARCH("kentucky",E25)),"Kentucky Bluegrass",
ISNUMBER(SEARCH("zoysia",E25)),"Zoysia",
ISNUMBER(SEARCH("ryegrass",E25)),"Perennial Ryegrass",
ISNUMBER(SEARCH("centipede",E25)),"Centipede Grass",
ISNUMBER(SEARCH("dense shade",E25)),"Dense Shade Mix",
ISNUMBER(SEARCH("southern gold",E25)),"Southern Gold Mix",
ISNUMBER(SEARCH("heat-tolerant blue",E25)),"Heat-Tolerant Blue Mix",
ISNUMBER(SEARCH("high traffic",E25)),"High Traffic Mix",
ISNUMBER(SEARCH("quick fix",E25)),"Quick Fix Mix",
ISNUMBER(SEARCH("starter",E25)),"Starter Fertilizer",
ISNUMBER(SEARCH("weed &amp; feed",E25)),"Weed &amp; Feed",
ISNUMBER(SEARCH("lawn food",E25)),"Lawn Food",
ISNUMBER(SEARCH("triple action",E25)),"Triple Action Fertilizer",
ISNUMBER(SEARCH("green max",E25)),"Green Max Lawn Food",
ISNUMBER(SEARCH("patchmaster",E25)),"PatchMaster Repair",
ISNUMBER(SEARCH("ez seed",E25)),"EZ Seed Repair",
ISNUMBER(SEARCH("rapid grass",E25)),"Rapid Grass",
ISNUMBER(SEARCH("thick'r lawn",E25)),"Thick'R Lawn",
ISNUMBER(SEARCH("fungicide",E25)),"Fungicide",
ISNUMBER(SEARCH("moss",E25)),"Moss Control",
ISNUMBER(SEARCH("perlite",E25)),"Perlite",
ISNUMBER(SEARCH("plant food",E25)),"Plant Food",
ISNUMBER(SEARCH("spreader",E25)),"Spreader",
ISNUMBER(SEARCH("sprayer",E25)),"Sprayer",
ISNUMBER(SEARCH("mower",E25)),"Lawn Mower",
ISNUMBER(SEARCH("sweeper",E25)),"Lawn Sweeper",
OR(ISNUMBER(SEARCH("pruner",E25)),ISNUMBER(SEARCH("trimmer",E25)),ISNUMBER(SEARCH("pole saw",E25))),"Pruning Tools",
TRUE,"Other"
)</f>
        <v>Glue Traps</v>
      </c>
      <c r="J25" s="7" t="str">
        <f t="shared" si="2"/>
        <v>Rodent Control - Glue Traps</v>
      </c>
      <c r="K25" s="7">
        <v>2000</v>
      </c>
      <c r="L25" s="7">
        <v>4.4000000000000004</v>
      </c>
      <c r="M25" s="7">
        <v>3955</v>
      </c>
      <c r="N25" s="7" t="s">
        <v>114</v>
      </c>
      <c r="O25" s="7">
        <f>VLOOKUP(A25,[2]Sheet1!$A:$B,2,0)</f>
        <v>600</v>
      </c>
      <c r="P25" s="7">
        <f>VLOOKUP(A25,[2]Sheet1!$A:$C,3,0)</f>
        <v>800</v>
      </c>
      <c r="Q25" s="7">
        <f>VLOOKUP(A25,[2]Sheet1!$A:$D,4,0)</f>
        <v>800</v>
      </c>
      <c r="R25" s="7">
        <f>VLOOKUP(A25,[2]Sheet1!$A:$E,5,0)</f>
        <v>0</v>
      </c>
      <c r="S25" s="7">
        <f>VLOOKUP(A25,[2]Sheet1!$A:$F,6,0)</f>
        <v>700</v>
      </c>
      <c r="T25" s="7">
        <f>VLOOKUP(A25,[2]Sheet1!$A:$G,7,0)</f>
        <v>2000</v>
      </c>
      <c r="U25" s="7">
        <f>VLOOKUP(A25,[2]Sheet1!$A:$H,8,0)</f>
        <v>1000</v>
      </c>
      <c r="V25" s="7">
        <f>VLOOKUP(A25,[2]Sheet1!$A:$I,9,0)</f>
        <v>1000</v>
      </c>
      <c r="W25" s="7">
        <f>VLOOKUP(A25,[2]Sheet1!$A:$K,10,0)</f>
        <v>2000</v>
      </c>
      <c r="X25" s="7">
        <f>VLOOKUP(A25,[2]Sheet1!$A:$L,11,0)</f>
        <v>2000</v>
      </c>
      <c r="Y25" s="7">
        <f>VLOOKUP(A25,[2]Sheet1!$A:$L,12,0)</f>
        <v>2000</v>
      </c>
      <c r="Z25" s="7">
        <f>VLOOKUP(A25,[2]Sheet1!$A:$M,13,0)</f>
        <v>2000</v>
      </c>
      <c r="AA25" s="7">
        <f t="shared" si="0"/>
        <v>14900</v>
      </c>
      <c r="AB25" s="7">
        <f t="shared" si="3"/>
        <v>1242</v>
      </c>
      <c r="AC25" s="8">
        <f t="shared" si="1"/>
        <v>1241.6666666666667</v>
      </c>
      <c r="AD25" s="9">
        <f t="shared" si="4"/>
        <v>282951</v>
      </c>
      <c r="AE25" s="9">
        <f t="shared" si="5"/>
        <v>23579.25</v>
      </c>
      <c r="AF25" s="9">
        <v>5.61</v>
      </c>
      <c r="AG25" s="9">
        <v>18.989999999999998</v>
      </c>
      <c r="AH25" s="9">
        <f t="shared" si="6"/>
        <v>6.5733333333333199E-2</v>
      </c>
      <c r="AI25" s="9">
        <f t="shared" si="7"/>
        <v>0.23006666666666617</v>
      </c>
      <c r="AJ25" s="10">
        <v>0.5</v>
      </c>
      <c r="AK25" s="10">
        <v>0.5</v>
      </c>
      <c r="AL25" s="9">
        <v>5.61</v>
      </c>
      <c r="AM25" s="9">
        <f t="shared" si="8"/>
        <v>2.8484999999999996</v>
      </c>
      <c r="AN25" s="9">
        <f t="shared" si="9"/>
        <v>0.56969999999999998</v>
      </c>
      <c r="AO25" s="9">
        <f t="shared" si="10"/>
        <v>3.798</v>
      </c>
      <c r="AP25" s="9">
        <f t="shared" si="11"/>
        <v>0.37979999999999997</v>
      </c>
      <c r="AQ25" s="9">
        <f t="shared" si="12"/>
        <v>3.798</v>
      </c>
      <c r="AR25" s="9">
        <f t="shared" si="13"/>
        <v>4.7474999999999996</v>
      </c>
      <c r="AS25" s="11">
        <f t="shared" si="14"/>
        <v>0.65733333333333199</v>
      </c>
      <c r="AT25" s="12">
        <f t="shared" si="15"/>
        <v>2.4333333333332281E-2</v>
      </c>
    </row>
    <row r="26" spans="1:46" ht="16.5" x14ac:dyDescent="0.4">
      <c r="A26" s="1" t="s">
        <v>156</v>
      </c>
      <c r="B26" s="7" t="s">
        <v>42</v>
      </c>
      <c r="C26" s="7" t="s">
        <v>42</v>
      </c>
      <c r="D26" s="1" t="s">
        <v>157</v>
      </c>
      <c r="E26" s="1" t="s">
        <v>158</v>
      </c>
      <c r="F26" s="1" t="s">
        <v>159</v>
      </c>
      <c r="G26" s="7" t="str">
        <f>VLOOKUP(A26,[1]done!$A:$I,9,0)</f>
        <v>Other crawling insects</v>
      </c>
      <c r="H26" s="7" t="str" cm="1">
        <f t="array" ref="H26">_xlfn.IFS(
OR(ISNUMBER(SEARCH("mouse",E26)),ISNUMBER(SEARCH("rat",E26)),ISNUMBER(SEARCH("mice",E26)),ISNUMBER(SEARCH("rodent",E26))),"Rodent Control",
OR(ISNUMBER(SEARCH("fly",E26)),ISNUMBER(SEARCH("gnat",E26)),ISNUMBER(SEARCH("insect",E26)),ISNUMBER(SEARCH("mosquito",E26))),"Flying Insect Control",
OR(ISNUMBER(SEARCH("roach",E26)),ISNUMBER(SEARCH("ant",E26)),ISNUMBER(SEARCH("spider",E26)),ISNUMBER(SEARCH("cricket",E26)),ISNUMBER(SEARCH("scorpion",E26)),ISNUMBER(SEARCH("centipede",E26)),ISNUMBER(SEARCH("beetle",E26))),"Crawling Insect Control",
OR(ISNUMBER(SEARCH("tree",E26)),ISNUMBER(SEARCH("lantern",E26)),ISNUMBER(SEARCH("garden",E26)),ISNUMBER(SEARCH("plant",E26))),"Garden Pest Control",
OR(ISNUMBER(SEARCH("grass seed",E26)),ISNUMBER(SEARCH("seed mix",E26))),"Grass Seed",
OR(ISNUMBER(SEARCH("lawn food",E26)),ISNUMBER(SEARCH("fertilizer",E26))),"Lawn Fertilizer",
OR(ISNUMBER(SEARCH("patch",E26)),ISNUMBER(SEARCH("repair",E26)),ISNUMBER(SEARCH("thick'r",E26)),ISNUMBER(SEARCH("thick'r lawn",E26)),ISNUMBER(SEARCH("rapid grass",E26))),"Lawn Repair",
OR(ISNUMBER(SEARCH("weed",E26)),ISNUMBER(SEARCH("crabgrass",E26))),"Weed Control",
OR(ISNUMBER(SEARCH("fungicide",E26)),ISNUMBER(SEARCH("moss",E26))),"Disease &amp; Moss Control",
OR(ISNUMBER(SEARCH("plant food",E26)),ISNUMBER(SEARCH("miracid",E26))),"Plant Nutrition",
OR(ISNUMBER(SEARCH("perlite",E26))),"Soil Amendment",
OR(ISNUMBER(SEARCH("spreader",E26)),ISNUMBER(SEARCH("sprayer",E26)),ISNUMBER(SEARCH("mower",E26)),ISNUMBER(SEARCH("sweeper",E26)),ISNUMBER(SEARCH("pruner",E26)),ISNUMBER(SEARCH("trimmer",E26)),ISNUMBER(SEARCH("pole saw",E26))),"Garden Equipment",
TRUE,"Other"
)</f>
        <v>Crawling Insect Control</v>
      </c>
      <c r="I26" s="7" t="str" cm="1">
        <f t="array" ref="I26">_xlfn.IFS(
OR(ISNUMBER(SEARCH("glue trap",E26)),ISNUMBER(SEARCH("glue board",E26))),"Glue Traps",
OR(ISNUMBER(SEARCH("snap trap",E26)),ISNUMBER(SEARCH("power-kill",E26)),ISNUMBER(SEARCH("wide pedal",E26)),ISNUMBER(SEARCH("metal pedal",E26))),"Snap Traps",
OR(ISNUMBER(SEARCH("electronic",E26)),ISNUMBER(SEARCH("zapper",E26))),"Electronic Traps",
OR(ISNUMBER(SEARCH("live catch",E26)),ISNUMBER(SEARCH("multi-catch",E26)),ISNUMBER(SEARCH("catch &amp; hold",E26)),ISNUMBER(SEARCH("tin cat",E26))),"Live Catch Traps",
OR(ISNUMBER(SEARCH("bait",E26)),ISNUMBER(SEARCH("poison",E26))),"Bait &amp; Poison",
ISNUMBER(SEARCH("repellent",E26)),"Repellents",
OR(ISNUMBER(SEARCH("fly trap",E26)),ISNUMBER(SEARCH("fly ribbon",E26)),ISNUMBER(SEARCH("fly stick",E26)),ISNUMBER(SEARCH("window fly",E26)),ISNUMBER(SEARCH("fly magnet",E26))),"Fly Traps",
OR(ISNUMBER(SEARCH("uv",E26)),ISNUMBER(SEARCH("fly light",E26)),ISNUMBER(SEARCH("plug-in",E26))),"UV Fly Traps",
ISNUMBER(SEARCH("roach",E26)),"Roach Traps",
ISNUMBER(SEARCH("ant",E26)),"Ant Traps",
ISNUMBER(SEARCH("spider",E26)),"Spider Traps",
ISNUMBER(SEARCH("mosquito",E26)),"Mosquito Traps",
ISNUMBER(SEARCH("beetle",E26)),"Beetle Traps",
ISNUMBER(SEARCH("lantern",E26)),"Lanternfly Control",
OR(ISNUMBER(SEARCH("tree shield",E26)),ISNUMBER(SEARCH("tree banding",E26)),ISNUMBER(SEARCH("insect barrier",E26))),"Tree Barriers",
OR(ISNUMBER(SEARCH("sun &amp; shade",E26)),ISNUMBER(SEARCH("sun and shade",E26))),"Sun &amp; Shade Mix",
ISNUMBER(SEARCH("tall fescue",E26)),"Tall Fescue",
ISNUMBER(SEARCH("bermudagrass",E26)),"Bermudagrass",
ISNUMBER(SEARCH("kentucky",E26)),"Kentucky Bluegrass",
ISNUMBER(SEARCH("zoysia",E26)),"Zoysia",
ISNUMBER(SEARCH("ryegrass",E26)),"Perennial Ryegrass",
ISNUMBER(SEARCH("centipede",E26)),"Centipede Grass",
ISNUMBER(SEARCH("dense shade",E26)),"Dense Shade Mix",
ISNUMBER(SEARCH("southern gold",E26)),"Southern Gold Mix",
ISNUMBER(SEARCH("heat-tolerant blue",E26)),"Heat-Tolerant Blue Mix",
ISNUMBER(SEARCH("high traffic",E26)),"High Traffic Mix",
ISNUMBER(SEARCH("quick fix",E26)),"Quick Fix Mix",
ISNUMBER(SEARCH("starter",E26)),"Starter Fertilizer",
ISNUMBER(SEARCH("weed &amp; feed",E26)),"Weed &amp; Feed",
ISNUMBER(SEARCH("lawn food",E26)),"Lawn Food",
ISNUMBER(SEARCH("triple action",E26)),"Triple Action Fertilizer",
ISNUMBER(SEARCH("green max",E26)),"Green Max Lawn Food",
ISNUMBER(SEARCH("patchmaster",E26)),"PatchMaster Repair",
ISNUMBER(SEARCH("ez seed",E26)),"EZ Seed Repair",
ISNUMBER(SEARCH("rapid grass",E26)),"Rapid Grass",
ISNUMBER(SEARCH("thick'r lawn",E26)),"Thick'R Lawn",
ISNUMBER(SEARCH("fungicide",E26)),"Fungicide",
ISNUMBER(SEARCH("moss",E26)),"Moss Control",
ISNUMBER(SEARCH("perlite",E26)),"Perlite",
ISNUMBER(SEARCH("plant food",E26)),"Plant Food",
ISNUMBER(SEARCH("spreader",E26)),"Spreader",
ISNUMBER(SEARCH("sprayer",E26)),"Sprayer",
ISNUMBER(SEARCH("mower",E26)),"Lawn Mower",
ISNUMBER(SEARCH("sweeper",E26)),"Lawn Sweeper",
OR(ISNUMBER(SEARCH("pruner",E26)),ISNUMBER(SEARCH("trimmer",E26)),ISNUMBER(SEARCH("pole saw",E26))),"Pruning Tools",
TRUE,"Other"
)</f>
        <v>Bait &amp; Poison</v>
      </c>
      <c r="J26" s="7" t="str">
        <f t="shared" si="2"/>
        <v>Crawling Insect Control - Bait &amp; Poison</v>
      </c>
      <c r="K26" s="1">
        <v>2000</v>
      </c>
      <c r="L26" s="1">
        <v>4.0999999999999996</v>
      </c>
      <c r="M26" s="1">
        <v>1733</v>
      </c>
      <c r="N26" s="1"/>
      <c r="O26" s="1">
        <f>VLOOKUP(A26,[2]Sheet1!$A:$B,2,0)</f>
        <v>1000</v>
      </c>
      <c r="P26" s="1">
        <f>VLOOKUP(A26,[2]Sheet1!$A:$C,3,0)</f>
        <v>2000</v>
      </c>
      <c r="Q26" s="7">
        <f>VLOOKUP(A26,[2]Sheet1!$A:$D,4,0)</f>
        <v>4000</v>
      </c>
      <c r="R26" s="7">
        <f>VLOOKUP(A26,[2]Sheet1!$A:$E,5,0)</f>
        <v>5000</v>
      </c>
      <c r="S26" s="7">
        <f>VLOOKUP(A26,[2]Sheet1!$A:$F,6,0)</f>
        <v>5000</v>
      </c>
      <c r="T26" s="7">
        <f>VLOOKUP(A26,[2]Sheet1!$A:$G,7,0)</f>
        <v>9000</v>
      </c>
      <c r="U26" s="7">
        <f>VLOOKUP(A26,[2]Sheet1!$A:$H,8,0)</f>
        <v>7000</v>
      </c>
      <c r="V26" s="7">
        <f>VLOOKUP(A26,[2]Sheet1!$A:$I,9,0)</f>
        <v>3000</v>
      </c>
      <c r="W26" s="7">
        <f>VLOOKUP(A26,[2]Sheet1!$A:$K,10,0)</f>
        <v>2000</v>
      </c>
      <c r="X26" s="7">
        <f>VLOOKUP(A26,[2]Sheet1!$A:$L,11,0)</f>
        <v>2000</v>
      </c>
      <c r="Y26" s="7">
        <f>VLOOKUP(A26,[2]Sheet1!$A:$L,12,0)</f>
        <v>1000</v>
      </c>
      <c r="Z26" s="7">
        <f>VLOOKUP(A26,[2]Sheet1!$A:$M,13,0)</f>
        <v>1000</v>
      </c>
      <c r="AA26" s="1">
        <f t="shared" si="0"/>
        <v>42000</v>
      </c>
      <c r="AB26" s="7">
        <f t="shared" si="3"/>
        <v>3500</v>
      </c>
      <c r="AC26" s="13">
        <f t="shared" si="1"/>
        <v>3500</v>
      </c>
      <c r="AD26" s="9">
        <f t="shared" si="4"/>
        <v>839579.99999999988</v>
      </c>
      <c r="AE26" s="9">
        <f t="shared" si="5"/>
        <v>69965</v>
      </c>
      <c r="AF26" s="11">
        <v>4.09</v>
      </c>
      <c r="AG26" s="11">
        <v>19.989999999999998</v>
      </c>
      <c r="AH26" s="9">
        <f t="shared" si="6"/>
        <v>0.19373333333333323</v>
      </c>
      <c r="AI26" s="11">
        <f t="shared" si="7"/>
        <v>0.67806666666666626</v>
      </c>
      <c r="AJ26" s="14">
        <v>0.5</v>
      </c>
      <c r="AK26" s="14">
        <v>0.5</v>
      </c>
      <c r="AL26" s="11">
        <v>4.09</v>
      </c>
      <c r="AM26" s="9">
        <f t="shared" si="8"/>
        <v>2.9984999999999995</v>
      </c>
      <c r="AN26" s="9">
        <f t="shared" si="9"/>
        <v>0.5996999999999999</v>
      </c>
      <c r="AO26" s="9">
        <f t="shared" si="10"/>
        <v>3.9979999999999998</v>
      </c>
      <c r="AP26" s="9">
        <f t="shared" si="11"/>
        <v>0.39979999999999999</v>
      </c>
      <c r="AQ26" s="9">
        <f t="shared" si="12"/>
        <v>3.9979999999999998</v>
      </c>
      <c r="AR26" s="9">
        <f t="shared" si="13"/>
        <v>4.9974999999999996</v>
      </c>
      <c r="AS26" s="11">
        <f t="shared" si="14"/>
        <v>1.9373333333333322</v>
      </c>
      <c r="AT26" s="12">
        <f t="shared" si="15"/>
        <v>1.270999999999999</v>
      </c>
    </row>
    <row r="27" spans="1:46" ht="16.5" x14ac:dyDescent="0.4">
      <c r="A27" s="1" t="s">
        <v>160</v>
      </c>
      <c r="B27" s="7" t="s">
        <v>42</v>
      </c>
      <c r="C27" s="7" t="s">
        <v>42</v>
      </c>
      <c r="D27" s="1" t="s">
        <v>161</v>
      </c>
      <c r="E27" s="1" t="s">
        <v>162</v>
      </c>
      <c r="F27" s="1" t="s">
        <v>163</v>
      </c>
      <c r="G27" s="7" t="str">
        <f>VLOOKUP(A27,[1]done!$A:$I,9,0)</f>
        <v>Rodent</v>
      </c>
      <c r="H27" s="7" t="str" cm="1">
        <f t="array" ref="H27">_xlfn.IFS(
OR(ISNUMBER(SEARCH("mouse",E27)),ISNUMBER(SEARCH("rat",E27)),ISNUMBER(SEARCH("mice",E27)),ISNUMBER(SEARCH("rodent",E27))),"Rodent Control",
OR(ISNUMBER(SEARCH("fly",E27)),ISNUMBER(SEARCH("gnat",E27)),ISNUMBER(SEARCH("insect",E27)),ISNUMBER(SEARCH("mosquito",E27))),"Flying Insect Control",
OR(ISNUMBER(SEARCH("roach",E27)),ISNUMBER(SEARCH("ant",E27)),ISNUMBER(SEARCH("spider",E27)),ISNUMBER(SEARCH("cricket",E27)),ISNUMBER(SEARCH("scorpion",E27)),ISNUMBER(SEARCH("centipede",E27)),ISNUMBER(SEARCH("beetle",E27))),"Crawling Insect Control",
OR(ISNUMBER(SEARCH("tree",E27)),ISNUMBER(SEARCH("lantern",E27)),ISNUMBER(SEARCH("garden",E27)),ISNUMBER(SEARCH("plant",E27))),"Garden Pest Control",
OR(ISNUMBER(SEARCH("grass seed",E27)),ISNUMBER(SEARCH("seed mix",E27))),"Grass Seed",
OR(ISNUMBER(SEARCH("lawn food",E27)),ISNUMBER(SEARCH("fertilizer",E27))),"Lawn Fertilizer",
OR(ISNUMBER(SEARCH("patch",E27)),ISNUMBER(SEARCH("repair",E27)),ISNUMBER(SEARCH("thick'r",E27)),ISNUMBER(SEARCH("thick'r lawn",E27)),ISNUMBER(SEARCH("rapid grass",E27))),"Lawn Repair",
OR(ISNUMBER(SEARCH("weed",E27)),ISNUMBER(SEARCH("crabgrass",E27))),"Weed Control",
OR(ISNUMBER(SEARCH("fungicide",E27)),ISNUMBER(SEARCH("moss",E27))),"Disease &amp; Moss Control",
OR(ISNUMBER(SEARCH("plant food",E27)),ISNUMBER(SEARCH("miracid",E27))),"Plant Nutrition",
OR(ISNUMBER(SEARCH("perlite",E27))),"Soil Amendment",
OR(ISNUMBER(SEARCH("spreader",E27)),ISNUMBER(SEARCH("sprayer",E27)),ISNUMBER(SEARCH("mower",E27)),ISNUMBER(SEARCH("sweeper",E27)),ISNUMBER(SEARCH("pruner",E27)),ISNUMBER(SEARCH("trimmer",E27)),ISNUMBER(SEARCH("pole saw",E27))),"Garden Equipment",
TRUE,"Other"
)</f>
        <v>Rodent Control</v>
      </c>
      <c r="I27" s="7" t="str" cm="1">
        <f t="array" ref="I27">_xlfn.IFS(
OR(ISNUMBER(SEARCH("glue trap",E27)),ISNUMBER(SEARCH("glue board",E27))),"Glue Traps",
OR(ISNUMBER(SEARCH("snap trap",E27)),ISNUMBER(SEARCH("power-kill",E27)),ISNUMBER(SEARCH("wide pedal",E27)),ISNUMBER(SEARCH("metal pedal",E27))),"Snap Traps",
OR(ISNUMBER(SEARCH("electronic",E27)),ISNUMBER(SEARCH("zapper",E27))),"Electronic Traps",
OR(ISNUMBER(SEARCH("live catch",E27)),ISNUMBER(SEARCH("multi-catch",E27)),ISNUMBER(SEARCH("catch &amp; hold",E27)),ISNUMBER(SEARCH("tin cat",E27))),"Live Catch Traps",
OR(ISNUMBER(SEARCH("bait",E27)),ISNUMBER(SEARCH("poison",E27))),"Bait &amp; Poison",
ISNUMBER(SEARCH("repellent",E27)),"Repellents",
OR(ISNUMBER(SEARCH("fly trap",E27)),ISNUMBER(SEARCH("fly ribbon",E27)),ISNUMBER(SEARCH("fly stick",E27)),ISNUMBER(SEARCH("window fly",E27)),ISNUMBER(SEARCH("fly magnet",E27))),"Fly Traps",
OR(ISNUMBER(SEARCH("uv",E27)),ISNUMBER(SEARCH("fly light",E27)),ISNUMBER(SEARCH("plug-in",E27))),"UV Fly Traps",
ISNUMBER(SEARCH("roach",E27)),"Roach Traps",
ISNUMBER(SEARCH("ant",E27)),"Ant Traps",
ISNUMBER(SEARCH("spider",E27)),"Spider Traps",
ISNUMBER(SEARCH("mosquito",E27)),"Mosquito Traps",
ISNUMBER(SEARCH("beetle",E27)),"Beetle Traps",
ISNUMBER(SEARCH("lantern",E27)),"Lanternfly Control",
OR(ISNUMBER(SEARCH("tree shield",E27)),ISNUMBER(SEARCH("tree banding",E27)),ISNUMBER(SEARCH("insect barrier",E27))),"Tree Barriers",
OR(ISNUMBER(SEARCH("sun &amp; shade",E27)),ISNUMBER(SEARCH("sun and shade",E27))),"Sun &amp; Shade Mix",
ISNUMBER(SEARCH("tall fescue",E27)),"Tall Fescue",
ISNUMBER(SEARCH("bermudagrass",E27)),"Bermudagrass",
ISNUMBER(SEARCH("kentucky",E27)),"Kentucky Bluegrass",
ISNUMBER(SEARCH("zoysia",E27)),"Zoysia",
ISNUMBER(SEARCH("ryegrass",E27)),"Perennial Ryegrass",
ISNUMBER(SEARCH("centipede",E27)),"Centipede Grass",
ISNUMBER(SEARCH("dense shade",E27)),"Dense Shade Mix",
ISNUMBER(SEARCH("southern gold",E27)),"Southern Gold Mix",
ISNUMBER(SEARCH("heat-tolerant blue",E27)),"Heat-Tolerant Blue Mix",
ISNUMBER(SEARCH("high traffic",E27)),"High Traffic Mix",
ISNUMBER(SEARCH("quick fix",E27)),"Quick Fix Mix",
ISNUMBER(SEARCH("starter",E27)),"Starter Fertilizer",
ISNUMBER(SEARCH("weed &amp; feed",E27)),"Weed &amp; Feed",
ISNUMBER(SEARCH("lawn food",E27)),"Lawn Food",
ISNUMBER(SEARCH("triple action",E27)),"Triple Action Fertilizer",
ISNUMBER(SEARCH("green max",E27)),"Green Max Lawn Food",
ISNUMBER(SEARCH("patchmaster",E27)),"PatchMaster Repair",
ISNUMBER(SEARCH("ez seed",E27)),"EZ Seed Repair",
ISNUMBER(SEARCH("rapid grass",E27)),"Rapid Grass",
ISNUMBER(SEARCH("thick'r lawn",E27)),"Thick'R Lawn",
ISNUMBER(SEARCH("fungicide",E27)),"Fungicide",
ISNUMBER(SEARCH("moss",E27)),"Moss Control",
ISNUMBER(SEARCH("perlite",E27)),"Perlite",
ISNUMBER(SEARCH("plant food",E27)),"Plant Food",
ISNUMBER(SEARCH("spreader",E27)),"Spreader",
ISNUMBER(SEARCH("sprayer",E27)),"Sprayer",
ISNUMBER(SEARCH("mower",E27)),"Lawn Mower",
ISNUMBER(SEARCH("sweeper",E27)),"Lawn Sweeper",
OR(ISNUMBER(SEARCH("pruner",E27)),ISNUMBER(SEARCH("trimmer",E27)),ISNUMBER(SEARCH("pole saw",E27))),"Pruning Tools",
TRUE,"Other"
)</f>
        <v>Glue Traps</v>
      </c>
      <c r="J27" s="7" t="str">
        <f t="shared" si="2"/>
        <v>Rodent Control - Glue Traps</v>
      </c>
      <c r="K27" s="1">
        <v>1000</v>
      </c>
      <c r="L27" s="1">
        <v>4.2</v>
      </c>
      <c r="M27" s="1">
        <v>1077</v>
      </c>
      <c r="N27" s="1" t="s">
        <v>114</v>
      </c>
      <c r="O27" s="1">
        <f>VLOOKUP(A27,[2]Sheet1!$A:$B,2,0)</f>
        <v>800</v>
      </c>
      <c r="P27" s="1">
        <f>VLOOKUP(A27,[2]Sheet1!$A:$C,3,0)</f>
        <v>800</v>
      </c>
      <c r="Q27" s="7">
        <f>VLOOKUP(A27,[2]Sheet1!$A:$D,4,0)</f>
        <v>1000</v>
      </c>
      <c r="R27" s="7">
        <f>VLOOKUP(A27,[2]Sheet1!$A:$E,5,0)</f>
        <v>1000</v>
      </c>
      <c r="S27" s="7">
        <f>VLOOKUP(A27,[2]Sheet1!$A:$F,6,0)</f>
        <v>800</v>
      </c>
      <c r="T27" s="7">
        <f>VLOOKUP(A27,[2]Sheet1!$A:$G,7,0)</f>
        <v>500</v>
      </c>
      <c r="U27" s="7">
        <f>VLOOKUP(A27,[2]Sheet1!$A:$H,8,0)</f>
        <v>1000</v>
      </c>
      <c r="V27" s="7">
        <f>VLOOKUP(A27,[2]Sheet1!$A:$I,9,0)</f>
        <v>900</v>
      </c>
      <c r="W27" s="7">
        <f>VLOOKUP(A27,[2]Sheet1!$A:$K,10,0)</f>
        <v>1000</v>
      </c>
      <c r="X27" s="7">
        <f>VLOOKUP(A27,[2]Sheet1!$A:$L,11,0)</f>
        <v>1000</v>
      </c>
      <c r="Y27" s="7">
        <f>VLOOKUP(A27,[2]Sheet1!$A:$L,12,0)</f>
        <v>1000</v>
      </c>
      <c r="Z27" s="7">
        <f>VLOOKUP(A27,[2]Sheet1!$A:$M,13,0)</f>
        <v>1000</v>
      </c>
      <c r="AA27" s="1">
        <f t="shared" si="0"/>
        <v>10800</v>
      </c>
      <c r="AB27" s="7">
        <f t="shared" si="3"/>
        <v>900</v>
      </c>
      <c r="AC27" s="13">
        <f t="shared" si="1"/>
        <v>900</v>
      </c>
      <c r="AD27" s="9">
        <f t="shared" si="4"/>
        <v>443772.00000000006</v>
      </c>
      <c r="AE27" s="9">
        <f t="shared" si="5"/>
        <v>36981</v>
      </c>
      <c r="AF27" s="11">
        <v>7.3</v>
      </c>
      <c r="AG27" s="11">
        <v>41.09</v>
      </c>
      <c r="AH27" s="9">
        <f t="shared" si="6"/>
        <v>0.54239999999999988</v>
      </c>
      <c r="AI27" s="11">
        <f t="shared" si="7"/>
        <v>1.8983999999999994</v>
      </c>
      <c r="AJ27" s="14">
        <v>0.5</v>
      </c>
      <c r="AK27" s="14">
        <v>0.5</v>
      </c>
      <c r="AL27" s="11">
        <v>7.3</v>
      </c>
      <c r="AM27" s="9">
        <f t="shared" si="8"/>
        <v>6.1635</v>
      </c>
      <c r="AN27" s="9">
        <f t="shared" si="9"/>
        <v>1.2327000000000001</v>
      </c>
      <c r="AO27" s="9">
        <f t="shared" si="10"/>
        <v>8.2180000000000017</v>
      </c>
      <c r="AP27" s="9">
        <f t="shared" si="11"/>
        <v>0.82180000000000009</v>
      </c>
      <c r="AQ27" s="9">
        <f t="shared" si="12"/>
        <v>8.2180000000000017</v>
      </c>
      <c r="AR27" s="9">
        <f t="shared" si="13"/>
        <v>10.272500000000001</v>
      </c>
      <c r="AS27" s="11">
        <f t="shared" si="14"/>
        <v>5.4239999999999986</v>
      </c>
      <c r="AT27" s="12">
        <f t="shared" si="15"/>
        <v>4.0543333333333322</v>
      </c>
    </row>
    <row r="28" spans="1:46" ht="16.5" x14ac:dyDescent="0.4">
      <c r="A28" s="1" t="s">
        <v>164</v>
      </c>
      <c r="B28" s="7" t="s">
        <v>42</v>
      </c>
      <c r="C28" s="7" t="s">
        <v>42</v>
      </c>
      <c r="D28" s="1" t="s">
        <v>165</v>
      </c>
      <c r="E28" s="1" t="s">
        <v>166</v>
      </c>
      <c r="F28" s="1" t="s">
        <v>167</v>
      </c>
      <c r="G28" s="7" t="str">
        <f>VLOOKUP(A28,[1]done!$A:$I,9,0)</f>
        <v>Rodent</v>
      </c>
      <c r="H28" s="7" t="str" cm="1">
        <f t="array" ref="H28">_xlfn.IFS(
OR(ISNUMBER(SEARCH("mouse",E28)),ISNUMBER(SEARCH("rat",E28)),ISNUMBER(SEARCH("mice",E28)),ISNUMBER(SEARCH("rodent",E28))),"Rodent Control",
OR(ISNUMBER(SEARCH("fly",E28)),ISNUMBER(SEARCH("gnat",E28)),ISNUMBER(SEARCH("insect",E28)),ISNUMBER(SEARCH("mosquito",E28))),"Flying Insect Control",
OR(ISNUMBER(SEARCH("roach",E28)),ISNUMBER(SEARCH("ant",E28)),ISNUMBER(SEARCH("spider",E28)),ISNUMBER(SEARCH("cricket",E28)),ISNUMBER(SEARCH("scorpion",E28)),ISNUMBER(SEARCH("centipede",E28)),ISNUMBER(SEARCH("beetle",E28))),"Crawling Insect Control",
OR(ISNUMBER(SEARCH("tree",E28)),ISNUMBER(SEARCH("lantern",E28)),ISNUMBER(SEARCH("garden",E28)),ISNUMBER(SEARCH("plant",E28))),"Garden Pest Control",
OR(ISNUMBER(SEARCH("grass seed",E28)),ISNUMBER(SEARCH("seed mix",E28))),"Grass Seed",
OR(ISNUMBER(SEARCH("lawn food",E28)),ISNUMBER(SEARCH("fertilizer",E28))),"Lawn Fertilizer",
OR(ISNUMBER(SEARCH("patch",E28)),ISNUMBER(SEARCH("repair",E28)),ISNUMBER(SEARCH("thick'r",E28)),ISNUMBER(SEARCH("thick'r lawn",E28)),ISNUMBER(SEARCH("rapid grass",E28))),"Lawn Repair",
OR(ISNUMBER(SEARCH("weed",E28)),ISNUMBER(SEARCH("crabgrass",E28))),"Weed Control",
OR(ISNUMBER(SEARCH("fungicide",E28)),ISNUMBER(SEARCH("moss",E28))),"Disease &amp; Moss Control",
OR(ISNUMBER(SEARCH("plant food",E28)),ISNUMBER(SEARCH("miracid",E28))),"Plant Nutrition",
OR(ISNUMBER(SEARCH("perlite",E28))),"Soil Amendment",
OR(ISNUMBER(SEARCH("spreader",E28)),ISNUMBER(SEARCH("sprayer",E28)),ISNUMBER(SEARCH("mower",E28)),ISNUMBER(SEARCH("sweeper",E28)),ISNUMBER(SEARCH("pruner",E28)),ISNUMBER(SEARCH("trimmer",E28)),ISNUMBER(SEARCH("pole saw",E28))),"Garden Equipment",
TRUE,"Other"
)</f>
        <v>Rodent Control</v>
      </c>
      <c r="I28" s="7" t="str" cm="1">
        <f t="array" ref="I28">_xlfn.IFS(
OR(ISNUMBER(SEARCH("glue trap",E28)),ISNUMBER(SEARCH("glue board",E28))),"Glue Traps",
OR(ISNUMBER(SEARCH("snap trap",E28)),ISNUMBER(SEARCH("power-kill",E28)),ISNUMBER(SEARCH("wide pedal",E28)),ISNUMBER(SEARCH("metal pedal",E28))),"Snap Traps",
OR(ISNUMBER(SEARCH("electronic",E28)),ISNUMBER(SEARCH("zapper",E28))),"Electronic Traps",
OR(ISNUMBER(SEARCH("live catch",E28)),ISNUMBER(SEARCH("multi-catch",E28)),ISNUMBER(SEARCH("catch &amp; hold",E28)),ISNUMBER(SEARCH("tin cat",E28))),"Live Catch Traps",
OR(ISNUMBER(SEARCH("bait",E28)),ISNUMBER(SEARCH("poison",E28))),"Bait &amp; Poison",
ISNUMBER(SEARCH("repellent",E28)),"Repellents",
OR(ISNUMBER(SEARCH("fly trap",E28)),ISNUMBER(SEARCH("fly ribbon",E28)),ISNUMBER(SEARCH("fly stick",E28)),ISNUMBER(SEARCH("window fly",E28)),ISNUMBER(SEARCH("fly magnet",E28))),"Fly Traps",
OR(ISNUMBER(SEARCH("uv",E28)),ISNUMBER(SEARCH("fly light",E28)),ISNUMBER(SEARCH("plug-in",E28))),"UV Fly Traps",
ISNUMBER(SEARCH("roach",E28)),"Roach Traps",
ISNUMBER(SEARCH("ant",E28)),"Ant Traps",
ISNUMBER(SEARCH("spider",E28)),"Spider Traps",
ISNUMBER(SEARCH("mosquito",E28)),"Mosquito Traps",
ISNUMBER(SEARCH("beetle",E28)),"Beetle Traps",
ISNUMBER(SEARCH("lantern",E28)),"Lanternfly Control",
OR(ISNUMBER(SEARCH("tree shield",E28)),ISNUMBER(SEARCH("tree banding",E28)),ISNUMBER(SEARCH("insect barrier",E28))),"Tree Barriers",
OR(ISNUMBER(SEARCH("sun &amp; shade",E28)),ISNUMBER(SEARCH("sun and shade",E28))),"Sun &amp; Shade Mix",
ISNUMBER(SEARCH("tall fescue",E28)),"Tall Fescue",
ISNUMBER(SEARCH("bermudagrass",E28)),"Bermudagrass",
ISNUMBER(SEARCH("kentucky",E28)),"Kentucky Bluegrass",
ISNUMBER(SEARCH("zoysia",E28)),"Zoysia",
ISNUMBER(SEARCH("ryegrass",E28)),"Perennial Ryegrass",
ISNUMBER(SEARCH("centipede",E28)),"Centipede Grass",
ISNUMBER(SEARCH("dense shade",E28)),"Dense Shade Mix",
ISNUMBER(SEARCH("southern gold",E28)),"Southern Gold Mix",
ISNUMBER(SEARCH("heat-tolerant blue",E28)),"Heat-Tolerant Blue Mix",
ISNUMBER(SEARCH("high traffic",E28)),"High Traffic Mix",
ISNUMBER(SEARCH("quick fix",E28)),"Quick Fix Mix",
ISNUMBER(SEARCH("starter",E28)),"Starter Fertilizer",
ISNUMBER(SEARCH("weed &amp; feed",E28)),"Weed &amp; Feed",
ISNUMBER(SEARCH("lawn food",E28)),"Lawn Food",
ISNUMBER(SEARCH("triple action",E28)),"Triple Action Fertilizer",
ISNUMBER(SEARCH("green max",E28)),"Green Max Lawn Food",
ISNUMBER(SEARCH("patchmaster",E28)),"PatchMaster Repair",
ISNUMBER(SEARCH("ez seed",E28)),"EZ Seed Repair",
ISNUMBER(SEARCH("rapid grass",E28)),"Rapid Grass",
ISNUMBER(SEARCH("thick'r lawn",E28)),"Thick'R Lawn",
ISNUMBER(SEARCH("fungicide",E28)),"Fungicide",
ISNUMBER(SEARCH("moss",E28)),"Moss Control",
ISNUMBER(SEARCH("perlite",E28)),"Perlite",
ISNUMBER(SEARCH("plant food",E28)),"Plant Food",
ISNUMBER(SEARCH("spreader",E28)),"Spreader",
ISNUMBER(SEARCH("sprayer",E28)),"Sprayer",
ISNUMBER(SEARCH("mower",E28)),"Lawn Mower",
ISNUMBER(SEARCH("sweeper",E28)),"Lawn Sweeper",
OR(ISNUMBER(SEARCH("pruner",E28)),ISNUMBER(SEARCH("trimmer",E28)),ISNUMBER(SEARCH("pole saw",E28))),"Pruning Tools",
TRUE,"Other"
)</f>
        <v>Glue Traps</v>
      </c>
      <c r="J28" s="7" t="str">
        <f t="shared" si="2"/>
        <v>Rodent Control - Glue Traps</v>
      </c>
      <c r="K28" s="1">
        <v>1000</v>
      </c>
      <c r="L28" s="1">
        <v>4.5</v>
      </c>
      <c r="M28" s="1">
        <v>272</v>
      </c>
      <c r="N28" s="1" t="s">
        <v>168</v>
      </c>
      <c r="O28" s="1">
        <f>VLOOKUP(A28,[2]Sheet1!$A:$B,2,0)</f>
        <v>500</v>
      </c>
      <c r="P28" s="1">
        <f>VLOOKUP(A28,[2]Sheet1!$A:$C,3,0)</f>
        <v>300</v>
      </c>
      <c r="Q28" s="7">
        <f>VLOOKUP(A28,[2]Sheet1!$A:$D,4,0)</f>
        <v>300</v>
      </c>
      <c r="R28" s="7">
        <f>VLOOKUP(A28,[2]Sheet1!$A:$E,5,0)</f>
        <v>400</v>
      </c>
      <c r="S28" s="7">
        <f>VLOOKUP(A28,[2]Sheet1!$A:$F,6,0)</f>
        <v>300</v>
      </c>
      <c r="T28" s="7">
        <f>VLOOKUP(A28,[2]Sheet1!$A:$G,7,0)</f>
        <v>400</v>
      </c>
      <c r="U28" s="7">
        <f>VLOOKUP(A28,[2]Sheet1!$A:$H,8,0)</f>
        <v>500</v>
      </c>
      <c r="V28" s="7">
        <f>VLOOKUP(A28,[2]Sheet1!$A:$I,9,0)</f>
        <v>600</v>
      </c>
      <c r="W28" s="7">
        <f>VLOOKUP(A28,[2]Sheet1!$A:$K,10,0)</f>
        <v>700</v>
      </c>
      <c r="X28" s="7">
        <f>VLOOKUP(A28,[2]Sheet1!$A:$L,11,0)</f>
        <v>600</v>
      </c>
      <c r="Y28" s="7">
        <f>VLOOKUP(A28,[2]Sheet1!$A:$L,12,0)</f>
        <v>1000</v>
      </c>
      <c r="Z28" s="7">
        <f>VLOOKUP(A28,[2]Sheet1!$A:$M,13,0)</f>
        <v>300</v>
      </c>
      <c r="AA28" s="1">
        <f t="shared" si="0"/>
        <v>5900</v>
      </c>
      <c r="AB28" s="7">
        <f t="shared" si="3"/>
        <v>492</v>
      </c>
      <c r="AC28" s="13">
        <f t="shared" si="1"/>
        <v>491.66666666666669</v>
      </c>
      <c r="AD28" s="9">
        <f t="shared" si="4"/>
        <v>188741</v>
      </c>
      <c r="AE28" s="9">
        <f t="shared" si="5"/>
        <v>15728.416666666666</v>
      </c>
      <c r="AF28" s="11">
        <v>6.18</v>
      </c>
      <c r="AG28" s="11">
        <v>31.99</v>
      </c>
      <c r="AH28" s="9">
        <f t="shared" si="6"/>
        <v>0.37440000000000001</v>
      </c>
      <c r="AI28" s="11">
        <f t="shared" si="7"/>
        <v>1.3103999999999998</v>
      </c>
      <c r="AJ28" s="14">
        <v>0.5</v>
      </c>
      <c r="AK28" s="14">
        <v>0.5</v>
      </c>
      <c r="AL28" s="11">
        <v>6.18</v>
      </c>
      <c r="AM28" s="9">
        <f t="shared" si="8"/>
        <v>4.7984999999999998</v>
      </c>
      <c r="AN28" s="9">
        <f t="shared" si="9"/>
        <v>0.95969999999999989</v>
      </c>
      <c r="AO28" s="9">
        <f t="shared" si="10"/>
        <v>6.3979999999999997</v>
      </c>
      <c r="AP28" s="9">
        <f t="shared" si="11"/>
        <v>0.63980000000000004</v>
      </c>
      <c r="AQ28" s="9">
        <f t="shared" si="12"/>
        <v>6.3979999999999997</v>
      </c>
      <c r="AR28" s="9">
        <f t="shared" si="13"/>
        <v>7.9974999999999996</v>
      </c>
      <c r="AS28" s="11">
        <f t="shared" si="14"/>
        <v>3.7439999999999998</v>
      </c>
      <c r="AT28" s="12">
        <f t="shared" si="15"/>
        <v>2.6776666666666666</v>
      </c>
    </row>
    <row r="29" spans="1:46" ht="16.5" x14ac:dyDescent="0.4">
      <c r="A29" s="1" t="s">
        <v>169</v>
      </c>
      <c r="B29" s="7" t="s">
        <v>42</v>
      </c>
      <c r="C29" s="7" t="s">
        <v>42</v>
      </c>
      <c r="D29" s="1" t="s">
        <v>170</v>
      </c>
      <c r="E29" s="1" t="s">
        <v>171</v>
      </c>
      <c r="F29" s="1" t="s">
        <v>172</v>
      </c>
      <c r="G29" s="7" t="str">
        <f>VLOOKUP(A29,[1]done!$A:$I,9,0)</f>
        <v>Rodent</v>
      </c>
      <c r="H29" s="7" t="str" cm="1">
        <f t="array" ref="H29">_xlfn.IFS(
OR(ISNUMBER(SEARCH("mouse",E29)),ISNUMBER(SEARCH("rat",E29)),ISNUMBER(SEARCH("mice",E29)),ISNUMBER(SEARCH("rodent",E29))),"Rodent Control",
OR(ISNUMBER(SEARCH("fly",E29)),ISNUMBER(SEARCH("gnat",E29)),ISNUMBER(SEARCH("insect",E29)),ISNUMBER(SEARCH("mosquito",E29))),"Flying Insect Control",
OR(ISNUMBER(SEARCH("roach",E29)),ISNUMBER(SEARCH("ant",E29)),ISNUMBER(SEARCH("spider",E29)),ISNUMBER(SEARCH("cricket",E29)),ISNUMBER(SEARCH("scorpion",E29)),ISNUMBER(SEARCH("centipede",E29)),ISNUMBER(SEARCH("beetle",E29))),"Crawling Insect Control",
OR(ISNUMBER(SEARCH("tree",E29)),ISNUMBER(SEARCH("lantern",E29)),ISNUMBER(SEARCH("garden",E29)),ISNUMBER(SEARCH("plant",E29))),"Garden Pest Control",
OR(ISNUMBER(SEARCH("grass seed",E29)),ISNUMBER(SEARCH("seed mix",E29))),"Grass Seed",
OR(ISNUMBER(SEARCH("lawn food",E29)),ISNUMBER(SEARCH("fertilizer",E29))),"Lawn Fertilizer",
OR(ISNUMBER(SEARCH("patch",E29)),ISNUMBER(SEARCH("repair",E29)),ISNUMBER(SEARCH("thick'r",E29)),ISNUMBER(SEARCH("thick'r lawn",E29)),ISNUMBER(SEARCH("rapid grass",E29))),"Lawn Repair",
OR(ISNUMBER(SEARCH("weed",E29)),ISNUMBER(SEARCH("crabgrass",E29))),"Weed Control",
OR(ISNUMBER(SEARCH("fungicide",E29)),ISNUMBER(SEARCH("moss",E29))),"Disease &amp; Moss Control",
OR(ISNUMBER(SEARCH("plant food",E29)),ISNUMBER(SEARCH("miracid",E29))),"Plant Nutrition",
OR(ISNUMBER(SEARCH("perlite",E29))),"Soil Amendment",
OR(ISNUMBER(SEARCH("spreader",E29)),ISNUMBER(SEARCH("sprayer",E29)),ISNUMBER(SEARCH("mower",E29)),ISNUMBER(SEARCH("sweeper",E29)),ISNUMBER(SEARCH("pruner",E29)),ISNUMBER(SEARCH("trimmer",E29)),ISNUMBER(SEARCH("pole saw",E29))),"Garden Equipment",
TRUE,"Other"
)</f>
        <v>Rodent Control</v>
      </c>
      <c r="I29" s="7" t="str" cm="1">
        <f t="array" ref="I29">_xlfn.IFS(
OR(ISNUMBER(SEARCH("glue trap",E29)),ISNUMBER(SEARCH("glue board",E29))),"Glue Traps",
OR(ISNUMBER(SEARCH("snap trap",E29)),ISNUMBER(SEARCH("power-kill",E29)),ISNUMBER(SEARCH("wide pedal",E29)),ISNUMBER(SEARCH("metal pedal",E29))),"Snap Traps",
OR(ISNUMBER(SEARCH("electronic",E29)),ISNUMBER(SEARCH("zapper",E29))),"Electronic Traps",
OR(ISNUMBER(SEARCH("live catch",E29)),ISNUMBER(SEARCH("multi-catch",E29)),ISNUMBER(SEARCH("catch &amp; hold",E29)),ISNUMBER(SEARCH("tin cat",E29))),"Live Catch Traps",
OR(ISNUMBER(SEARCH("bait",E29)),ISNUMBER(SEARCH("poison",E29))),"Bait &amp; Poison",
ISNUMBER(SEARCH("repellent",E29)),"Repellents",
OR(ISNUMBER(SEARCH("fly trap",E29)),ISNUMBER(SEARCH("fly ribbon",E29)),ISNUMBER(SEARCH("fly stick",E29)),ISNUMBER(SEARCH("window fly",E29)),ISNUMBER(SEARCH("fly magnet",E29))),"Fly Traps",
OR(ISNUMBER(SEARCH("uv",E29)),ISNUMBER(SEARCH("fly light",E29)),ISNUMBER(SEARCH("plug-in",E29))),"UV Fly Traps",
ISNUMBER(SEARCH("roach",E29)),"Roach Traps",
ISNUMBER(SEARCH("ant",E29)),"Ant Traps",
ISNUMBER(SEARCH("spider",E29)),"Spider Traps",
ISNUMBER(SEARCH("mosquito",E29)),"Mosquito Traps",
ISNUMBER(SEARCH("beetle",E29)),"Beetle Traps",
ISNUMBER(SEARCH("lantern",E29)),"Lanternfly Control",
OR(ISNUMBER(SEARCH("tree shield",E29)),ISNUMBER(SEARCH("tree banding",E29)),ISNUMBER(SEARCH("insect barrier",E29))),"Tree Barriers",
OR(ISNUMBER(SEARCH("sun &amp; shade",E29)),ISNUMBER(SEARCH("sun and shade",E29))),"Sun &amp; Shade Mix",
ISNUMBER(SEARCH("tall fescue",E29)),"Tall Fescue",
ISNUMBER(SEARCH("bermudagrass",E29)),"Bermudagrass",
ISNUMBER(SEARCH("kentucky",E29)),"Kentucky Bluegrass",
ISNUMBER(SEARCH("zoysia",E29)),"Zoysia",
ISNUMBER(SEARCH("ryegrass",E29)),"Perennial Ryegrass",
ISNUMBER(SEARCH("centipede",E29)),"Centipede Grass",
ISNUMBER(SEARCH("dense shade",E29)),"Dense Shade Mix",
ISNUMBER(SEARCH("southern gold",E29)),"Southern Gold Mix",
ISNUMBER(SEARCH("heat-tolerant blue",E29)),"Heat-Tolerant Blue Mix",
ISNUMBER(SEARCH("high traffic",E29)),"High Traffic Mix",
ISNUMBER(SEARCH("quick fix",E29)),"Quick Fix Mix",
ISNUMBER(SEARCH("starter",E29)),"Starter Fertilizer",
ISNUMBER(SEARCH("weed &amp; feed",E29)),"Weed &amp; Feed",
ISNUMBER(SEARCH("lawn food",E29)),"Lawn Food",
ISNUMBER(SEARCH("triple action",E29)),"Triple Action Fertilizer",
ISNUMBER(SEARCH("green max",E29)),"Green Max Lawn Food",
ISNUMBER(SEARCH("patchmaster",E29)),"PatchMaster Repair",
ISNUMBER(SEARCH("ez seed",E29)),"EZ Seed Repair",
ISNUMBER(SEARCH("rapid grass",E29)),"Rapid Grass",
ISNUMBER(SEARCH("thick'r lawn",E29)),"Thick'R Lawn",
ISNUMBER(SEARCH("fungicide",E29)),"Fungicide",
ISNUMBER(SEARCH("moss",E29)),"Moss Control",
ISNUMBER(SEARCH("perlite",E29)),"Perlite",
ISNUMBER(SEARCH("plant food",E29)),"Plant Food",
ISNUMBER(SEARCH("spreader",E29)),"Spreader",
ISNUMBER(SEARCH("sprayer",E29)),"Sprayer",
ISNUMBER(SEARCH("mower",E29)),"Lawn Mower",
ISNUMBER(SEARCH("sweeper",E29)),"Lawn Sweeper",
OR(ISNUMBER(SEARCH("pruner",E29)),ISNUMBER(SEARCH("trimmer",E29)),ISNUMBER(SEARCH("pole saw",E29))),"Pruning Tools",
TRUE,"Other"
)</f>
        <v>Glue Traps</v>
      </c>
      <c r="J29" s="7" t="str">
        <f t="shared" si="2"/>
        <v>Rodent Control - Glue Traps</v>
      </c>
      <c r="K29" s="1">
        <v>1000</v>
      </c>
      <c r="L29" s="1">
        <v>4.2</v>
      </c>
      <c r="M29" s="1">
        <v>2247</v>
      </c>
      <c r="N29" s="1" t="s">
        <v>173</v>
      </c>
      <c r="O29" s="1">
        <f>VLOOKUP(A29,[2]Sheet1!$A:$B,2,0)</f>
        <v>900</v>
      </c>
      <c r="P29" s="1">
        <f>VLOOKUP(A29,[2]Sheet1!$A:$C,3,0)</f>
        <v>500</v>
      </c>
      <c r="Q29" s="7">
        <f>VLOOKUP(A29,[2]Sheet1!$A:$D,4,0)</f>
        <v>700</v>
      </c>
      <c r="R29" s="7">
        <f>VLOOKUP(A29,[2]Sheet1!$A:$E,5,0)</f>
        <v>700</v>
      </c>
      <c r="S29" s="7">
        <f>VLOOKUP(A29,[2]Sheet1!$A:$F,6,0)</f>
        <v>600</v>
      </c>
      <c r="T29" s="7">
        <f>VLOOKUP(A29,[2]Sheet1!$A:$G,7,0)</f>
        <v>1000</v>
      </c>
      <c r="U29" s="7">
        <f>VLOOKUP(A29,[2]Sheet1!$A:$H,8,0)</f>
        <v>1000</v>
      </c>
      <c r="V29" s="7">
        <f>VLOOKUP(A29,[2]Sheet1!$A:$I,9,0)</f>
        <v>1000</v>
      </c>
      <c r="W29" s="7">
        <f>VLOOKUP(A29,[2]Sheet1!$A:$K,10,0)</f>
        <v>1000</v>
      </c>
      <c r="X29" s="7">
        <f>VLOOKUP(A29,[2]Sheet1!$A:$L,11,0)</f>
        <v>900</v>
      </c>
      <c r="Y29" s="7">
        <f>VLOOKUP(A29,[2]Sheet1!$A:$L,12,0)</f>
        <v>1000</v>
      </c>
      <c r="Z29" s="7">
        <f>VLOOKUP(A29,[2]Sheet1!$A:$M,13,0)</f>
        <v>700</v>
      </c>
      <c r="AA29" s="1">
        <f t="shared" si="0"/>
        <v>10000</v>
      </c>
      <c r="AB29" s="7">
        <f t="shared" si="3"/>
        <v>833</v>
      </c>
      <c r="AC29" s="13">
        <f t="shared" si="1"/>
        <v>833.33333333333337</v>
      </c>
      <c r="AD29" s="9">
        <f t="shared" si="4"/>
        <v>104900</v>
      </c>
      <c r="AE29" s="9">
        <f t="shared" si="5"/>
        <v>8741.6666666666679</v>
      </c>
      <c r="AF29" s="11">
        <v>4.3499999999999996</v>
      </c>
      <c r="AG29" s="11">
        <v>10.49</v>
      </c>
      <c r="AH29" s="9">
        <f t="shared" si="6"/>
        <v>-7.6933333333333354E-2</v>
      </c>
      <c r="AI29" s="11">
        <f t="shared" si="7"/>
        <v>-0.26926666666666671</v>
      </c>
      <c r="AJ29" s="14">
        <v>0.5</v>
      </c>
      <c r="AK29" s="14">
        <v>0.5</v>
      </c>
      <c r="AL29" s="11">
        <v>4.3499999999999996</v>
      </c>
      <c r="AM29" s="9">
        <f t="shared" si="8"/>
        <v>1.5734999999999999</v>
      </c>
      <c r="AN29" s="9">
        <f t="shared" si="9"/>
        <v>0.31469999999999998</v>
      </c>
      <c r="AO29" s="9">
        <f t="shared" si="10"/>
        <v>2.0980000000000003</v>
      </c>
      <c r="AP29" s="9">
        <f t="shared" si="11"/>
        <v>0.20980000000000001</v>
      </c>
      <c r="AQ29" s="9">
        <f t="shared" si="12"/>
        <v>2.0980000000000003</v>
      </c>
      <c r="AR29" s="9">
        <f t="shared" si="13"/>
        <v>2.6225000000000001</v>
      </c>
      <c r="AS29" s="11">
        <f t="shared" si="14"/>
        <v>-0.76933333333333354</v>
      </c>
      <c r="AT29" s="12">
        <f t="shared" si="15"/>
        <v>-1.119</v>
      </c>
    </row>
    <row r="30" spans="1:46" ht="16.5" x14ac:dyDescent="0.4">
      <c r="A30" s="1" t="s">
        <v>174</v>
      </c>
      <c r="B30" s="7" t="s">
        <v>42</v>
      </c>
      <c r="C30" s="7" t="s">
        <v>42</v>
      </c>
      <c r="D30" s="1" t="s">
        <v>175</v>
      </c>
      <c r="E30" s="1" t="s">
        <v>176</v>
      </c>
      <c r="F30" s="1" t="s">
        <v>177</v>
      </c>
      <c r="G30" s="7" t="str">
        <f>VLOOKUP(A30,[1]done!$A:$I,9,0)</f>
        <v>Cockroach</v>
      </c>
      <c r="H30" s="7" t="str" cm="1">
        <f t="array" ref="H30">_xlfn.IFS(
OR(ISNUMBER(SEARCH("mouse",E30)),ISNUMBER(SEARCH("rat",E30)),ISNUMBER(SEARCH("mice",E30)),ISNUMBER(SEARCH("rodent",E30))),"Rodent Control",
OR(ISNUMBER(SEARCH("fly",E30)),ISNUMBER(SEARCH("gnat",E30)),ISNUMBER(SEARCH("insect",E30)),ISNUMBER(SEARCH("mosquito",E30))),"Flying Insect Control",
OR(ISNUMBER(SEARCH("roach",E30)),ISNUMBER(SEARCH("ant",E30)),ISNUMBER(SEARCH("spider",E30)),ISNUMBER(SEARCH("cricket",E30)),ISNUMBER(SEARCH("scorpion",E30)),ISNUMBER(SEARCH("centipede",E30)),ISNUMBER(SEARCH("beetle",E30))),"Crawling Insect Control",
OR(ISNUMBER(SEARCH("tree",E30)),ISNUMBER(SEARCH("lantern",E30)),ISNUMBER(SEARCH("garden",E30)),ISNUMBER(SEARCH("plant",E30))),"Garden Pest Control",
OR(ISNUMBER(SEARCH("grass seed",E30)),ISNUMBER(SEARCH("seed mix",E30))),"Grass Seed",
OR(ISNUMBER(SEARCH("lawn food",E30)),ISNUMBER(SEARCH("fertilizer",E30))),"Lawn Fertilizer",
OR(ISNUMBER(SEARCH("patch",E30)),ISNUMBER(SEARCH("repair",E30)),ISNUMBER(SEARCH("thick'r",E30)),ISNUMBER(SEARCH("thick'r lawn",E30)),ISNUMBER(SEARCH("rapid grass",E30))),"Lawn Repair",
OR(ISNUMBER(SEARCH("weed",E30)),ISNUMBER(SEARCH("crabgrass",E30))),"Weed Control",
OR(ISNUMBER(SEARCH("fungicide",E30)),ISNUMBER(SEARCH("moss",E30))),"Disease &amp; Moss Control",
OR(ISNUMBER(SEARCH("plant food",E30)),ISNUMBER(SEARCH("miracid",E30))),"Plant Nutrition",
OR(ISNUMBER(SEARCH("perlite",E30))),"Soil Amendment",
OR(ISNUMBER(SEARCH("spreader",E30)),ISNUMBER(SEARCH("sprayer",E30)),ISNUMBER(SEARCH("mower",E30)),ISNUMBER(SEARCH("sweeper",E30)),ISNUMBER(SEARCH("pruner",E30)),ISNUMBER(SEARCH("trimmer",E30)),ISNUMBER(SEARCH("pole saw",E30))),"Garden Equipment",
TRUE,"Other"
)</f>
        <v>Crawling Insect Control</v>
      </c>
      <c r="I30" s="7" t="str" cm="1">
        <f t="array" ref="I30">_xlfn.IFS(
OR(ISNUMBER(SEARCH("glue trap",E30)),ISNUMBER(SEARCH("glue board",E30))),"Glue Traps",
OR(ISNUMBER(SEARCH("snap trap",E30)),ISNUMBER(SEARCH("power-kill",E30)),ISNUMBER(SEARCH("wide pedal",E30)),ISNUMBER(SEARCH("metal pedal",E30))),"Snap Traps",
OR(ISNUMBER(SEARCH("electronic",E30)),ISNUMBER(SEARCH("zapper",E30))),"Electronic Traps",
OR(ISNUMBER(SEARCH("live catch",E30)),ISNUMBER(SEARCH("multi-catch",E30)),ISNUMBER(SEARCH("catch &amp; hold",E30)),ISNUMBER(SEARCH("tin cat",E30))),"Live Catch Traps",
OR(ISNUMBER(SEARCH("bait",E30)),ISNUMBER(SEARCH("poison",E30))),"Bait &amp; Poison",
ISNUMBER(SEARCH("repellent",E30)),"Repellents",
OR(ISNUMBER(SEARCH("fly trap",E30)),ISNUMBER(SEARCH("fly ribbon",E30)),ISNUMBER(SEARCH("fly stick",E30)),ISNUMBER(SEARCH("window fly",E30)),ISNUMBER(SEARCH("fly magnet",E30))),"Fly Traps",
OR(ISNUMBER(SEARCH("uv",E30)),ISNUMBER(SEARCH("fly light",E30)),ISNUMBER(SEARCH("plug-in",E30))),"UV Fly Traps",
ISNUMBER(SEARCH("roach",E30)),"Roach Traps",
ISNUMBER(SEARCH("ant",E30)),"Ant Traps",
ISNUMBER(SEARCH("spider",E30)),"Spider Traps",
ISNUMBER(SEARCH("mosquito",E30)),"Mosquito Traps",
ISNUMBER(SEARCH("beetle",E30)),"Beetle Traps",
ISNUMBER(SEARCH("lantern",E30)),"Lanternfly Control",
OR(ISNUMBER(SEARCH("tree shield",E30)),ISNUMBER(SEARCH("tree banding",E30)),ISNUMBER(SEARCH("insect barrier",E30))),"Tree Barriers",
OR(ISNUMBER(SEARCH("sun &amp; shade",E30)),ISNUMBER(SEARCH("sun and shade",E30))),"Sun &amp; Shade Mix",
ISNUMBER(SEARCH("tall fescue",E30)),"Tall Fescue",
ISNUMBER(SEARCH("bermudagrass",E30)),"Bermudagrass",
ISNUMBER(SEARCH("kentucky",E30)),"Kentucky Bluegrass",
ISNUMBER(SEARCH("zoysia",E30)),"Zoysia",
ISNUMBER(SEARCH("ryegrass",E30)),"Perennial Ryegrass",
ISNUMBER(SEARCH("centipede",E30)),"Centipede Grass",
ISNUMBER(SEARCH("dense shade",E30)),"Dense Shade Mix",
ISNUMBER(SEARCH("southern gold",E30)),"Southern Gold Mix",
ISNUMBER(SEARCH("heat-tolerant blue",E30)),"Heat-Tolerant Blue Mix",
ISNUMBER(SEARCH("high traffic",E30)),"High Traffic Mix",
ISNUMBER(SEARCH("quick fix",E30)),"Quick Fix Mix",
ISNUMBER(SEARCH("starter",E30)),"Starter Fertilizer",
ISNUMBER(SEARCH("weed &amp; feed",E30)),"Weed &amp; Feed",
ISNUMBER(SEARCH("lawn food",E30)),"Lawn Food",
ISNUMBER(SEARCH("triple action",E30)),"Triple Action Fertilizer",
ISNUMBER(SEARCH("green max",E30)),"Green Max Lawn Food",
ISNUMBER(SEARCH("patchmaster",E30)),"PatchMaster Repair",
ISNUMBER(SEARCH("ez seed",E30)),"EZ Seed Repair",
ISNUMBER(SEARCH("rapid grass",E30)),"Rapid Grass",
ISNUMBER(SEARCH("thick'r lawn",E30)),"Thick'R Lawn",
ISNUMBER(SEARCH("fungicide",E30)),"Fungicide",
ISNUMBER(SEARCH("moss",E30)),"Moss Control",
ISNUMBER(SEARCH("perlite",E30)),"Perlite",
ISNUMBER(SEARCH("plant food",E30)),"Plant Food",
ISNUMBER(SEARCH("spreader",E30)),"Spreader",
ISNUMBER(SEARCH("sprayer",E30)),"Sprayer",
ISNUMBER(SEARCH("mower",E30)),"Lawn Mower",
ISNUMBER(SEARCH("sweeper",E30)),"Lawn Sweeper",
OR(ISNUMBER(SEARCH("pruner",E30)),ISNUMBER(SEARCH("trimmer",E30)),ISNUMBER(SEARCH("pole saw",E30))),"Pruning Tools",
TRUE,"Other"
)</f>
        <v>Bait &amp; Poison</v>
      </c>
      <c r="J30" s="7" t="str">
        <f t="shared" si="2"/>
        <v>Crawling Insect Control - Bait &amp; Poison</v>
      </c>
      <c r="K30" s="1">
        <v>1000</v>
      </c>
      <c r="L30" s="1">
        <v>4.3</v>
      </c>
      <c r="M30" s="1">
        <v>283</v>
      </c>
      <c r="N30" s="1" t="s">
        <v>178</v>
      </c>
      <c r="O30" s="1">
        <f>VLOOKUP(A30,[2]Sheet1!$A:$B,2,0)</f>
        <v>1000</v>
      </c>
      <c r="P30" s="1">
        <f>VLOOKUP(A30,[2]Sheet1!$A:$C,3,0)</f>
        <v>1000</v>
      </c>
      <c r="Q30" s="7">
        <f>VLOOKUP(A30,[2]Sheet1!$A:$D,4,0)</f>
        <v>1000</v>
      </c>
      <c r="R30" s="7">
        <f>VLOOKUP(A30,[2]Sheet1!$A:$E,5,0)</f>
        <v>1000</v>
      </c>
      <c r="S30" s="7">
        <f>VLOOKUP(A30,[2]Sheet1!$A:$F,6,0)</f>
        <v>1000</v>
      </c>
      <c r="T30" s="7">
        <f>VLOOKUP(A30,[2]Sheet1!$A:$G,7,0)</f>
        <v>2000</v>
      </c>
      <c r="U30" s="7">
        <f>VLOOKUP(A30,[2]Sheet1!$A:$H,8,0)</f>
        <v>1000</v>
      </c>
      <c r="V30" s="7">
        <f>VLOOKUP(A30,[2]Sheet1!$A:$I,9,0)</f>
        <v>1000</v>
      </c>
      <c r="W30" s="7">
        <f>VLOOKUP(A30,[2]Sheet1!$A:$K,10,0)</f>
        <v>1000</v>
      </c>
      <c r="X30" s="7">
        <f>VLOOKUP(A30,[2]Sheet1!$A:$L,11,0)</f>
        <v>700</v>
      </c>
      <c r="Y30" s="7">
        <f>VLOOKUP(A30,[2]Sheet1!$A:$L,12,0)</f>
        <v>400</v>
      </c>
      <c r="Z30" s="7">
        <f>VLOOKUP(A30,[2]Sheet1!$A:$M,13,0)</f>
        <v>400</v>
      </c>
      <c r="AA30" s="1">
        <f t="shared" si="0"/>
        <v>11500</v>
      </c>
      <c r="AB30" s="7">
        <f t="shared" si="3"/>
        <v>958</v>
      </c>
      <c r="AC30" s="13">
        <f t="shared" si="1"/>
        <v>958.33333333333337</v>
      </c>
      <c r="AD30" s="9">
        <f t="shared" si="4"/>
        <v>229884.99999999997</v>
      </c>
      <c r="AE30" s="9">
        <f t="shared" si="5"/>
        <v>19157.083333333332</v>
      </c>
      <c r="AF30" s="11">
        <v>4.28</v>
      </c>
      <c r="AG30" s="11">
        <v>19.989999999999998</v>
      </c>
      <c r="AH30" s="9">
        <f t="shared" si="6"/>
        <v>0.18106666666666654</v>
      </c>
      <c r="AI30" s="11">
        <f t="shared" si="7"/>
        <v>0.63373333333333282</v>
      </c>
      <c r="AJ30" s="14">
        <v>0.5</v>
      </c>
      <c r="AK30" s="14">
        <v>0.5</v>
      </c>
      <c r="AL30" s="11">
        <v>4.28</v>
      </c>
      <c r="AM30" s="9">
        <f t="shared" si="8"/>
        <v>2.9984999999999995</v>
      </c>
      <c r="AN30" s="9">
        <f t="shared" si="9"/>
        <v>0.5996999999999999</v>
      </c>
      <c r="AO30" s="9">
        <f t="shared" si="10"/>
        <v>3.9979999999999998</v>
      </c>
      <c r="AP30" s="9">
        <f t="shared" si="11"/>
        <v>0.39979999999999999</v>
      </c>
      <c r="AQ30" s="9">
        <f t="shared" si="12"/>
        <v>3.9979999999999998</v>
      </c>
      <c r="AR30" s="9">
        <f t="shared" si="13"/>
        <v>4.9974999999999996</v>
      </c>
      <c r="AS30" s="11">
        <f t="shared" si="14"/>
        <v>1.8106666666666653</v>
      </c>
      <c r="AT30" s="12">
        <f t="shared" si="15"/>
        <v>1.1443333333333321</v>
      </c>
    </row>
    <row r="31" spans="1:46" ht="16.5" x14ac:dyDescent="0.4">
      <c r="A31" s="1" t="s">
        <v>179</v>
      </c>
      <c r="B31" s="7" t="s">
        <v>42</v>
      </c>
      <c r="C31" s="7" t="s">
        <v>42</v>
      </c>
      <c r="D31" s="1" t="s">
        <v>180</v>
      </c>
      <c r="E31" s="1" t="s">
        <v>181</v>
      </c>
      <c r="F31" s="1" t="s">
        <v>182</v>
      </c>
      <c r="G31" s="7" t="str">
        <f>VLOOKUP(A31,[1]done!$A:$I,9,0)</f>
        <v>Rodent</v>
      </c>
      <c r="H31" s="7" t="str" cm="1">
        <f t="array" ref="H31">_xlfn.IFS(
OR(ISNUMBER(SEARCH("mouse",E31)),ISNUMBER(SEARCH("rat",E31)),ISNUMBER(SEARCH("mice",E31)),ISNUMBER(SEARCH("rodent",E31))),"Rodent Control",
OR(ISNUMBER(SEARCH("fly",E31)),ISNUMBER(SEARCH("gnat",E31)),ISNUMBER(SEARCH("insect",E31)),ISNUMBER(SEARCH("mosquito",E31))),"Flying Insect Control",
OR(ISNUMBER(SEARCH("roach",E31)),ISNUMBER(SEARCH("ant",E31)),ISNUMBER(SEARCH("spider",E31)),ISNUMBER(SEARCH("cricket",E31)),ISNUMBER(SEARCH("scorpion",E31)),ISNUMBER(SEARCH("centipede",E31)),ISNUMBER(SEARCH("beetle",E31))),"Crawling Insect Control",
OR(ISNUMBER(SEARCH("tree",E31)),ISNUMBER(SEARCH("lantern",E31)),ISNUMBER(SEARCH("garden",E31)),ISNUMBER(SEARCH("plant",E31))),"Garden Pest Control",
OR(ISNUMBER(SEARCH("grass seed",E31)),ISNUMBER(SEARCH("seed mix",E31))),"Grass Seed",
OR(ISNUMBER(SEARCH("lawn food",E31)),ISNUMBER(SEARCH("fertilizer",E31))),"Lawn Fertilizer",
OR(ISNUMBER(SEARCH("patch",E31)),ISNUMBER(SEARCH("repair",E31)),ISNUMBER(SEARCH("thick'r",E31)),ISNUMBER(SEARCH("thick'r lawn",E31)),ISNUMBER(SEARCH("rapid grass",E31))),"Lawn Repair",
OR(ISNUMBER(SEARCH("weed",E31)),ISNUMBER(SEARCH("crabgrass",E31))),"Weed Control",
OR(ISNUMBER(SEARCH("fungicide",E31)),ISNUMBER(SEARCH("moss",E31))),"Disease &amp; Moss Control",
OR(ISNUMBER(SEARCH("plant food",E31)),ISNUMBER(SEARCH("miracid",E31))),"Plant Nutrition",
OR(ISNUMBER(SEARCH("perlite",E31))),"Soil Amendment",
OR(ISNUMBER(SEARCH("spreader",E31)),ISNUMBER(SEARCH("sprayer",E31)),ISNUMBER(SEARCH("mower",E31)),ISNUMBER(SEARCH("sweeper",E31)),ISNUMBER(SEARCH("pruner",E31)),ISNUMBER(SEARCH("trimmer",E31)),ISNUMBER(SEARCH("pole saw",E31))),"Garden Equipment",
TRUE,"Other"
)</f>
        <v>Rodent Control</v>
      </c>
      <c r="I31" s="7" t="str" cm="1">
        <f t="array" ref="I31">_xlfn.IFS(
OR(ISNUMBER(SEARCH("glue trap",E31)),ISNUMBER(SEARCH("glue board",E31))),"Glue Traps",
OR(ISNUMBER(SEARCH("snap trap",E31)),ISNUMBER(SEARCH("power-kill",E31)),ISNUMBER(SEARCH("wide pedal",E31)),ISNUMBER(SEARCH("metal pedal",E31))),"Snap Traps",
OR(ISNUMBER(SEARCH("electronic",E31)),ISNUMBER(SEARCH("zapper",E31))),"Electronic Traps",
OR(ISNUMBER(SEARCH("live catch",E31)),ISNUMBER(SEARCH("multi-catch",E31)),ISNUMBER(SEARCH("catch &amp; hold",E31)),ISNUMBER(SEARCH("tin cat",E31))),"Live Catch Traps",
OR(ISNUMBER(SEARCH("bait",E31)),ISNUMBER(SEARCH("poison",E31))),"Bait &amp; Poison",
ISNUMBER(SEARCH("repellent",E31)),"Repellents",
OR(ISNUMBER(SEARCH("fly trap",E31)),ISNUMBER(SEARCH("fly ribbon",E31)),ISNUMBER(SEARCH("fly stick",E31)),ISNUMBER(SEARCH("window fly",E31)),ISNUMBER(SEARCH("fly magnet",E31))),"Fly Traps",
OR(ISNUMBER(SEARCH("uv",E31)),ISNUMBER(SEARCH("fly light",E31)),ISNUMBER(SEARCH("plug-in",E31))),"UV Fly Traps",
ISNUMBER(SEARCH("roach",E31)),"Roach Traps",
ISNUMBER(SEARCH("ant",E31)),"Ant Traps",
ISNUMBER(SEARCH("spider",E31)),"Spider Traps",
ISNUMBER(SEARCH("mosquito",E31)),"Mosquito Traps",
ISNUMBER(SEARCH("beetle",E31)),"Beetle Traps",
ISNUMBER(SEARCH("lantern",E31)),"Lanternfly Control",
OR(ISNUMBER(SEARCH("tree shield",E31)),ISNUMBER(SEARCH("tree banding",E31)),ISNUMBER(SEARCH("insect barrier",E31))),"Tree Barriers",
OR(ISNUMBER(SEARCH("sun &amp; shade",E31)),ISNUMBER(SEARCH("sun and shade",E31))),"Sun &amp; Shade Mix",
ISNUMBER(SEARCH("tall fescue",E31)),"Tall Fescue",
ISNUMBER(SEARCH("bermudagrass",E31)),"Bermudagrass",
ISNUMBER(SEARCH("kentucky",E31)),"Kentucky Bluegrass",
ISNUMBER(SEARCH("zoysia",E31)),"Zoysia",
ISNUMBER(SEARCH("ryegrass",E31)),"Perennial Ryegrass",
ISNUMBER(SEARCH("centipede",E31)),"Centipede Grass",
ISNUMBER(SEARCH("dense shade",E31)),"Dense Shade Mix",
ISNUMBER(SEARCH("southern gold",E31)),"Southern Gold Mix",
ISNUMBER(SEARCH("heat-tolerant blue",E31)),"Heat-Tolerant Blue Mix",
ISNUMBER(SEARCH("high traffic",E31)),"High Traffic Mix",
ISNUMBER(SEARCH("quick fix",E31)),"Quick Fix Mix",
ISNUMBER(SEARCH("starter",E31)),"Starter Fertilizer",
ISNUMBER(SEARCH("weed &amp; feed",E31)),"Weed &amp; Feed",
ISNUMBER(SEARCH("lawn food",E31)),"Lawn Food",
ISNUMBER(SEARCH("triple action",E31)),"Triple Action Fertilizer",
ISNUMBER(SEARCH("green max",E31)),"Green Max Lawn Food",
ISNUMBER(SEARCH("patchmaster",E31)),"PatchMaster Repair",
ISNUMBER(SEARCH("ez seed",E31)),"EZ Seed Repair",
ISNUMBER(SEARCH("rapid grass",E31)),"Rapid Grass",
ISNUMBER(SEARCH("thick'r lawn",E31)),"Thick'R Lawn",
ISNUMBER(SEARCH("fungicide",E31)),"Fungicide",
ISNUMBER(SEARCH("moss",E31)),"Moss Control",
ISNUMBER(SEARCH("perlite",E31)),"Perlite",
ISNUMBER(SEARCH("plant food",E31)),"Plant Food",
ISNUMBER(SEARCH("spreader",E31)),"Spreader",
ISNUMBER(SEARCH("sprayer",E31)),"Sprayer",
ISNUMBER(SEARCH("mower",E31)),"Lawn Mower",
ISNUMBER(SEARCH("sweeper",E31)),"Lawn Sweeper",
OR(ISNUMBER(SEARCH("pruner",E31)),ISNUMBER(SEARCH("trimmer",E31)),ISNUMBER(SEARCH("pole saw",E31))),"Pruning Tools",
TRUE,"Other"
)</f>
        <v>Live Catch Traps</v>
      </c>
      <c r="J31" s="7" t="str">
        <f t="shared" si="2"/>
        <v>Rodent Control - Live Catch Traps</v>
      </c>
      <c r="K31" s="1">
        <v>1000</v>
      </c>
      <c r="L31" s="1">
        <v>4</v>
      </c>
      <c r="M31" s="1">
        <v>1753</v>
      </c>
      <c r="N31" s="1" t="s">
        <v>183</v>
      </c>
      <c r="O31" s="1">
        <f>VLOOKUP(A31,[2]Sheet1!$A:$B,2,0)</f>
        <v>400</v>
      </c>
      <c r="P31" s="1">
        <f>VLOOKUP(A31,[2]Sheet1!$A:$C,3,0)</f>
        <v>600</v>
      </c>
      <c r="Q31" s="7">
        <f>VLOOKUP(A31,[2]Sheet1!$A:$D,4,0)</f>
        <v>500</v>
      </c>
      <c r="R31" s="7">
        <f>VLOOKUP(A31,[2]Sheet1!$A:$E,5,0)</f>
        <v>500</v>
      </c>
      <c r="S31" s="7">
        <f>VLOOKUP(A31,[2]Sheet1!$A:$F,6,0)</f>
        <v>800</v>
      </c>
      <c r="T31" s="7">
        <f>VLOOKUP(A31,[2]Sheet1!$A:$G,7,0)</f>
        <v>1000</v>
      </c>
      <c r="U31" s="7">
        <f>VLOOKUP(A31,[2]Sheet1!$A:$H,8,0)</f>
        <v>1000</v>
      </c>
      <c r="V31" s="7">
        <f>VLOOKUP(A31,[2]Sheet1!$A:$I,9,0)</f>
        <v>1000</v>
      </c>
      <c r="W31" s="7">
        <f>VLOOKUP(A31,[2]Sheet1!$A:$K,10,0)</f>
        <v>1000</v>
      </c>
      <c r="X31" s="7">
        <f>VLOOKUP(A31,[2]Sheet1!$A:$L,11,0)</f>
        <v>1000</v>
      </c>
      <c r="Y31" s="7">
        <f>VLOOKUP(A31,[2]Sheet1!$A:$L,12,0)</f>
        <v>800</v>
      </c>
      <c r="Z31" s="7">
        <f>VLOOKUP(A31,[2]Sheet1!$A:$M,13,0)</f>
        <v>1000</v>
      </c>
      <c r="AA31" s="1">
        <f t="shared" si="0"/>
        <v>9600</v>
      </c>
      <c r="AB31" s="7">
        <f t="shared" si="3"/>
        <v>800</v>
      </c>
      <c r="AC31" s="13">
        <f t="shared" si="1"/>
        <v>800</v>
      </c>
      <c r="AD31" s="9">
        <f t="shared" si="4"/>
        <v>345504</v>
      </c>
      <c r="AE31" s="9">
        <f t="shared" si="5"/>
        <v>28792</v>
      </c>
      <c r="AF31" s="11">
        <v>7.71</v>
      </c>
      <c r="AG31" s="11">
        <v>35.99</v>
      </c>
      <c r="AH31" s="9">
        <f t="shared" si="6"/>
        <v>0.37906666666666666</v>
      </c>
      <c r="AI31" s="11">
        <f t="shared" si="7"/>
        <v>1.3267333333333333</v>
      </c>
      <c r="AJ31" s="14">
        <v>0.5</v>
      </c>
      <c r="AK31" s="14">
        <v>0.5</v>
      </c>
      <c r="AL31" s="11">
        <v>7.71</v>
      </c>
      <c r="AM31" s="9">
        <f t="shared" si="8"/>
        <v>5.3985000000000003</v>
      </c>
      <c r="AN31" s="9">
        <f t="shared" si="9"/>
        <v>1.0797000000000001</v>
      </c>
      <c r="AO31" s="9">
        <f t="shared" si="10"/>
        <v>7.1980000000000004</v>
      </c>
      <c r="AP31" s="9">
        <f t="shared" si="11"/>
        <v>0.71980000000000011</v>
      </c>
      <c r="AQ31" s="9">
        <f t="shared" si="12"/>
        <v>7.1980000000000004</v>
      </c>
      <c r="AR31" s="9">
        <f t="shared" si="13"/>
        <v>8.9975000000000005</v>
      </c>
      <c r="AS31" s="11">
        <f t="shared" si="14"/>
        <v>3.7906666666666666</v>
      </c>
      <c r="AT31" s="12">
        <f t="shared" si="15"/>
        <v>2.5909999999999997</v>
      </c>
    </row>
    <row r="32" spans="1:46" ht="16.5" x14ac:dyDescent="0.4">
      <c r="A32" s="1" t="s">
        <v>184</v>
      </c>
      <c r="B32" s="7" t="s">
        <v>42</v>
      </c>
      <c r="C32" s="7" t="s">
        <v>1778</v>
      </c>
      <c r="D32" s="1" t="s">
        <v>185</v>
      </c>
      <c r="E32" s="1" t="s">
        <v>186</v>
      </c>
      <c r="F32" s="1" t="s">
        <v>187</v>
      </c>
      <c r="G32" s="7" t="str">
        <f>VLOOKUP(A32,[1]done!$A:$I,9,0)</f>
        <v>Rodent</v>
      </c>
      <c r="H32" s="7" t="str" cm="1">
        <f t="array" ref="H32">_xlfn.IFS(
OR(ISNUMBER(SEARCH("mouse",E32)),ISNUMBER(SEARCH("rat",E32)),ISNUMBER(SEARCH("mice",E32)),ISNUMBER(SEARCH("rodent",E32))),"Rodent Control",
OR(ISNUMBER(SEARCH("fly",E32)),ISNUMBER(SEARCH("gnat",E32)),ISNUMBER(SEARCH("insect",E32)),ISNUMBER(SEARCH("mosquito",E32))),"Flying Insect Control",
OR(ISNUMBER(SEARCH("roach",E32)),ISNUMBER(SEARCH("ant",E32)),ISNUMBER(SEARCH("spider",E32)),ISNUMBER(SEARCH("cricket",E32)),ISNUMBER(SEARCH("scorpion",E32)),ISNUMBER(SEARCH("centipede",E32)),ISNUMBER(SEARCH("beetle",E32))),"Crawling Insect Control",
OR(ISNUMBER(SEARCH("tree",E32)),ISNUMBER(SEARCH("lantern",E32)),ISNUMBER(SEARCH("garden",E32)),ISNUMBER(SEARCH("plant",E32))),"Garden Pest Control",
OR(ISNUMBER(SEARCH("grass seed",E32)),ISNUMBER(SEARCH("seed mix",E32))),"Grass Seed",
OR(ISNUMBER(SEARCH("lawn food",E32)),ISNUMBER(SEARCH("fertilizer",E32))),"Lawn Fertilizer",
OR(ISNUMBER(SEARCH("patch",E32)),ISNUMBER(SEARCH("repair",E32)),ISNUMBER(SEARCH("thick'r",E32)),ISNUMBER(SEARCH("thick'r lawn",E32)),ISNUMBER(SEARCH("rapid grass",E32))),"Lawn Repair",
OR(ISNUMBER(SEARCH("weed",E32)),ISNUMBER(SEARCH("crabgrass",E32))),"Weed Control",
OR(ISNUMBER(SEARCH("fungicide",E32)),ISNUMBER(SEARCH("moss",E32))),"Disease &amp; Moss Control",
OR(ISNUMBER(SEARCH("plant food",E32)),ISNUMBER(SEARCH("miracid",E32))),"Plant Nutrition",
OR(ISNUMBER(SEARCH("perlite",E32))),"Soil Amendment",
OR(ISNUMBER(SEARCH("spreader",E32)),ISNUMBER(SEARCH("sprayer",E32)),ISNUMBER(SEARCH("mower",E32)),ISNUMBER(SEARCH("sweeper",E32)),ISNUMBER(SEARCH("pruner",E32)),ISNUMBER(SEARCH("trimmer",E32)),ISNUMBER(SEARCH("pole saw",E32))),"Garden Equipment",
TRUE,"Other"
)</f>
        <v>Rodent Control</v>
      </c>
      <c r="I32" s="7" t="str" cm="1">
        <f t="array" ref="I32">_xlfn.IFS(
OR(ISNUMBER(SEARCH("glue trap",E32)),ISNUMBER(SEARCH("glue board",E32))),"Glue Traps",
OR(ISNUMBER(SEARCH("snap trap",E32)),ISNUMBER(SEARCH("power-kill",E32)),ISNUMBER(SEARCH("wide pedal",E32)),ISNUMBER(SEARCH("metal pedal",E32))),"Snap Traps",
OR(ISNUMBER(SEARCH("electronic",E32)),ISNUMBER(SEARCH("zapper",E32))),"Electronic Traps",
OR(ISNUMBER(SEARCH("live catch",E32)),ISNUMBER(SEARCH("multi-catch",E32)),ISNUMBER(SEARCH("catch &amp; hold",E32)),ISNUMBER(SEARCH("tin cat",E32))),"Live Catch Traps",
OR(ISNUMBER(SEARCH("bait",E32)),ISNUMBER(SEARCH("poison",E32))),"Bait &amp; Poison",
ISNUMBER(SEARCH("repellent",E32)),"Repellents",
OR(ISNUMBER(SEARCH("fly trap",E32)),ISNUMBER(SEARCH("fly ribbon",E32)),ISNUMBER(SEARCH("fly stick",E32)),ISNUMBER(SEARCH("window fly",E32)),ISNUMBER(SEARCH("fly magnet",E32))),"Fly Traps",
OR(ISNUMBER(SEARCH("uv",E32)),ISNUMBER(SEARCH("fly light",E32)),ISNUMBER(SEARCH("plug-in",E32))),"UV Fly Traps",
ISNUMBER(SEARCH("roach",E32)),"Roach Traps",
ISNUMBER(SEARCH("ant",E32)),"Ant Traps",
ISNUMBER(SEARCH("spider",E32)),"Spider Traps",
ISNUMBER(SEARCH("mosquito",E32)),"Mosquito Traps",
ISNUMBER(SEARCH("beetle",E32)),"Beetle Traps",
ISNUMBER(SEARCH("lantern",E32)),"Lanternfly Control",
OR(ISNUMBER(SEARCH("tree shield",E32)),ISNUMBER(SEARCH("tree banding",E32)),ISNUMBER(SEARCH("insect barrier",E32))),"Tree Barriers",
OR(ISNUMBER(SEARCH("sun &amp; shade",E32)),ISNUMBER(SEARCH("sun and shade",E32))),"Sun &amp; Shade Mix",
ISNUMBER(SEARCH("tall fescue",E32)),"Tall Fescue",
ISNUMBER(SEARCH("bermudagrass",E32)),"Bermudagrass",
ISNUMBER(SEARCH("kentucky",E32)),"Kentucky Bluegrass",
ISNUMBER(SEARCH("zoysia",E32)),"Zoysia",
ISNUMBER(SEARCH("ryegrass",E32)),"Perennial Ryegrass",
ISNUMBER(SEARCH("centipede",E32)),"Centipede Grass",
ISNUMBER(SEARCH("dense shade",E32)),"Dense Shade Mix",
ISNUMBER(SEARCH("southern gold",E32)),"Southern Gold Mix",
ISNUMBER(SEARCH("heat-tolerant blue",E32)),"Heat-Tolerant Blue Mix",
ISNUMBER(SEARCH("high traffic",E32)),"High Traffic Mix",
ISNUMBER(SEARCH("quick fix",E32)),"Quick Fix Mix",
ISNUMBER(SEARCH("starter",E32)),"Starter Fertilizer",
ISNUMBER(SEARCH("weed &amp; feed",E32)),"Weed &amp; Feed",
ISNUMBER(SEARCH("lawn food",E32)),"Lawn Food",
ISNUMBER(SEARCH("triple action",E32)),"Triple Action Fertilizer",
ISNUMBER(SEARCH("green max",E32)),"Green Max Lawn Food",
ISNUMBER(SEARCH("patchmaster",E32)),"PatchMaster Repair",
ISNUMBER(SEARCH("ez seed",E32)),"EZ Seed Repair",
ISNUMBER(SEARCH("rapid grass",E32)),"Rapid Grass",
ISNUMBER(SEARCH("thick'r lawn",E32)),"Thick'R Lawn",
ISNUMBER(SEARCH("fungicide",E32)),"Fungicide",
ISNUMBER(SEARCH("moss",E32)),"Moss Control",
ISNUMBER(SEARCH("perlite",E32)),"Perlite",
ISNUMBER(SEARCH("plant food",E32)),"Plant Food",
ISNUMBER(SEARCH("spreader",E32)),"Spreader",
ISNUMBER(SEARCH("sprayer",E32)),"Sprayer",
ISNUMBER(SEARCH("mower",E32)),"Lawn Mower",
ISNUMBER(SEARCH("sweeper",E32)),"Lawn Sweeper",
OR(ISNUMBER(SEARCH("pruner",E32)),ISNUMBER(SEARCH("trimmer",E32)),ISNUMBER(SEARCH("pole saw",E32))),"Pruning Tools",
TRUE,"Other"
)</f>
        <v>Glue Traps</v>
      </c>
      <c r="J32" s="7" t="str">
        <f t="shared" si="2"/>
        <v>Rodent Control - Glue Traps</v>
      </c>
      <c r="K32" s="1">
        <v>2000</v>
      </c>
      <c r="L32" s="1">
        <v>4.4000000000000004</v>
      </c>
      <c r="M32" s="1">
        <v>1131</v>
      </c>
      <c r="N32" s="1" t="s">
        <v>188</v>
      </c>
      <c r="O32" s="1">
        <f>VLOOKUP(A32,[2]Sheet1!$A:$B,2,0)</f>
        <v>400</v>
      </c>
      <c r="P32" s="1">
        <f>VLOOKUP(A32,[2]Sheet1!$A:$C,3,0)</f>
        <v>500</v>
      </c>
      <c r="Q32" s="7">
        <f>VLOOKUP(A32,[2]Sheet1!$A:$D,4,0)</f>
        <v>900</v>
      </c>
      <c r="R32" s="7">
        <f>VLOOKUP(A32,[2]Sheet1!$A:$E,5,0)</f>
        <v>600</v>
      </c>
      <c r="S32" s="7">
        <f>VLOOKUP(A32,[2]Sheet1!$A:$F,6,0)</f>
        <v>600</v>
      </c>
      <c r="T32" s="7">
        <f>VLOOKUP(A32,[2]Sheet1!$A:$G,7,0)</f>
        <v>800</v>
      </c>
      <c r="U32" s="7">
        <f>VLOOKUP(A32,[2]Sheet1!$A:$H,8,0)</f>
        <v>1000</v>
      </c>
      <c r="V32" s="7">
        <f>VLOOKUP(A32,[2]Sheet1!$A:$I,9,0)</f>
        <v>1000</v>
      </c>
      <c r="W32" s="7">
        <f>VLOOKUP(A32,[2]Sheet1!$A:$K,10,0)</f>
        <v>1000</v>
      </c>
      <c r="X32" s="7">
        <f>VLOOKUP(A32,[2]Sheet1!$A:$L,11,0)</f>
        <v>1000</v>
      </c>
      <c r="Y32" s="7">
        <f>VLOOKUP(A32,[2]Sheet1!$A:$L,12,0)</f>
        <v>900</v>
      </c>
      <c r="Z32" s="7">
        <f>VLOOKUP(A32,[2]Sheet1!$A:$M,13,0)</f>
        <v>500</v>
      </c>
      <c r="AA32" s="1">
        <f t="shared" si="0"/>
        <v>9200</v>
      </c>
      <c r="AB32" s="7">
        <f t="shared" si="3"/>
        <v>767</v>
      </c>
      <c r="AC32" s="13">
        <f t="shared" si="1"/>
        <v>766.66666666666663</v>
      </c>
      <c r="AD32" s="9">
        <f t="shared" si="4"/>
        <v>156308</v>
      </c>
      <c r="AE32" s="9">
        <f t="shared" si="5"/>
        <v>13025.666666666664</v>
      </c>
      <c r="AF32" s="11">
        <v>4.28</v>
      </c>
      <c r="AG32" s="11">
        <v>16.989999999999998</v>
      </c>
      <c r="AH32" s="9">
        <f t="shared" si="6"/>
        <v>0.10106666666666662</v>
      </c>
      <c r="AI32" s="11">
        <f t="shared" si="7"/>
        <v>0.35373333333333312</v>
      </c>
      <c r="AJ32" s="14">
        <v>0.5</v>
      </c>
      <c r="AK32" s="14">
        <v>0.5</v>
      </c>
      <c r="AL32" s="11">
        <v>4.28</v>
      </c>
      <c r="AM32" s="9">
        <f t="shared" si="8"/>
        <v>2.5484999999999998</v>
      </c>
      <c r="AN32" s="9">
        <f t="shared" si="9"/>
        <v>0.50969999999999993</v>
      </c>
      <c r="AO32" s="9">
        <f t="shared" si="10"/>
        <v>3.3979999999999997</v>
      </c>
      <c r="AP32" s="9">
        <f t="shared" si="11"/>
        <v>0.33979999999999999</v>
      </c>
      <c r="AQ32" s="9">
        <f t="shared" si="12"/>
        <v>3.3979999999999997</v>
      </c>
      <c r="AR32" s="9">
        <f t="shared" si="13"/>
        <v>4.2474999999999996</v>
      </c>
      <c r="AS32" s="11">
        <f t="shared" si="14"/>
        <v>1.0106666666666662</v>
      </c>
      <c r="AT32" s="12">
        <f t="shared" si="15"/>
        <v>0.4443333333333328</v>
      </c>
    </row>
    <row r="33" spans="1:46" ht="16.5" x14ac:dyDescent="0.4">
      <c r="A33" s="1" t="s">
        <v>189</v>
      </c>
      <c r="B33" s="7" t="s">
        <v>42</v>
      </c>
      <c r="C33" s="7" t="s">
        <v>1779</v>
      </c>
      <c r="D33" s="1" t="s">
        <v>190</v>
      </c>
      <c r="E33" s="1" t="s">
        <v>191</v>
      </c>
      <c r="F33" s="1" t="s">
        <v>192</v>
      </c>
      <c r="G33" s="7" t="str">
        <f>VLOOKUP(A33,[1]done!$A:$I,9,0)</f>
        <v>Mosquito/Fly</v>
      </c>
      <c r="H33" s="7" t="str" cm="1">
        <f t="array" ref="H33">_xlfn.IFS(
OR(ISNUMBER(SEARCH("mouse",E33)),ISNUMBER(SEARCH("rat",E33)),ISNUMBER(SEARCH("mice",E33)),ISNUMBER(SEARCH("rodent",E33))),"Rodent Control",
OR(ISNUMBER(SEARCH("fly",E33)),ISNUMBER(SEARCH("gnat",E33)),ISNUMBER(SEARCH("insect",E33)),ISNUMBER(SEARCH("mosquito",E33))),"Flying Insect Control",
OR(ISNUMBER(SEARCH("roach",E33)),ISNUMBER(SEARCH("ant",E33)),ISNUMBER(SEARCH("spider",E33)),ISNUMBER(SEARCH("cricket",E33)),ISNUMBER(SEARCH("scorpion",E33)),ISNUMBER(SEARCH("centipede",E33)),ISNUMBER(SEARCH("beetle",E33))),"Crawling Insect Control",
OR(ISNUMBER(SEARCH("tree",E33)),ISNUMBER(SEARCH("lantern",E33)),ISNUMBER(SEARCH("garden",E33)),ISNUMBER(SEARCH("plant",E33))),"Garden Pest Control",
OR(ISNUMBER(SEARCH("grass seed",E33)),ISNUMBER(SEARCH("seed mix",E33))),"Grass Seed",
OR(ISNUMBER(SEARCH("lawn food",E33)),ISNUMBER(SEARCH("fertilizer",E33))),"Lawn Fertilizer",
OR(ISNUMBER(SEARCH("patch",E33)),ISNUMBER(SEARCH("repair",E33)),ISNUMBER(SEARCH("thick'r",E33)),ISNUMBER(SEARCH("thick'r lawn",E33)),ISNUMBER(SEARCH("rapid grass",E33))),"Lawn Repair",
OR(ISNUMBER(SEARCH("weed",E33)),ISNUMBER(SEARCH("crabgrass",E33))),"Weed Control",
OR(ISNUMBER(SEARCH("fungicide",E33)),ISNUMBER(SEARCH("moss",E33))),"Disease &amp; Moss Control",
OR(ISNUMBER(SEARCH("plant food",E33)),ISNUMBER(SEARCH("miracid",E33))),"Plant Nutrition",
OR(ISNUMBER(SEARCH("perlite",E33))),"Soil Amendment",
OR(ISNUMBER(SEARCH("spreader",E33)),ISNUMBER(SEARCH("sprayer",E33)),ISNUMBER(SEARCH("mower",E33)),ISNUMBER(SEARCH("sweeper",E33)),ISNUMBER(SEARCH("pruner",E33)),ISNUMBER(SEARCH("trimmer",E33)),ISNUMBER(SEARCH("pole saw",E33))),"Garden Equipment",
TRUE,"Other"
)</f>
        <v>Flying Insect Control</v>
      </c>
      <c r="I33" s="7" t="str" cm="1">
        <f t="array" ref="I33">_xlfn.IFS(
OR(ISNUMBER(SEARCH("glue trap",E33)),ISNUMBER(SEARCH("glue board",E33))),"Glue Traps",
OR(ISNUMBER(SEARCH("snap trap",E33)),ISNUMBER(SEARCH("power-kill",E33)),ISNUMBER(SEARCH("wide pedal",E33)),ISNUMBER(SEARCH("metal pedal",E33))),"Snap Traps",
OR(ISNUMBER(SEARCH("electronic",E33)),ISNUMBER(SEARCH("zapper",E33))),"Electronic Traps",
OR(ISNUMBER(SEARCH("live catch",E33)),ISNUMBER(SEARCH("multi-catch",E33)),ISNUMBER(SEARCH("catch &amp; hold",E33)),ISNUMBER(SEARCH("tin cat",E33))),"Live Catch Traps",
OR(ISNUMBER(SEARCH("bait",E33)),ISNUMBER(SEARCH("poison",E33))),"Bait &amp; Poison",
ISNUMBER(SEARCH("repellent",E33)),"Repellents",
OR(ISNUMBER(SEARCH("fly trap",E33)),ISNUMBER(SEARCH("fly ribbon",E33)),ISNUMBER(SEARCH("fly stick",E33)),ISNUMBER(SEARCH("window fly",E33)),ISNUMBER(SEARCH("fly magnet",E33))),"Fly Traps",
OR(ISNUMBER(SEARCH("uv",E33)),ISNUMBER(SEARCH("fly light",E33)),ISNUMBER(SEARCH("plug-in",E33))),"UV Fly Traps",
ISNUMBER(SEARCH("roach",E33)),"Roach Traps",
ISNUMBER(SEARCH("ant",E33)),"Ant Traps",
ISNUMBER(SEARCH("spider",E33)),"Spider Traps",
ISNUMBER(SEARCH("mosquito",E33)),"Mosquito Traps",
ISNUMBER(SEARCH("beetle",E33)),"Beetle Traps",
ISNUMBER(SEARCH("lantern",E33)),"Lanternfly Control",
OR(ISNUMBER(SEARCH("tree shield",E33)),ISNUMBER(SEARCH("tree banding",E33)),ISNUMBER(SEARCH("insect barrier",E33))),"Tree Barriers",
OR(ISNUMBER(SEARCH("sun &amp; shade",E33)),ISNUMBER(SEARCH("sun and shade",E33))),"Sun &amp; Shade Mix",
ISNUMBER(SEARCH("tall fescue",E33)),"Tall Fescue",
ISNUMBER(SEARCH("bermudagrass",E33)),"Bermudagrass",
ISNUMBER(SEARCH("kentucky",E33)),"Kentucky Bluegrass",
ISNUMBER(SEARCH("zoysia",E33)),"Zoysia",
ISNUMBER(SEARCH("ryegrass",E33)),"Perennial Ryegrass",
ISNUMBER(SEARCH("centipede",E33)),"Centipede Grass",
ISNUMBER(SEARCH("dense shade",E33)),"Dense Shade Mix",
ISNUMBER(SEARCH("southern gold",E33)),"Southern Gold Mix",
ISNUMBER(SEARCH("heat-tolerant blue",E33)),"Heat-Tolerant Blue Mix",
ISNUMBER(SEARCH("high traffic",E33)),"High Traffic Mix",
ISNUMBER(SEARCH("quick fix",E33)),"Quick Fix Mix",
ISNUMBER(SEARCH("starter",E33)),"Starter Fertilizer",
ISNUMBER(SEARCH("weed &amp; feed",E33)),"Weed &amp; Feed",
ISNUMBER(SEARCH("lawn food",E33)),"Lawn Food",
ISNUMBER(SEARCH("triple action",E33)),"Triple Action Fertilizer",
ISNUMBER(SEARCH("green max",E33)),"Green Max Lawn Food",
ISNUMBER(SEARCH("patchmaster",E33)),"PatchMaster Repair",
ISNUMBER(SEARCH("ez seed",E33)),"EZ Seed Repair",
ISNUMBER(SEARCH("rapid grass",E33)),"Rapid Grass",
ISNUMBER(SEARCH("thick'r lawn",E33)),"Thick'R Lawn",
ISNUMBER(SEARCH("fungicide",E33)),"Fungicide",
ISNUMBER(SEARCH("moss",E33)),"Moss Control",
ISNUMBER(SEARCH("perlite",E33)),"Perlite",
ISNUMBER(SEARCH("plant food",E33)),"Plant Food",
ISNUMBER(SEARCH("spreader",E33)),"Spreader",
ISNUMBER(SEARCH("sprayer",E33)),"Sprayer",
ISNUMBER(SEARCH("mower",E33)),"Lawn Mower",
ISNUMBER(SEARCH("sweeper",E33)),"Lawn Sweeper",
OR(ISNUMBER(SEARCH("pruner",E33)),ISNUMBER(SEARCH("trimmer",E33)),ISNUMBER(SEARCH("pole saw",E33))),"Pruning Tools",
TRUE,"Other"
)</f>
        <v>Glue Traps</v>
      </c>
      <c r="J33" s="7" t="str">
        <f t="shared" si="2"/>
        <v>Flying Insect Control - Glue Traps</v>
      </c>
      <c r="K33" s="1">
        <v>1000</v>
      </c>
      <c r="L33" s="1">
        <v>4.2</v>
      </c>
      <c r="M33" s="1">
        <v>6300</v>
      </c>
      <c r="N33" s="1" t="s">
        <v>193</v>
      </c>
      <c r="O33" s="1">
        <f>VLOOKUP(A33,[2]Sheet1!$A:$B,2,0)</f>
        <v>100</v>
      </c>
      <c r="P33" s="1">
        <f>VLOOKUP(A33,[2]Sheet1!$A:$C,3,0)</f>
        <v>100</v>
      </c>
      <c r="Q33" s="7">
        <f>VLOOKUP(A33,[2]Sheet1!$A:$D,4,0)</f>
        <v>300</v>
      </c>
      <c r="R33" s="7">
        <f>VLOOKUP(A33,[2]Sheet1!$A:$E,5,0)</f>
        <v>1000</v>
      </c>
      <c r="S33" s="7">
        <f>VLOOKUP(A33,[2]Sheet1!$A:$F,6,0)</f>
        <v>1000</v>
      </c>
      <c r="T33" s="7">
        <f>VLOOKUP(A33,[2]Sheet1!$A:$G,7,0)</f>
        <v>2000</v>
      </c>
      <c r="U33" s="7">
        <f>VLOOKUP(A33,[2]Sheet1!$A:$H,8,0)</f>
        <v>2000</v>
      </c>
      <c r="V33" s="7">
        <f>VLOOKUP(A33,[2]Sheet1!$A:$I,9,0)</f>
        <v>1000</v>
      </c>
      <c r="W33" s="7">
        <f>VLOOKUP(A33,[2]Sheet1!$A:$K,10,0)</f>
        <v>1000</v>
      </c>
      <c r="X33" s="7">
        <f>VLOOKUP(A33,[2]Sheet1!$A:$L,11,0)</f>
        <v>900</v>
      </c>
      <c r="Y33" s="7">
        <f>VLOOKUP(A33,[2]Sheet1!$A:$L,12,0)</f>
        <v>600</v>
      </c>
      <c r="Z33" s="7">
        <f>VLOOKUP(A33,[2]Sheet1!$A:$M,13,0)</f>
        <v>200</v>
      </c>
      <c r="AA33" s="1">
        <f t="shared" si="0"/>
        <v>10200</v>
      </c>
      <c r="AB33" s="7">
        <f t="shared" si="3"/>
        <v>850</v>
      </c>
      <c r="AC33" s="13">
        <f t="shared" si="1"/>
        <v>850</v>
      </c>
      <c r="AD33" s="9">
        <f t="shared" si="4"/>
        <v>132498</v>
      </c>
      <c r="AE33" s="9">
        <f t="shared" si="5"/>
        <v>11041.5</v>
      </c>
      <c r="AF33" s="11">
        <v>4.3499999999999996</v>
      </c>
      <c r="AG33" s="11">
        <v>12.99</v>
      </c>
      <c r="AH33" s="9">
        <f t="shared" si="6"/>
        <v>-1.0266666666666691E-2</v>
      </c>
      <c r="AI33" s="11">
        <f t="shared" si="7"/>
        <v>-3.5933333333333414E-2</v>
      </c>
      <c r="AJ33" s="14">
        <v>0.5</v>
      </c>
      <c r="AK33" s="14">
        <v>0.5</v>
      </c>
      <c r="AL33" s="11">
        <v>4.3499999999999996</v>
      </c>
      <c r="AM33" s="9">
        <f t="shared" si="8"/>
        <v>1.9484999999999999</v>
      </c>
      <c r="AN33" s="9">
        <f t="shared" si="9"/>
        <v>0.38969999999999999</v>
      </c>
      <c r="AO33" s="9">
        <f t="shared" si="10"/>
        <v>2.5980000000000003</v>
      </c>
      <c r="AP33" s="9">
        <f t="shared" si="11"/>
        <v>0.25980000000000003</v>
      </c>
      <c r="AQ33" s="9">
        <f t="shared" si="12"/>
        <v>2.5980000000000003</v>
      </c>
      <c r="AR33" s="9">
        <f t="shared" si="13"/>
        <v>3.2475000000000001</v>
      </c>
      <c r="AS33" s="11">
        <f t="shared" si="14"/>
        <v>-0.10266666666666691</v>
      </c>
      <c r="AT33" s="12">
        <f t="shared" si="15"/>
        <v>-0.53566666666666674</v>
      </c>
    </row>
    <row r="34" spans="1:46" ht="16.5" x14ac:dyDescent="0.4">
      <c r="A34" s="1" t="s">
        <v>194</v>
      </c>
      <c r="B34" s="7" t="s">
        <v>42</v>
      </c>
      <c r="C34" s="7" t="s">
        <v>42</v>
      </c>
      <c r="D34" s="1" t="s">
        <v>190</v>
      </c>
      <c r="E34" s="1" t="s">
        <v>195</v>
      </c>
      <c r="F34" s="1" t="s">
        <v>196</v>
      </c>
      <c r="G34" s="7" t="str">
        <f>VLOOKUP(A34,[1]done!$A:$I,9,0)</f>
        <v>Mosquito/Fly</v>
      </c>
      <c r="H34" s="7" t="str" cm="1">
        <f t="array" ref="H34">_xlfn.IFS(
OR(ISNUMBER(SEARCH("mouse",E34)),ISNUMBER(SEARCH("rat",E34)),ISNUMBER(SEARCH("mice",E34)),ISNUMBER(SEARCH("rodent",E34))),"Rodent Control",
OR(ISNUMBER(SEARCH("fly",E34)),ISNUMBER(SEARCH("gnat",E34)),ISNUMBER(SEARCH("insect",E34)),ISNUMBER(SEARCH("mosquito",E34))),"Flying Insect Control",
OR(ISNUMBER(SEARCH("roach",E34)),ISNUMBER(SEARCH("ant",E34)),ISNUMBER(SEARCH("spider",E34)),ISNUMBER(SEARCH("cricket",E34)),ISNUMBER(SEARCH("scorpion",E34)),ISNUMBER(SEARCH("centipede",E34)),ISNUMBER(SEARCH("beetle",E34))),"Crawling Insect Control",
OR(ISNUMBER(SEARCH("tree",E34)),ISNUMBER(SEARCH("lantern",E34)),ISNUMBER(SEARCH("garden",E34)),ISNUMBER(SEARCH("plant",E34))),"Garden Pest Control",
OR(ISNUMBER(SEARCH("grass seed",E34)),ISNUMBER(SEARCH("seed mix",E34))),"Grass Seed",
OR(ISNUMBER(SEARCH("lawn food",E34)),ISNUMBER(SEARCH("fertilizer",E34))),"Lawn Fertilizer",
OR(ISNUMBER(SEARCH("patch",E34)),ISNUMBER(SEARCH("repair",E34)),ISNUMBER(SEARCH("thick'r",E34)),ISNUMBER(SEARCH("thick'r lawn",E34)),ISNUMBER(SEARCH("rapid grass",E34))),"Lawn Repair",
OR(ISNUMBER(SEARCH("weed",E34)),ISNUMBER(SEARCH("crabgrass",E34))),"Weed Control",
OR(ISNUMBER(SEARCH("fungicide",E34)),ISNUMBER(SEARCH("moss",E34))),"Disease &amp; Moss Control",
OR(ISNUMBER(SEARCH("plant food",E34)),ISNUMBER(SEARCH("miracid",E34))),"Plant Nutrition",
OR(ISNUMBER(SEARCH("perlite",E34))),"Soil Amendment",
OR(ISNUMBER(SEARCH("spreader",E34)),ISNUMBER(SEARCH("sprayer",E34)),ISNUMBER(SEARCH("mower",E34)),ISNUMBER(SEARCH("sweeper",E34)),ISNUMBER(SEARCH("pruner",E34)),ISNUMBER(SEARCH("trimmer",E34)),ISNUMBER(SEARCH("pole saw",E34))),"Garden Equipment",
TRUE,"Other"
)</f>
        <v>Flying Insect Control</v>
      </c>
      <c r="I34" s="7" t="str" cm="1">
        <f t="array" ref="I34">_xlfn.IFS(
OR(ISNUMBER(SEARCH("glue trap",E34)),ISNUMBER(SEARCH("glue board",E34))),"Glue Traps",
OR(ISNUMBER(SEARCH("snap trap",E34)),ISNUMBER(SEARCH("power-kill",E34)),ISNUMBER(SEARCH("wide pedal",E34)),ISNUMBER(SEARCH("metal pedal",E34))),"Snap Traps",
OR(ISNUMBER(SEARCH("electronic",E34)),ISNUMBER(SEARCH("zapper",E34))),"Electronic Traps",
OR(ISNUMBER(SEARCH("live catch",E34)),ISNUMBER(SEARCH("multi-catch",E34)),ISNUMBER(SEARCH("catch &amp; hold",E34)),ISNUMBER(SEARCH("tin cat",E34))),"Live Catch Traps",
OR(ISNUMBER(SEARCH("bait",E34)),ISNUMBER(SEARCH("poison",E34))),"Bait &amp; Poison",
ISNUMBER(SEARCH("repellent",E34)),"Repellents",
OR(ISNUMBER(SEARCH("fly trap",E34)),ISNUMBER(SEARCH("fly ribbon",E34)),ISNUMBER(SEARCH("fly stick",E34)),ISNUMBER(SEARCH("window fly",E34)),ISNUMBER(SEARCH("fly magnet",E34))),"Fly Traps",
OR(ISNUMBER(SEARCH("uv",E34)),ISNUMBER(SEARCH("fly light",E34)),ISNUMBER(SEARCH("plug-in",E34))),"UV Fly Traps",
ISNUMBER(SEARCH("roach",E34)),"Roach Traps",
ISNUMBER(SEARCH("ant",E34)),"Ant Traps",
ISNUMBER(SEARCH("spider",E34)),"Spider Traps",
ISNUMBER(SEARCH("mosquito",E34)),"Mosquito Traps",
ISNUMBER(SEARCH("beetle",E34)),"Beetle Traps",
ISNUMBER(SEARCH("lantern",E34)),"Lanternfly Control",
OR(ISNUMBER(SEARCH("tree shield",E34)),ISNUMBER(SEARCH("tree banding",E34)),ISNUMBER(SEARCH("insect barrier",E34))),"Tree Barriers",
OR(ISNUMBER(SEARCH("sun &amp; shade",E34)),ISNUMBER(SEARCH("sun and shade",E34))),"Sun &amp; Shade Mix",
ISNUMBER(SEARCH("tall fescue",E34)),"Tall Fescue",
ISNUMBER(SEARCH("bermudagrass",E34)),"Bermudagrass",
ISNUMBER(SEARCH("kentucky",E34)),"Kentucky Bluegrass",
ISNUMBER(SEARCH("zoysia",E34)),"Zoysia",
ISNUMBER(SEARCH("ryegrass",E34)),"Perennial Ryegrass",
ISNUMBER(SEARCH("centipede",E34)),"Centipede Grass",
ISNUMBER(SEARCH("dense shade",E34)),"Dense Shade Mix",
ISNUMBER(SEARCH("southern gold",E34)),"Southern Gold Mix",
ISNUMBER(SEARCH("heat-tolerant blue",E34)),"Heat-Tolerant Blue Mix",
ISNUMBER(SEARCH("high traffic",E34)),"High Traffic Mix",
ISNUMBER(SEARCH("quick fix",E34)),"Quick Fix Mix",
ISNUMBER(SEARCH("starter",E34)),"Starter Fertilizer",
ISNUMBER(SEARCH("weed &amp; feed",E34)),"Weed &amp; Feed",
ISNUMBER(SEARCH("lawn food",E34)),"Lawn Food",
ISNUMBER(SEARCH("triple action",E34)),"Triple Action Fertilizer",
ISNUMBER(SEARCH("green max",E34)),"Green Max Lawn Food",
ISNUMBER(SEARCH("patchmaster",E34)),"PatchMaster Repair",
ISNUMBER(SEARCH("ez seed",E34)),"EZ Seed Repair",
ISNUMBER(SEARCH("rapid grass",E34)),"Rapid Grass",
ISNUMBER(SEARCH("thick'r lawn",E34)),"Thick'R Lawn",
ISNUMBER(SEARCH("fungicide",E34)),"Fungicide",
ISNUMBER(SEARCH("moss",E34)),"Moss Control",
ISNUMBER(SEARCH("perlite",E34)),"Perlite",
ISNUMBER(SEARCH("plant food",E34)),"Plant Food",
ISNUMBER(SEARCH("spreader",E34)),"Spreader",
ISNUMBER(SEARCH("sprayer",E34)),"Sprayer",
ISNUMBER(SEARCH("mower",E34)),"Lawn Mower",
ISNUMBER(SEARCH("sweeper",E34)),"Lawn Sweeper",
OR(ISNUMBER(SEARCH("pruner",E34)),ISNUMBER(SEARCH("trimmer",E34)),ISNUMBER(SEARCH("pole saw",E34))),"Pruning Tools",
TRUE,"Other"
)</f>
        <v>Glue Traps</v>
      </c>
      <c r="J34" s="7" t="str">
        <f t="shared" si="2"/>
        <v>Flying Insect Control - Glue Traps</v>
      </c>
      <c r="K34" s="1">
        <v>1000</v>
      </c>
      <c r="L34" s="1">
        <v>4.2</v>
      </c>
      <c r="M34" s="1">
        <v>6292</v>
      </c>
      <c r="N34" s="1" t="s">
        <v>197</v>
      </c>
      <c r="O34" s="1">
        <f>VLOOKUP(A34,[2]Sheet1!$A:$B,2,0)</f>
        <v>400</v>
      </c>
      <c r="P34" s="1">
        <f>VLOOKUP(A34,[2]Sheet1!$A:$C,3,0)</f>
        <v>200</v>
      </c>
      <c r="Q34" s="7">
        <f>VLOOKUP(A34,[2]Sheet1!$A:$D,4,0)</f>
        <v>1000</v>
      </c>
      <c r="R34" s="7">
        <f>VLOOKUP(A34,[2]Sheet1!$A:$E,5,0)</f>
        <v>1000</v>
      </c>
      <c r="S34" s="7">
        <f>VLOOKUP(A34,[2]Sheet1!$A:$F,6,0)</f>
        <v>2000</v>
      </c>
      <c r="T34" s="7">
        <f>VLOOKUP(A34,[2]Sheet1!$A:$G,7,0)</f>
        <v>1000</v>
      </c>
      <c r="U34" s="7">
        <f>VLOOKUP(A34,[2]Sheet1!$A:$H,8,0)</f>
        <v>1000</v>
      </c>
      <c r="V34" s="7">
        <f>VLOOKUP(A34,[2]Sheet1!$A:$I,9,0)</f>
        <v>1000</v>
      </c>
      <c r="W34" s="7">
        <f>VLOOKUP(A34,[2]Sheet1!$A:$K,10,0)</f>
        <v>2000</v>
      </c>
      <c r="X34" s="7">
        <f>VLOOKUP(A34,[2]Sheet1!$A:$L,11,0)</f>
        <v>1000</v>
      </c>
      <c r="Y34" s="7">
        <f>VLOOKUP(A34,[2]Sheet1!$A:$L,12,0)</f>
        <v>600</v>
      </c>
      <c r="Z34" s="7">
        <f>VLOOKUP(A34,[2]Sheet1!$A:$M,13,0)</f>
        <v>400</v>
      </c>
      <c r="AA34" s="1">
        <f t="shared" si="0"/>
        <v>11600</v>
      </c>
      <c r="AB34" s="7">
        <f t="shared" si="3"/>
        <v>967</v>
      </c>
      <c r="AC34" s="13">
        <f t="shared" si="1"/>
        <v>966.66666666666663</v>
      </c>
      <c r="AD34" s="9">
        <f t="shared" si="4"/>
        <v>463884</v>
      </c>
      <c r="AE34" s="9">
        <f t="shared" si="5"/>
        <v>38657</v>
      </c>
      <c r="AF34" s="11">
        <v>6.13</v>
      </c>
      <c r="AG34" s="11">
        <v>39.99</v>
      </c>
      <c r="AH34" s="9">
        <f t="shared" si="6"/>
        <v>0.59106666666666674</v>
      </c>
      <c r="AI34" s="11">
        <f t="shared" si="7"/>
        <v>2.0687333333333333</v>
      </c>
      <c r="AJ34" s="14">
        <v>0.5</v>
      </c>
      <c r="AK34" s="14">
        <v>0.5</v>
      </c>
      <c r="AL34" s="11">
        <v>6.13</v>
      </c>
      <c r="AM34" s="9">
        <f t="shared" si="8"/>
        <v>5.9984999999999999</v>
      </c>
      <c r="AN34" s="9">
        <f t="shared" si="9"/>
        <v>1.1997</v>
      </c>
      <c r="AO34" s="9">
        <f t="shared" si="10"/>
        <v>7.9980000000000011</v>
      </c>
      <c r="AP34" s="9">
        <f t="shared" si="11"/>
        <v>0.79980000000000007</v>
      </c>
      <c r="AQ34" s="9">
        <f t="shared" si="12"/>
        <v>7.9980000000000011</v>
      </c>
      <c r="AR34" s="9">
        <f t="shared" si="13"/>
        <v>9.9975000000000005</v>
      </c>
      <c r="AS34" s="11">
        <f t="shared" si="14"/>
        <v>5.9106666666666667</v>
      </c>
      <c r="AT34" s="12">
        <f t="shared" si="15"/>
        <v>4.5776666666666666</v>
      </c>
    </row>
    <row r="35" spans="1:46" ht="16.5" x14ac:dyDescent="0.4">
      <c r="A35" s="1" t="s">
        <v>198</v>
      </c>
      <c r="B35" s="7" t="s">
        <v>42</v>
      </c>
      <c r="C35" s="7" t="s">
        <v>42</v>
      </c>
      <c r="D35" s="1" t="s">
        <v>199</v>
      </c>
      <c r="E35" s="1" t="s">
        <v>200</v>
      </c>
      <c r="F35" s="1" t="s">
        <v>201</v>
      </c>
      <c r="G35" s="7" t="str">
        <f>VLOOKUP(A35,[1]done!$A:$I,9,0)</f>
        <v>Mosquito/Fly</v>
      </c>
      <c r="H35" s="7" t="str" cm="1">
        <f t="array" ref="H35">_xlfn.IFS(
OR(ISNUMBER(SEARCH("mouse",E35)),ISNUMBER(SEARCH("rat",E35)),ISNUMBER(SEARCH("mice",E35)),ISNUMBER(SEARCH("rodent",E35))),"Rodent Control",
OR(ISNUMBER(SEARCH("fly",E35)),ISNUMBER(SEARCH("gnat",E35)),ISNUMBER(SEARCH("insect",E35)),ISNUMBER(SEARCH("mosquito",E35))),"Flying Insect Control",
OR(ISNUMBER(SEARCH("roach",E35)),ISNUMBER(SEARCH("ant",E35)),ISNUMBER(SEARCH("spider",E35)),ISNUMBER(SEARCH("cricket",E35)),ISNUMBER(SEARCH("scorpion",E35)),ISNUMBER(SEARCH("centipede",E35)),ISNUMBER(SEARCH("beetle",E35))),"Crawling Insect Control",
OR(ISNUMBER(SEARCH("tree",E35)),ISNUMBER(SEARCH("lantern",E35)),ISNUMBER(SEARCH("garden",E35)),ISNUMBER(SEARCH("plant",E35))),"Garden Pest Control",
OR(ISNUMBER(SEARCH("grass seed",E35)),ISNUMBER(SEARCH("seed mix",E35))),"Grass Seed",
OR(ISNUMBER(SEARCH("lawn food",E35)),ISNUMBER(SEARCH("fertilizer",E35))),"Lawn Fertilizer",
OR(ISNUMBER(SEARCH("patch",E35)),ISNUMBER(SEARCH("repair",E35)),ISNUMBER(SEARCH("thick'r",E35)),ISNUMBER(SEARCH("thick'r lawn",E35)),ISNUMBER(SEARCH("rapid grass",E35))),"Lawn Repair",
OR(ISNUMBER(SEARCH("weed",E35)),ISNUMBER(SEARCH("crabgrass",E35))),"Weed Control",
OR(ISNUMBER(SEARCH("fungicide",E35)),ISNUMBER(SEARCH("moss",E35))),"Disease &amp; Moss Control",
OR(ISNUMBER(SEARCH("plant food",E35)),ISNUMBER(SEARCH("miracid",E35))),"Plant Nutrition",
OR(ISNUMBER(SEARCH("perlite",E35))),"Soil Amendment",
OR(ISNUMBER(SEARCH("spreader",E35)),ISNUMBER(SEARCH("sprayer",E35)),ISNUMBER(SEARCH("mower",E35)),ISNUMBER(SEARCH("sweeper",E35)),ISNUMBER(SEARCH("pruner",E35)),ISNUMBER(SEARCH("trimmer",E35)),ISNUMBER(SEARCH("pole saw",E35))),"Garden Equipment",
TRUE,"Other"
)</f>
        <v>Flying Insect Control</v>
      </c>
      <c r="I35" s="7" t="str" cm="1">
        <f t="array" ref="I35">_xlfn.IFS(
OR(ISNUMBER(SEARCH("glue trap",E35)),ISNUMBER(SEARCH("glue board",E35))),"Glue Traps",
OR(ISNUMBER(SEARCH("snap trap",E35)),ISNUMBER(SEARCH("power-kill",E35)),ISNUMBER(SEARCH("wide pedal",E35)),ISNUMBER(SEARCH("metal pedal",E35))),"Snap Traps",
OR(ISNUMBER(SEARCH("electronic",E35)),ISNUMBER(SEARCH("zapper",E35))),"Electronic Traps",
OR(ISNUMBER(SEARCH("live catch",E35)),ISNUMBER(SEARCH("multi-catch",E35)),ISNUMBER(SEARCH("catch &amp; hold",E35)),ISNUMBER(SEARCH("tin cat",E35))),"Live Catch Traps",
OR(ISNUMBER(SEARCH("bait",E35)),ISNUMBER(SEARCH("poison",E35))),"Bait &amp; Poison",
ISNUMBER(SEARCH("repellent",E35)),"Repellents",
OR(ISNUMBER(SEARCH("fly trap",E35)),ISNUMBER(SEARCH("fly ribbon",E35)),ISNUMBER(SEARCH("fly stick",E35)),ISNUMBER(SEARCH("window fly",E35)),ISNUMBER(SEARCH("fly magnet",E35))),"Fly Traps",
OR(ISNUMBER(SEARCH("uv",E35)),ISNUMBER(SEARCH("fly light",E35)),ISNUMBER(SEARCH("plug-in",E35))),"UV Fly Traps",
ISNUMBER(SEARCH("roach",E35)),"Roach Traps",
ISNUMBER(SEARCH("ant",E35)),"Ant Traps",
ISNUMBER(SEARCH("spider",E35)),"Spider Traps",
ISNUMBER(SEARCH("mosquito",E35)),"Mosquito Traps",
ISNUMBER(SEARCH("beetle",E35)),"Beetle Traps",
ISNUMBER(SEARCH("lantern",E35)),"Lanternfly Control",
OR(ISNUMBER(SEARCH("tree shield",E35)),ISNUMBER(SEARCH("tree banding",E35)),ISNUMBER(SEARCH("insect barrier",E35))),"Tree Barriers",
OR(ISNUMBER(SEARCH("sun &amp; shade",E35)),ISNUMBER(SEARCH("sun and shade",E35))),"Sun &amp; Shade Mix",
ISNUMBER(SEARCH("tall fescue",E35)),"Tall Fescue",
ISNUMBER(SEARCH("bermudagrass",E35)),"Bermudagrass",
ISNUMBER(SEARCH("kentucky",E35)),"Kentucky Bluegrass",
ISNUMBER(SEARCH("zoysia",E35)),"Zoysia",
ISNUMBER(SEARCH("ryegrass",E35)),"Perennial Ryegrass",
ISNUMBER(SEARCH("centipede",E35)),"Centipede Grass",
ISNUMBER(SEARCH("dense shade",E35)),"Dense Shade Mix",
ISNUMBER(SEARCH("southern gold",E35)),"Southern Gold Mix",
ISNUMBER(SEARCH("heat-tolerant blue",E35)),"Heat-Tolerant Blue Mix",
ISNUMBER(SEARCH("high traffic",E35)),"High Traffic Mix",
ISNUMBER(SEARCH("quick fix",E35)),"Quick Fix Mix",
ISNUMBER(SEARCH("starter",E35)),"Starter Fertilizer",
ISNUMBER(SEARCH("weed &amp; feed",E35)),"Weed &amp; Feed",
ISNUMBER(SEARCH("lawn food",E35)),"Lawn Food",
ISNUMBER(SEARCH("triple action",E35)),"Triple Action Fertilizer",
ISNUMBER(SEARCH("green max",E35)),"Green Max Lawn Food",
ISNUMBER(SEARCH("patchmaster",E35)),"PatchMaster Repair",
ISNUMBER(SEARCH("ez seed",E35)),"EZ Seed Repair",
ISNUMBER(SEARCH("rapid grass",E35)),"Rapid Grass",
ISNUMBER(SEARCH("thick'r lawn",E35)),"Thick'R Lawn",
ISNUMBER(SEARCH("fungicide",E35)),"Fungicide",
ISNUMBER(SEARCH("moss",E35)),"Moss Control",
ISNUMBER(SEARCH("perlite",E35)),"Perlite",
ISNUMBER(SEARCH("plant food",E35)),"Plant Food",
ISNUMBER(SEARCH("spreader",E35)),"Spreader",
ISNUMBER(SEARCH("sprayer",E35)),"Sprayer",
ISNUMBER(SEARCH("mower",E35)),"Lawn Mower",
ISNUMBER(SEARCH("sweeper",E35)),"Lawn Sweeper",
OR(ISNUMBER(SEARCH("pruner",E35)),ISNUMBER(SEARCH("trimmer",E35)),ISNUMBER(SEARCH("pole saw",E35))),"Pruning Tools",
TRUE,"Other"
)</f>
        <v>Fly Traps</v>
      </c>
      <c r="J35" s="7" t="str">
        <f t="shared" si="2"/>
        <v>Flying Insect Control - Fly Traps</v>
      </c>
      <c r="K35" s="1">
        <v>1000</v>
      </c>
      <c r="L35" s="1">
        <v>3.7</v>
      </c>
      <c r="M35" s="1">
        <v>2989</v>
      </c>
      <c r="N35" s="1"/>
      <c r="O35" s="1">
        <f>VLOOKUP(A35,[2]Sheet1!$A:$B,2,0)</f>
        <v>50</v>
      </c>
      <c r="P35" s="1">
        <f>VLOOKUP(A35,[2]Sheet1!$A:$C,3,0)</f>
        <v>50</v>
      </c>
      <c r="Q35" s="7">
        <f>VLOOKUP(A35,[2]Sheet1!$A:$D,4,0)</f>
        <v>50</v>
      </c>
      <c r="R35" s="7">
        <f>VLOOKUP(A35,[2]Sheet1!$A:$E,5,0)</f>
        <v>200</v>
      </c>
      <c r="S35" s="7">
        <f>VLOOKUP(A35,[2]Sheet1!$A:$F,6,0)</f>
        <v>200</v>
      </c>
      <c r="T35" s="7">
        <f>VLOOKUP(A35,[2]Sheet1!$A:$G,7,0)</f>
        <v>300</v>
      </c>
      <c r="U35" s="7">
        <f>VLOOKUP(A35,[2]Sheet1!$A:$H,8,0)</f>
        <v>300</v>
      </c>
      <c r="V35" s="7">
        <f>VLOOKUP(A35,[2]Sheet1!$A:$I,9,0)</f>
        <v>1000</v>
      </c>
      <c r="W35" s="7">
        <f>VLOOKUP(A35,[2]Sheet1!$A:$K,10,0)</f>
        <v>1000</v>
      </c>
      <c r="X35" s="7">
        <f>VLOOKUP(A35,[2]Sheet1!$A:$L,11,0)</f>
        <v>200</v>
      </c>
      <c r="Y35" s="7">
        <f>VLOOKUP(A35,[2]Sheet1!$A:$L,12,0)</f>
        <v>100</v>
      </c>
      <c r="Z35" s="7">
        <f>VLOOKUP(A35,[2]Sheet1!$A:$M,13,0)</f>
        <v>50</v>
      </c>
      <c r="AA35" s="1">
        <f t="shared" si="0"/>
        <v>3500</v>
      </c>
      <c r="AB35" s="7">
        <f t="shared" si="3"/>
        <v>292</v>
      </c>
      <c r="AC35" s="13">
        <f t="shared" si="1"/>
        <v>291.66666666666669</v>
      </c>
      <c r="AD35" s="9">
        <f t="shared" si="4"/>
        <v>69650</v>
      </c>
      <c r="AE35" s="9">
        <f t="shared" si="5"/>
        <v>5804.166666666667</v>
      </c>
      <c r="AF35" s="11">
        <v>7.38</v>
      </c>
      <c r="AG35" s="11">
        <v>19.899999999999999</v>
      </c>
      <c r="AH35" s="9">
        <f t="shared" si="6"/>
        <v>-2.8000000000000025E-2</v>
      </c>
      <c r="AI35" s="11">
        <f t="shared" si="7"/>
        <v>-9.8000000000000087E-2</v>
      </c>
      <c r="AJ35" s="14">
        <v>0.5</v>
      </c>
      <c r="AK35" s="14">
        <v>0.5</v>
      </c>
      <c r="AL35" s="11">
        <v>7.38</v>
      </c>
      <c r="AM35" s="9">
        <f t="shared" si="8"/>
        <v>2.9849999999999999</v>
      </c>
      <c r="AN35" s="9">
        <f t="shared" si="9"/>
        <v>0.59699999999999998</v>
      </c>
      <c r="AO35" s="9">
        <f t="shared" si="10"/>
        <v>3.98</v>
      </c>
      <c r="AP35" s="9">
        <f t="shared" si="11"/>
        <v>0.39799999999999996</v>
      </c>
      <c r="AQ35" s="9">
        <f t="shared" si="12"/>
        <v>3.98</v>
      </c>
      <c r="AR35" s="9">
        <f t="shared" si="13"/>
        <v>4.9749999999999996</v>
      </c>
      <c r="AS35" s="11">
        <f t="shared" si="14"/>
        <v>-0.28000000000000025</v>
      </c>
      <c r="AT35" s="12">
        <f t="shared" si="15"/>
        <v>-0.94333333333333336</v>
      </c>
    </row>
    <row r="36" spans="1:46" ht="16.5" x14ac:dyDescent="0.4">
      <c r="A36" s="1" t="s">
        <v>202</v>
      </c>
      <c r="B36" s="7" t="s">
        <v>42</v>
      </c>
      <c r="C36" s="7" t="s">
        <v>1778</v>
      </c>
      <c r="D36" s="1" t="s">
        <v>203</v>
      </c>
      <c r="E36" s="1" t="s">
        <v>204</v>
      </c>
      <c r="F36" s="1" t="s">
        <v>205</v>
      </c>
      <c r="G36" s="7" t="str">
        <f>VLOOKUP(A36,[1]done!$A:$I,9,0)</f>
        <v>Rodent</v>
      </c>
      <c r="H36" s="7" t="str" cm="1">
        <f t="array" ref="H36">_xlfn.IFS(
OR(ISNUMBER(SEARCH("mouse",E36)),ISNUMBER(SEARCH("rat",E36)),ISNUMBER(SEARCH("mice",E36)),ISNUMBER(SEARCH("rodent",E36))),"Rodent Control",
OR(ISNUMBER(SEARCH("fly",E36)),ISNUMBER(SEARCH("gnat",E36)),ISNUMBER(SEARCH("insect",E36)),ISNUMBER(SEARCH("mosquito",E36))),"Flying Insect Control",
OR(ISNUMBER(SEARCH("roach",E36)),ISNUMBER(SEARCH("ant",E36)),ISNUMBER(SEARCH("spider",E36)),ISNUMBER(SEARCH("cricket",E36)),ISNUMBER(SEARCH("scorpion",E36)),ISNUMBER(SEARCH("centipede",E36)),ISNUMBER(SEARCH("beetle",E36))),"Crawling Insect Control",
OR(ISNUMBER(SEARCH("tree",E36)),ISNUMBER(SEARCH("lantern",E36)),ISNUMBER(SEARCH("garden",E36)),ISNUMBER(SEARCH("plant",E36))),"Garden Pest Control",
OR(ISNUMBER(SEARCH("grass seed",E36)),ISNUMBER(SEARCH("seed mix",E36))),"Grass Seed",
OR(ISNUMBER(SEARCH("lawn food",E36)),ISNUMBER(SEARCH("fertilizer",E36))),"Lawn Fertilizer",
OR(ISNUMBER(SEARCH("patch",E36)),ISNUMBER(SEARCH("repair",E36)),ISNUMBER(SEARCH("thick'r",E36)),ISNUMBER(SEARCH("thick'r lawn",E36)),ISNUMBER(SEARCH("rapid grass",E36))),"Lawn Repair",
OR(ISNUMBER(SEARCH("weed",E36)),ISNUMBER(SEARCH("crabgrass",E36))),"Weed Control",
OR(ISNUMBER(SEARCH("fungicide",E36)),ISNUMBER(SEARCH("moss",E36))),"Disease &amp; Moss Control",
OR(ISNUMBER(SEARCH("plant food",E36)),ISNUMBER(SEARCH("miracid",E36))),"Plant Nutrition",
OR(ISNUMBER(SEARCH("perlite",E36))),"Soil Amendment",
OR(ISNUMBER(SEARCH("spreader",E36)),ISNUMBER(SEARCH("sprayer",E36)),ISNUMBER(SEARCH("mower",E36)),ISNUMBER(SEARCH("sweeper",E36)),ISNUMBER(SEARCH("pruner",E36)),ISNUMBER(SEARCH("trimmer",E36)),ISNUMBER(SEARCH("pole saw",E36))),"Garden Equipment",
TRUE,"Other"
)</f>
        <v>Rodent Control</v>
      </c>
      <c r="I36" s="7" t="str" cm="1">
        <f t="array" ref="I36">_xlfn.IFS(
OR(ISNUMBER(SEARCH("glue trap",E36)),ISNUMBER(SEARCH("glue board",E36))),"Glue Traps",
OR(ISNUMBER(SEARCH("snap trap",E36)),ISNUMBER(SEARCH("power-kill",E36)),ISNUMBER(SEARCH("wide pedal",E36)),ISNUMBER(SEARCH("metal pedal",E36))),"Snap Traps",
OR(ISNUMBER(SEARCH("electronic",E36)),ISNUMBER(SEARCH("zapper",E36))),"Electronic Traps",
OR(ISNUMBER(SEARCH("live catch",E36)),ISNUMBER(SEARCH("multi-catch",E36)),ISNUMBER(SEARCH("catch &amp; hold",E36)),ISNUMBER(SEARCH("tin cat",E36))),"Live Catch Traps",
OR(ISNUMBER(SEARCH("bait",E36)),ISNUMBER(SEARCH("poison",E36))),"Bait &amp; Poison",
ISNUMBER(SEARCH("repellent",E36)),"Repellents",
OR(ISNUMBER(SEARCH("fly trap",E36)),ISNUMBER(SEARCH("fly ribbon",E36)),ISNUMBER(SEARCH("fly stick",E36)),ISNUMBER(SEARCH("window fly",E36)),ISNUMBER(SEARCH("fly magnet",E36))),"Fly Traps",
OR(ISNUMBER(SEARCH("uv",E36)),ISNUMBER(SEARCH("fly light",E36)),ISNUMBER(SEARCH("plug-in",E36))),"UV Fly Traps",
ISNUMBER(SEARCH("roach",E36)),"Roach Traps",
ISNUMBER(SEARCH("ant",E36)),"Ant Traps",
ISNUMBER(SEARCH("spider",E36)),"Spider Traps",
ISNUMBER(SEARCH("mosquito",E36)),"Mosquito Traps",
ISNUMBER(SEARCH("beetle",E36)),"Beetle Traps",
ISNUMBER(SEARCH("lantern",E36)),"Lanternfly Control",
OR(ISNUMBER(SEARCH("tree shield",E36)),ISNUMBER(SEARCH("tree banding",E36)),ISNUMBER(SEARCH("insect barrier",E36))),"Tree Barriers",
OR(ISNUMBER(SEARCH("sun &amp; shade",E36)),ISNUMBER(SEARCH("sun and shade",E36))),"Sun &amp; Shade Mix",
ISNUMBER(SEARCH("tall fescue",E36)),"Tall Fescue",
ISNUMBER(SEARCH("bermudagrass",E36)),"Bermudagrass",
ISNUMBER(SEARCH("kentucky",E36)),"Kentucky Bluegrass",
ISNUMBER(SEARCH("zoysia",E36)),"Zoysia",
ISNUMBER(SEARCH("ryegrass",E36)),"Perennial Ryegrass",
ISNUMBER(SEARCH("centipede",E36)),"Centipede Grass",
ISNUMBER(SEARCH("dense shade",E36)),"Dense Shade Mix",
ISNUMBER(SEARCH("southern gold",E36)),"Southern Gold Mix",
ISNUMBER(SEARCH("heat-tolerant blue",E36)),"Heat-Tolerant Blue Mix",
ISNUMBER(SEARCH("high traffic",E36)),"High Traffic Mix",
ISNUMBER(SEARCH("quick fix",E36)),"Quick Fix Mix",
ISNUMBER(SEARCH("starter",E36)),"Starter Fertilizer",
ISNUMBER(SEARCH("weed &amp; feed",E36)),"Weed &amp; Feed",
ISNUMBER(SEARCH("lawn food",E36)),"Lawn Food",
ISNUMBER(SEARCH("triple action",E36)),"Triple Action Fertilizer",
ISNUMBER(SEARCH("green max",E36)),"Green Max Lawn Food",
ISNUMBER(SEARCH("patchmaster",E36)),"PatchMaster Repair",
ISNUMBER(SEARCH("ez seed",E36)),"EZ Seed Repair",
ISNUMBER(SEARCH("rapid grass",E36)),"Rapid Grass",
ISNUMBER(SEARCH("thick'r lawn",E36)),"Thick'R Lawn",
ISNUMBER(SEARCH("fungicide",E36)),"Fungicide",
ISNUMBER(SEARCH("moss",E36)),"Moss Control",
ISNUMBER(SEARCH("perlite",E36)),"Perlite",
ISNUMBER(SEARCH("plant food",E36)),"Plant Food",
ISNUMBER(SEARCH("spreader",E36)),"Spreader",
ISNUMBER(SEARCH("sprayer",E36)),"Sprayer",
ISNUMBER(SEARCH("mower",E36)),"Lawn Mower",
ISNUMBER(SEARCH("sweeper",E36)),"Lawn Sweeper",
OR(ISNUMBER(SEARCH("pruner",E36)),ISNUMBER(SEARCH("trimmer",E36)),ISNUMBER(SEARCH("pole saw",E36))),"Pruning Tools",
TRUE,"Other"
)</f>
        <v>Glue Traps</v>
      </c>
      <c r="J36" s="7" t="str">
        <f t="shared" si="2"/>
        <v>Rodent Control - Glue Traps</v>
      </c>
      <c r="K36" s="1">
        <v>1000</v>
      </c>
      <c r="L36" s="1">
        <v>4.4000000000000004</v>
      </c>
      <c r="M36" s="1">
        <v>4373</v>
      </c>
      <c r="N36" s="1" t="s">
        <v>206</v>
      </c>
      <c r="O36" s="1">
        <f>VLOOKUP(A36,[2]Sheet1!$A:$B,2,0)</f>
        <v>1000</v>
      </c>
      <c r="P36" s="1">
        <f>VLOOKUP(A36,[2]Sheet1!$A:$C,3,0)</f>
        <v>1000</v>
      </c>
      <c r="Q36" s="7">
        <f>VLOOKUP(A36,[2]Sheet1!$A:$D,4,0)</f>
        <v>1000</v>
      </c>
      <c r="R36" s="7">
        <f>VLOOKUP(A36,[2]Sheet1!$A:$E,5,0)</f>
        <v>1000</v>
      </c>
      <c r="S36" s="7">
        <f>VLOOKUP(A36,[2]Sheet1!$A:$F,6,0)</f>
        <v>1000</v>
      </c>
      <c r="T36" s="7">
        <f>VLOOKUP(A36,[2]Sheet1!$A:$G,7,0)</f>
        <v>1000</v>
      </c>
      <c r="U36" s="7">
        <f>VLOOKUP(A36,[2]Sheet1!$A:$H,8,0)</f>
        <v>1000</v>
      </c>
      <c r="V36" s="7">
        <f>VLOOKUP(A36,[2]Sheet1!$A:$I,9,0)</f>
        <v>800</v>
      </c>
      <c r="W36" s="7">
        <f>VLOOKUP(A36,[2]Sheet1!$A:$K,10,0)</f>
        <v>1000</v>
      </c>
      <c r="X36" s="7">
        <f>VLOOKUP(A36,[2]Sheet1!$A:$L,11,0)</f>
        <v>1000</v>
      </c>
      <c r="Y36" s="7">
        <f>VLOOKUP(A36,[2]Sheet1!$A:$L,12,0)</f>
        <v>2000</v>
      </c>
      <c r="Z36" s="7">
        <f>VLOOKUP(A36,[2]Sheet1!$A:$M,13,0)</f>
        <v>1000</v>
      </c>
      <c r="AA36" s="1">
        <f t="shared" si="0"/>
        <v>12800</v>
      </c>
      <c r="AB36" s="7">
        <f t="shared" si="3"/>
        <v>1067</v>
      </c>
      <c r="AC36" s="13">
        <f t="shared" si="1"/>
        <v>1066.6666666666667</v>
      </c>
      <c r="AD36" s="9">
        <f t="shared" si="4"/>
        <v>255744</v>
      </c>
      <c r="AE36" s="9">
        <f t="shared" si="5"/>
        <v>21312.000000000004</v>
      </c>
      <c r="AF36" s="11">
        <v>6.02</v>
      </c>
      <c r="AG36" s="11">
        <v>19.98</v>
      </c>
      <c r="AH36" s="9">
        <f t="shared" si="6"/>
        <v>6.4799999999999969E-2</v>
      </c>
      <c r="AI36" s="11">
        <f t="shared" si="7"/>
        <v>0.22679999999999986</v>
      </c>
      <c r="AJ36" s="14">
        <v>0.5</v>
      </c>
      <c r="AK36" s="14">
        <v>0.5</v>
      </c>
      <c r="AL36" s="11">
        <v>6.02</v>
      </c>
      <c r="AM36" s="9">
        <f t="shared" si="8"/>
        <v>2.9969999999999999</v>
      </c>
      <c r="AN36" s="9">
        <f t="shared" si="9"/>
        <v>0.59940000000000004</v>
      </c>
      <c r="AO36" s="9">
        <f t="shared" si="10"/>
        <v>3.9960000000000004</v>
      </c>
      <c r="AP36" s="9">
        <f t="shared" si="11"/>
        <v>0.39960000000000001</v>
      </c>
      <c r="AQ36" s="9">
        <f t="shared" si="12"/>
        <v>3.9960000000000004</v>
      </c>
      <c r="AR36" s="9">
        <f t="shared" si="13"/>
        <v>4.9950000000000001</v>
      </c>
      <c r="AS36" s="11">
        <f t="shared" si="14"/>
        <v>0.64799999999999969</v>
      </c>
      <c r="AT36" s="12">
        <f t="shared" si="15"/>
        <v>-1.8000000000000089E-2</v>
      </c>
    </row>
    <row r="37" spans="1:46" ht="16.5" x14ac:dyDescent="0.4">
      <c r="A37" s="1" t="s">
        <v>207</v>
      </c>
      <c r="B37" s="7" t="s">
        <v>42</v>
      </c>
      <c r="C37" s="7" t="s">
        <v>1780</v>
      </c>
      <c r="D37" s="1" t="s">
        <v>208</v>
      </c>
      <c r="E37" s="1" t="s">
        <v>209</v>
      </c>
      <c r="F37" s="1" t="s">
        <v>210</v>
      </c>
      <c r="G37" s="7" t="str">
        <f>VLOOKUP(A37,[1]done!$A:$I,9,0)</f>
        <v>Rodent</v>
      </c>
      <c r="H37" s="7" t="str" cm="1">
        <f t="array" ref="H37">_xlfn.IFS(
OR(ISNUMBER(SEARCH("mouse",E37)),ISNUMBER(SEARCH("rat",E37)),ISNUMBER(SEARCH("mice",E37)),ISNUMBER(SEARCH("rodent",E37))),"Rodent Control",
OR(ISNUMBER(SEARCH("fly",E37)),ISNUMBER(SEARCH("gnat",E37)),ISNUMBER(SEARCH("insect",E37)),ISNUMBER(SEARCH("mosquito",E37))),"Flying Insect Control",
OR(ISNUMBER(SEARCH("roach",E37)),ISNUMBER(SEARCH("ant",E37)),ISNUMBER(SEARCH("spider",E37)),ISNUMBER(SEARCH("cricket",E37)),ISNUMBER(SEARCH("scorpion",E37)),ISNUMBER(SEARCH("centipede",E37)),ISNUMBER(SEARCH("beetle",E37))),"Crawling Insect Control",
OR(ISNUMBER(SEARCH("tree",E37)),ISNUMBER(SEARCH("lantern",E37)),ISNUMBER(SEARCH("garden",E37)),ISNUMBER(SEARCH("plant",E37))),"Garden Pest Control",
OR(ISNUMBER(SEARCH("grass seed",E37)),ISNUMBER(SEARCH("seed mix",E37))),"Grass Seed",
OR(ISNUMBER(SEARCH("lawn food",E37)),ISNUMBER(SEARCH("fertilizer",E37))),"Lawn Fertilizer",
OR(ISNUMBER(SEARCH("patch",E37)),ISNUMBER(SEARCH("repair",E37)),ISNUMBER(SEARCH("thick'r",E37)),ISNUMBER(SEARCH("thick'r lawn",E37)),ISNUMBER(SEARCH("rapid grass",E37))),"Lawn Repair",
OR(ISNUMBER(SEARCH("weed",E37)),ISNUMBER(SEARCH("crabgrass",E37))),"Weed Control",
OR(ISNUMBER(SEARCH("fungicide",E37)),ISNUMBER(SEARCH("moss",E37))),"Disease &amp; Moss Control",
OR(ISNUMBER(SEARCH("plant food",E37)),ISNUMBER(SEARCH("miracid",E37))),"Plant Nutrition",
OR(ISNUMBER(SEARCH("perlite",E37))),"Soil Amendment",
OR(ISNUMBER(SEARCH("spreader",E37)),ISNUMBER(SEARCH("sprayer",E37)),ISNUMBER(SEARCH("mower",E37)),ISNUMBER(SEARCH("sweeper",E37)),ISNUMBER(SEARCH("pruner",E37)),ISNUMBER(SEARCH("trimmer",E37)),ISNUMBER(SEARCH("pole saw",E37))),"Garden Equipment",
TRUE,"Other"
)</f>
        <v>Rodent Control</v>
      </c>
      <c r="I37" s="7" t="str" cm="1">
        <f t="array" ref="I37">_xlfn.IFS(
OR(ISNUMBER(SEARCH("glue trap",E37)),ISNUMBER(SEARCH("glue board",E37))),"Glue Traps",
OR(ISNUMBER(SEARCH("snap trap",E37)),ISNUMBER(SEARCH("power-kill",E37)),ISNUMBER(SEARCH("wide pedal",E37)),ISNUMBER(SEARCH("metal pedal",E37))),"Snap Traps",
OR(ISNUMBER(SEARCH("electronic",E37)),ISNUMBER(SEARCH("zapper",E37))),"Electronic Traps",
OR(ISNUMBER(SEARCH("live catch",E37)),ISNUMBER(SEARCH("multi-catch",E37)),ISNUMBER(SEARCH("catch &amp; hold",E37)),ISNUMBER(SEARCH("tin cat",E37))),"Live Catch Traps",
OR(ISNUMBER(SEARCH("bait",E37)),ISNUMBER(SEARCH("poison",E37))),"Bait &amp; Poison",
ISNUMBER(SEARCH("repellent",E37)),"Repellents",
OR(ISNUMBER(SEARCH("fly trap",E37)),ISNUMBER(SEARCH("fly ribbon",E37)),ISNUMBER(SEARCH("fly stick",E37)),ISNUMBER(SEARCH("window fly",E37)),ISNUMBER(SEARCH("fly magnet",E37))),"Fly Traps",
OR(ISNUMBER(SEARCH("uv",E37)),ISNUMBER(SEARCH("fly light",E37)),ISNUMBER(SEARCH("plug-in",E37))),"UV Fly Traps",
ISNUMBER(SEARCH("roach",E37)),"Roach Traps",
ISNUMBER(SEARCH("ant",E37)),"Ant Traps",
ISNUMBER(SEARCH("spider",E37)),"Spider Traps",
ISNUMBER(SEARCH("mosquito",E37)),"Mosquito Traps",
ISNUMBER(SEARCH("beetle",E37)),"Beetle Traps",
ISNUMBER(SEARCH("lantern",E37)),"Lanternfly Control",
OR(ISNUMBER(SEARCH("tree shield",E37)),ISNUMBER(SEARCH("tree banding",E37)),ISNUMBER(SEARCH("insect barrier",E37))),"Tree Barriers",
OR(ISNUMBER(SEARCH("sun &amp; shade",E37)),ISNUMBER(SEARCH("sun and shade",E37))),"Sun &amp; Shade Mix",
ISNUMBER(SEARCH("tall fescue",E37)),"Tall Fescue",
ISNUMBER(SEARCH("bermudagrass",E37)),"Bermudagrass",
ISNUMBER(SEARCH("kentucky",E37)),"Kentucky Bluegrass",
ISNUMBER(SEARCH("zoysia",E37)),"Zoysia",
ISNUMBER(SEARCH("ryegrass",E37)),"Perennial Ryegrass",
ISNUMBER(SEARCH("centipede",E37)),"Centipede Grass",
ISNUMBER(SEARCH("dense shade",E37)),"Dense Shade Mix",
ISNUMBER(SEARCH("southern gold",E37)),"Southern Gold Mix",
ISNUMBER(SEARCH("heat-tolerant blue",E37)),"Heat-Tolerant Blue Mix",
ISNUMBER(SEARCH("high traffic",E37)),"High Traffic Mix",
ISNUMBER(SEARCH("quick fix",E37)),"Quick Fix Mix",
ISNUMBER(SEARCH("starter",E37)),"Starter Fertilizer",
ISNUMBER(SEARCH("weed &amp; feed",E37)),"Weed &amp; Feed",
ISNUMBER(SEARCH("lawn food",E37)),"Lawn Food",
ISNUMBER(SEARCH("triple action",E37)),"Triple Action Fertilizer",
ISNUMBER(SEARCH("green max",E37)),"Green Max Lawn Food",
ISNUMBER(SEARCH("patchmaster",E37)),"PatchMaster Repair",
ISNUMBER(SEARCH("ez seed",E37)),"EZ Seed Repair",
ISNUMBER(SEARCH("rapid grass",E37)),"Rapid Grass",
ISNUMBER(SEARCH("thick'r lawn",E37)),"Thick'R Lawn",
ISNUMBER(SEARCH("fungicide",E37)),"Fungicide",
ISNUMBER(SEARCH("moss",E37)),"Moss Control",
ISNUMBER(SEARCH("perlite",E37)),"Perlite",
ISNUMBER(SEARCH("plant food",E37)),"Plant Food",
ISNUMBER(SEARCH("spreader",E37)),"Spreader",
ISNUMBER(SEARCH("sprayer",E37)),"Sprayer",
ISNUMBER(SEARCH("mower",E37)),"Lawn Mower",
ISNUMBER(SEARCH("sweeper",E37)),"Lawn Sweeper",
OR(ISNUMBER(SEARCH("pruner",E37)),ISNUMBER(SEARCH("trimmer",E37)),ISNUMBER(SEARCH("pole saw",E37))),"Pruning Tools",
TRUE,"Other"
)</f>
        <v>Glue Traps</v>
      </c>
      <c r="J37" s="7" t="str">
        <f t="shared" si="2"/>
        <v>Rodent Control - Glue Traps</v>
      </c>
      <c r="K37" s="1">
        <v>800</v>
      </c>
      <c r="L37" s="1">
        <v>3.7</v>
      </c>
      <c r="M37" s="1">
        <v>162</v>
      </c>
      <c r="N37" s="1"/>
      <c r="O37" s="1">
        <f>VLOOKUP(A37,[2]Sheet1!$A:$B,2,0)</f>
        <v>0</v>
      </c>
      <c r="P37" s="1">
        <f>VLOOKUP(A37,[2]Sheet1!$A:$C,3,0)</f>
        <v>0</v>
      </c>
      <c r="Q37" s="7">
        <f>VLOOKUP(A37,[2]Sheet1!$A:$D,4,0)</f>
        <v>0</v>
      </c>
      <c r="R37" s="7">
        <f>VLOOKUP(A37,[2]Sheet1!$A:$E,5,0)</f>
        <v>1000</v>
      </c>
      <c r="S37" s="7">
        <f>VLOOKUP(A37,[2]Sheet1!$A:$F,6,0)</f>
        <v>1000</v>
      </c>
      <c r="T37" s="7">
        <f>VLOOKUP(A37,[2]Sheet1!$A:$G,7,0)</f>
        <v>2000</v>
      </c>
      <c r="U37" s="7">
        <f>VLOOKUP(A37,[2]Sheet1!$A:$H,8,0)</f>
        <v>1000</v>
      </c>
      <c r="V37" s="7">
        <f>VLOOKUP(A37,[2]Sheet1!$A:$I,9,0)</f>
        <v>1000</v>
      </c>
      <c r="W37" s="7">
        <f>VLOOKUP(A37,[2]Sheet1!$A:$K,10,0)</f>
        <v>1000</v>
      </c>
      <c r="X37" s="7">
        <f>VLOOKUP(A37,[2]Sheet1!$A:$L,11,0)</f>
        <v>0</v>
      </c>
      <c r="Y37" s="7">
        <f>VLOOKUP(A37,[2]Sheet1!$A:$L,12,0)</f>
        <v>0</v>
      </c>
      <c r="Z37" s="7">
        <f>VLOOKUP(A37,[2]Sheet1!$A:$M,13,0)</f>
        <v>0</v>
      </c>
      <c r="AA37" s="1">
        <f t="shared" si="0"/>
        <v>7000</v>
      </c>
      <c r="AB37" s="7">
        <f t="shared" si="3"/>
        <v>583</v>
      </c>
      <c r="AC37" s="13">
        <f t="shared" si="1"/>
        <v>583.33333333333337</v>
      </c>
      <c r="AD37" s="9">
        <f t="shared" si="4"/>
        <v>104930</v>
      </c>
      <c r="AE37" s="9">
        <f t="shared" si="5"/>
        <v>8744.1666666666679</v>
      </c>
      <c r="AF37" s="11">
        <v>5.61</v>
      </c>
      <c r="AG37" s="11">
        <v>14.99</v>
      </c>
      <c r="AH37" s="9">
        <f t="shared" si="6"/>
        <v>-4.0933333333333384E-2</v>
      </c>
      <c r="AI37" s="11">
        <f t="shared" si="7"/>
        <v>-0.14326666666666682</v>
      </c>
      <c r="AJ37" s="14">
        <v>0.5</v>
      </c>
      <c r="AK37" s="14">
        <v>0.5</v>
      </c>
      <c r="AL37" s="11">
        <v>5.61</v>
      </c>
      <c r="AM37" s="9">
        <f t="shared" si="8"/>
        <v>2.2484999999999999</v>
      </c>
      <c r="AN37" s="9">
        <f t="shared" si="9"/>
        <v>0.44969999999999999</v>
      </c>
      <c r="AO37" s="9">
        <f t="shared" si="10"/>
        <v>2.9980000000000002</v>
      </c>
      <c r="AP37" s="9">
        <f t="shared" si="11"/>
        <v>0.29980000000000001</v>
      </c>
      <c r="AQ37" s="9">
        <f t="shared" si="12"/>
        <v>2.9980000000000002</v>
      </c>
      <c r="AR37" s="9">
        <f t="shared" si="13"/>
        <v>3.7475000000000001</v>
      </c>
      <c r="AS37" s="11">
        <f t="shared" si="14"/>
        <v>-0.40933333333333383</v>
      </c>
      <c r="AT37" s="12">
        <f t="shared" si="15"/>
        <v>-0.90900000000000036</v>
      </c>
    </row>
    <row r="38" spans="1:46" ht="16.5" x14ac:dyDescent="0.4">
      <c r="A38" s="1" t="s">
        <v>211</v>
      </c>
      <c r="B38" s="7" t="s">
        <v>42</v>
      </c>
      <c r="C38" s="7" t="s">
        <v>42</v>
      </c>
      <c r="D38" s="1" t="s">
        <v>212</v>
      </c>
      <c r="E38" s="1" t="s">
        <v>213</v>
      </c>
      <c r="F38" s="1" t="s">
        <v>214</v>
      </c>
      <c r="G38" s="7" t="str">
        <f>VLOOKUP(A38,[1]done!$A:$I,9,0)</f>
        <v>Rodent</v>
      </c>
      <c r="H38" s="7" t="str" cm="1">
        <f t="array" ref="H38">_xlfn.IFS(
OR(ISNUMBER(SEARCH("mouse",E38)),ISNUMBER(SEARCH("rat",E38)),ISNUMBER(SEARCH("mice",E38)),ISNUMBER(SEARCH("rodent",E38))),"Rodent Control",
OR(ISNUMBER(SEARCH("fly",E38)),ISNUMBER(SEARCH("gnat",E38)),ISNUMBER(SEARCH("insect",E38)),ISNUMBER(SEARCH("mosquito",E38))),"Flying Insect Control",
OR(ISNUMBER(SEARCH("roach",E38)),ISNUMBER(SEARCH("ant",E38)),ISNUMBER(SEARCH("spider",E38)),ISNUMBER(SEARCH("cricket",E38)),ISNUMBER(SEARCH("scorpion",E38)),ISNUMBER(SEARCH("centipede",E38)),ISNUMBER(SEARCH("beetle",E38))),"Crawling Insect Control",
OR(ISNUMBER(SEARCH("tree",E38)),ISNUMBER(SEARCH("lantern",E38)),ISNUMBER(SEARCH("garden",E38)),ISNUMBER(SEARCH("plant",E38))),"Garden Pest Control",
OR(ISNUMBER(SEARCH("grass seed",E38)),ISNUMBER(SEARCH("seed mix",E38))),"Grass Seed",
OR(ISNUMBER(SEARCH("lawn food",E38)),ISNUMBER(SEARCH("fertilizer",E38))),"Lawn Fertilizer",
OR(ISNUMBER(SEARCH("patch",E38)),ISNUMBER(SEARCH("repair",E38)),ISNUMBER(SEARCH("thick'r",E38)),ISNUMBER(SEARCH("thick'r lawn",E38)),ISNUMBER(SEARCH("rapid grass",E38))),"Lawn Repair",
OR(ISNUMBER(SEARCH("weed",E38)),ISNUMBER(SEARCH("crabgrass",E38))),"Weed Control",
OR(ISNUMBER(SEARCH("fungicide",E38)),ISNUMBER(SEARCH("moss",E38))),"Disease &amp; Moss Control",
OR(ISNUMBER(SEARCH("plant food",E38)),ISNUMBER(SEARCH("miracid",E38))),"Plant Nutrition",
OR(ISNUMBER(SEARCH("perlite",E38))),"Soil Amendment",
OR(ISNUMBER(SEARCH("spreader",E38)),ISNUMBER(SEARCH("sprayer",E38)),ISNUMBER(SEARCH("mower",E38)),ISNUMBER(SEARCH("sweeper",E38)),ISNUMBER(SEARCH("pruner",E38)),ISNUMBER(SEARCH("trimmer",E38)),ISNUMBER(SEARCH("pole saw",E38))),"Garden Equipment",
TRUE,"Other"
)</f>
        <v>Rodent Control</v>
      </c>
      <c r="I38" s="7" t="str" cm="1">
        <f t="array" ref="I38">_xlfn.IFS(
OR(ISNUMBER(SEARCH("glue trap",E38)),ISNUMBER(SEARCH("glue board",E38))),"Glue Traps",
OR(ISNUMBER(SEARCH("snap trap",E38)),ISNUMBER(SEARCH("power-kill",E38)),ISNUMBER(SEARCH("wide pedal",E38)),ISNUMBER(SEARCH("metal pedal",E38))),"Snap Traps",
OR(ISNUMBER(SEARCH("electronic",E38)),ISNUMBER(SEARCH("zapper",E38))),"Electronic Traps",
OR(ISNUMBER(SEARCH("live catch",E38)),ISNUMBER(SEARCH("multi-catch",E38)),ISNUMBER(SEARCH("catch &amp; hold",E38)),ISNUMBER(SEARCH("tin cat",E38))),"Live Catch Traps",
OR(ISNUMBER(SEARCH("bait",E38)),ISNUMBER(SEARCH("poison",E38))),"Bait &amp; Poison",
ISNUMBER(SEARCH("repellent",E38)),"Repellents",
OR(ISNUMBER(SEARCH("fly trap",E38)),ISNUMBER(SEARCH("fly ribbon",E38)),ISNUMBER(SEARCH("fly stick",E38)),ISNUMBER(SEARCH("window fly",E38)),ISNUMBER(SEARCH("fly magnet",E38))),"Fly Traps",
OR(ISNUMBER(SEARCH("uv",E38)),ISNUMBER(SEARCH("fly light",E38)),ISNUMBER(SEARCH("plug-in",E38))),"UV Fly Traps",
ISNUMBER(SEARCH("roach",E38)),"Roach Traps",
ISNUMBER(SEARCH("ant",E38)),"Ant Traps",
ISNUMBER(SEARCH("spider",E38)),"Spider Traps",
ISNUMBER(SEARCH("mosquito",E38)),"Mosquito Traps",
ISNUMBER(SEARCH("beetle",E38)),"Beetle Traps",
ISNUMBER(SEARCH("lantern",E38)),"Lanternfly Control",
OR(ISNUMBER(SEARCH("tree shield",E38)),ISNUMBER(SEARCH("tree banding",E38)),ISNUMBER(SEARCH("insect barrier",E38))),"Tree Barriers",
OR(ISNUMBER(SEARCH("sun &amp; shade",E38)),ISNUMBER(SEARCH("sun and shade",E38))),"Sun &amp; Shade Mix",
ISNUMBER(SEARCH("tall fescue",E38)),"Tall Fescue",
ISNUMBER(SEARCH("bermudagrass",E38)),"Bermudagrass",
ISNUMBER(SEARCH("kentucky",E38)),"Kentucky Bluegrass",
ISNUMBER(SEARCH("zoysia",E38)),"Zoysia",
ISNUMBER(SEARCH("ryegrass",E38)),"Perennial Ryegrass",
ISNUMBER(SEARCH("centipede",E38)),"Centipede Grass",
ISNUMBER(SEARCH("dense shade",E38)),"Dense Shade Mix",
ISNUMBER(SEARCH("southern gold",E38)),"Southern Gold Mix",
ISNUMBER(SEARCH("heat-tolerant blue",E38)),"Heat-Tolerant Blue Mix",
ISNUMBER(SEARCH("high traffic",E38)),"High Traffic Mix",
ISNUMBER(SEARCH("quick fix",E38)),"Quick Fix Mix",
ISNUMBER(SEARCH("starter",E38)),"Starter Fertilizer",
ISNUMBER(SEARCH("weed &amp; feed",E38)),"Weed &amp; Feed",
ISNUMBER(SEARCH("lawn food",E38)),"Lawn Food",
ISNUMBER(SEARCH("triple action",E38)),"Triple Action Fertilizer",
ISNUMBER(SEARCH("green max",E38)),"Green Max Lawn Food",
ISNUMBER(SEARCH("patchmaster",E38)),"PatchMaster Repair",
ISNUMBER(SEARCH("ez seed",E38)),"EZ Seed Repair",
ISNUMBER(SEARCH("rapid grass",E38)),"Rapid Grass",
ISNUMBER(SEARCH("thick'r lawn",E38)),"Thick'R Lawn",
ISNUMBER(SEARCH("fungicide",E38)),"Fungicide",
ISNUMBER(SEARCH("moss",E38)),"Moss Control",
ISNUMBER(SEARCH("perlite",E38)),"Perlite",
ISNUMBER(SEARCH("plant food",E38)),"Plant Food",
ISNUMBER(SEARCH("spreader",E38)),"Spreader",
ISNUMBER(SEARCH("sprayer",E38)),"Sprayer",
ISNUMBER(SEARCH("mower",E38)),"Lawn Mower",
ISNUMBER(SEARCH("sweeper",E38)),"Lawn Sweeper",
OR(ISNUMBER(SEARCH("pruner",E38)),ISNUMBER(SEARCH("trimmer",E38)),ISNUMBER(SEARCH("pole saw",E38))),"Pruning Tools",
TRUE,"Other"
)</f>
        <v>Glue Traps</v>
      </c>
      <c r="J38" s="7" t="str">
        <f t="shared" si="2"/>
        <v>Rodent Control - Glue Traps</v>
      </c>
      <c r="K38" s="1">
        <v>700</v>
      </c>
      <c r="L38" s="1">
        <v>4.5</v>
      </c>
      <c r="M38" s="1">
        <v>353</v>
      </c>
      <c r="N38" s="1" t="s">
        <v>215</v>
      </c>
      <c r="O38" s="1">
        <f>VLOOKUP(A38,[2]Sheet1!$A:$B,2,0)</f>
        <v>500</v>
      </c>
      <c r="P38" s="1">
        <f>VLOOKUP(A38,[2]Sheet1!$A:$C,3,0)</f>
        <v>400</v>
      </c>
      <c r="Q38" s="7">
        <f>VLOOKUP(A38,[2]Sheet1!$A:$D,4,0)</f>
        <v>300</v>
      </c>
      <c r="R38" s="7">
        <f>VLOOKUP(A38,[2]Sheet1!$A:$E,5,0)</f>
        <v>500</v>
      </c>
      <c r="S38" s="7">
        <f>VLOOKUP(A38,[2]Sheet1!$A:$F,6,0)</f>
        <v>400</v>
      </c>
      <c r="T38" s="7">
        <f>VLOOKUP(A38,[2]Sheet1!$A:$G,7,0)</f>
        <v>500</v>
      </c>
      <c r="U38" s="7">
        <f>VLOOKUP(A38,[2]Sheet1!$A:$H,8,0)</f>
        <v>700</v>
      </c>
      <c r="V38" s="7">
        <f>VLOOKUP(A38,[2]Sheet1!$A:$I,9,0)</f>
        <v>900</v>
      </c>
      <c r="W38" s="7">
        <f>VLOOKUP(A38,[2]Sheet1!$A:$K,10,0)</f>
        <v>800</v>
      </c>
      <c r="X38" s="7">
        <f>VLOOKUP(A38,[2]Sheet1!$A:$L,11,0)</f>
        <v>600</v>
      </c>
      <c r="Y38" s="7">
        <f>VLOOKUP(A38,[2]Sheet1!$A:$L,12,0)</f>
        <v>1000</v>
      </c>
      <c r="Z38" s="7">
        <f>VLOOKUP(A38,[2]Sheet1!$A:$M,13,0)</f>
        <v>1000</v>
      </c>
      <c r="AA38" s="1">
        <f t="shared" si="0"/>
        <v>7600</v>
      </c>
      <c r="AB38" s="7">
        <f t="shared" si="3"/>
        <v>633</v>
      </c>
      <c r="AC38" s="13">
        <f t="shared" si="1"/>
        <v>633.33333333333337</v>
      </c>
      <c r="AD38" s="9">
        <f t="shared" si="4"/>
        <v>148124</v>
      </c>
      <c r="AE38" s="9">
        <f t="shared" si="5"/>
        <v>12343.666666666666</v>
      </c>
      <c r="AF38" s="11">
        <v>5.22</v>
      </c>
      <c r="AG38" s="11">
        <v>19.489999999999998</v>
      </c>
      <c r="AH38" s="9">
        <f t="shared" si="6"/>
        <v>0.10506666666666664</v>
      </c>
      <c r="AI38" s="11">
        <f t="shared" si="7"/>
        <v>0.36773333333333325</v>
      </c>
      <c r="AJ38" s="14">
        <v>0.5</v>
      </c>
      <c r="AK38" s="14">
        <v>0.5</v>
      </c>
      <c r="AL38" s="11">
        <v>5.22</v>
      </c>
      <c r="AM38" s="9">
        <f t="shared" si="8"/>
        <v>2.9234999999999998</v>
      </c>
      <c r="AN38" s="9">
        <f t="shared" si="9"/>
        <v>0.58469999999999989</v>
      </c>
      <c r="AO38" s="9">
        <f t="shared" si="10"/>
        <v>3.8979999999999997</v>
      </c>
      <c r="AP38" s="9">
        <f t="shared" si="11"/>
        <v>0.38979999999999998</v>
      </c>
      <c r="AQ38" s="9">
        <f t="shared" si="12"/>
        <v>3.8979999999999997</v>
      </c>
      <c r="AR38" s="9">
        <f t="shared" si="13"/>
        <v>4.8724999999999996</v>
      </c>
      <c r="AS38" s="11">
        <f t="shared" si="14"/>
        <v>1.0506666666666664</v>
      </c>
      <c r="AT38" s="12">
        <f t="shared" si="15"/>
        <v>0.4009999999999998</v>
      </c>
    </row>
    <row r="39" spans="1:46" ht="16.5" x14ac:dyDescent="0.4">
      <c r="A39" s="1" t="s">
        <v>216</v>
      </c>
      <c r="B39" s="7" t="s">
        <v>42</v>
      </c>
      <c r="C39" s="7" t="s">
        <v>1777</v>
      </c>
      <c r="D39" s="1" t="s">
        <v>217</v>
      </c>
      <c r="E39" s="1" t="s">
        <v>218</v>
      </c>
      <c r="F39" s="1" t="s">
        <v>219</v>
      </c>
      <c r="G39" s="7" t="str">
        <f>VLOOKUP(A39,[1]done!$A:$I,9,0)</f>
        <v>Mosquito/Fly</v>
      </c>
      <c r="H39" s="7" t="str" cm="1">
        <f t="array" ref="H39">_xlfn.IFS(
OR(ISNUMBER(SEARCH("mouse",E39)),ISNUMBER(SEARCH("rat",E39)),ISNUMBER(SEARCH("mice",E39)),ISNUMBER(SEARCH("rodent",E39))),"Rodent Control",
OR(ISNUMBER(SEARCH("fly",E39)),ISNUMBER(SEARCH("gnat",E39)),ISNUMBER(SEARCH("insect",E39)),ISNUMBER(SEARCH("mosquito",E39))),"Flying Insect Control",
OR(ISNUMBER(SEARCH("roach",E39)),ISNUMBER(SEARCH("ant",E39)),ISNUMBER(SEARCH("spider",E39)),ISNUMBER(SEARCH("cricket",E39)),ISNUMBER(SEARCH("scorpion",E39)),ISNUMBER(SEARCH("centipede",E39)),ISNUMBER(SEARCH("beetle",E39))),"Crawling Insect Control",
OR(ISNUMBER(SEARCH("tree",E39)),ISNUMBER(SEARCH("lantern",E39)),ISNUMBER(SEARCH("garden",E39)),ISNUMBER(SEARCH("plant",E39))),"Garden Pest Control",
OR(ISNUMBER(SEARCH("grass seed",E39)),ISNUMBER(SEARCH("seed mix",E39))),"Grass Seed",
OR(ISNUMBER(SEARCH("lawn food",E39)),ISNUMBER(SEARCH("fertilizer",E39))),"Lawn Fertilizer",
OR(ISNUMBER(SEARCH("patch",E39)),ISNUMBER(SEARCH("repair",E39)),ISNUMBER(SEARCH("thick'r",E39)),ISNUMBER(SEARCH("thick'r lawn",E39)),ISNUMBER(SEARCH("rapid grass",E39))),"Lawn Repair",
OR(ISNUMBER(SEARCH("weed",E39)),ISNUMBER(SEARCH("crabgrass",E39))),"Weed Control",
OR(ISNUMBER(SEARCH("fungicide",E39)),ISNUMBER(SEARCH("moss",E39))),"Disease &amp; Moss Control",
OR(ISNUMBER(SEARCH("plant food",E39)),ISNUMBER(SEARCH("miracid",E39))),"Plant Nutrition",
OR(ISNUMBER(SEARCH("perlite",E39))),"Soil Amendment",
OR(ISNUMBER(SEARCH("spreader",E39)),ISNUMBER(SEARCH("sprayer",E39)),ISNUMBER(SEARCH("mower",E39)),ISNUMBER(SEARCH("sweeper",E39)),ISNUMBER(SEARCH("pruner",E39)),ISNUMBER(SEARCH("trimmer",E39)),ISNUMBER(SEARCH("pole saw",E39))),"Garden Equipment",
TRUE,"Other"
)</f>
        <v>Flying Insect Control</v>
      </c>
      <c r="I39" s="7" t="str" cm="1">
        <f t="array" ref="I39">_xlfn.IFS(
OR(ISNUMBER(SEARCH("glue trap",E39)),ISNUMBER(SEARCH("glue board",E39))),"Glue Traps",
OR(ISNUMBER(SEARCH("snap trap",E39)),ISNUMBER(SEARCH("power-kill",E39)),ISNUMBER(SEARCH("wide pedal",E39)),ISNUMBER(SEARCH("metal pedal",E39))),"Snap Traps",
OR(ISNUMBER(SEARCH("electronic",E39)),ISNUMBER(SEARCH("zapper",E39))),"Electronic Traps",
OR(ISNUMBER(SEARCH("live catch",E39)),ISNUMBER(SEARCH("multi-catch",E39)),ISNUMBER(SEARCH("catch &amp; hold",E39)),ISNUMBER(SEARCH("tin cat",E39))),"Live Catch Traps",
OR(ISNUMBER(SEARCH("bait",E39)),ISNUMBER(SEARCH("poison",E39))),"Bait &amp; Poison",
ISNUMBER(SEARCH("repellent",E39)),"Repellents",
OR(ISNUMBER(SEARCH("fly trap",E39)),ISNUMBER(SEARCH("fly ribbon",E39)),ISNUMBER(SEARCH("fly stick",E39)),ISNUMBER(SEARCH("window fly",E39)),ISNUMBER(SEARCH("fly magnet",E39))),"Fly Traps",
OR(ISNUMBER(SEARCH("uv",E39)),ISNUMBER(SEARCH("fly light",E39)),ISNUMBER(SEARCH("plug-in",E39))),"UV Fly Traps",
ISNUMBER(SEARCH("roach",E39)),"Roach Traps",
ISNUMBER(SEARCH("ant",E39)),"Ant Traps",
ISNUMBER(SEARCH("spider",E39)),"Spider Traps",
ISNUMBER(SEARCH("mosquito",E39)),"Mosquito Traps",
ISNUMBER(SEARCH("beetle",E39)),"Beetle Traps",
ISNUMBER(SEARCH("lantern",E39)),"Lanternfly Control",
OR(ISNUMBER(SEARCH("tree shield",E39)),ISNUMBER(SEARCH("tree banding",E39)),ISNUMBER(SEARCH("insect barrier",E39))),"Tree Barriers",
OR(ISNUMBER(SEARCH("sun &amp; shade",E39)),ISNUMBER(SEARCH("sun and shade",E39))),"Sun &amp; Shade Mix",
ISNUMBER(SEARCH("tall fescue",E39)),"Tall Fescue",
ISNUMBER(SEARCH("bermudagrass",E39)),"Bermudagrass",
ISNUMBER(SEARCH("kentucky",E39)),"Kentucky Bluegrass",
ISNUMBER(SEARCH("zoysia",E39)),"Zoysia",
ISNUMBER(SEARCH("ryegrass",E39)),"Perennial Ryegrass",
ISNUMBER(SEARCH("centipede",E39)),"Centipede Grass",
ISNUMBER(SEARCH("dense shade",E39)),"Dense Shade Mix",
ISNUMBER(SEARCH("southern gold",E39)),"Southern Gold Mix",
ISNUMBER(SEARCH("heat-tolerant blue",E39)),"Heat-Tolerant Blue Mix",
ISNUMBER(SEARCH("high traffic",E39)),"High Traffic Mix",
ISNUMBER(SEARCH("quick fix",E39)),"Quick Fix Mix",
ISNUMBER(SEARCH("starter",E39)),"Starter Fertilizer",
ISNUMBER(SEARCH("weed &amp; feed",E39)),"Weed &amp; Feed",
ISNUMBER(SEARCH("lawn food",E39)),"Lawn Food",
ISNUMBER(SEARCH("triple action",E39)),"Triple Action Fertilizer",
ISNUMBER(SEARCH("green max",E39)),"Green Max Lawn Food",
ISNUMBER(SEARCH("patchmaster",E39)),"PatchMaster Repair",
ISNUMBER(SEARCH("ez seed",E39)),"EZ Seed Repair",
ISNUMBER(SEARCH("rapid grass",E39)),"Rapid Grass",
ISNUMBER(SEARCH("thick'r lawn",E39)),"Thick'R Lawn",
ISNUMBER(SEARCH("fungicide",E39)),"Fungicide",
ISNUMBER(SEARCH("moss",E39)),"Moss Control",
ISNUMBER(SEARCH("perlite",E39)),"Perlite",
ISNUMBER(SEARCH("plant food",E39)),"Plant Food",
ISNUMBER(SEARCH("spreader",E39)),"Spreader",
ISNUMBER(SEARCH("sprayer",E39)),"Sprayer",
ISNUMBER(SEARCH("mower",E39)),"Lawn Mower",
ISNUMBER(SEARCH("sweeper",E39)),"Lawn Sweeper",
OR(ISNUMBER(SEARCH("pruner",E39)),ISNUMBER(SEARCH("trimmer",E39)),ISNUMBER(SEARCH("pole saw",E39))),"Pruning Tools",
TRUE,"Other"
)</f>
        <v>Fly Traps</v>
      </c>
      <c r="J39" s="7" t="str">
        <f t="shared" si="2"/>
        <v>Flying Insect Control - Fly Traps</v>
      </c>
      <c r="K39" s="1">
        <v>800</v>
      </c>
      <c r="L39" s="1">
        <v>4.5999999999999996</v>
      </c>
      <c r="M39" s="1">
        <v>5476</v>
      </c>
      <c r="N39" s="1" t="s">
        <v>220</v>
      </c>
      <c r="O39" s="1">
        <f>VLOOKUP(A39,[2]Sheet1!$A:$B,2,0)</f>
        <v>0</v>
      </c>
      <c r="P39" s="1">
        <f>VLOOKUP(A39,[2]Sheet1!$A:$C,3,0)</f>
        <v>0</v>
      </c>
      <c r="Q39" s="7">
        <f>VLOOKUP(A39,[2]Sheet1!$A:$D,4,0)</f>
        <v>100</v>
      </c>
      <c r="R39" s="7">
        <f>VLOOKUP(A39,[2]Sheet1!$A:$E,5,0)</f>
        <v>500</v>
      </c>
      <c r="S39" s="7">
        <f>VLOOKUP(A39,[2]Sheet1!$A:$F,6,0)</f>
        <v>700</v>
      </c>
      <c r="T39" s="7">
        <f>VLOOKUP(A39,[2]Sheet1!$A:$G,7,0)</f>
        <v>700</v>
      </c>
      <c r="U39" s="7">
        <f>VLOOKUP(A39,[2]Sheet1!$A:$H,8,0)</f>
        <v>1000</v>
      </c>
      <c r="V39" s="7">
        <f>VLOOKUP(A39,[2]Sheet1!$A:$I,9,0)</f>
        <v>800</v>
      </c>
      <c r="W39" s="7">
        <f>VLOOKUP(A39,[2]Sheet1!$A:$K,10,0)</f>
        <v>700</v>
      </c>
      <c r="X39" s="7">
        <f>VLOOKUP(A39,[2]Sheet1!$A:$L,11,0)</f>
        <v>0</v>
      </c>
      <c r="Y39" s="7">
        <f>VLOOKUP(A39,[2]Sheet1!$A:$L,12,0)</f>
        <v>0</v>
      </c>
      <c r="Z39" s="7">
        <f>VLOOKUP(A39,[2]Sheet1!$A:$M,13,0)</f>
        <v>0</v>
      </c>
      <c r="AA39" s="1">
        <f t="shared" si="0"/>
        <v>4500</v>
      </c>
      <c r="AB39" s="7">
        <f t="shared" si="3"/>
        <v>375</v>
      </c>
      <c r="AC39" s="13">
        <f t="shared" si="1"/>
        <v>375</v>
      </c>
      <c r="AD39" s="9">
        <f t="shared" si="4"/>
        <v>141255</v>
      </c>
      <c r="AE39" s="9">
        <f t="shared" si="5"/>
        <v>11771.25</v>
      </c>
      <c r="AF39" s="11">
        <v>4.09</v>
      </c>
      <c r="AG39" s="11">
        <v>31.39</v>
      </c>
      <c r="AH39" s="9">
        <f t="shared" si="6"/>
        <v>0.49773333333333336</v>
      </c>
      <c r="AI39" s="11">
        <f t="shared" si="7"/>
        <v>1.7420666666666664</v>
      </c>
      <c r="AJ39" s="14">
        <v>0.5</v>
      </c>
      <c r="AK39" s="14">
        <v>0.5</v>
      </c>
      <c r="AL39" s="11">
        <v>4.09</v>
      </c>
      <c r="AM39" s="9">
        <f t="shared" si="8"/>
        <v>4.7084999999999999</v>
      </c>
      <c r="AN39" s="9">
        <f t="shared" si="9"/>
        <v>0.94169999999999998</v>
      </c>
      <c r="AO39" s="9">
        <f t="shared" si="10"/>
        <v>6.2780000000000005</v>
      </c>
      <c r="AP39" s="9">
        <f t="shared" si="11"/>
        <v>0.62780000000000002</v>
      </c>
      <c r="AQ39" s="9">
        <f t="shared" si="12"/>
        <v>6.2780000000000005</v>
      </c>
      <c r="AR39" s="9">
        <f t="shared" si="13"/>
        <v>7.8475000000000001</v>
      </c>
      <c r="AS39" s="11">
        <f t="shared" si="14"/>
        <v>4.9773333333333332</v>
      </c>
      <c r="AT39" s="12">
        <f t="shared" si="15"/>
        <v>3.9309999999999996</v>
      </c>
    </row>
    <row r="40" spans="1:46" ht="16.5" x14ac:dyDescent="0.4">
      <c r="A40" s="1" t="s">
        <v>221</v>
      </c>
      <c r="B40" s="7" t="s">
        <v>42</v>
      </c>
      <c r="C40" s="7" t="s">
        <v>1780</v>
      </c>
      <c r="D40" s="1" t="s">
        <v>222</v>
      </c>
      <c r="E40" s="1" t="s">
        <v>223</v>
      </c>
      <c r="F40" s="1" t="s">
        <v>224</v>
      </c>
      <c r="G40" s="7" t="str">
        <f>VLOOKUP(A40,[1]done!$A:$I,9,0)</f>
        <v>Mosquito/Fly</v>
      </c>
      <c r="H40" s="7" t="str" cm="1">
        <f t="array" ref="H40">_xlfn.IFS(
OR(ISNUMBER(SEARCH("mouse",E40)),ISNUMBER(SEARCH("rat",E40)),ISNUMBER(SEARCH("mice",E40)),ISNUMBER(SEARCH("rodent",E40))),"Rodent Control",
OR(ISNUMBER(SEARCH("fly",E40)),ISNUMBER(SEARCH("gnat",E40)),ISNUMBER(SEARCH("insect",E40)),ISNUMBER(SEARCH("mosquito",E40))),"Flying Insect Control",
OR(ISNUMBER(SEARCH("roach",E40)),ISNUMBER(SEARCH("ant",E40)),ISNUMBER(SEARCH("spider",E40)),ISNUMBER(SEARCH("cricket",E40)),ISNUMBER(SEARCH("scorpion",E40)),ISNUMBER(SEARCH("centipede",E40)),ISNUMBER(SEARCH("beetle",E40))),"Crawling Insect Control",
OR(ISNUMBER(SEARCH("tree",E40)),ISNUMBER(SEARCH("lantern",E40)),ISNUMBER(SEARCH("garden",E40)),ISNUMBER(SEARCH("plant",E40))),"Garden Pest Control",
OR(ISNUMBER(SEARCH("grass seed",E40)),ISNUMBER(SEARCH("seed mix",E40))),"Grass Seed",
OR(ISNUMBER(SEARCH("lawn food",E40)),ISNUMBER(SEARCH("fertilizer",E40))),"Lawn Fertilizer",
OR(ISNUMBER(SEARCH("patch",E40)),ISNUMBER(SEARCH("repair",E40)),ISNUMBER(SEARCH("thick'r",E40)),ISNUMBER(SEARCH("thick'r lawn",E40)),ISNUMBER(SEARCH("rapid grass",E40))),"Lawn Repair",
OR(ISNUMBER(SEARCH("weed",E40)),ISNUMBER(SEARCH("crabgrass",E40))),"Weed Control",
OR(ISNUMBER(SEARCH("fungicide",E40)),ISNUMBER(SEARCH("moss",E40))),"Disease &amp; Moss Control",
OR(ISNUMBER(SEARCH("plant food",E40)),ISNUMBER(SEARCH("miracid",E40))),"Plant Nutrition",
OR(ISNUMBER(SEARCH("perlite",E40))),"Soil Amendment",
OR(ISNUMBER(SEARCH("spreader",E40)),ISNUMBER(SEARCH("sprayer",E40)),ISNUMBER(SEARCH("mower",E40)),ISNUMBER(SEARCH("sweeper",E40)),ISNUMBER(SEARCH("pruner",E40)),ISNUMBER(SEARCH("trimmer",E40)),ISNUMBER(SEARCH("pole saw",E40))),"Garden Equipment",
TRUE,"Other"
)</f>
        <v>Flying Insect Control</v>
      </c>
      <c r="I40" s="7" t="str" cm="1">
        <f t="array" ref="I40">_xlfn.IFS(
OR(ISNUMBER(SEARCH("glue trap",E40)),ISNUMBER(SEARCH("glue board",E40))),"Glue Traps",
OR(ISNUMBER(SEARCH("snap trap",E40)),ISNUMBER(SEARCH("power-kill",E40)),ISNUMBER(SEARCH("wide pedal",E40)),ISNUMBER(SEARCH("metal pedal",E40))),"Snap Traps",
OR(ISNUMBER(SEARCH("electronic",E40)),ISNUMBER(SEARCH("zapper",E40))),"Electronic Traps",
OR(ISNUMBER(SEARCH("live catch",E40)),ISNUMBER(SEARCH("multi-catch",E40)),ISNUMBER(SEARCH("catch &amp; hold",E40)),ISNUMBER(SEARCH("tin cat",E40))),"Live Catch Traps",
OR(ISNUMBER(SEARCH("bait",E40)),ISNUMBER(SEARCH("poison",E40))),"Bait &amp; Poison",
ISNUMBER(SEARCH("repellent",E40)),"Repellents",
OR(ISNUMBER(SEARCH("fly trap",E40)),ISNUMBER(SEARCH("fly ribbon",E40)),ISNUMBER(SEARCH("fly stick",E40)),ISNUMBER(SEARCH("window fly",E40)),ISNUMBER(SEARCH("fly magnet",E40))),"Fly Traps",
OR(ISNUMBER(SEARCH("uv",E40)),ISNUMBER(SEARCH("fly light",E40)),ISNUMBER(SEARCH("plug-in",E40))),"UV Fly Traps",
ISNUMBER(SEARCH("roach",E40)),"Roach Traps",
ISNUMBER(SEARCH("ant",E40)),"Ant Traps",
ISNUMBER(SEARCH("spider",E40)),"Spider Traps",
ISNUMBER(SEARCH("mosquito",E40)),"Mosquito Traps",
ISNUMBER(SEARCH("beetle",E40)),"Beetle Traps",
ISNUMBER(SEARCH("lantern",E40)),"Lanternfly Control",
OR(ISNUMBER(SEARCH("tree shield",E40)),ISNUMBER(SEARCH("tree banding",E40)),ISNUMBER(SEARCH("insect barrier",E40))),"Tree Barriers",
OR(ISNUMBER(SEARCH("sun &amp; shade",E40)),ISNUMBER(SEARCH("sun and shade",E40))),"Sun &amp; Shade Mix",
ISNUMBER(SEARCH("tall fescue",E40)),"Tall Fescue",
ISNUMBER(SEARCH("bermudagrass",E40)),"Bermudagrass",
ISNUMBER(SEARCH("kentucky",E40)),"Kentucky Bluegrass",
ISNUMBER(SEARCH("zoysia",E40)),"Zoysia",
ISNUMBER(SEARCH("ryegrass",E40)),"Perennial Ryegrass",
ISNUMBER(SEARCH("centipede",E40)),"Centipede Grass",
ISNUMBER(SEARCH("dense shade",E40)),"Dense Shade Mix",
ISNUMBER(SEARCH("southern gold",E40)),"Southern Gold Mix",
ISNUMBER(SEARCH("heat-tolerant blue",E40)),"Heat-Tolerant Blue Mix",
ISNUMBER(SEARCH("high traffic",E40)),"High Traffic Mix",
ISNUMBER(SEARCH("quick fix",E40)),"Quick Fix Mix",
ISNUMBER(SEARCH("starter",E40)),"Starter Fertilizer",
ISNUMBER(SEARCH("weed &amp; feed",E40)),"Weed &amp; Feed",
ISNUMBER(SEARCH("lawn food",E40)),"Lawn Food",
ISNUMBER(SEARCH("triple action",E40)),"Triple Action Fertilizer",
ISNUMBER(SEARCH("green max",E40)),"Green Max Lawn Food",
ISNUMBER(SEARCH("patchmaster",E40)),"PatchMaster Repair",
ISNUMBER(SEARCH("ez seed",E40)),"EZ Seed Repair",
ISNUMBER(SEARCH("rapid grass",E40)),"Rapid Grass",
ISNUMBER(SEARCH("thick'r lawn",E40)),"Thick'R Lawn",
ISNUMBER(SEARCH("fungicide",E40)),"Fungicide",
ISNUMBER(SEARCH("moss",E40)),"Moss Control",
ISNUMBER(SEARCH("perlite",E40)),"Perlite",
ISNUMBER(SEARCH("plant food",E40)),"Plant Food",
ISNUMBER(SEARCH("spreader",E40)),"Spreader",
ISNUMBER(SEARCH("sprayer",E40)),"Sprayer",
ISNUMBER(SEARCH("mower",E40)),"Lawn Mower",
ISNUMBER(SEARCH("sweeper",E40)),"Lawn Sweeper",
OR(ISNUMBER(SEARCH("pruner",E40)),ISNUMBER(SEARCH("trimmer",E40)),ISNUMBER(SEARCH("pole saw",E40))),"Pruning Tools",
TRUE,"Other"
)</f>
        <v>Fly Traps</v>
      </c>
      <c r="J40" s="7" t="str">
        <f t="shared" si="2"/>
        <v>Flying Insect Control - Fly Traps</v>
      </c>
      <c r="K40" s="1">
        <v>800</v>
      </c>
      <c r="L40" s="1">
        <v>4.0999999999999996</v>
      </c>
      <c r="M40" s="1">
        <v>133</v>
      </c>
      <c r="N40" s="1"/>
      <c r="O40" s="1">
        <f>VLOOKUP(A40,[2]Sheet1!$A:$B,2,0)</f>
        <v>0</v>
      </c>
      <c r="P40" s="1">
        <f>VLOOKUP(A40,[2]Sheet1!$A:$C,3,0)</f>
        <v>0</v>
      </c>
      <c r="Q40" s="7">
        <f>VLOOKUP(A40,[2]Sheet1!$A:$D,4,0)</f>
        <v>0</v>
      </c>
      <c r="R40" s="7">
        <f>VLOOKUP(A40,[2]Sheet1!$A:$E,5,0)</f>
        <v>0</v>
      </c>
      <c r="S40" s="7">
        <f>VLOOKUP(A40,[2]Sheet1!$A:$F,6,0)</f>
        <v>0</v>
      </c>
      <c r="T40" s="7">
        <f>VLOOKUP(A40,[2]Sheet1!$A:$G,7,0)</f>
        <v>1000</v>
      </c>
      <c r="U40" s="7">
        <f>VLOOKUP(A40,[2]Sheet1!$A:$H,8,0)</f>
        <v>400</v>
      </c>
      <c r="V40" s="7">
        <f>VLOOKUP(A40,[2]Sheet1!$A:$I,9,0)</f>
        <v>300</v>
      </c>
      <c r="W40" s="7">
        <f>VLOOKUP(A40,[2]Sheet1!$A:$K,10,0)</f>
        <v>700</v>
      </c>
      <c r="X40" s="7">
        <f>VLOOKUP(A40,[2]Sheet1!$A:$L,11,0)</f>
        <v>0</v>
      </c>
      <c r="Y40" s="7">
        <f>VLOOKUP(A40,[2]Sheet1!$A:$L,12,0)</f>
        <v>0</v>
      </c>
      <c r="Z40" s="7">
        <f>VLOOKUP(A40,[2]Sheet1!$A:$M,13,0)</f>
        <v>0</v>
      </c>
      <c r="AA40" s="1">
        <f t="shared" si="0"/>
        <v>2400</v>
      </c>
      <c r="AB40" s="7">
        <f t="shared" si="3"/>
        <v>200</v>
      </c>
      <c r="AC40" s="13">
        <f t="shared" si="1"/>
        <v>200</v>
      </c>
      <c r="AD40" s="9">
        <f t="shared" si="4"/>
        <v>67176</v>
      </c>
      <c r="AE40" s="9">
        <f t="shared" si="5"/>
        <v>5598</v>
      </c>
      <c r="AF40" s="11">
        <v>4.76</v>
      </c>
      <c r="AG40" s="11">
        <v>27.99</v>
      </c>
      <c r="AH40" s="9">
        <f t="shared" si="6"/>
        <v>0.36239999999999983</v>
      </c>
      <c r="AI40" s="11">
        <f t="shared" si="7"/>
        <v>1.2683999999999993</v>
      </c>
      <c r="AJ40" s="14">
        <v>0.5</v>
      </c>
      <c r="AK40" s="14">
        <v>0.5</v>
      </c>
      <c r="AL40" s="11">
        <v>4.76</v>
      </c>
      <c r="AM40" s="9">
        <f t="shared" si="8"/>
        <v>4.1984999999999992</v>
      </c>
      <c r="AN40" s="9">
        <f t="shared" si="9"/>
        <v>0.83969999999999989</v>
      </c>
      <c r="AO40" s="9">
        <f t="shared" si="10"/>
        <v>5.5979999999999999</v>
      </c>
      <c r="AP40" s="9">
        <f t="shared" si="11"/>
        <v>0.55979999999999996</v>
      </c>
      <c r="AQ40" s="9">
        <f t="shared" si="12"/>
        <v>5.5979999999999999</v>
      </c>
      <c r="AR40" s="9">
        <f t="shared" si="13"/>
        <v>6.9974999999999996</v>
      </c>
      <c r="AS40" s="11">
        <f t="shared" si="14"/>
        <v>3.6239999999999983</v>
      </c>
      <c r="AT40" s="12">
        <f t="shared" si="15"/>
        <v>2.6909999999999985</v>
      </c>
    </row>
    <row r="41" spans="1:46" ht="16.5" x14ac:dyDescent="0.4">
      <c r="A41" s="1" t="s">
        <v>225</v>
      </c>
      <c r="B41" s="7" t="s">
        <v>42</v>
      </c>
      <c r="C41" s="7" t="s">
        <v>1777</v>
      </c>
      <c r="D41" s="1" t="s">
        <v>226</v>
      </c>
      <c r="E41" s="1" t="s">
        <v>227</v>
      </c>
      <c r="F41" s="1" t="s">
        <v>228</v>
      </c>
      <c r="G41" s="7" t="str">
        <f>VLOOKUP(A41,[1]done!$A:$I,9,0)</f>
        <v>Rodent</v>
      </c>
      <c r="H41" s="7" t="str" cm="1">
        <f t="array" ref="H41">_xlfn.IFS(
OR(ISNUMBER(SEARCH("mouse",E41)),ISNUMBER(SEARCH("rat",E41)),ISNUMBER(SEARCH("mice",E41)),ISNUMBER(SEARCH("rodent",E41))),"Rodent Control",
OR(ISNUMBER(SEARCH("fly",E41)),ISNUMBER(SEARCH("gnat",E41)),ISNUMBER(SEARCH("insect",E41)),ISNUMBER(SEARCH("mosquito",E41))),"Flying Insect Control",
OR(ISNUMBER(SEARCH("roach",E41)),ISNUMBER(SEARCH("ant",E41)),ISNUMBER(SEARCH("spider",E41)),ISNUMBER(SEARCH("cricket",E41)),ISNUMBER(SEARCH("scorpion",E41)),ISNUMBER(SEARCH("centipede",E41)),ISNUMBER(SEARCH("beetle",E41))),"Crawling Insect Control",
OR(ISNUMBER(SEARCH("tree",E41)),ISNUMBER(SEARCH("lantern",E41)),ISNUMBER(SEARCH("garden",E41)),ISNUMBER(SEARCH("plant",E41))),"Garden Pest Control",
OR(ISNUMBER(SEARCH("grass seed",E41)),ISNUMBER(SEARCH("seed mix",E41))),"Grass Seed",
OR(ISNUMBER(SEARCH("lawn food",E41)),ISNUMBER(SEARCH("fertilizer",E41))),"Lawn Fertilizer",
OR(ISNUMBER(SEARCH("patch",E41)),ISNUMBER(SEARCH("repair",E41)),ISNUMBER(SEARCH("thick'r",E41)),ISNUMBER(SEARCH("thick'r lawn",E41)),ISNUMBER(SEARCH("rapid grass",E41))),"Lawn Repair",
OR(ISNUMBER(SEARCH("weed",E41)),ISNUMBER(SEARCH("crabgrass",E41))),"Weed Control",
OR(ISNUMBER(SEARCH("fungicide",E41)),ISNUMBER(SEARCH("moss",E41))),"Disease &amp; Moss Control",
OR(ISNUMBER(SEARCH("plant food",E41)),ISNUMBER(SEARCH("miracid",E41))),"Plant Nutrition",
OR(ISNUMBER(SEARCH("perlite",E41))),"Soil Amendment",
OR(ISNUMBER(SEARCH("spreader",E41)),ISNUMBER(SEARCH("sprayer",E41)),ISNUMBER(SEARCH("mower",E41)),ISNUMBER(SEARCH("sweeper",E41)),ISNUMBER(SEARCH("pruner",E41)),ISNUMBER(SEARCH("trimmer",E41)),ISNUMBER(SEARCH("pole saw",E41))),"Garden Equipment",
TRUE,"Other"
)</f>
        <v>Rodent Control</v>
      </c>
      <c r="I41" s="7" t="str" cm="1">
        <f t="array" ref="I41">_xlfn.IFS(
OR(ISNUMBER(SEARCH("glue trap",E41)),ISNUMBER(SEARCH("glue board",E41))),"Glue Traps",
OR(ISNUMBER(SEARCH("snap trap",E41)),ISNUMBER(SEARCH("power-kill",E41)),ISNUMBER(SEARCH("wide pedal",E41)),ISNUMBER(SEARCH("metal pedal",E41))),"Snap Traps",
OR(ISNUMBER(SEARCH("electronic",E41)),ISNUMBER(SEARCH("zapper",E41))),"Electronic Traps",
OR(ISNUMBER(SEARCH("live catch",E41)),ISNUMBER(SEARCH("multi-catch",E41)),ISNUMBER(SEARCH("catch &amp; hold",E41)),ISNUMBER(SEARCH("tin cat",E41))),"Live Catch Traps",
OR(ISNUMBER(SEARCH("bait",E41)),ISNUMBER(SEARCH("poison",E41))),"Bait &amp; Poison",
ISNUMBER(SEARCH("repellent",E41)),"Repellents",
OR(ISNUMBER(SEARCH("fly trap",E41)),ISNUMBER(SEARCH("fly ribbon",E41)),ISNUMBER(SEARCH("fly stick",E41)),ISNUMBER(SEARCH("window fly",E41)),ISNUMBER(SEARCH("fly magnet",E41))),"Fly Traps",
OR(ISNUMBER(SEARCH("uv",E41)),ISNUMBER(SEARCH("fly light",E41)),ISNUMBER(SEARCH("plug-in",E41))),"UV Fly Traps",
ISNUMBER(SEARCH("roach",E41)),"Roach Traps",
ISNUMBER(SEARCH("ant",E41)),"Ant Traps",
ISNUMBER(SEARCH("spider",E41)),"Spider Traps",
ISNUMBER(SEARCH("mosquito",E41)),"Mosquito Traps",
ISNUMBER(SEARCH("beetle",E41)),"Beetle Traps",
ISNUMBER(SEARCH("lantern",E41)),"Lanternfly Control",
OR(ISNUMBER(SEARCH("tree shield",E41)),ISNUMBER(SEARCH("tree banding",E41)),ISNUMBER(SEARCH("insect barrier",E41))),"Tree Barriers",
OR(ISNUMBER(SEARCH("sun &amp; shade",E41)),ISNUMBER(SEARCH("sun and shade",E41))),"Sun &amp; Shade Mix",
ISNUMBER(SEARCH("tall fescue",E41)),"Tall Fescue",
ISNUMBER(SEARCH("bermudagrass",E41)),"Bermudagrass",
ISNUMBER(SEARCH("kentucky",E41)),"Kentucky Bluegrass",
ISNUMBER(SEARCH("zoysia",E41)),"Zoysia",
ISNUMBER(SEARCH("ryegrass",E41)),"Perennial Ryegrass",
ISNUMBER(SEARCH("centipede",E41)),"Centipede Grass",
ISNUMBER(SEARCH("dense shade",E41)),"Dense Shade Mix",
ISNUMBER(SEARCH("southern gold",E41)),"Southern Gold Mix",
ISNUMBER(SEARCH("heat-tolerant blue",E41)),"Heat-Tolerant Blue Mix",
ISNUMBER(SEARCH("high traffic",E41)),"High Traffic Mix",
ISNUMBER(SEARCH("quick fix",E41)),"Quick Fix Mix",
ISNUMBER(SEARCH("starter",E41)),"Starter Fertilizer",
ISNUMBER(SEARCH("weed &amp; feed",E41)),"Weed &amp; Feed",
ISNUMBER(SEARCH("lawn food",E41)),"Lawn Food",
ISNUMBER(SEARCH("triple action",E41)),"Triple Action Fertilizer",
ISNUMBER(SEARCH("green max",E41)),"Green Max Lawn Food",
ISNUMBER(SEARCH("patchmaster",E41)),"PatchMaster Repair",
ISNUMBER(SEARCH("ez seed",E41)),"EZ Seed Repair",
ISNUMBER(SEARCH("rapid grass",E41)),"Rapid Grass",
ISNUMBER(SEARCH("thick'r lawn",E41)),"Thick'R Lawn",
ISNUMBER(SEARCH("fungicide",E41)),"Fungicide",
ISNUMBER(SEARCH("moss",E41)),"Moss Control",
ISNUMBER(SEARCH("perlite",E41)),"Perlite",
ISNUMBER(SEARCH("plant food",E41)),"Plant Food",
ISNUMBER(SEARCH("spreader",E41)),"Spreader",
ISNUMBER(SEARCH("sprayer",E41)),"Sprayer",
ISNUMBER(SEARCH("mower",E41)),"Lawn Mower",
ISNUMBER(SEARCH("sweeper",E41)),"Lawn Sweeper",
OR(ISNUMBER(SEARCH("pruner",E41)),ISNUMBER(SEARCH("trimmer",E41)),ISNUMBER(SEARCH("pole saw",E41))),"Pruning Tools",
TRUE,"Other"
)</f>
        <v>Glue Traps</v>
      </c>
      <c r="J41" s="7" t="str">
        <f t="shared" si="2"/>
        <v>Rodent Control - Glue Traps</v>
      </c>
      <c r="K41" s="1">
        <v>700</v>
      </c>
      <c r="L41" s="1">
        <v>4.2</v>
      </c>
      <c r="M41" s="1">
        <v>1114</v>
      </c>
      <c r="N41" s="1"/>
      <c r="O41" s="1">
        <f>VLOOKUP(A41,[2]Sheet1!$A:$B,2,0)</f>
        <v>300</v>
      </c>
      <c r="P41" s="1">
        <f>VLOOKUP(A41,[2]Sheet1!$A:$C,3,0)</f>
        <v>400</v>
      </c>
      <c r="Q41" s="7">
        <f>VLOOKUP(A41,[2]Sheet1!$A:$D,4,0)</f>
        <v>400</v>
      </c>
      <c r="R41" s="7">
        <f>VLOOKUP(A41,[2]Sheet1!$A:$E,5,0)</f>
        <v>400</v>
      </c>
      <c r="S41" s="7">
        <f>VLOOKUP(A41,[2]Sheet1!$A:$F,6,0)</f>
        <v>400</v>
      </c>
      <c r="T41" s="7">
        <f>VLOOKUP(A41,[2]Sheet1!$A:$G,7,0)</f>
        <v>500</v>
      </c>
      <c r="U41" s="7">
        <f>VLOOKUP(A41,[2]Sheet1!$A:$H,8,0)</f>
        <v>600</v>
      </c>
      <c r="V41" s="7">
        <f>VLOOKUP(A41,[2]Sheet1!$A:$I,9,0)</f>
        <v>600</v>
      </c>
      <c r="W41" s="7">
        <f>VLOOKUP(A41,[2]Sheet1!$A:$K,10,0)</f>
        <v>600</v>
      </c>
      <c r="X41" s="7">
        <f>VLOOKUP(A41,[2]Sheet1!$A:$L,11,0)</f>
        <v>1000</v>
      </c>
      <c r="Y41" s="7">
        <f>VLOOKUP(A41,[2]Sheet1!$A:$L,12,0)</f>
        <v>300</v>
      </c>
      <c r="Z41" s="7">
        <f>VLOOKUP(A41,[2]Sheet1!$A:$M,13,0)</f>
        <v>300</v>
      </c>
      <c r="AA41" s="1">
        <f t="shared" si="0"/>
        <v>5800</v>
      </c>
      <c r="AB41" s="7">
        <f t="shared" si="3"/>
        <v>483</v>
      </c>
      <c r="AC41" s="13">
        <f t="shared" si="1"/>
        <v>483.33333333333331</v>
      </c>
      <c r="AD41" s="9">
        <f t="shared" si="4"/>
        <v>287390</v>
      </c>
      <c r="AE41" s="9">
        <f t="shared" si="5"/>
        <v>23949.166666666664</v>
      </c>
      <c r="AF41" s="11">
        <v>8.14</v>
      </c>
      <c r="AG41" s="11">
        <v>49.55</v>
      </c>
      <c r="AH41" s="9">
        <f t="shared" si="6"/>
        <v>0.71199999999999974</v>
      </c>
      <c r="AI41" s="11">
        <f t="shared" si="7"/>
        <v>2.4919999999999991</v>
      </c>
      <c r="AJ41" s="14">
        <v>0.5</v>
      </c>
      <c r="AK41" s="14">
        <v>0.5</v>
      </c>
      <c r="AL41" s="11">
        <v>8.14</v>
      </c>
      <c r="AM41" s="9">
        <f t="shared" si="8"/>
        <v>7.4324999999999992</v>
      </c>
      <c r="AN41" s="9">
        <f t="shared" si="9"/>
        <v>1.4864999999999999</v>
      </c>
      <c r="AO41" s="9">
        <f t="shared" si="10"/>
        <v>9.91</v>
      </c>
      <c r="AP41" s="9">
        <f t="shared" si="11"/>
        <v>0.99099999999999999</v>
      </c>
      <c r="AQ41" s="9">
        <f t="shared" si="12"/>
        <v>9.91</v>
      </c>
      <c r="AR41" s="9">
        <f t="shared" si="13"/>
        <v>12.387499999999999</v>
      </c>
      <c r="AS41" s="11">
        <f t="shared" si="14"/>
        <v>7.1199999999999974</v>
      </c>
      <c r="AT41" s="12">
        <f t="shared" si="15"/>
        <v>5.468333333333331</v>
      </c>
    </row>
    <row r="42" spans="1:46" ht="16.5" x14ac:dyDescent="0.4">
      <c r="A42" s="1" t="s">
        <v>229</v>
      </c>
      <c r="B42" s="7" t="s">
        <v>42</v>
      </c>
      <c r="C42" s="7" t="s">
        <v>42</v>
      </c>
      <c r="D42" s="1" t="s">
        <v>230</v>
      </c>
      <c r="E42" s="1" t="s">
        <v>231</v>
      </c>
      <c r="F42" s="1" t="s">
        <v>232</v>
      </c>
      <c r="G42" s="7" t="str">
        <f>VLOOKUP(A42,[1]done!$A:$I,9,0)</f>
        <v>Other Glue boards for insect or rodent</v>
      </c>
      <c r="H42" s="7" t="str" cm="1">
        <f t="array" ref="H42">_xlfn.IFS(
OR(ISNUMBER(SEARCH("mouse",E42)),ISNUMBER(SEARCH("rat",E42)),ISNUMBER(SEARCH("mice",E42)),ISNUMBER(SEARCH("rodent",E42))),"Rodent Control",
OR(ISNUMBER(SEARCH("fly",E42)),ISNUMBER(SEARCH("gnat",E42)),ISNUMBER(SEARCH("insect",E42)),ISNUMBER(SEARCH("mosquito",E42))),"Flying Insect Control",
OR(ISNUMBER(SEARCH("roach",E42)),ISNUMBER(SEARCH("ant",E42)),ISNUMBER(SEARCH("spider",E42)),ISNUMBER(SEARCH("cricket",E42)),ISNUMBER(SEARCH("scorpion",E42)),ISNUMBER(SEARCH("centipede",E42)),ISNUMBER(SEARCH("beetle",E42))),"Crawling Insect Control",
OR(ISNUMBER(SEARCH("tree",E42)),ISNUMBER(SEARCH("lantern",E42)),ISNUMBER(SEARCH("garden",E42)),ISNUMBER(SEARCH("plant",E42))),"Garden Pest Control",
OR(ISNUMBER(SEARCH("grass seed",E42)),ISNUMBER(SEARCH("seed mix",E42))),"Grass Seed",
OR(ISNUMBER(SEARCH("lawn food",E42)),ISNUMBER(SEARCH("fertilizer",E42))),"Lawn Fertilizer",
OR(ISNUMBER(SEARCH("patch",E42)),ISNUMBER(SEARCH("repair",E42)),ISNUMBER(SEARCH("thick'r",E42)),ISNUMBER(SEARCH("thick'r lawn",E42)),ISNUMBER(SEARCH("rapid grass",E42))),"Lawn Repair",
OR(ISNUMBER(SEARCH("weed",E42)),ISNUMBER(SEARCH("crabgrass",E42))),"Weed Control",
OR(ISNUMBER(SEARCH("fungicide",E42)),ISNUMBER(SEARCH("moss",E42))),"Disease &amp; Moss Control",
OR(ISNUMBER(SEARCH("plant food",E42)),ISNUMBER(SEARCH("miracid",E42))),"Plant Nutrition",
OR(ISNUMBER(SEARCH("perlite",E42))),"Soil Amendment",
OR(ISNUMBER(SEARCH("spreader",E42)),ISNUMBER(SEARCH("sprayer",E42)),ISNUMBER(SEARCH("mower",E42)),ISNUMBER(SEARCH("sweeper",E42)),ISNUMBER(SEARCH("pruner",E42)),ISNUMBER(SEARCH("trimmer",E42)),ISNUMBER(SEARCH("pole saw",E42))),"Garden Equipment",
TRUE,"Other"
)</f>
        <v>Flying Insect Control</v>
      </c>
      <c r="I42" s="7" t="str" cm="1">
        <f t="array" ref="I42">_xlfn.IFS(
OR(ISNUMBER(SEARCH("glue trap",E42)),ISNUMBER(SEARCH("glue board",E42))),"Glue Traps",
OR(ISNUMBER(SEARCH("snap trap",E42)),ISNUMBER(SEARCH("power-kill",E42)),ISNUMBER(SEARCH("wide pedal",E42)),ISNUMBER(SEARCH("metal pedal",E42))),"Snap Traps",
OR(ISNUMBER(SEARCH("electronic",E42)),ISNUMBER(SEARCH("zapper",E42))),"Electronic Traps",
OR(ISNUMBER(SEARCH("live catch",E42)),ISNUMBER(SEARCH("multi-catch",E42)),ISNUMBER(SEARCH("catch &amp; hold",E42)),ISNUMBER(SEARCH("tin cat",E42))),"Live Catch Traps",
OR(ISNUMBER(SEARCH("bait",E42)),ISNUMBER(SEARCH("poison",E42))),"Bait &amp; Poison",
ISNUMBER(SEARCH("repellent",E42)),"Repellents",
OR(ISNUMBER(SEARCH("fly trap",E42)),ISNUMBER(SEARCH("fly ribbon",E42)),ISNUMBER(SEARCH("fly stick",E42)),ISNUMBER(SEARCH("window fly",E42)),ISNUMBER(SEARCH("fly magnet",E42))),"Fly Traps",
OR(ISNUMBER(SEARCH("uv",E42)),ISNUMBER(SEARCH("fly light",E42)),ISNUMBER(SEARCH("plug-in",E42))),"UV Fly Traps",
ISNUMBER(SEARCH("roach",E42)),"Roach Traps",
ISNUMBER(SEARCH("ant",E42)),"Ant Traps",
ISNUMBER(SEARCH("spider",E42)),"Spider Traps",
ISNUMBER(SEARCH("mosquito",E42)),"Mosquito Traps",
ISNUMBER(SEARCH("beetle",E42)),"Beetle Traps",
ISNUMBER(SEARCH("lantern",E42)),"Lanternfly Control",
OR(ISNUMBER(SEARCH("tree shield",E42)),ISNUMBER(SEARCH("tree banding",E42)),ISNUMBER(SEARCH("insect barrier",E42))),"Tree Barriers",
OR(ISNUMBER(SEARCH("sun &amp; shade",E42)),ISNUMBER(SEARCH("sun and shade",E42))),"Sun &amp; Shade Mix",
ISNUMBER(SEARCH("tall fescue",E42)),"Tall Fescue",
ISNUMBER(SEARCH("bermudagrass",E42)),"Bermudagrass",
ISNUMBER(SEARCH("kentucky",E42)),"Kentucky Bluegrass",
ISNUMBER(SEARCH("zoysia",E42)),"Zoysia",
ISNUMBER(SEARCH("ryegrass",E42)),"Perennial Ryegrass",
ISNUMBER(SEARCH("centipede",E42)),"Centipede Grass",
ISNUMBER(SEARCH("dense shade",E42)),"Dense Shade Mix",
ISNUMBER(SEARCH("southern gold",E42)),"Southern Gold Mix",
ISNUMBER(SEARCH("heat-tolerant blue",E42)),"Heat-Tolerant Blue Mix",
ISNUMBER(SEARCH("high traffic",E42)),"High Traffic Mix",
ISNUMBER(SEARCH("quick fix",E42)),"Quick Fix Mix",
ISNUMBER(SEARCH("starter",E42)),"Starter Fertilizer",
ISNUMBER(SEARCH("weed &amp; feed",E42)),"Weed &amp; Feed",
ISNUMBER(SEARCH("lawn food",E42)),"Lawn Food",
ISNUMBER(SEARCH("triple action",E42)),"Triple Action Fertilizer",
ISNUMBER(SEARCH("green max",E42)),"Green Max Lawn Food",
ISNUMBER(SEARCH("patchmaster",E42)),"PatchMaster Repair",
ISNUMBER(SEARCH("ez seed",E42)),"EZ Seed Repair",
ISNUMBER(SEARCH("rapid grass",E42)),"Rapid Grass",
ISNUMBER(SEARCH("thick'r lawn",E42)),"Thick'R Lawn",
ISNUMBER(SEARCH("fungicide",E42)),"Fungicide",
ISNUMBER(SEARCH("moss",E42)),"Moss Control",
ISNUMBER(SEARCH("perlite",E42)),"Perlite",
ISNUMBER(SEARCH("plant food",E42)),"Plant Food",
ISNUMBER(SEARCH("spreader",E42)),"Spreader",
ISNUMBER(SEARCH("sprayer",E42)),"Sprayer",
ISNUMBER(SEARCH("mower",E42)),"Lawn Mower",
ISNUMBER(SEARCH("sweeper",E42)),"Lawn Sweeper",
OR(ISNUMBER(SEARCH("pruner",E42)),ISNUMBER(SEARCH("trimmer",E42)),ISNUMBER(SEARCH("pole saw",E42))),"Pruning Tools",
TRUE,"Other"
)</f>
        <v>Glue Traps</v>
      </c>
      <c r="J42" s="7" t="str">
        <f t="shared" si="2"/>
        <v>Flying Insect Control - Glue Traps</v>
      </c>
      <c r="K42" s="1">
        <v>700</v>
      </c>
      <c r="L42" s="1">
        <v>4.2</v>
      </c>
      <c r="M42" s="1">
        <v>425</v>
      </c>
      <c r="N42" s="1"/>
      <c r="O42" s="1">
        <f>VLOOKUP(A42,[2]Sheet1!$A:$B,2,0)</f>
        <v>100</v>
      </c>
      <c r="P42" s="1">
        <f>VLOOKUP(A42,[2]Sheet1!$A:$C,3,0)</f>
        <v>100</v>
      </c>
      <c r="Q42" s="7">
        <f>VLOOKUP(A42,[2]Sheet1!$A:$D,4,0)</f>
        <v>100</v>
      </c>
      <c r="R42" s="7">
        <f>VLOOKUP(A42,[2]Sheet1!$A:$E,5,0)</f>
        <v>200</v>
      </c>
      <c r="S42" s="7">
        <f>VLOOKUP(A42,[2]Sheet1!$A:$F,6,0)</f>
        <v>300</v>
      </c>
      <c r="T42" s="7">
        <f>VLOOKUP(A42,[2]Sheet1!$A:$G,7,0)</f>
        <v>500</v>
      </c>
      <c r="U42" s="7">
        <f>VLOOKUP(A42,[2]Sheet1!$A:$H,8,0)</f>
        <v>700</v>
      </c>
      <c r="V42" s="7">
        <f>VLOOKUP(A42,[2]Sheet1!$A:$I,9,0)</f>
        <v>600</v>
      </c>
      <c r="W42" s="7">
        <f>VLOOKUP(A42,[2]Sheet1!$A:$K,10,0)</f>
        <v>700</v>
      </c>
      <c r="X42" s="7">
        <f>VLOOKUP(A42,[2]Sheet1!$A:$L,11,0)</f>
        <v>400</v>
      </c>
      <c r="Y42" s="7">
        <f>VLOOKUP(A42,[2]Sheet1!$A:$L,12,0)</f>
        <v>300</v>
      </c>
      <c r="Z42" s="7">
        <f>VLOOKUP(A42,[2]Sheet1!$A:$M,13,0)</f>
        <v>100</v>
      </c>
      <c r="AA42" s="1">
        <f t="shared" si="0"/>
        <v>4100</v>
      </c>
      <c r="AB42" s="7">
        <f t="shared" si="3"/>
        <v>342</v>
      </c>
      <c r="AC42" s="13">
        <f t="shared" si="1"/>
        <v>341.66666666666669</v>
      </c>
      <c r="AD42" s="9">
        <f t="shared" si="4"/>
        <v>60762</v>
      </c>
      <c r="AE42" s="9">
        <f t="shared" si="5"/>
        <v>5063.5</v>
      </c>
      <c r="AF42" s="11">
        <v>4.3499999999999996</v>
      </c>
      <c r="AG42" s="11">
        <v>14.82</v>
      </c>
      <c r="AH42" s="9">
        <f t="shared" si="6"/>
        <v>3.8533333333333294E-2</v>
      </c>
      <c r="AI42" s="11">
        <f t="shared" si="7"/>
        <v>0.13486666666666652</v>
      </c>
      <c r="AJ42" s="14">
        <v>0.5</v>
      </c>
      <c r="AK42" s="14">
        <v>0.5</v>
      </c>
      <c r="AL42" s="11">
        <v>4.3499999999999996</v>
      </c>
      <c r="AM42" s="9">
        <f t="shared" si="8"/>
        <v>2.2229999999999999</v>
      </c>
      <c r="AN42" s="9">
        <f t="shared" si="9"/>
        <v>0.4446</v>
      </c>
      <c r="AO42" s="9">
        <f t="shared" si="10"/>
        <v>2.9640000000000004</v>
      </c>
      <c r="AP42" s="9">
        <f t="shared" si="11"/>
        <v>0.2964</v>
      </c>
      <c r="AQ42" s="9">
        <f t="shared" si="12"/>
        <v>2.9640000000000004</v>
      </c>
      <c r="AR42" s="9">
        <f t="shared" si="13"/>
        <v>3.7050000000000001</v>
      </c>
      <c r="AS42" s="11">
        <f t="shared" si="14"/>
        <v>0.38533333333333292</v>
      </c>
      <c r="AT42" s="12">
        <f t="shared" si="15"/>
        <v>-0.10866666666666684</v>
      </c>
    </row>
    <row r="43" spans="1:46" ht="16.5" x14ac:dyDescent="0.4">
      <c r="A43" s="1" t="s">
        <v>233</v>
      </c>
      <c r="B43" s="7" t="s">
        <v>42</v>
      </c>
      <c r="C43" s="7" t="s">
        <v>42</v>
      </c>
      <c r="D43" s="1" t="s">
        <v>234</v>
      </c>
      <c r="E43" s="1" t="s">
        <v>235</v>
      </c>
      <c r="F43" s="1" t="s">
        <v>236</v>
      </c>
      <c r="G43" s="7" t="str">
        <f>VLOOKUP(A43,[1]done!$A:$I,9,0)</f>
        <v>Other crawling insects</v>
      </c>
      <c r="H43" s="7" t="str" cm="1">
        <f t="array" ref="H43">_xlfn.IFS(
OR(ISNUMBER(SEARCH("mouse",E43)),ISNUMBER(SEARCH("rat",E43)),ISNUMBER(SEARCH("mice",E43)),ISNUMBER(SEARCH("rodent",E43))),"Rodent Control",
OR(ISNUMBER(SEARCH("fly",E43)),ISNUMBER(SEARCH("gnat",E43)),ISNUMBER(SEARCH("insect",E43)),ISNUMBER(SEARCH("mosquito",E43))),"Flying Insect Control",
OR(ISNUMBER(SEARCH("roach",E43)),ISNUMBER(SEARCH("ant",E43)),ISNUMBER(SEARCH("spider",E43)),ISNUMBER(SEARCH("cricket",E43)),ISNUMBER(SEARCH("scorpion",E43)),ISNUMBER(SEARCH("centipede",E43)),ISNUMBER(SEARCH("beetle",E43))),"Crawling Insect Control",
OR(ISNUMBER(SEARCH("tree",E43)),ISNUMBER(SEARCH("lantern",E43)),ISNUMBER(SEARCH("garden",E43)),ISNUMBER(SEARCH("plant",E43))),"Garden Pest Control",
OR(ISNUMBER(SEARCH("grass seed",E43)),ISNUMBER(SEARCH("seed mix",E43))),"Grass Seed",
OR(ISNUMBER(SEARCH("lawn food",E43)),ISNUMBER(SEARCH("fertilizer",E43))),"Lawn Fertilizer",
OR(ISNUMBER(SEARCH("patch",E43)),ISNUMBER(SEARCH("repair",E43)),ISNUMBER(SEARCH("thick'r",E43)),ISNUMBER(SEARCH("thick'r lawn",E43)),ISNUMBER(SEARCH("rapid grass",E43))),"Lawn Repair",
OR(ISNUMBER(SEARCH("weed",E43)),ISNUMBER(SEARCH("crabgrass",E43))),"Weed Control",
OR(ISNUMBER(SEARCH("fungicide",E43)),ISNUMBER(SEARCH("moss",E43))),"Disease &amp; Moss Control",
OR(ISNUMBER(SEARCH("plant food",E43)),ISNUMBER(SEARCH("miracid",E43))),"Plant Nutrition",
OR(ISNUMBER(SEARCH("perlite",E43))),"Soil Amendment",
OR(ISNUMBER(SEARCH("spreader",E43)),ISNUMBER(SEARCH("sprayer",E43)),ISNUMBER(SEARCH("mower",E43)),ISNUMBER(SEARCH("sweeper",E43)),ISNUMBER(SEARCH("pruner",E43)),ISNUMBER(SEARCH("trimmer",E43)),ISNUMBER(SEARCH("pole saw",E43))),"Garden Equipment",
TRUE,"Other"
)</f>
        <v>Flying Insect Control</v>
      </c>
      <c r="I43" s="7" t="str" cm="1">
        <f t="array" ref="I43">_xlfn.IFS(
OR(ISNUMBER(SEARCH("glue trap",E43)),ISNUMBER(SEARCH("glue board",E43))),"Glue Traps",
OR(ISNUMBER(SEARCH("snap trap",E43)),ISNUMBER(SEARCH("power-kill",E43)),ISNUMBER(SEARCH("wide pedal",E43)),ISNUMBER(SEARCH("metal pedal",E43))),"Snap Traps",
OR(ISNUMBER(SEARCH("electronic",E43)),ISNUMBER(SEARCH("zapper",E43))),"Electronic Traps",
OR(ISNUMBER(SEARCH("live catch",E43)),ISNUMBER(SEARCH("multi-catch",E43)),ISNUMBER(SEARCH("catch &amp; hold",E43)),ISNUMBER(SEARCH("tin cat",E43))),"Live Catch Traps",
OR(ISNUMBER(SEARCH("bait",E43)),ISNUMBER(SEARCH("poison",E43))),"Bait &amp; Poison",
ISNUMBER(SEARCH("repellent",E43)),"Repellents",
OR(ISNUMBER(SEARCH("fly trap",E43)),ISNUMBER(SEARCH("fly ribbon",E43)),ISNUMBER(SEARCH("fly stick",E43)),ISNUMBER(SEARCH("window fly",E43)),ISNUMBER(SEARCH("fly magnet",E43))),"Fly Traps",
OR(ISNUMBER(SEARCH("uv",E43)),ISNUMBER(SEARCH("fly light",E43)),ISNUMBER(SEARCH("plug-in",E43))),"UV Fly Traps",
ISNUMBER(SEARCH("roach",E43)),"Roach Traps",
ISNUMBER(SEARCH("ant",E43)),"Ant Traps",
ISNUMBER(SEARCH("spider",E43)),"Spider Traps",
ISNUMBER(SEARCH("mosquito",E43)),"Mosquito Traps",
ISNUMBER(SEARCH("beetle",E43)),"Beetle Traps",
ISNUMBER(SEARCH("lantern",E43)),"Lanternfly Control",
OR(ISNUMBER(SEARCH("tree shield",E43)),ISNUMBER(SEARCH("tree banding",E43)),ISNUMBER(SEARCH("insect barrier",E43))),"Tree Barriers",
OR(ISNUMBER(SEARCH("sun &amp; shade",E43)),ISNUMBER(SEARCH("sun and shade",E43))),"Sun &amp; Shade Mix",
ISNUMBER(SEARCH("tall fescue",E43)),"Tall Fescue",
ISNUMBER(SEARCH("bermudagrass",E43)),"Bermudagrass",
ISNUMBER(SEARCH("kentucky",E43)),"Kentucky Bluegrass",
ISNUMBER(SEARCH("zoysia",E43)),"Zoysia",
ISNUMBER(SEARCH("ryegrass",E43)),"Perennial Ryegrass",
ISNUMBER(SEARCH("centipede",E43)),"Centipede Grass",
ISNUMBER(SEARCH("dense shade",E43)),"Dense Shade Mix",
ISNUMBER(SEARCH("southern gold",E43)),"Southern Gold Mix",
ISNUMBER(SEARCH("heat-tolerant blue",E43)),"Heat-Tolerant Blue Mix",
ISNUMBER(SEARCH("high traffic",E43)),"High Traffic Mix",
ISNUMBER(SEARCH("quick fix",E43)),"Quick Fix Mix",
ISNUMBER(SEARCH("starter",E43)),"Starter Fertilizer",
ISNUMBER(SEARCH("weed &amp; feed",E43)),"Weed &amp; Feed",
ISNUMBER(SEARCH("lawn food",E43)),"Lawn Food",
ISNUMBER(SEARCH("triple action",E43)),"Triple Action Fertilizer",
ISNUMBER(SEARCH("green max",E43)),"Green Max Lawn Food",
ISNUMBER(SEARCH("patchmaster",E43)),"PatchMaster Repair",
ISNUMBER(SEARCH("ez seed",E43)),"EZ Seed Repair",
ISNUMBER(SEARCH("rapid grass",E43)),"Rapid Grass",
ISNUMBER(SEARCH("thick'r lawn",E43)),"Thick'R Lawn",
ISNUMBER(SEARCH("fungicide",E43)),"Fungicide",
ISNUMBER(SEARCH("moss",E43)),"Moss Control",
ISNUMBER(SEARCH("perlite",E43)),"Perlite",
ISNUMBER(SEARCH("plant food",E43)),"Plant Food",
ISNUMBER(SEARCH("spreader",E43)),"Spreader",
ISNUMBER(SEARCH("sprayer",E43)),"Sprayer",
ISNUMBER(SEARCH("mower",E43)),"Lawn Mower",
ISNUMBER(SEARCH("sweeper",E43)),"Lawn Sweeper",
OR(ISNUMBER(SEARCH("pruner",E43)),ISNUMBER(SEARCH("trimmer",E43)),ISNUMBER(SEARCH("pole saw",E43))),"Pruning Tools",
TRUE,"Other"
)</f>
        <v>Ant Traps</v>
      </c>
      <c r="J43" s="7" t="str">
        <f t="shared" si="2"/>
        <v>Flying Insect Control - Ant Traps</v>
      </c>
      <c r="K43" s="1">
        <v>600</v>
      </c>
      <c r="L43" s="1">
        <v>3.9</v>
      </c>
      <c r="M43" s="1">
        <v>2373</v>
      </c>
      <c r="N43" s="1" t="s">
        <v>237</v>
      </c>
      <c r="O43" s="1">
        <f>VLOOKUP(A43,[2]Sheet1!$A:$B,2,0)</f>
        <v>100</v>
      </c>
      <c r="P43" s="1">
        <f>VLOOKUP(A43,[2]Sheet1!$A:$C,3,0)</f>
        <v>100</v>
      </c>
      <c r="Q43" s="7">
        <f>VLOOKUP(A43,[2]Sheet1!$A:$D,4,0)</f>
        <v>200</v>
      </c>
      <c r="R43" s="7">
        <f>VLOOKUP(A43,[2]Sheet1!$A:$E,5,0)</f>
        <v>200</v>
      </c>
      <c r="S43" s="7">
        <f>VLOOKUP(A43,[2]Sheet1!$A:$F,6,0)</f>
        <v>600</v>
      </c>
      <c r="T43" s="7">
        <f>VLOOKUP(A43,[2]Sheet1!$A:$G,7,0)</f>
        <v>1000</v>
      </c>
      <c r="U43" s="7">
        <f>VLOOKUP(A43,[2]Sheet1!$A:$H,8,0)</f>
        <v>800</v>
      </c>
      <c r="V43" s="7">
        <f>VLOOKUP(A43,[2]Sheet1!$A:$I,9,0)</f>
        <v>800</v>
      </c>
      <c r="W43" s="7">
        <f>VLOOKUP(A43,[2]Sheet1!$A:$K,10,0)</f>
        <v>800</v>
      </c>
      <c r="X43" s="7">
        <f>VLOOKUP(A43,[2]Sheet1!$A:$L,11,0)</f>
        <v>1000</v>
      </c>
      <c r="Y43" s="7">
        <f>VLOOKUP(A43,[2]Sheet1!$A:$L,12,0)</f>
        <v>100</v>
      </c>
      <c r="Z43" s="7">
        <f>VLOOKUP(A43,[2]Sheet1!$A:$M,13,0)</f>
        <v>100</v>
      </c>
      <c r="AA43" s="1">
        <f t="shared" si="0"/>
        <v>5800</v>
      </c>
      <c r="AB43" s="7">
        <f t="shared" si="3"/>
        <v>483</v>
      </c>
      <c r="AC43" s="13">
        <f t="shared" si="1"/>
        <v>483.33333333333331</v>
      </c>
      <c r="AD43" s="9">
        <f t="shared" si="4"/>
        <v>86826</v>
      </c>
      <c r="AE43" s="9">
        <f t="shared" si="5"/>
        <v>7235.5</v>
      </c>
      <c r="AF43" s="11">
        <v>4.76</v>
      </c>
      <c r="AG43" s="11">
        <v>14.97</v>
      </c>
      <c r="AH43" s="9">
        <f t="shared" si="6"/>
        <v>1.5199999999999957E-2</v>
      </c>
      <c r="AI43" s="11">
        <f t="shared" si="7"/>
        <v>5.3199999999999838E-2</v>
      </c>
      <c r="AJ43" s="14">
        <v>0.5</v>
      </c>
      <c r="AK43" s="14">
        <v>0.5</v>
      </c>
      <c r="AL43" s="11">
        <v>4.76</v>
      </c>
      <c r="AM43" s="9">
        <f t="shared" si="8"/>
        <v>2.2454999999999998</v>
      </c>
      <c r="AN43" s="9">
        <f t="shared" si="9"/>
        <v>0.4491</v>
      </c>
      <c r="AO43" s="9">
        <f t="shared" si="10"/>
        <v>2.9940000000000002</v>
      </c>
      <c r="AP43" s="9">
        <f t="shared" si="11"/>
        <v>0.2994</v>
      </c>
      <c r="AQ43" s="9">
        <f t="shared" si="12"/>
        <v>2.9940000000000002</v>
      </c>
      <c r="AR43" s="9">
        <f t="shared" si="13"/>
        <v>3.7425000000000002</v>
      </c>
      <c r="AS43" s="11">
        <f t="shared" si="14"/>
        <v>0.15199999999999955</v>
      </c>
      <c r="AT43" s="12">
        <f t="shared" si="15"/>
        <v>-0.34700000000000042</v>
      </c>
    </row>
    <row r="44" spans="1:46" ht="16.5" x14ac:dyDescent="0.4">
      <c r="A44" s="1" t="s">
        <v>238</v>
      </c>
      <c r="B44" s="7" t="s">
        <v>42</v>
      </c>
      <c r="C44" s="7" t="s">
        <v>42</v>
      </c>
      <c r="D44" s="1" t="s">
        <v>239</v>
      </c>
      <c r="E44" s="1" t="s">
        <v>240</v>
      </c>
      <c r="F44" s="1" t="s">
        <v>241</v>
      </c>
      <c r="G44" s="7" t="str">
        <f>VLOOKUP(A44,[1]done!$A:$I,9,0)</f>
        <v>Rodent</v>
      </c>
      <c r="H44" s="7" t="str" cm="1">
        <f t="array" ref="H44">_xlfn.IFS(
OR(ISNUMBER(SEARCH("mouse",E44)),ISNUMBER(SEARCH("rat",E44)),ISNUMBER(SEARCH("mice",E44)),ISNUMBER(SEARCH("rodent",E44))),"Rodent Control",
OR(ISNUMBER(SEARCH("fly",E44)),ISNUMBER(SEARCH("gnat",E44)),ISNUMBER(SEARCH("insect",E44)),ISNUMBER(SEARCH("mosquito",E44))),"Flying Insect Control",
OR(ISNUMBER(SEARCH("roach",E44)),ISNUMBER(SEARCH("ant",E44)),ISNUMBER(SEARCH("spider",E44)),ISNUMBER(SEARCH("cricket",E44)),ISNUMBER(SEARCH("scorpion",E44)),ISNUMBER(SEARCH("centipede",E44)),ISNUMBER(SEARCH("beetle",E44))),"Crawling Insect Control",
OR(ISNUMBER(SEARCH("tree",E44)),ISNUMBER(SEARCH("lantern",E44)),ISNUMBER(SEARCH("garden",E44)),ISNUMBER(SEARCH("plant",E44))),"Garden Pest Control",
OR(ISNUMBER(SEARCH("grass seed",E44)),ISNUMBER(SEARCH("seed mix",E44))),"Grass Seed",
OR(ISNUMBER(SEARCH("lawn food",E44)),ISNUMBER(SEARCH("fertilizer",E44))),"Lawn Fertilizer",
OR(ISNUMBER(SEARCH("patch",E44)),ISNUMBER(SEARCH("repair",E44)),ISNUMBER(SEARCH("thick'r",E44)),ISNUMBER(SEARCH("thick'r lawn",E44)),ISNUMBER(SEARCH("rapid grass",E44))),"Lawn Repair",
OR(ISNUMBER(SEARCH("weed",E44)),ISNUMBER(SEARCH("crabgrass",E44))),"Weed Control",
OR(ISNUMBER(SEARCH("fungicide",E44)),ISNUMBER(SEARCH("moss",E44))),"Disease &amp; Moss Control",
OR(ISNUMBER(SEARCH("plant food",E44)),ISNUMBER(SEARCH("miracid",E44))),"Plant Nutrition",
OR(ISNUMBER(SEARCH("perlite",E44))),"Soil Amendment",
OR(ISNUMBER(SEARCH("spreader",E44)),ISNUMBER(SEARCH("sprayer",E44)),ISNUMBER(SEARCH("mower",E44)),ISNUMBER(SEARCH("sweeper",E44)),ISNUMBER(SEARCH("pruner",E44)),ISNUMBER(SEARCH("trimmer",E44)),ISNUMBER(SEARCH("pole saw",E44))),"Garden Equipment",
TRUE,"Other"
)</f>
        <v>Rodent Control</v>
      </c>
      <c r="I44" s="7" t="str" cm="1">
        <f t="array" ref="I44">_xlfn.IFS(
OR(ISNUMBER(SEARCH("glue trap",E44)),ISNUMBER(SEARCH("glue board",E44))),"Glue Traps",
OR(ISNUMBER(SEARCH("snap trap",E44)),ISNUMBER(SEARCH("power-kill",E44)),ISNUMBER(SEARCH("wide pedal",E44)),ISNUMBER(SEARCH("metal pedal",E44))),"Snap Traps",
OR(ISNUMBER(SEARCH("electronic",E44)),ISNUMBER(SEARCH("zapper",E44))),"Electronic Traps",
OR(ISNUMBER(SEARCH("live catch",E44)),ISNUMBER(SEARCH("multi-catch",E44)),ISNUMBER(SEARCH("catch &amp; hold",E44)),ISNUMBER(SEARCH("tin cat",E44))),"Live Catch Traps",
OR(ISNUMBER(SEARCH("bait",E44)),ISNUMBER(SEARCH("poison",E44))),"Bait &amp; Poison",
ISNUMBER(SEARCH("repellent",E44)),"Repellents",
OR(ISNUMBER(SEARCH("fly trap",E44)),ISNUMBER(SEARCH("fly ribbon",E44)),ISNUMBER(SEARCH("fly stick",E44)),ISNUMBER(SEARCH("window fly",E44)),ISNUMBER(SEARCH("fly magnet",E44))),"Fly Traps",
OR(ISNUMBER(SEARCH("uv",E44)),ISNUMBER(SEARCH("fly light",E44)),ISNUMBER(SEARCH("plug-in",E44))),"UV Fly Traps",
ISNUMBER(SEARCH("roach",E44)),"Roach Traps",
ISNUMBER(SEARCH("ant",E44)),"Ant Traps",
ISNUMBER(SEARCH("spider",E44)),"Spider Traps",
ISNUMBER(SEARCH("mosquito",E44)),"Mosquito Traps",
ISNUMBER(SEARCH("beetle",E44)),"Beetle Traps",
ISNUMBER(SEARCH("lantern",E44)),"Lanternfly Control",
OR(ISNUMBER(SEARCH("tree shield",E44)),ISNUMBER(SEARCH("tree banding",E44)),ISNUMBER(SEARCH("insect barrier",E44))),"Tree Barriers",
OR(ISNUMBER(SEARCH("sun &amp; shade",E44)),ISNUMBER(SEARCH("sun and shade",E44))),"Sun &amp; Shade Mix",
ISNUMBER(SEARCH("tall fescue",E44)),"Tall Fescue",
ISNUMBER(SEARCH("bermudagrass",E44)),"Bermudagrass",
ISNUMBER(SEARCH("kentucky",E44)),"Kentucky Bluegrass",
ISNUMBER(SEARCH("zoysia",E44)),"Zoysia",
ISNUMBER(SEARCH("ryegrass",E44)),"Perennial Ryegrass",
ISNUMBER(SEARCH("centipede",E44)),"Centipede Grass",
ISNUMBER(SEARCH("dense shade",E44)),"Dense Shade Mix",
ISNUMBER(SEARCH("southern gold",E44)),"Southern Gold Mix",
ISNUMBER(SEARCH("heat-tolerant blue",E44)),"Heat-Tolerant Blue Mix",
ISNUMBER(SEARCH("high traffic",E44)),"High Traffic Mix",
ISNUMBER(SEARCH("quick fix",E44)),"Quick Fix Mix",
ISNUMBER(SEARCH("starter",E44)),"Starter Fertilizer",
ISNUMBER(SEARCH("weed &amp; feed",E44)),"Weed &amp; Feed",
ISNUMBER(SEARCH("lawn food",E44)),"Lawn Food",
ISNUMBER(SEARCH("triple action",E44)),"Triple Action Fertilizer",
ISNUMBER(SEARCH("green max",E44)),"Green Max Lawn Food",
ISNUMBER(SEARCH("patchmaster",E44)),"PatchMaster Repair",
ISNUMBER(SEARCH("ez seed",E44)),"EZ Seed Repair",
ISNUMBER(SEARCH("rapid grass",E44)),"Rapid Grass",
ISNUMBER(SEARCH("thick'r lawn",E44)),"Thick'R Lawn",
ISNUMBER(SEARCH("fungicide",E44)),"Fungicide",
ISNUMBER(SEARCH("moss",E44)),"Moss Control",
ISNUMBER(SEARCH("perlite",E44)),"Perlite",
ISNUMBER(SEARCH("plant food",E44)),"Plant Food",
ISNUMBER(SEARCH("spreader",E44)),"Spreader",
ISNUMBER(SEARCH("sprayer",E44)),"Sprayer",
ISNUMBER(SEARCH("mower",E44)),"Lawn Mower",
ISNUMBER(SEARCH("sweeper",E44)),"Lawn Sweeper",
OR(ISNUMBER(SEARCH("pruner",E44)),ISNUMBER(SEARCH("trimmer",E44)),ISNUMBER(SEARCH("pole saw",E44))),"Pruning Tools",
TRUE,"Other"
)</f>
        <v>Glue Traps</v>
      </c>
      <c r="J44" s="7" t="str">
        <f t="shared" si="2"/>
        <v>Rodent Control - Glue Traps</v>
      </c>
      <c r="K44" s="1">
        <v>600</v>
      </c>
      <c r="L44" s="1">
        <v>4.3</v>
      </c>
      <c r="M44" s="1">
        <v>631</v>
      </c>
      <c r="N44" s="1" t="s">
        <v>242</v>
      </c>
      <c r="O44" s="1">
        <f>VLOOKUP(A44,[2]Sheet1!$A:$B,2,0)</f>
        <v>400</v>
      </c>
      <c r="P44" s="1">
        <f>VLOOKUP(A44,[2]Sheet1!$A:$C,3,0)</f>
        <v>300</v>
      </c>
      <c r="Q44" s="7">
        <f>VLOOKUP(A44,[2]Sheet1!$A:$D,4,0)</f>
        <v>700</v>
      </c>
      <c r="R44" s="7">
        <f>VLOOKUP(A44,[2]Sheet1!$A:$E,5,0)</f>
        <v>1000</v>
      </c>
      <c r="S44" s="7">
        <f>VLOOKUP(A44,[2]Sheet1!$A:$F,6,0)</f>
        <v>800</v>
      </c>
      <c r="T44" s="7">
        <f>VLOOKUP(A44,[2]Sheet1!$A:$G,7,0)</f>
        <v>1000</v>
      </c>
      <c r="U44" s="7">
        <f>VLOOKUP(A44,[2]Sheet1!$A:$H,8,0)</f>
        <v>1000</v>
      </c>
      <c r="V44" s="7">
        <f>VLOOKUP(A44,[2]Sheet1!$A:$I,9,0)</f>
        <v>500</v>
      </c>
      <c r="W44" s="7">
        <f>VLOOKUP(A44,[2]Sheet1!$A:$K,10,0)</f>
        <v>500</v>
      </c>
      <c r="X44" s="7">
        <f>VLOOKUP(A44,[2]Sheet1!$A:$L,11,0)</f>
        <v>300</v>
      </c>
      <c r="Y44" s="7">
        <f>VLOOKUP(A44,[2]Sheet1!$A:$L,12,0)</f>
        <v>300</v>
      </c>
      <c r="Z44" s="7">
        <f>VLOOKUP(A44,[2]Sheet1!$A:$M,13,0)</f>
        <v>200</v>
      </c>
      <c r="AA44" s="1">
        <f t="shared" si="0"/>
        <v>7000</v>
      </c>
      <c r="AB44" s="7">
        <f t="shared" si="3"/>
        <v>583</v>
      </c>
      <c r="AC44" s="13">
        <f t="shared" si="1"/>
        <v>583.33333333333337</v>
      </c>
      <c r="AD44" s="9">
        <f t="shared" si="4"/>
        <v>66430</v>
      </c>
      <c r="AE44" s="9">
        <f t="shared" si="5"/>
        <v>5535.8333333333339</v>
      </c>
      <c r="AF44" s="11">
        <v>3.24</v>
      </c>
      <c r="AG44" s="11">
        <v>9.49</v>
      </c>
      <c r="AH44" s="9">
        <f t="shared" si="6"/>
        <v>-2.9600000000000029E-2</v>
      </c>
      <c r="AI44" s="11">
        <f t="shared" si="7"/>
        <v>-0.10360000000000008</v>
      </c>
      <c r="AJ44" s="14">
        <v>0.5</v>
      </c>
      <c r="AK44" s="14">
        <v>0.5</v>
      </c>
      <c r="AL44" s="11">
        <v>3.24</v>
      </c>
      <c r="AM44" s="9">
        <f t="shared" si="8"/>
        <v>1.4235</v>
      </c>
      <c r="AN44" s="9">
        <f t="shared" si="9"/>
        <v>0.28470000000000001</v>
      </c>
      <c r="AO44" s="9">
        <f t="shared" si="10"/>
        <v>1.8980000000000001</v>
      </c>
      <c r="AP44" s="9">
        <f t="shared" si="11"/>
        <v>0.1898</v>
      </c>
      <c r="AQ44" s="9">
        <f t="shared" si="12"/>
        <v>1.8980000000000001</v>
      </c>
      <c r="AR44" s="9">
        <f t="shared" si="13"/>
        <v>2.3725000000000001</v>
      </c>
      <c r="AS44" s="11">
        <f t="shared" si="14"/>
        <v>-0.29600000000000026</v>
      </c>
      <c r="AT44" s="12">
        <f t="shared" si="15"/>
        <v>-0.61233333333333351</v>
      </c>
    </row>
    <row r="45" spans="1:46" ht="16.5" x14ac:dyDescent="0.4">
      <c r="A45" s="1" t="s">
        <v>243</v>
      </c>
      <c r="B45" s="7" t="s">
        <v>42</v>
      </c>
      <c r="C45" s="7" t="s">
        <v>42</v>
      </c>
      <c r="D45" s="1" t="s">
        <v>244</v>
      </c>
      <c r="E45" s="1" t="s">
        <v>245</v>
      </c>
      <c r="F45" s="1" t="s">
        <v>246</v>
      </c>
      <c r="G45" s="7" t="str">
        <f>VLOOKUP(A45,[1]done!$A:$I,9,0)</f>
        <v>Other crawling insects</v>
      </c>
      <c r="H45" s="7" t="str" cm="1">
        <f t="array" ref="H45">_xlfn.IFS(
OR(ISNUMBER(SEARCH("mouse",E45)),ISNUMBER(SEARCH("rat",E45)),ISNUMBER(SEARCH("mice",E45)),ISNUMBER(SEARCH("rodent",E45))),"Rodent Control",
OR(ISNUMBER(SEARCH("fly",E45)),ISNUMBER(SEARCH("gnat",E45)),ISNUMBER(SEARCH("insect",E45)),ISNUMBER(SEARCH("mosquito",E45))),"Flying Insect Control",
OR(ISNUMBER(SEARCH("roach",E45)),ISNUMBER(SEARCH("ant",E45)),ISNUMBER(SEARCH("spider",E45)),ISNUMBER(SEARCH("cricket",E45)),ISNUMBER(SEARCH("scorpion",E45)),ISNUMBER(SEARCH("centipede",E45)),ISNUMBER(SEARCH("beetle",E45))),"Crawling Insect Control",
OR(ISNUMBER(SEARCH("tree",E45)),ISNUMBER(SEARCH("lantern",E45)),ISNUMBER(SEARCH("garden",E45)),ISNUMBER(SEARCH("plant",E45))),"Garden Pest Control",
OR(ISNUMBER(SEARCH("grass seed",E45)),ISNUMBER(SEARCH("seed mix",E45))),"Grass Seed",
OR(ISNUMBER(SEARCH("lawn food",E45)),ISNUMBER(SEARCH("fertilizer",E45))),"Lawn Fertilizer",
OR(ISNUMBER(SEARCH("patch",E45)),ISNUMBER(SEARCH("repair",E45)),ISNUMBER(SEARCH("thick'r",E45)),ISNUMBER(SEARCH("thick'r lawn",E45)),ISNUMBER(SEARCH("rapid grass",E45))),"Lawn Repair",
OR(ISNUMBER(SEARCH("weed",E45)),ISNUMBER(SEARCH("crabgrass",E45))),"Weed Control",
OR(ISNUMBER(SEARCH("fungicide",E45)),ISNUMBER(SEARCH("moss",E45))),"Disease &amp; Moss Control",
OR(ISNUMBER(SEARCH("plant food",E45)),ISNUMBER(SEARCH("miracid",E45))),"Plant Nutrition",
OR(ISNUMBER(SEARCH("perlite",E45))),"Soil Amendment",
OR(ISNUMBER(SEARCH("spreader",E45)),ISNUMBER(SEARCH("sprayer",E45)),ISNUMBER(SEARCH("mower",E45)),ISNUMBER(SEARCH("sweeper",E45)),ISNUMBER(SEARCH("pruner",E45)),ISNUMBER(SEARCH("trimmer",E45)),ISNUMBER(SEARCH("pole saw",E45))),"Garden Equipment",
TRUE,"Other"
)</f>
        <v>Crawling Insect Control</v>
      </c>
      <c r="I45" s="7" t="str" cm="1">
        <f t="array" ref="I45">_xlfn.IFS(
OR(ISNUMBER(SEARCH("glue trap",E45)),ISNUMBER(SEARCH("glue board",E45))),"Glue Traps",
OR(ISNUMBER(SEARCH("snap trap",E45)),ISNUMBER(SEARCH("power-kill",E45)),ISNUMBER(SEARCH("wide pedal",E45)),ISNUMBER(SEARCH("metal pedal",E45))),"Snap Traps",
OR(ISNUMBER(SEARCH("electronic",E45)),ISNUMBER(SEARCH("zapper",E45))),"Electronic Traps",
OR(ISNUMBER(SEARCH("live catch",E45)),ISNUMBER(SEARCH("multi-catch",E45)),ISNUMBER(SEARCH("catch &amp; hold",E45)),ISNUMBER(SEARCH("tin cat",E45))),"Live Catch Traps",
OR(ISNUMBER(SEARCH("bait",E45)),ISNUMBER(SEARCH("poison",E45))),"Bait &amp; Poison",
ISNUMBER(SEARCH("repellent",E45)),"Repellents",
OR(ISNUMBER(SEARCH("fly trap",E45)),ISNUMBER(SEARCH("fly ribbon",E45)),ISNUMBER(SEARCH("fly stick",E45)),ISNUMBER(SEARCH("window fly",E45)),ISNUMBER(SEARCH("fly magnet",E45))),"Fly Traps",
OR(ISNUMBER(SEARCH("uv",E45)),ISNUMBER(SEARCH("fly light",E45)),ISNUMBER(SEARCH("plug-in",E45))),"UV Fly Traps",
ISNUMBER(SEARCH("roach",E45)),"Roach Traps",
ISNUMBER(SEARCH("ant",E45)),"Ant Traps",
ISNUMBER(SEARCH("spider",E45)),"Spider Traps",
ISNUMBER(SEARCH("mosquito",E45)),"Mosquito Traps",
ISNUMBER(SEARCH("beetle",E45)),"Beetle Traps",
ISNUMBER(SEARCH("lantern",E45)),"Lanternfly Control",
OR(ISNUMBER(SEARCH("tree shield",E45)),ISNUMBER(SEARCH("tree banding",E45)),ISNUMBER(SEARCH("insect barrier",E45))),"Tree Barriers",
OR(ISNUMBER(SEARCH("sun &amp; shade",E45)),ISNUMBER(SEARCH("sun and shade",E45))),"Sun &amp; Shade Mix",
ISNUMBER(SEARCH("tall fescue",E45)),"Tall Fescue",
ISNUMBER(SEARCH("bermudagrass",E45)),"Bermudagrass",
ISNUMBER(SEARCH("kentucky",E45)),"Kentucky Bluegrass",
ISNUMBER(SEARCH("zoysia",E45)),"Zoysia",
ISNUMBER(SEARCH("ryegrass",E45)),"Perennial Ryegrass",
ISNUMBER(SEARCH("centipede",E45)),"Centipede Grass",
ISNUMBER(SEARCH("dense shade",E45)),"Dense Shade Mix",
ISNUMBER(SEARCH("southern gold",E45)),"Southern Gold Mix",
ISNUMBER(SEARCH("heat-tolerant blue",E45)),"Heat-Tolerant Blue Mix",
ISNUMBER(SEARCH("high traffic",E45)),"High Traffic Mix",
ISNUMBER(SEARCH("quick fix",E45)),"Quick Fix Mix",
ISNUMBER(SEARCH("starter",E45)),"Starter Fertilizer",
ISNUMBER(SEARCH("weed &amp; feed",E45)),"Weed &amp; Feed",
ISNUMBER(SEARCH("lawn food",E45)),"Lawn Food",
ISNUMBER(SEARCH("triple action",E45)),"Triple Action Fertilizer",
ISNUMBER(SEARCH("green max",E45)),"Green Max Lawn Food",
ISNUMBER(SEARCH("patchmaster",E45)),"PatchMaster Repair",
ISNUMBER(SEARCH("ez seed",E45)),"EZ Seed Repair",
ISNUMBER(SEARCH("rapid grass",E45)),"Rapid Grass",
ISNUMBER(SEARCH("thick'r lawn",E45)),"Thick'R Lawn",
ISNUMBER(SEARCH("fungicide",E45)),"Fungicide",
ISNUMBER(SEARCH("moss",E45)),"Moss Control",
ISNUMBER(SEARCH("perlite",E45)),"Perlite",
ISNUMBER(SEARCH("plant food",E45)),"Plant Food",
ISNUMBER(SEARCH("spreader",E45)),"Spreader",
ISNUMBER(SEARCH("sprayer",E45)),"Sprayer",
ISNUMBER(SEARCH("mower",E45)),"Lawn Mower",
ISNUMBER(SEARCH("sweeper",E45)),"Lawn Sweeper",
OR(ISNUMBER(SEARCH("pruner",E45)),ISNUMBER(SEARCH("trimmer",E45)),ISNUMBER(SEARCH("pole saw",E45))),"Pruning Tools",
TRUE,"Other"
)</f>
        <v>Bait &amp; Poison</v>
      </c>
      <c r="J45" s="7" t="str">
        <f t="shared" si="2"/>
        <v>Crawling Insect Control - Bait &amp; Poison</v>
      </c>
      <c r="K45" s="1">
        <v>600</v>
      </c>
      <c r="L45" s="1">
        <v>4.0999999999999996</v>
      </c>
      <c r="M45" s="1">
        <v>198</v>
      </c>
      <c r="N45" s="1"/>
      <c r="O45" s="1">
        <f>VLOOKUP(A45,[2]Sheet1!$A:$B,2,0)</f>
        <v>50</v>
      </c>
      <c r="P45" s="1">
        <f>VLOOKUP(A45,[2]Sheet1!$A:$C,3,0)</f>
        <v>200</v>
      </c>
      <c r="Q45" s="7">
        <f>VLOOKUP(A45,[2]Sheet1!$A:$D,4,0)</f>
        <v>300</v>
      </c>
      <c r="R45" s="7">
        <f>VLOOKUP(A45,[2]Sheet1!$A:$E,5,0)</f>
        <v>700</v>
      </c>
      <c r="S45" s="7">
        <f>VLOOKUP(A45,[2]Sheet1!$A:$F,6,0)</f>
        <v>500</v>
      </c>
      <c r="T45" s="7">
        <f>VLOOKUP(A45,[2]Sheet1!$A:$G,7,0)</f>
        <v>700</v>
      </c>
      <c r="U45" s="7">
        <f>VLOOKUP(A45,[2]Sheet1!$A:$H,8,0)</f>
        <v>600</v>
      </c>
      <c r="V45" s="7">
        <f>VLOOKUP(A45,[2]Sheet1!$A:$I,9,0)</f>
        <v>500</v>
      </c>
      <c r="W45" s="7">
        <f>VLOOKUP(A45,[2]Sheet1!$A:$K,10,0)</f>
        <v>500</v>
      </c>
      <c r="X45" s="7">
        <f>VLOOKUP(A45,[2]Sheet1!$A:$L,11,0)</f>
        <v>200</v>
      </c>
      <c r="Y45" s="7">
        <f>VLOOKUP(A45,[2]Sheet1!$A:$L,12,0)</f>
        <v>100</v>
      </c>
      <c r="Z45" s="7">
        <f>VLOOKUP(A45,[2]Sheet1!$A:$M,13,0)</f>
        <v>100</v>
      </c>
      <c r="AA45" s="1">
        <f t="shared" si="0"/>
        <v>4450</v>
      </c>
      <c r="AB45" s="7">
        <f t="shared" si="3"/>
        <v>371</v>
      </c>
      <c r="AC45" s="13">
        <f t="shared" si="1"/>
        <v>370.83333333333331</v>
      </c>
      <c r="AD45" s="9">
        <f t="shared" si="4"/>
        <v>62255.5</v>
      </c>
      <c r="AE45" s="9">
        <f t="shared" si="5"/>
        <v>5187.958333333333</v>
      </c>
      <c r="AF45" s="11">
        <v>4.09</v>
      </c>
      <c r="AG45" s="11">
        <v>13.99</v>
      </c>
      <c r="AH45" s="9">
        <f t="shared" si="6"/>
        <v>3.3733333333333351E-2</v>
      </c>
      <c r="AI45" s="11">
        <f t="shared" si="7"/>
        <v>0.11806666666666671</v>
      </c>
      <c r="AJ45" s="14">
        <v>0.5</v>
      </c>
      <c r="AK45" s="14">
        <v>0.5</v>
      </c>
      <c r="AL45" s="11">
        <v>4.09</v>
      </c>
      <c r="AM45" s="9">
        <f t="shared" si="8"/>
        <v>2.0985</v>
      </c>
      <c r="AN45" s="9">
        <f t="shared" si="9"/>
        <v>0.41970000000000002</v>
      </c>
      <c r="AO45" s="9">
        <f t="shared" si="10"/>
        <v>2.798</v>
      </c>
      <c r="AP45" s="9">
        <f t="shared" si="11"/>
        <v>0.27979999999999999</v>
      </c>
      <c r="AQ45" s="9">
        <f t="shared" si="12"/>
        <v>2.798</v>
      </c>
      <c r="AR45" s="9">
        <f t="shared" si="13"/>
        <v>3.4975000000000001</v>
      </c>
      <c r="AS45" s="11">
        <f t="shared" si="14"/>
        <v>0.33733333333333348</v>
      </c>
      <c r="AT45" s="12">
        <f t="shared" si="15"/>
        <v>-0.12899999999999986</v>
      </c>
    </row>
    <row r="46" spans="1:46" ht="16.5" x14ac:dyDescent="0.4">
      <c r="A46" s="1" t="s">
        <v>247</v>
      </c>
      <c r="B46" s="7" t="s">
        <v>42</v>
      </c>
      <c r="C46" s="7" t="s">
        <v>42</v>
      </c>
      <c r="D46" s="1" t="s">
        <v>248</v>
      </c>
      <c r="E46" s="1" t="s">
        <v>249</v>
      </c>
      <c r="F46" s="1" t="s">
        <v>250</v>
      </c>
      <c r="G46" s="7" t="str">
        <f>VLOOKUP(A46,[1]done!$A:$I,9,0)</f>
        <v>Other crawling insects</v>
      </c>
      <c r="H46" s="7" t="str" cm="1">
        <f t="array" ref="H46">_xlfn.IFS(
OR(ISNUMBER(SEARCH("mouse",E46)),ISNUMBER(SEARCH("rat",E46)),ISNUMBER(SEARCH("mice",E46)),ISNUMBER(SEARCH("rodent",E46))),"Rodent Control",
OR(ISNUMBER(SEARCH("fly",E46)),ISNUMBER(SEARCH("gnat",E46)),ISNUMBER(SEARCH("insect",E46)),ISNUMBER(SEARCH("mosquito",E46))),"Flying Insect Control",
OR(ISNUMBER(SEARCH("roach",E46)),ISNUMBER(SEARCH("ant",E46)),ISNUMBER(SEARCH("spider",E46)),ISNUMBER(SEARCH("cricket",E46)),ISNUMBER(SEARCH("scorpion",E46)),ISNUMBER(SEARCH("centipede",E46)),ISNUMBER(SEARCH("beetle",E46))),"Crawling Insect Control",
OR(ISNUMBER(SEARCH("tree",E46)),ISNUMBER(SEARCH("lantern",E46)),ISNUMBER(SEARCH("garden",E46)),ISNUMBER(SEARCH("plant",E46))),"Garden Pest Control",
OR(ISNUMBER(SEARCH("grass seed",E46)),ISNUMBER(SEARCH("seed mix",E46))),"Grass Seed",
OR(ISNUMBER(SEARCH("lawn food",E46)),ISNUMBER(SEARCH("fertilizer",E46))),"Lawn Fertilizer",
OR(ISNUMBER(SEARCH("patch",E46)),ISNUMBER(SEARCH("repair",E46)),ISNUMBER(SEARCH("thick'r",E46)),ISNUMBER(SEARCH("thick'r lawn",E46)),ISNUMBER(SEARCH("rapid grass",E46))),"Lawn Repair",
OR(ISNUMBER(SEARCH("weed",E46)),ISNUMBER(SEARCH("crabgrass",E46))),"Weed Control",
OR(ISNUMBER(SEARCH("fungicide",E46)),ISNUMBER(SEARCH("moss",E46))),"Disease &amp; Moss Control",
OR(ISNUMBER(SEARCH("plant food",E46)),ISNUMBER(SEARCH("miracid",E46))),"Plant Nutrition",
OR(ISNUMBER(SEARCH("perlite",E46))),"Soil Amendment",
OR(ISNUMBER(SEARCH("spreader",E46)),ISNUMBER(SEARCH("sprayer",E46)),ISNUMBER(SEARCH("mower",E46)),ISNUMBER(SEARCH("sweeper",E46)),ISNUMBER(SEARCH("pruner",E46)),ISNUMBER(SEARCH("trimmer",E46)),ISNUMBER(SEARCH("pole saw",E46))),"Garden Equipment",
TRUE,"Other"
)</f>
        <v>Flying Insect Control</v>
      </c>
      <c r="I46" s="7" t="str" cm="1">
        <f t="array" ref="I46">_xlfn.IFS(
OR(ISNUMBER(SEARCH("glue trap",E46)),ISNUMBER(SEARCH("glue board",E46))),"Glue Traps",
OR(ISNUMBER(SEARCH("snap trap",E46)),ISNUMBER(SEARCH("power-kill",E46)),ISNUMBER(SEARCH("wide pedal",E46)),ISNUMBER(SEARCH("metal pedal",E46))),"Snap Traps",
OR(ISNUMBER(SEARCH("electronic",E46)),ISNUMBER(SEARCH("zapper",E46))),"Electronic Traps",
OR(ISNUMBER(SEARCH("live catch",E46)),ISNUMBER(SEARCH("multi-catch",E46)),ISNUMBER(SEARCH("catch &amp; hold",E46)),ISNUMBER(SEARCH("tin cat",E46))),"Live Catch Traps",
OR(ISNUMBER(SEARCH("bait",E46)),ISNUMBER(SEARCH("poison",E46))),"Bait &amp; Poison",
ISNUMBER(SEARCH("repellent",E46)),"Repellents",
OR(ISNUMBER(SEARCH("fly trap",E46)),ISNUMBER(SEARCH("fly ribbon",E46)),ISNUMBER(SEARCH("fly stick",E46)),ISNUMBER(SEARCH("window fly",E46)),ISNUMBER(SEARCH("fly magnet",E46))),"Fly Traps",
OR(ISNUMBER(SEARCH("uv",E46)),ISNUMBER(SEARCH("fly light",E46)),ISNUMBER(SEARCH("plug-in",E46))),"UV Fly Traps",
ISNUMBER(SEARCH("roach",E46)),"Roach Traps",
ISNUMBER(SEARCH("ant",E46)),"Ant Traps",
ISNUMBER(SEARCH("spider",E46)),"Spider Traps",
ISNUMBER(SEARCH("mosquito",E46)),"Mosquito Traps",
ISNUMBER(SEARCH("beetle",E46)),"Beetle Traps",
ISNUMBER(SEARCH("lantern",E46)),"Lanternfly Control",
OR(ISNUMBER(SEARCH("tree shield",E46)),ISNUMBER(SEARCH("tree banding",E46)),ISNUMBER(SEARCH("insect barrier",E46))),"Tree Barriers",
OR(ISNUMBER(SEARCH("sun &amp; shade",E46)),ISNUMBER(SEARCH("sun and shade",E46))),"Sun &amp; Shade Mix",
ISNUMBER(SEARCH("tall fescue",E46)),"Tall Fescue",
ISNUMBER(SEARCH("bermudagrass",E46)),"Bermudagrass",
ISNUMBER(SEARCH("kentucky",E46)),"Kentucky Bluegrass",
ISNUMBER(SEARCH("zoysia",E46)),"Zoysia",
ISNUMBER(SEARCH("ryegrass",E46)),"Perennial Ryegrass",
ISNUMBER(SEARCH("centipede",E46)),"Centipede Grass",
ISNUMBER(SEARCH("dense shade",E46)),"Dense Shade Mix",
ISNUMBER(SEARCH("southern gold",E46)),"Southern Gold Mix",
ISNUMBER(SEARCH("heat-tolerant blue",E46)),"Heat-Tolerant Blue Mix",
ISNUMBER(SEARCH("high traffic",E46)),"High Traffic Mix",
ISNUMBER(SEARCH("quick fix",E46)),"Quick Fix Mix",
ISNUMBER(SEARCH("starter",E46)),"Starter Fertilizer",
ISNUMBER(SEARCH("weed &amp; feed",E46)),"Weed &amp; Feed",
ISNUMBER(SEARCH("lawn food",E46)),"Lawn Food",
ISNUMBER(SEARCH("triple action",E46)),"Triple Action Fertilizer",
ISNUMBER(SEARCH("green max",E46)),"Green Max Lawn Food",
ISNUMBER(SEARCH("patchmaster",E46)),"PatchMaster Repair",
ISNUMBER(SEARCH("ez seed",E46)),"EZ Seed Repair",
ISNUMBER(SEARCH("rapid grass",E46)),"Rapid Grass",
ISNUMBER(SEARCH("thick'r lawn",E46)),"Thick'R Lawn",
ISNUMBER(SEARCH("fungicide",E46)),"Fungicide",
ISNUMBER(SEARCH("moss",E46)),"Moss Control",
ISNUMBER(SEARCH("perlite",E46)),"Perlite",
ISNUMBER(SEARCH("plant food",E46)),"Plant Food",
ISNUMBER(SEARCH("spreader",E46)),"Spreader",
ISNUMBER(SEARCH("sprayer",E46)),"Sprayer",
ISNUMBER(SEARCH("mower",E46)),"Lawn Mower",
ISNUMBER(SEARCH("sweeper",E46)),"Lawn Sweeper",
OR(ISNUMBER(SEARCH("pruner",E46)),ISNUMBER(SEARCH("trimmer",E46)),ISNUMBER(SEARCH("pole saw",E46))),"Pruning Tools",
TRUE,"Other"
)</f>
        <v>Glue Traps</v>
      </c>
      <c r="J46" s="7" t="str">
        <f t="shared" si="2"/>
        <v>Flying Insect Control - Glue Traps</v>
      </c>
      <c r="K46" s="1">
        <v>700</v>
      </c>
      <c r="L46" s="1">
        <v>4.5</v>
      </c>
      <c r="M46" s="1">
        <v>123</v>
      </c>
      <c r="N46" s="1" t="s">
        <v>251</v>
      </c>
      <c r="O46" s="1">
        <f>VLOOKUP(A46,[2]Sheet1!$A:$B,2,0)</f>
        <v>50</v>
      </c>
      <c r="P46" s="1">
        <f>VLOOKUP(A46,[2]Sheet1!$A:$C,3,0)</f>
        <v>50</v>
      </c>
      <c r="Q46" s="7">
        <f>VLOOKUP(A46,[2]Sheet1!$A:$D,4,0)</f>
        <v>100</v>
      </c>
      <c r="R46" s="7">
        <f>VLOOKUP(A46,[2]Sheet1!$A:$E,5,0)</f>
        <v>100</v>
      </c>
      <c r="S46" s="7">
        <f>VLOOKUP(A46,[2]Sheet1!$A:$F,6,0)</f>
        <v>200</v>
      </c>
      <c r="T46" s="7">
        <f>VLOOKUP(A46,[2]Sheet1!$A:$G,7,0)</f>
        <v>300</v>
      </c>
      <c r="U46" s="7">
        <f>VLOOKUP(A46,[2]Sheet1!$A:$H,8,0)</f>
        <v>400</v>
      </c>
      <c r="V46" s="7">
        <f>VLOOKUP(A46,[2]Sheet1!$A:$I,9,0)</f>
        <v>500</v>
      </c>
      <c r="W46" s="7">
        <f>VLOOKUP(A46,[2]Sheet1!$A:$K,10,0)</f>
        <v>600</v>
      </c>
      <c r="X46" s="7">
        <f>VLOOKUP(A46,[2]Sheet1!$A:$L,11,0)</f>
        <v>600</v>
      </c>
      <c r="Y46" s="7">
        <f>VLOOKUP(A46,[2]Sheet1!$A:$L,12,0)</f>
        <v>200</v>
      </c>
      <c r="Z46" s="7">
        <f>VLOOKUP(A46,[2]Sheet1!$A:$M,13,0)</f>
        <v>100</v>
      </c>
      <c r="AA46" s="1">
        <f t="shared" si="0"/>
        <v>3200</v>
      </c>
      <c r="AB46" s="7">
        <f t="shared" si="3"/>
        <v>267</v>
      </c>
      <c r="AC46" s="13">
        <f t="shared" si="1"/>
        <v>266.66666666666669</v>
      </c>
      <c r="AD46" s="9">
        <f t="shared" si="4"/>
        <v>79968</v>
      </c>
      <c r="AE46" s="9">
        <f t="shared" si="5"/>
        <v>6664</v>
      </c>
      <c r="AF46" s="11">
        <v>5.61</v>
      </c>
      <c r="AG46" s="11">
        <v>24.99</v>
      </c>
      <c r="AH46" s="9">
        <f t="shared" si="6"/>
        <v>0.22573333333333312</v>
      </c>
      <c r="AI46" s="11">
        <f t="shared" si="7"/>
        <v>0.79006666666666592</v>
      </c>
      <c r="AJ46" s="14">
        <v>0.5</v>
      </c>
      <c r="AK46" s="14">
        <v>0.5</v>
      </c>
      <c r="AL46" s="11">
        <v>5.61</v>
      </c>
      <c r="AM46" s="9">
        <f t="shared" si="8"/>
        <v>3.7484999999999995</v>
      </c>
      <c r="AN46" s="9">
        <f t="shared" si="9"/>
        <v>0.74969999999999992</v>
      </c>
      <c r="AO46" s="9">
        <f t="shared" si="10"/>
        <v>4.9980000000000002</v>
      </c>
      <c r="AP46" s="9">
        <f t="shared" si="11"/>
        <v>0.49979999999999997</v>
      </c>
      <c r="AQ46" s="9">
        <f t="shared" si="12"/>
        <v>4.9980000000000002</v>
      </c>
      <c r="AR46" s="9">
        <f t="shared" si="13"/>
        <v>6.2474999999999996</v>
      </c>
      <c r="AS46" s="11">
        <f t="shared" si="14"/>
        <v>2.2573333333333312</v>
      </c>
      <c r="AT46" s="12">
        <f t="shared" si="15"/>
        <v>1.4243333333333315</v>
      </c>
    </row>
    <row r="47" spans="1:46" ht="16.5" x14ac:dyDescent="0.4">
      <c r="A47" s="1" t="s">
        <v>252</v>
      </c>
      <c r="B47" s="7" t="s">
        <v>42</v>
      </c>
      <c r="C47" s="7" t="s">
        <v>42</v>
      </c>
      <c r="D47" s="1" t="s">
        <v>253</v>
      </c>
      <c r="E47" s="1" t="s">
        <v>254</v>
      </c>
      <c r="F47" s="1" t="s">
        <v>255</v>
      </c>
      <c r="G47" s="7" t="str">
        <f>VLOOKUP(A47,[1]done!$A:$I,9,0)</f>
        <v>Mosquito/Fly</v>
      </c>
      <c r="H47" s="7" t="str" cm="1">
        <f t="array" ref="H47">_xlfn.IFS(
OR(ISNUMBER(SEARCH("mouse",E47)),ISNUMBER(SEARCH("rat",E47)),ISNUMBER(SEARCH("mice",E47)),ISNUMBER(SEARCH("rodent",E47))),"Rodent Control",
OR(ISNUMBER(SEARCH("fly",E47)),ISNUMBER(SEARCH("gnat",E47)),ISNUMBER(SEARCH("insect",E47)),ISNUMBER(SEARCH("mosquito",E47))),"Flying Insect Control",
OR(ISNUMBER(SEARCH("roach",E47)),ISNUMBER(SEARCH("ant",E47)),ISNUMBER(SEARCH("spider",E47)),ISNUMBER(SEARCH("cricket",E47)),ISNUMBER(SEARCH("scorpion",E47)),ISNUMBER(SEARCH("centipede",E47)),ISNUMBER(SEARCH("beetle",E47))),"Crawling Insect Control",
OR(ISNUMBER(SEARCH("tree",E47)),ISNUMBER(SEARCH("lantern",E47)),ISNUMBER(SEARCH("garden",E47)),ISNUMBER(SEARCH("plant",E47))),"Garden Pest Control",
OR(ISNUMBER(SEARCH("grass seed",E47)),ISNUMBER(SEARCH("seed mix",E47))),"Grass Seed",
OR(ISNUMBER(SEARCH("lawn food",E47)),ISNUMBER(SEARCH("fertilizer",E47))),"Lawn Fertilizer",
OR(ISNUMBER(SEARCH("patch",E47)),ISNUMBER(SEARCH("repair",E47)),ISNUMBER(SEARCH("thick'r",E47)),ISNUMBER(SEARCH("thick'r lawn",E47)),ISNUMBER(SEARCH("rapid grass",E47))),"Lawn Repair",
OR(ISNUMBER(SEARCH("weed",E47)),ISNUMBER(SEARCH("crabgrass",E47))),"Weed Control",
OR(ISNUMBER(SEARCH("fungicide",E47)),ISNUMBER(SEARCH("moss",E47))),"Disease &amp; Moss Control",
OR(ISNUMBER(SEARCH("plant food",E47)),ISNUMBER(SEARCH("miracid",E47))),"Plant Nutrition",
OR(ISNUMBER(SEARCH("perlite",E47))),"Soil Amendment",
OR(ISNUMBER(SEARCH("spreader",E47)),ISNUMBER(SEARCH("sprayer",E47)),ISNUMBER(SEARCH("mower",E47)),ISNUMBER(SEARCH("sweeper",E47)),ISNUMBER(SEARCH("pruner",E47)),ISNUMBER(SEARCH("trimmer",E47)),ISNUMBER(SEARCH("pole saw",E47))),"Garden Equipment",
TRUE,"Other"
)</f>
        <v>Flying Insect Control</v>
      </c>
      <c r="I47" s="7" t="str" cm="1">
        <f t="array" ref="I47">_xlfn.IFS(
OR(ISNUMBER(SEARCH("glue trap",E47)),ISNUMBER(SEARCH("glue board",E47))),"Glue Traps",
OR(ISNUMBER(SEARCH("snap trap",E47)),ISNUMBER(SEARCH("power-kill",E47)),ISNUMBER(SEARCH("wide pedal",E47)),ISNUMBER(SEARCH("metal pedal",E47))),"Snap Traps",
OR(ISNUMBER(SEARCH("electronic",E47)),ISNUMBER(SEARCH("zapper",E47))),"Electronic Traps",
OR(ISNUMBER(SEARCH("live catch",E47)),ISNUMBER(SEARCH("multi-catch",E47)),ISNUMBER(SEARCH("catch &amp; hold",E47)),ISNUMBER(SEARCH("tin cat",E47))),"Live Catch Traps",
OR(ISNUMBER(SEARCH("bait",E47)),ISNUMBER(SEARCH("poison",E47))),"Bait &amp; Poison",
ISNUMBER(SEARCH("repellent",E47)),"Repellents",
OR(ISNUMBER(SEARCH("fly trap",E47)),ISNUMBER(SEARCH("fly ribbon",E47)),ISNUMBER(SEARCH("fly stick",E47)),ISNUMBER(SEARCH("window fly",E47)),ISNUMBER(SEARCH("fly magnet",E47))),"Fly Traps",
OR(ISNUMBER(SEARCH("uv",E47)),ISNUMBER(SEARCH("fly light",E47)),ISNUMBER(SEARCH("plug-in",E47))),"UV Fly Traps",
ISNUMBER(SEARCH("roach",E47)),"Roach Traps",
ISNUMBER(SEARCH("ant",E47)),"Ant Traps",
ISNUMBER(SEARCH("spider",E47)),"Spider Traps",
ISNUMBER(SEARCH("mosquito",E47)),"Mosquito Traps",
ISNUMBER(SEARCH("beetle",E47)),"Beetle Traps",
ISNUMBER(SEARCH("lantern",E47)),"Lanternfly Control",
OR(ISNUMBER(SEARCH("tree shield",E47)),ISNUMBER(SEARCH("tree banding",E47)),ISNUMBER(SEARCH("insect barrier",E47))),"Tree Barriers",
OR(ISNUMBER(SEARCH("sun &amp; shade",E47)),ISNUMBER(SEARCH("sun and shade",E47))),"Sun &amp; Shade Mix",
ISNUMBER(SEARCH("tall fescue",E47)),"Tall Fescue",
ISNUMBER(SEARCH("bermudagrass",E47)),"Bermudagrass",
ISNUMBER(SEARCH("kentucky",E47)),"Kentucky Bluegrass",
ISNUMBER(SEARCH("zoysia",E47)),"Zoysia",
ISNUMBER(SEARCH("ryegrass",E47)),"Perennial Ryegrass",
ISNUMBER(SEARCH("centipede",E47)),"Centipede Grass",
ISNUMBER(SEARCH("dense shade",E47)),"Dense Shade Mix",
ISNUMBER(SEARCH("southern gold",E47)),"Southern Gold Mix",
ISNUMBER(SEARCH("heat-tolerant blue",E47)),"Heat-Tolerant Blue Mix",
ISNUMBER(SEARCH("high traffic",E47)),"High Traffic Mix",
ISNUMBER(SEARCH("quick fix",E47)),"Quick Fix Mix",
ISNUMBER(SEARCH("starter",E47)),"Starter Fertilizer",
ISNUMBER(SEARCH("weed &amp; feed",E47)),"Weed &amp; Feed",
ISNUMBER(SEARCH("lawn food",E47)),"Lawn Food",
ISNUMBER(SEARCH("triple action",E47)),"Triple Action Fertilizer",
ISNUMBER(SEARCH("green max",E47)),"Green Max Lawn Food",
ISNUMBER(SEARCH("patchmaster",E47)),"PatchMaster Repair",
ISNUMBER(SEARCH("ez seed",E47)),"EZ Seed Repair",
ISNUMBER(SEARCH("rapid grass",E47)),"Rapid Grass",
ISNUMBER(SEARCH("thick'r lawn",E47)),"Thick'R Lawn",
ISNUMBER(SEARCH("fungicide",E47)),"Fungicide",
ISNUMBER(SEARCH("moss",E47)),"Moss Control",
ISNUMBER(SEARCH("perlite",E47)),"Perlite",
ISNUMBER(SEARCH("plant food",E47)),"Plant Food",
ISNUMBER(SEARCH("spreader",E47)),"Spreader",
ISNUMBER(SEARCH("sprayer",E47)),"Sprayer",
ISNUMBER(SEARCH("mower",E47)),"Lawn Mower",
ISNUMBER(SEARCH("sweeper",E47)),"Lawn Sweeper",
OR(ISNUMBER(SEARCH("pruner",E47)),ISNUMBER(SEARCH("trimmer",E47)),ISNUMBER(SEARCH("pole saw",E47))),"Pruning Tools",
TRUE,"Other"
)</f>
        <v>Glue Traps</v>
      </c>
      <c r="J47" s="7" t="str">
        <f t="shared" si="2"/>
        <v>Flying Insect Control - Glue Traps</v>
      </c>
      <c r="K47" s="1">
        <v>500</v>
      </c>
      <c r="L47" s="1">
        <v>4.7</v>
      </c>
      <c r="M47" s="1">
        <v>669</v>
      </c>
      <c r="N47" s="1" t="s">
        <v>256</v>
      </c>
      <c r="O47" s="1">
        <f>VLOOKUP(A47,[2]Sheet1!$A:$B,2,0)</f>
        <v>50</v>
      </c>
      <c r="P47" s="1">
        <f>VLOOKUP(A47,[2]Sheet1!$A:$C,3,0)</f>
        <v>50</v>
      </c>
      <c r="Q47" s="7">
        <f>VLOOKUP(A47,[2]Sheet1!$A:$D,4,0)</f>
        <v>100</v>
      </c>
      <c r="R47" s="7">
        <f>VLOOKUP(A47,[2]Sheet1!$A:$E,5,0)</f>
        <v>200</v>
      </c>
      <c r="S47" s="7">
        <f>VLOOKUP(A47,[2]Sheet1!$A:$F,6,0)</f>
        <v>200</v>
      </c>
      <c r="T47" s="7">
        <f>VLOOKUP(A47,[2]Sheet1!$A:$G,7,0)</f>
        <v>300</v>
      </c>
      <c r="U47" s="7">
        <f>VLOOKUP(A47,[2]Sheet1!$A:$H,8,0)</f>
        <v>300</v>
      </c>
      <c r="V47" s="7">
        <f>VLOOKUP(A47,[2]Sheet1!$A:$I,9,0)</f>
        <v>600</v>
      </c>
      <c r="W47" s="7">
        <f>VLOOKUP(A47,[2]Sheet1!$A:$K,10,0)</f>
        <v>500</v>
      </c>
      <c r="X47" s="7">
        <f>VLOOKUP(A47,[2]Sheet1!$A:$L,11,0)</f>
        <v>200</v>
      </c>
      <c r="Y47" s="7">
        <f>VLOOKUP(A47,[2]Sheet1!$A:$L,12,0)</f>
        <v>200</v>
      </c>
      <c r="Z47" s="7">
        <f>VLOOKUP(A47,[2]Sheet1!$A:$M,13,0)</f>
        <v>50</v>
      </c>
      <c r="AA47" s="1">
        <f t="shared" si="0"/>
        <v>2750</v>
      </c>
      <c r="AB47" s="7">
        <f t="shared" si="3"/>
        <v>229</v>
      </c>
      <c r="AC47" s="13">
        <f t="shared" si="1"/>
        <v>229.16666666666666</v>
      </c>
      <c r="AD47" s="9">
        <f t="shared" si="4"/>
        <v>109972.5</v>
      </c>
      <c r="AE47" s="9">
        <f t="shared" si="5"/>
        <v>9164.375</v>
      </c>
      <c r="AF47" s="11">
        <v>4.76</v>
      </c>
      <c r="AG47" s="11">
        <v>39.99</v>
      </c>
      <c r="AH47" s="9">
        <f t="shared" si="6"/>
        <v>0.68240000000000012</v>
      </c>
      <c r="AI47" s="11">
        <f t="shared" si="7"/>
        <v>2.3884000000000003</v>
      </c>
      <c r="AJ47" s="14">
        <v>0.5</v>
      </c>
      <c r="AK47" s="14">
        <v>0.5</v>
      </c>
      <c r="AL47" s="11">
        <v>4.76</v>
      </c>
      <c r="AM47" s="9">
        <f t="shared" si="8"/>
        <v>5.9984999999999999</v>
      </c>
      <c r="AN47" s="9">
        <f t="shared" si="9"/>
        <v>1.1997</v>
      </c>
      <c r="AO47" s="9">
        <f t="shared" si="10"/>
        <v>7.9980000000000011</v>
      </c>
      <c r="AP47" s="9">
        <f t="shared" si="11"/>
        <v>0.79980000000000007</v>
      </c>
      <c r="AQ47" s="9">
        <f t="shared" si="12"/>
        <v>7.9980000000000011</v>
      </c>
      <c r="AR47" s="9">
        <f t="shared" si="13"/>
        <v>9.9975000000000005</v>
      </c>
      <c r="AS47" s="11">
        <f t="shared" si="14"/>
        <v>6.8240000000000007</v>
      </c>
      <c r="AT47" s="12">
        <f t="shared" si="15"/>
        <v>5.4910000000000005</v>
      </c>
    </row>
    <row r="48" spans="1:46" ht="16.5" x14ac:dyDescent="0.4">
      <c r="A48" s="1" t="s">
        <v>257</v>
      </c>
      <c r="B48" s="7" t="s">
        <v>42</v>
      </c>
      <c r="C48" s="7" t="s">
        <v>42</v>
      </c>
      <c r="D48" s="1" t="s">
        <v>258</v>
      </c>
      <c r="E48" s="1" t="s">
        <v>259</v>
      </c>
      <c r="F48" s="1" t="s">
        <v>260</v>
      </c>
      <c r="G48" s="7" t="str">
        <f>VLOOKUP(A48,[1]done!$A:$I,9,0)</f>
        <v>Mosquito/Fly</v>
      </c>
      <c r="H48" s="7" t="str" cm="1">
        <f t="array" ref="H48">_xlfn.IFS(
OR(ISNUMBER(SEARCH("mouse",E48)),ISNUMBER(SEARCH("rat",E48)),ISNUMBER(SEARCH("mice",E48)),ISNUMBER(SEARCH("rodent",E48))),"Rodent Control",
OR(ISNUMBER(SEARCH("fly",E48)),ISNUMBER(SEARCH("gnat",E48)),ISNUMBER(SEARCH("insect",E48)),ISNUMBER(SEARCH("mosquito",E48))),"Flying Insect Control",
OR(ISNUMBER(SEARCH("roach",E48)),ISNUMBER(SEARCH("ant",E48)),ISNUMBER(SEARCH("spider",E48)),ISNUMBER(SEARCH("cricket",E48)),ISNUMBER(SEARCH("scorpion",E48)),ISNUMBER(SEARCH("centipede",E48)),ISNUMBER(SEARCH("beetle",E48))),"Crawling Insect Control",
OR(ISNUMBER(SEARCH("tree",E48)),ISNUMBER(SEARCH("lantern",E48)),ISNUMBER(SEARCH("garden",E48)),ISNUMBER(SEARCH("plant",E48))),"Garden Pest Control",
OR(ISNUMBER(SEARCH("grass seed",E48)),ISNUMBER(SEARCH("seed mix",E48))),"Grass Seed",
OR(ISNUMBER(SEARCH("lawn food",E48)),ISNUMBER(SEARCH("fertilizer",E48))),"Lawn Fertilizer",
OR(ISNUMBER(SEARCH("patch",E48)),ISNUMBER(SEARCH("repair",E48)),ISNUMBER(SEARCH("thick'r",E48)),ISNUMBER(SEARCH("thick'r lawn",E48)),ISNUMBER(SEARCH("rapid grass",E48))),"Lawn Repair",
OR(ISNUMBER(SEARCH("weed",E48)),ISNUMBER(SEARCH("crabgrass",E48))),"Weed Control",
OR(ISNUMBER(SEARCH("fungicide",E48)),ISNUMBER(SEARCH("moss",E48))),"Disease &amp; Moss Control",
OR(ISNUMBER(SEARCH("plant food",E48)),ISNUMBER(SEARCH("miracid",E48))),"Plant Nutrition",
OR(ISNUMBER(SEARCH("perlite",E48))),"Soil Amendment",
OR(ISNUMBER(SEARCH("spreader",E48)),ISNUMBER(SEARCH("sprayer",E48)),ISNUMBER(SEARCH("mower",E48)),ISNUMBER(SEARCH("sweeper",E48)),ISNUMBER(SEARCH("pruner",E48)),ISNUMBER(SEARCH("trimmer",E48)),ISNUMBER(SEARCH("pole saw",E48))),"Garden Equipment",
TRUE,"Other"
)</f>
        <v>Flying Insect Control</v>
      </c>
      <c r="I48" s="7" t="str" cm="1">
        <f t="array" ref="I48">_xlfn.IFS(
OR(ISNUMBER(SEARCH("glue trap",E48)),ISNUMBER(SEARCH("glue board",E48))),"Glue Traps",
OR(ISNUMBER(SEARCH("snap trap",E48)),ISNUMBER(SEARCH("power-kill",E48)),ISNUMBER(SEARCH("wide pedal",E48)),ISNUMBER(SEARCH("metal pedal",E48))),"Snap Traps",
OR(ISNUMBER(SEARCH("electronic",E48)),ISNUMBER(SEARCH("zapper",E48))),"Electronic Traps",
OR(ISNUMBER(SEARCH("live catch",E48)),ISNUMBER(SEARCH("multi-catch",E48)),ISNUMBER(SEARCH("catch &amp; hold",E48)),ISNUMBER(SEARCH("tin cat",E48))),"Live Catch Traps",
OR(ISNUMBER(SEARCH("bait",E48)),ISNUMBER(SEARCH("poison",E48))),"Bait &amp; Poison",
ISNUMBER(SEARCH("repellent",E48)),"Repellents",
OR(ISNUMBER(SEARCH("fly trap",E48)),ISNUMBER(SEARCH("fly ribbon",E48)),ISNUMBER(SEARCH("fly stick",E48)),ISNUMBER(SEARCH("window fly",E48)),ISNUMBER(SEARCH("fly magnet",E48))),"Fly Traps",
OR(ISNUMBER(SEARCH("uv",E48)),ISNUMBER(SEARCH("fly light",E48)),ISNUMBER(SEARCH("plug-in",E48))),"UV Fly Traps",
ISNUMBER(SEARCH("roach",E48)),"Roach Traps",
ISNUMBER(SEARCH("ant",E48)),"Ant Traps",
ISNUMBER(SEARCH("spider",E48)),"Spider Traps",
ISNUMBER(SEARCH("mosquito",E48)),"Mosquito Traps",
ISNUMBER(SEARCH("beetle",E48)),"Beetle Traps",
ISNUMBER(SEARCH("lantern",E48)),"Lanternfly Control",
OR(ISNUMBER(SEARCH("tree shield",E48)),ISNUMBER(SEARCH("tree banding",E48)),ISNUMBER(SEARCH("insect barrier",E48))),"Tree Barriers",
OR(ISNUMBER(SEARCH("sun &amp; shade",E48)),ISNUMBER(SEARCH("sun and shade",E48))),"Sun &amp; Shade Mix",
ISNUMBER(SEARCH("tall fescue",E48)),"Tall Fescue",
ISNUMBER(SEARCH("bermudagrass",E48)),"Bermudagrass",
ISNUMBER(SEARCH("kentucky",E48)),"Kentucky Bluegrass",
ISNUMBER(SEARCH("zoysia",E48)),"Zoysia",
ISNUMBER(SEARCH("ryegrass",E48)),"Perennial Ryegrass",
ISNUMBER(SEARCH("centipede",E48)),"Centipede Grass",
ISNUMBER(SEARCH("dense shade",E48)),"Dense Shade Mix",
ISNUMBER(SEARCH("southern gold",E48)),"Southern Gold Mix",
ISNUMBER(SEARCH("heat-tolerant blue",E48)),"Heat-Tolerant Blue Mix",
ISNUMBER(SEARCH("high traffic",E48)),"High Traffic Mix",
ISNUMBER(SEARCH("quick fix",E48)),"Quick Fix Mix",
ISNUMBER(SEARCH("starter",E48)),"Starter Fertilizer",
ISNUMBER(SEARCH("weed &amp; feed",E48)),"Weed &amp; Feed",
ISNUMBER(SEARCH("lawn food",E48)),"Lawn Food",
ISNUMBER(SEARCH("triple action",E48)),"Triple Action Fertilizer",
ISNUMBER(SEARCH("green max",E48)),"Green Max Lawn Food",
ISNUMBER(SEARCH("patchmaster",E48)),"PatchMaster Repair",
ISNUMBER(SEARCH("ez seed",E48)),"EZ Seed Repair",
ISNUMBER(SEARCH("rapid grass",E48)),"Rapid Grass",
ISNUMBER(SEARCH("thick'r lawn",E48)),"Thick'R Lawn",
ISNUMBER(SEARCH("fungicide",E48)),"Fungicide",
ISNUMBER(SEARCH("moss",E48)),"Moss Control",
ISNUMBER(SEARCH("perlite",E48)),"Perlite",
ISNUMBER(SEARCH("plant food",E48)),"Plant Food",
ISNUMBER(SEARCH("spreader",E48)),"Spreader",
ISNUMBER(SEARCH("sprayer",E48)),"Sprayer",
ISNUMBER(SEARCH("mower",E48)),"Lawn Mower",
ISNUMBER(SEARCH("sweeper",E48)),"Lawn Sweeper",
OR(ISNUMBER(SEARCH("pruner",E48)),ISNUMBER(SEARCH("trimmer",E48)),ISNUMBER(SEARCH("pole saw",E48))),"Pruning Tools",
TRUE,"Other"
)</f>
        <v>Fly Traps</v>
      </c>
      <c r="J48" s="7" t="str">
        <f t="shared" si="2"/>
        <v>Flying Insect Control - Fly Traps</v>
      </c>
      <c r="K48" s="1">
        <v>400</v>
      </c>
      <c r="L48" s="1">
        <v>4</v>
      </c>
      <c r="M48" s="1">
        <v>5077</v>
      </c>
      <c r="N48" s="1" t="s">
        <v>261</v>
      </c>
      <c r="O48" s="1">
        <f>VLOOKUP(A48,[2]Sheet1!$A:$B,2,0)</f>
        <v>100</v>
      </c>
      <c r="P48" s="1">
        <f>VLOOKUP(A48,[2]Sheet1!$A:$C,3,0)</f>
        <v>100</v>
      </c>
      <c r="Q48" s="7">
        <f>VLOOKUP(A48,[2]Sheet1!$A:$D,4,0)</f>
        <v>100</v>
      </c>
      <c r="R48" s="7">
        <f>VLOOKUP(A48,[2]Sheet1!$A:$E,5,0)</f>
        <v>1000</v>
      </c>
      <c r="S48" s="7">
        <f>VLOOKUP(A48,[2]Sheet1!$A:$F,6,0)</f>
        <v>1000</v>
      </c>
      <c r="T48" s="7">
        <f>VLOOKUP(A48,[2]Sheet1!$A:$G,7,0)</f>
        <v>900</v>
      </c>
      <c r="U48" s="7">
        <f>VLOOKUP(A48,[2]Sheet1!$A:$H,8,0)</f>
        <v>1000</v>
      </c>
      <c r="V48" s="7">
        <f>VLOOKUP(A48,[2]Sheet1!$A:$I,9,0)</f>
        <v>800</v>
      </c>
      <c r="W48" s="7">
        <f>VLOOKUP(A48,[2]Sheet1!$A:$K,10,0)</f>
        <v>700</v>
      </c>
      <c r="X48" s="7">
        <f>VLOOKUP(A48,[2]Sheet1!$A:$L,11,0)</f>
        <v>500</v>
      </c>
      <c r="Y48" s="7">
        <f>VLOOKUP(A48,[2]Sheet1!$A:$L,12,0)</f>
        <v>700</v>
      </c>
      <c r="Z48" s="7">
        <f>VLOOKUP(A48,[2]Sheet1!$A:$M,13,0)</f>
        <v>100</v>
      </c>
      <c r="AA48" s="1">
        <f t="shared" si="0"/>
        <v>7000</v>
      </c>
      <c r="AB48" s="7">
        <f t="shared" si="3"/>
        <v>583</v>
      </c>
      <c r="AC48" s="13">
        <f t="shared" si="1"/>
        <v>583.33333333333337</v>
      </c>
      <c r="AD48" s="9">
        <f t="shared" si="4"/>
        <v>118929.99999999999</v>
      </c>
      <c r="AE48" s="9">
        <f t="shared" si="5"/>
        <v>9910.8333333333339</v>
      </c>
      <c r="AF48" s="11">
        <v>5.61</v>
      </c>
      <c r="AG48" s="11">
        <v>16.989999999999998</v>
      </c>
      <c r="AH48" s="9">
        <f t="shared" si="6"/>
        <v>1.2399999999999939E-2</v>
      </c>
      <c r="AI48" s="11">
        <f t="shared" si="7"/>
        <v>4.3399999999999779E-2</v>
      </c>
      <c r="AJ48" s="14">
        <v>0.5</v>
      </c>
      <c r="AK48" s="14">
        <v>0.5</v>
      </c>
      <c r="AL48" s="11">
        <v>5.61</v>
      </c>
      <c r="AM48" s="9">
        <f t="shared" si="8"/>
        <v>2.5484999999999998</v>
      </c>
      <c r="AN48" s="9">
        <f t="shared" si="9"/>
        <v>0.50969999999999993</v>
      </c>
      <c r="AO48" s="9">
        <f t="shared" si="10"/>
        <v>3.3979999999999997</v>
      </c>
      <c r="AP48" s="9">
        <f t="shared" si="11"/>
        <v>0.33979999999999999</v>
      </c>
      <c r="AQ48" s="9">
        <f t="shared" si="12"/>
        <v>3.3979999999999997</v>
      </c>
      <c r="AR48" s="9">
        <f t="shared" si="13"/>
        <v>4.2474999999999996</v>
      </c>
      <c r="AS48" s="11">
        <f t="shared" si="14"/>
        <v>0.12399999999999937</v>
      </c>
      <c r="AT48" s="12">
        <f t="shared" si="15"/>
        <v>-0.44233333333333391</v>
      </c>
    </row>
    <row r="49" spans="1:46" ht="16.5" x14ac:dyDescent="0.4">
      <c r="A49" s="1" t="s">
        <v>262</v>
      </c>
      <c r="B49" s="7" t="s">
        <v>42</v>
      </c>
      <c r="C49" s="7" t="s">
        <v>42</v>
      </c>
      <c r="D49" s="1" t="s">
        <v>263</v>
      </c>
      <c r="E49" s="1" t="s">
        <v>264</v>
      </c>
      <c r="F49" s="1" t="s">
        <v>265</v>
      </c>
      <c r="G49" s="7" t="str">
        <f>VLOOKUP(A49,[1]done!$A:$I,9,0)</f>
        <v>Other crawling insects</v>
      </c>
      <c r="H49" s="7" t="str" cm="1">
        <f t="array" ref="H49">_xlfn.IFS(
OR(ISNUMBER(SEARCH("mouse",E49)),ISNUMBER(SEARCH("rat",E49)),ISNUMBER(SEARCH("mice",E49)),ISNUMBER(SEARCH("rodent",E49))),"Rodent Control",
OR(ISNUMBER(SEARCH("fly",E49)),ISNUMBER(SEARCH("gnat",E49)),ISNUMBER(SEARCH("insect",E49)),ISNUMBER(SEARCH("mosquito",E49))),"Flying Insect Control",
OR(ISNUMBER(SEARCH("roach",E49)),ISNUMBER(SEARCH("ant",E49)),ISNUMBER(SEARCH("spider",E49)),ISNUMBER(SEARCH("cricket",E49)),ISNUMBER(SEARCH("scorpion",E49)),ISNUMBER(SEARCH("centipede",E49)),ISNUMBER(SEARCH("beetle",E49))),"Crawling Insect Control",
OR(ISNUMBER(SEARCH("tree",E49)),ISNUMBER(SEARCH("lantern",E49)),ISNUMBER(SEARCH("garden",E49)),ISNUMBER(SEARCH("plant",E49))),"Garden Pest Control",
OR(ISNUMBER(SEARCH("grass seed",E49)),ISNUMBER(SEARCH("seed mix",E49))),"Grass Seed",
OR(ISNUMBER(SEARCH("lawn food",E49)),ISNUMBER(SEARCH("fertilizer",E49))),"Lawn Fertilizer",
OR(ISNUMBER(SEARCH("patch",E49)),ISNUMBER(SEARCH("repair",E49)),ISNUMBER(SEARCH("thick'r",E49)),ISNUMBER(SEARCH("thick'r lawn",E49)),ISNUMBER(SEARCH("rapid grass",E49))),"Lawn Repair",
OR(ISNUMBER(SEARCH("weed",E49)),ISNUMBER(SEARCH("crabgrass",E49))),"Weed Control",
OR(ISNUMBER(SEARCH("fungicide",E49)),ISNUMBER(SEARCH("moss",E49))),"Disease &amp; Moss Control",
OR(ISNUMBER(SEARCH("plant food",E49)),ISNUMBER(SEARCH("miracid",E49))),"Plant Nutrition",
OR(ISNUMBER(SEARCH("perlite",E49))),"Soil Amendment",
OR(ISNUMBER(SEARCH("spreader",E49)),ISNUMBER(SEARCH("sprayer",E49)),ISNUMBER(SEARCH("mower",E49)),ISNUMBER(SEARCH("sweeper",E49)),ISNUMBER(SEARCH("pruner",E49)),ISNUMBER(SEARCH("trimmer",E49)),ISNUMBER(SEARCH("pole saw",E49))),"Garden Equipment",
TRUE,"Other"
)</f>
        <v>Crawling Insect Control</v>
      </c>
      <c r="I49" s="7" t="str" cm="1">
        <f t="array" ref="I49">_xlfn.IFS(
OR(ISNUMBER(SEARCH("glue trap",E49)),ISNUMBER(SEARCH("glue board",E49))),"Glue Traps",
OR(ISNUMBER(SEARCH("snap trap",E49)),ISNUMBER(SEARCH("power-kill",E49)),ISNUMBER(SEARCH("wide pedal",E49)),ISNUMBER(SEARCH("metal pedal",E49))),"Snap Traps",
OR(ISNUMBER(SEARCH("electronic",E49)),ISNUMBER(SEARCH("zapper",E49))),"Electronic Traps",
OR(ISNUMBER(SEARCH("live catch",E49)),ISNUMBER(SEARCH("multi-catch",E49)),ISNUMBER(SEARCH("catch &amp; hold",E49)),ISNUMBER(SEARCH("tin cat",E49))),"Live Catch Traps",
OR(ISNUMBER(SEARCH("bait",E49)),ISNUMBER(SEARCH("poison",E49))),"Bait &amp; Poison",
ISNUMBER(SEARCH("repellent",E49)),"Repellents",
OR(ISNUMBER(SEARCH("fly trap",E49)),ISNUMBER(SEARCH("fly ribbon",E49)),ISNUMBER(SEARCH("fly stick",E49)),ISNUMBER(SEARCH("window fly",E49)),ISNUMBER(SEARCH("fly magnet",E49))),"Fly Traps",
OR(ISNUMBER(SEARCH("uv",E49)),ISNUMBER(SEARCH("fly light",E49)),ISNUMBER(SEARCH("plug-in",E49))),"UV Fly Traps",
ISNUMBER(SEARCH("roach",E49)),"Roach Traps",
ISNUMBER(SEARCH("ant",E49)),"Ant Traps",
ISNUMBER(SEARCH("spider",E49)),"Spider Traps",
ISNUMBER(SEARCH("mosquito",E49)),"Mosquito Traps",
ISNUMBER(SEARCH("beetle",E49)),"Beetle Traps",
ISNUMBER(SEARCH("lantern",E49)),"Lanternfly Control",
OR(ISNUMBER(SEARCH("tree shield",E49)),ISNUMBER(SEARCH("tree banding",E49)),ISNUMBER(SEARCH("insect barrier",E49))),"Tree Barriers",
OR(ISNUMBER(SEARCH("sun &amp; shade",E49)),ISNUMBER(SEARCH("sun and shade",E49))),"Sun &amp; Shade Mix",
ISNUMBER(SEARCH("tall fescue",E49)),"Tall Fescue",
ISNUMBER(SEARCH("bermudagrass",E49)),"Bermudagrass",
ISNUMBER(SEARCH("kentucky",E49)),"Kentucky Bluegrass",
ISNUMBER(SEARCH("zoysia",E49)),"Zoysia",
ISNUMBER(SEARCH("ryegrass",E49)),"Perennial Ryegrass",
ISNUMBER(SEARCH("centipede",E49)),"Centipede Grass",
ISNUMBER(SEARCH("dense shade",E49)),"Dense Shade Mix",
ISNUMBER(SEARCH("southern gold",E49)),"Southern Gold Mix",
ISNUMBER(SEARCH("heat-tolerant blue",E49)),"Heat-Tolerant Blue Mix",
ISNUMBER(SEARCH("high traffic",E49)),"High Traffic Mix",
ISNUMBER(SEARCH("quick fix",E49)),"Quick Fix Mix",
ISNUMBER(SEARCH("starter",E49)),"Starter Fertilizer",
ISNUMBER(SEARCH("weed &amp; feed",E49)),"Weed &amp; Feed",
ISNUMBER(SEARCH("lawn food",E49)),"Lawn Food",
ISNUMBER(SEARCH("triple action",E49)),"Triple Action Fertilizer",
ISNUMBER(SEARCH("green max",E49)),"Green Max Lawn Food",
ISNUMBER(SEARCH("patchmaster",E49)),"PatchMaster Repair",
ISNUMBER(SEARCH("ez seed",E49)),"EZ Seed Repair",
ISNUMBER(SEARCH("rapid grass",E49)),"Rapid Grass",
ISNUMBER(SEARCH("thick'r lawn",E49)),"Thick'R Lawn",
ISNUMBER(SEARCH("fungicide",E49)),"Fungicide",
ISNUMBER(SEARCH("moss",E49)),"Moss Control",
ISNUMBER(SEARCH("perlite",E49)),"Perlite",
ISNUMBER(SEARCH("plant food",E49)),"Plant Food",
ISNUMBER(SEARCH("spreader",E49)),"Spreader",
ISNUMBER(SEARCH("sprayer",E49)),"Sprayer",
ISNUMBER(SEARCH("mower",E49)),"Lawn Mower",
ISNUMBER(SEARCH("sweeper",E49)),"Lawn Sweeper",
OR(ISNUMBER(SEARCH("pruner",E49)),ISNUMBER(SEARCH("trimmer",E49)),ISNUMBER(SEARCH("pole saw",E49))),"Pruning Tools",
TRUE,"Other"
)</f>
        <v>Bait &amp; Poison</v>
      </c>
      <c r="J49" s="7" t="str">
        <f t="shared" si="2"/>
        <v>Crawling Insect Control - Bait &amp; Poison</v>
      </c>
      <c r="K49" s="1">
        <v>400</v>
      </c>
      <c r="L49" s="1">
        <v>4</v>
      </c>
      <c r="M49" s="1">
        <v>71</v>
      </c>
      <c r="N49" s="1"/>
      <c r="O49" s="1">
        <f>VLOOKUP(A49,[2]Sheet1!$A:$B,2,0)</f>
        <v>60</v>
      </c>
      <c r="P49" s="1">
        <f>VLOOKUP(A49,[2]Sheet1!$A:$C,3,0)</f>
        <v>60</v>
      </c>
      <c r="Q49" s="7">
        <f>VLOOKUP(A49,[2]Sheet1!$A:$D,4,0)</f>
        <v>60</v>
      </c>
      <c r="R49" s="7">
        <f>VLOOKUP(A49,[2]Sheet1!$A:$E,5,0)</f>
        <v>300</v>
      </c>
      <c r="S49" s="7">
        <f>VLOOKUP(A49,[2]Sheet1!$A:$F,6,0)</f>
        <v>400</v>
      </c>
      <c r="T49" s="7">
        <f>VLOOKUP(A49,[2]Sheet1!$A:$G,7,0)</f>
        <v>800</v>
      </c>
      <c r="U49" s="7">
        <f>VLOOKUP(A49,[2]Sheet1!$A:$H,8,0)</f>
        <v>600</v>
      </c>
      <c r="V49" s="7">
        <f>VLOOKUP(A49,[2]Sheet1!$A:$I,9,0)</f>
        <v>500</v>
      </c>
      <c r="W49" s="7">
        <f>VLOOKUP(A49,[2]Sheet1!$A:$K,10,0)</f>
        <v>500</v>
      </c>
      <c r="X49" s="7">
        <f>VLOOKUP(A49,[2]Sheet1!$A:$L,11,0)</f>
        <v>0</v>
      </c>
      <c r="Y49" s="7">
        <f>VLOOKUP(A49,[2]Sheet1!$A:$L,12,0)</f>
        <v>60</v>
      </c>
      <c r="Z49" s="7">
        <f>VLOOKUP(A49,[2]Sheet1!$A:$M,13,0)</f>
        <v>60</v>
      </c>
      <c r="AA49" s="1">
        <f t="shared" si="0"/>
        <v>3400</v>
      </c>
      <c r="AB49" s="7">
        <f t="shared" si="3"/>
        <v>283</v>
      </c>
      <c r="AC49" s="13">
        <f t="shared" si="1"/>
        <v>283.33333333333331</v>
      </c>
      <c r="AD49" s="9">
        <f t="shared" si="4"/>
        <v>47566</v>
      </c>
      <c r="AE49" s="9">
        <f t="shared" si="5"/>
        <v>3963.833333333333</v>
      </c>
      <c r="AF49" s="11">
        <v>4.3499999999999996</v>
      </c>
      <c r="AG49" s="11">
        <v>13.99</v>
      </c>
      <c r="AH49" s="9">
        <f t="shared" si="6"/>
        <v>1.6400000000000029E-2</v>
      </c>
      <c r="AI49" s="11">
        <f t="shared" si="7"/>
        <v>5.7400000000000097E-2</v>
      </c>
      <c r="AJ49" s="14">
        <v>0.5</v>
      </c>
      <c r="AK49" s="14">
        <v>0.5</v>
      </c>
      <c r="AL49" s="11">
        <v>4.3499999999999996</v>
      </c>
      <c r="AM49" s="9">
        <f t="shared" si="8"/>
        <v>2.0985</v>
      </c>
      <c r="AN49" s="9">
        <f t="shared" si="9"/>
        <v>0.41970000000000002</v>
      </c>
      <c r="AO49" s="9">
        <f t="shared" si="10"/>
        <v>2.798</v>
      </c>
      <c r="AP49" s="9">
        <f t="shared" si="11"/>
        <v>0.27979999999999999</v>
      </c>
      <c r="AQ49" s="9">
        <f t="shared" si="12"/>
        <v>2.798</v>
      </c>
      <c r="AR49" s="9">
        <f t="shared" si="13"/>
        <v>3.4975000000000001</v>
      </c>
      <c r="AS49" s="11">
        <f t="shared" si="14"/>
        <v>0.16400000000000028</v>
      </c>
      <c r="AT49" s="12">
        <f t="shared" si="15"/>
        <v>-0.30233333333333307</v>
      </c>
    </row>
    <row r="50" spans="1:46" s="18" customFormat="1" ht="16.5" x14ac:dyDescent="0.4">
      <c r="A50" s="7" t="s">
        <v>266</v>
      </c>
      <c r="B50" s="7" t="s">
        <v>42</v>
      </c>
      <c r="C50" s="7" t="s">
        <v>42</v>
      </c>
      <c r="D50" s="7" t="s">
        <v>267</v>
      </c>
      <c r="E50" s="7" t="s">
        <v>268</v>
      </c>
      <c r="F50" s="7" t="s">
        <v>269</v>
      </c>
      <c r="G50" s="7" t="str">
        <f>VLOOKUP(A50,[1]done!$A:$I,9,0)</f>
        <v>Rodent</v>
      </c>
      <c r="H50" s="7" t="str" cm="1">
        <f t="array" ref="H50">_xlfn.IFS(
OR(ISNUMBER(SEARCH("mouse",E50)),ISNUMBER(SEARCH("rat",E50)),ISNUMBER(SEARCH("mice",E50)),ISNUMBER(SEARCH("rodent",E50))),"Rodent Control",
OR(ISNUMBER(SEARCH("fly",E50)),ISNUMBER(SEARCH("gnat",E50)),ISNUMBER(SEARCH("insect",E50)),ISNUMBER(SEARCH("mosquito",E50))),"Flying Insect Control",
OR(ISNUMBER(SEARCH("roach",E50)),ISNUMBER(SEARCH("ant",E50)),ISNUMBER(SEARCH("spider",E50)),ISNUMBER(SEARCH("cricket",E50)),ISNUMBER(SEARCH("scorpion",E50)),ISNUMBER(SEARCH("centipede",E50)),ISNUMBER(SEARCH("beetle",E50))),"Crawling Insect Control",
OR(ISNUMBER(SEARCH("tree",E50)),ISNUMBER(SEARCH("lantern",E50)),ISNUMBER(SEARCH("garden",E50)),ISNUMBER(SEARCH("plant",E50))),"Garden Pest Control",
OR(ISNUMBER(SEARCH("grass seed",E50)),ISNUMBER(SEARCH("seed mix",E50))),"Grass Seed",
OR(ISNUMBER(SEARCH("lawn food",E50)),ISNUMBER(SEARCH("fertilizer",E50))),"Lawn Fertilizer",
OR(ISNUMBER(SEARCH("patch",E50)),ISNUMBER(SEARCH("repair",E50)),ISNUMBER(SEARCH("thick'r",E50)),ISNUMBER(SEARCH("thick'r lawn",E50)),ISNUMBER(SEARCH("rapid grass",E50))),"Lawn Repair",
OR(ISNUMBER(SEARCH("weed",E50)),ISNUMBER(SEARCH("crabgrass",E50))),"Weed Control",
OR(ISNUMBER(SEARCH("fungicide",E50)),ISNUMBER(SEARCH("moss",E50))),"Disease &amp; Moss Control",
OR(ISNUMBER(SEARCH("plant food",E50)),ISNUMBER(SEARCH("miracid",E50))),"Plant Nutrition",
OR(ISNUMBER(SEARCH("perlite",E50))),"Soil Amendment",
OR(ISNUMBER(SEARCH("spreader",E50)),ISNUMBER(SEARCH("sprayer",E50)),ISNUMBER(SEARCH("mower",E50)),ISNUMBER(SEARCH("sweeper",E50)),ISNUMBER(SEARCH("pruner",E50)),ISNUMBER(SEARCH("trimmer",E50)),ISNUMBER(SEARCH("pole saw",E50))),"Garden Equipment",
TRUE,"Other"
)</f>
        <v>Rodent Control</v>
      </c>
      <c r="I50" s="7" t="str" cm="1">
        <f t="array" ref="I50">_xlfn.IFS(
OR(ISNUMBER(SEARCH("glue trap",E50)),ISNUMBER(SEARCH("glue board",E50))),"Glue Traps",
OR(ISNUMBER(SEARCH("snap trap",E50)),ISNUMBER(SEARCH("power-kill",E50)),ISNUMBER(SEARCH("wide pedal",E50)),ISNUMBER(SEARCH("metal pedal",E50))),"Snap Traps",
OR(ISNUMBER(SEARCH("electronic",E50)),ISNUMBER(SEARCH("zapper",E50))),"Electronic Traps",
OR(ISNUMBER(SEARCH("live catch",E50)),ISNUMBER(SEARCH("multi-catch",E50)),ISNUMBER(SEARCH("catch &amp; hold",E50)),ISNUMBER(SEARCH("tin cat",E50))),"Live Catch Traps",
OR(ISNUMBER(SEARCH("bait",E50)),ISNUMBER(SEARCH("poison",E50))),"Bait &amp; Poison",
ISNUMBER(SEARCH("repellent",E50)),"Repellents",
OR(ISNUMBER(SEARCH("fly trap",E50)),ISNUMBER(SEARCH("fly ribbon",E50)),ISNUMBER(SEARCH("fly stick",E50)),ISNUMBER(SEARCH("window fly",E50)),ISNUMBER(SEARCH("fly magnet",E50))),"Fly Traps",
OR(ISNUMBER(SEARCH("uv",E50)),ISNUMBER(SEARCH("fly light",E50)),ISNUMBER(SEARCH("plug-in",E50))),"UV Fly Traps",
ISNUMBER(SEARCH("roach",E50)),"Roach Traps",
ISNUMBER(SEARCH("ant",E50)),"Ant Traps",
ISNUMBER(SEARCH("spider",E50)),"Spider Traps",
ISNUMBER(SEARCH("mosquito",E50)),"Mosquito Traps",
ISNUMBER(SEARCH("beetle",E50)),"Beetle Traps",
ISNUMBER(SEARCH("lantern",E50)),"Lanternfly Control",
OR(ISNUMBER(SEARCH("tree shield",E50)),ISNUMBER(SEARCH("tree banding",E50)),ISNUMBER(SEARCH("insect barrier",E50))),"Tree Barriers",
OR(ISNUMBER(SEARCH("sun &amp; shade",E50)),ISNUMBER(SEARCH("sun and shade",E50))),"Sun &amp; Shade Mix",
ISNUMBER(SEARCH("tall fescue",E50)),"Tall Fescue",
ISNUMBER(SEARCH("bermudagrass",E50)),"Bermudagrass",
ISNUMBER(SEARCH("kentucky",E50)),"Kentucky Bluegrass",
ISNUMBER(SEARCH("zoysia",E50)),"Zoysia",
ISNUMBER(SEARCH("ryegrass",E50)),"Perennial Ryegrass",
ISNUMBER(SEARCH("centipede",E50)),"Centipede Grass",
ISNUMBER(SEARCH("dense shade",E50)),"Dense Shade Mix",
ISNUMBER(SEARCH("southern gold",E50)),"Southern Gold Mix",
ISNUMBER(SEARCH("heat-tolerant blue",E50)),"Heat-Tolerant Blue Mix",
ISNUMBER(SEARCH("high traffic",E50)),"High Traffic Mix",
ISNUMBER(SEARCH("quick fix",E50)),"Quick Fix Mix",
ISNUMBER(SEARCH("starter",E50)),"Starter Fertilizer",
ISNUMBER(SEARCH("weed &amp; feed",E50)),"Weed &amp; Feed",
ISNUMBER(SEARCH("lawn food",E50)),"Lawn Food",
ISNUMBER(SEARCH("triple action",E50)),"Triple Action Fertilizer",
ISNUMBER(SEARCH("green max",E50)),"Green Max Lawn Food",
ISNUMBER(SEARCH("patchmaster",E50)),"PatchMaster Repair",
ISNUMBER(SEARCH("ez seed",E50)),"EZ Seed Repair",
ISNUMBER(SEARCH("rapid grass",E50)),"Rapid Grass",
ISNUMBER(SEARCH("thick'r lawn",E50)),"Thick'R Lawn",
ISNUMBER(SEARCH("fungicide",E50)),"Fungicide",
ISNUMBER(SEARCH("moss",E50)),"Moss Control",
ISNUMBER(SEARCH("perlite",E50)),"Perlite",
ISNUMBER(SEARCH("plant food",E50)),"Plant Food",
ISNUMBER(SEARCH("spreader",E50)),"Spreader",
ISNUMBER(SEARCH("sprayer",E50)),"Sprayer",
ISNUMBER(SEARCH("mower",E50)),"Lawn Mower",
ISNUMBER(SEARCH("sweeper",E50)),"Lawn Sweeper",
OR(ISNUMBER(SEARCH("pruner",E50)),ISNUMBER(SEARCH("trimmer",E50)),ISNUMBER(SEARCH("pole saw",E50))),"Pruning Tools",
TRUE,"Other"
)</f>
        <v>Live Catch Traps</v>
      </c>
      <c r="J50" s="7" t="str">
        <f t="shared" si="2"/>
        <v>Rodent Control - Live Catch Traps</v>
      </c>
      <c r="K50" s="7">
        <v>500</v>
      </c>
      <c r="L50" s="7">
        <v>4.2</v>
      </c>
      <c r="M50" s="7">
        <v>539</v>
      </c>
      <c r="N50" s="7" t="s">
        <v>270</v>
      </c>
      <c r="O50" s="7">
        <f>VLOOKUP(A50,[2]Sheet1!$A:$B,2,0)</f>
        <v>200</v>
      </c>
      <c r="P50" s="7">
        <f>VLOOKUP(A50,[2]Sheet1!$A:$C,3,0)</f>
        <v>100</v>
      </c>
      <c r="Q50" s="7">
        <f>VLOOKUP(A50,[2]Sheet1!$A:$D,4,0)</f>
        <v>200</v>
      </c>
      <c r="R50" s="7">
        <f>VLOOKUP(A50,[2]Sheet1!$A:$E,5,0)</f>
        <v>100</v>
      </c>
      <c r="S50" s="7">
        <f>VLOOKUP(A50,[2]Sheet1!$A:$F,6,0)</f>
        <v>200</v>
      </c>
      <c r="T50" s="7">
        <f>VLOOKUP(A50,[2]Sheet1!$A:$G,7,0)</f>
        <v>200</v>
      </c>
      <c r="U50" s="7">
        <f>VLOOKUP(A50,[2]Sheet1!$A:$H,8,0)</f>
        <v>300</v>
      </c>
      <c r="V50" s="7">
        <f>VLOOKUP(A50,[2]Sheet1!$A:$I,9,0)</f>
        <v>300</v>
      </c>
      <c r="W50" s="7">
        <f>VLOOKUP(A50,[2]Sheet1!$A:$K,10,0)</f>
        <v>400</v>
      </c>
      <c r="X50" s="7">
        <f>VLOOKUP(A50,[2]Sheet1!$A:$L,11,0)</f>
        <v>500</v>
      </c>
      <c r="Y50" s="7">
        <f>VLOOKUP(A50,[2]Sheet1!$A:$L,12,0)</f>
        <v>600</v>
      </c>
      <c r="Z50" s="7">
        <f>VLOOKUP(A50,[2]Sheet1!$A:$M,13,0)</f>
        <v>300</v>
      </c>
      <c r="AA50" s="7">
        <f t="shared" si="0"/>
        <v>3400</v>
      </c>
      <c r="AB50" s="7">
        <f t="shared" si="3"/>
        <v>283</v>
      </c>
      <c r="AC50" s="8">
        <f t="shared" si="1"/>
        <v>283.33333333333331</v>
      </c>
      <c r="AD50" s="9">
        <f t="shared" si="4"/>
        <v>231165.99999999997</v>
      </c>
      <c r="AE50" s="9">
        <f t="shared" si="5"/>
        <v>19263.833333333332</v>
      </c>
      <c r="AF50" s="9">
        <v>9.07</v>
      </c>
      <c r="AG50" s="9">
        <v>67.989999999999995</v>
      </c>
      <c r="AH50" s="9">
        <f t="shared" si="6"/>
        <v>1.1417333333333333</v>
      </c>
      <c r="AI50" s="9">
        <f t="shared" si="7"/>
        <v>3.9960666666666658</v>
      </c>
      <c r="AJ50" s="10">
        <v>0.5</v>
      </c>
      <c r="AK50" s="10">
        <v>0.5</v>
      </c>
      <c r="AL50" s="9">
        <v>9.07</v>
      </c>
      <c r="AM50" s="9">
        <f t="shared" si="8"/>
        <v>10.198499999999999</v>
      </c>
      <c r="AN50" s="9">
        <f t="shared" si="9"/>
        <v>2.0396999999999998</v>
      </c>
      <c r="AO50" s="9">
        <f t="shared" si="10"/>
        <v>13.597999999999999</v>
      </c>
      <c r="AP50" s="9">
        <f t="shared" si="11"/>
        <v>1.3597999999999999</v>
      </c>
      <c r="AQ50" s="9">
        <f t="shared" si="12"/>
        <v>13.597999999999999</v>
      </c>
      <c r="AR50" s="9">
        <f t="shared" si="13"/>
        <v>16.997499999999999</v>
      </c>
      <c r="AS50" s="11">
        <f t="shared" si="14"/>
        <v>11.417333333333332</v>
      </c>
      <c r="AT50" s="12">
        <f t="shared" si="15"/>
        <v>9.150999999999998</v>
      </c>
    </row>
    <row r="51" spans="1:46" ht="16.5" x14ac:dyDescent="0.4">
      <c r="A51" s="1" t="s">
        <v>271</v>
      </c>
      <c r="B51" s="7" t="s">
        <v>42</v>
      </c>
      <c r="C51" s="7" t="s">
        <v>42</v>
      </c>
      <c r="D51" s="1" t="s">
        <v>272</v>
      </c>
      <c r="E51" s="1" t="s">
        <v>273</v>
      </c>
      <c r="F51" s="1" t="s">
        <v>274</v>
      </c>
      <c r="G51" s="7" t="str">
        <f>VLOOKUP(A51,[1]done!$A:$I,9,0)</f>
        <v>Other crawling insects</v>
      </c>
      <c r="H51" s="7" t="str" cm="1">
        <f t="array" ref="H51">_xlfn.IFS(
OR(ISNUMBER(SEARCH("mouse",E51)),ISNUMBER(SEARCH("rat",E51)),ISNUMBER(SEARCH("mice",E51)),ISNUMBER(SEARCH("rodent",E51))),"Rodent Control",
OR(ISNUMBER(SEARCH("fly",E51)),ISNUMBER(SEARCH("gnat",E51)),ISNUMBER(SEARCH("insect",E51)),ISNUMBER(SEARCH("mosquito",E51))),"Flying Insect Control",
OR(ISNUMBER(SEARCH("roach",E51)),ISNUMBER(SEARCH("ant",E51)),ISNUMBER(SEARCH("spider",E51)),ISNUMBER(SEARCH("cricket",E51)),ISNUMBER(SEARCH("scorpion",E51)),ISNUMBER(SEARCH("centipede",E51)),ISNUMBER(SEARCH("beetle",E51))),"Crawling Insect Control",
OR(ISNUMBER(SEARCH("tree",E51)),ISNUMBER(SEARCH("lantern",E51)),ISNUMBER(SEARCH("garden",E51)),ISNUMBER(SEARCH("plant",E51))),"Garden Pest Control",
OR(ISNUMBER(SEARCH("grass seed",E51)),ISNUMBER(SEARCH("seed mix",E51))),"Grass Seed",
OR(ISNUMBER(SEARCH("lawn food",E51)),ISNUMBER(SEARCH("fertilizer",E51))),"Lawn Fertilizer",
OR(ISNUMBER(SEARCH("patch",E51)),ISNUMBER(SEARCH("repair",E51)),ISNUMBER(SEARCH("thick'r",E51)),ISNUMBER(SEARCH("thick'r lawn",E51)),ISNUMBER(SEARCH("rapid grass",E51))),"Lawn Repair",
OR(ISNUMBER(SEARCH("weed",E51)),ISNUMBER(SEARCH("crabgrass",E51))),"Weed Control",
OR(ISNUMBER(SEARCH("fungicide",E51)),ISNUMBER(SEARCH("moss",E51))),"Disease &amp; Moss Control",
OR(ISNUMBER(SEARCH("plant food",E51)),ISNUMBER(SEARCH("miracid",E51))),"Plant Nutrition",
OR(ISNUMBER(SEARCH("perlite",E51))),"Soil Amendment",
OR(ISNUMBER(SEARCH("spreader",E51)),ISNUMBER(SEARCH("sprayer",E51)),ISNUMBER(SEARCH("mower",E51)),ISNUMBER(SEARCH("sweeper",E51)),ISNUMBER(SEARCH("pruner",E51)),ISNUMBER(SEARCH("trimmer",E51)),ISNUMBER(SEARCH("pole saw",E51))),"Garden Equipment",
TRUE,"Other"
)</f>
        <v>Flying Insect Control</v>
      </c>
      <c r="I51" s="7" t="str" cm="1">
        <f t="array" ref="I51">_xlfn.IFS(
OR(ISNUMBER(SEARCH("glue trap",E51)),ISNUMBER(SEARCH("glue board",E51))),"Glue Traps",
OR(ISNUMBER(SEARCH("snap trap",E51)),ISNUMBER(SEARCH("power-kill",E51)),ISNUMBER(SEARCH("wide pedal",E51)),ISNUMBER(SEARCH("metal pedal",E51))),"Snap Traps",
OR(ISNUMBER(SEARCH("electronic",E51)),ISNUMBER(SEARCH("zapper",E51))),"Electronic Traps",
OR(ISNUMBER(SEARCH("live catch",E51)),ISNUMBER(SEARCH("multi-catch",E51)),ISNUMBER(SEARCH("catch &amp; hold",E51)),ISNUMBER(SEARCH("tin cat",E51))),"Live Catch Traps",
OR(ISNUMBER(SEARCH("bait",E51)),ISNUMBER(SEARCH("poison",E51))),"Bait &amp; Poison",
ISNUMBER(SEARCH("repellent",E51)),"Repellents",
OR(ISNUMBER(SEARCH("fly trap",E51)),ISNUMBER(SEARCH("fly ribbon",E51)),ISNUMBER(SEARCH("fly stick",E51)),ISNUMBER(SEARCH("window fly",E51)),ISNUMBER(SEARCH("fly magnet",E51))),"Fly Traps",
OR(ISNUMBER(SEARCH("uv",E51)),ISNUMBER(SEARCH("fly light",E51)),ISNUMBER(SEARCH("plug-in",E51))),"UV Fly Traps",
ISNUMBER(SEARCH("roach",E51)),"Roach Traps",
ISNUMBER(SEARCH("ant",E51)),"Ant Traps",
ISNUMBER(SEARCH("spider",E51)),"Spider Traps",
ISNUMBER(SEARCH("mosquito",E51)),"Mosquito Traps",
ISNUMBER(SEARCH("beetle",E51)),"Beetle Traps",
ISNUMBER(SEARCH("lantern",E51)),"Lanternfly Control",
OR(ISNUMBER(SEARCH("tree shield",E51)),ISNUMBER(SEARCH("tree banding",E51)),ISNUMBER(SEARCH("insect barrier",E51))),"Tree Barriers",
OR(ISNUMBER(SEARCH("sun &amp; shade",E51)),ISNUMBER(SEARCH("sun and shade",E51))),"Sun &amp; Shade Mix",
ISNUMBER(SEARCH("tall fescue",E51)),"Tall Fescue",
ISNUMBER(SEARCH("bermudagrass",E51)),"Bermudagrass",
ISNUMBER(SEARCH("kentucky",E51)),"Kentucky Bluegrass",
ISNUMBER(SEARCH("zoysia",E51)),"Zoysia",
ISNUMBER(SEARCH("ryegrass",E51)),"Perennial Ryegrass",
ISNUMBER(SEARCH("centipede",E51)),"Centipede Grass",
ISNUMBER(SEARCH("dense shade",E51)),"Dense Shade Mix",
ISNUMBER(SEARCH("southern gold",E51)),"Southern Gold Mix",
ISNUMBER(SEARCH("heat-tolerant blue",E51)),"Heat-Tolerant Blue Mix",
ISNUMBER(SEARCH("high traffic",E51)),"High Traffic Mix",
ISNUMBER(SEARCH("quick fix",E51)),"Quick Fix Mix",
ISNUMBER(SEARCH("starter",E51)),"Starter Fertilizer",
ISNUMBER(SEARCH("weed &amp; feed",E51)),"Weed &amp; Feed",
ISNUMBER(SEARCH("lawn food",E51)),"Lawn Food",
ISNUMBER(SEARCH("triple action",E51)),"Triple Action Fertilizer",
ISNUMBER(SEARCH("green max",E51)),"Green Max Lawn Food",
ISNUMBER(SEARCH("patchmaster",E51)),"PatchMaster Repair",
ISNUMBER(SEARCH("ez seed",E51)),"EZ Seed Repair",
ISNUMBER(SEARCH("rapid grass",E51)),"Rapid Grass",
ISNUMBER(SEARCH("thick'r lawn",E51)),"Thick'R Lawn",
ISNUMBER(SEARCH("fungicide",E51)),"Fungicide",
ISNUMBER(SEARCH("moss",E51)),"Moss Control",
ISNUMBER(SEARCH("perlite",E51)),"Perlite",
ISNUMBER(SEARCH("plant food",E51)),"Plant Food",
ISNUMBER(SEARCH("spreader",E51)),"Spreader",
ISNUMBER(SEARCH("sprayer",E51)),"Sprayer",
ISNUMBER(SEARCH("mower",E51)),"Lawn Mower",
ISNUMBER(SEARCH("sweeper",E51)),"Lawn Sweeper",
OR(ISNUMBER(SEARCH("pruner",E51)),ISNUMBER(SEARCH("trimmer",E51)),ISNUMBER(SEARCH("pole saw",E51))),"Pruning Tools",
TRUE,"Other"
)</f>
        <v>Glue Traps</v>
      </c>
      <c r="J51" s="7" t="str">
        <f t="shared" si="2"/>
        <v>Flying Insect Control - Glue Traps</v>
      </c>
      <c r="K51" s="1">
        <v>400</v>
      </c>
      <c r="L51" s="1">
        <v>4</v>
      </c>
      <c r="M51" s="1">
        <v>488</v>
      </c>
      <c r="N51" s="1" t="s">
        <v>129</v>
      </c>
      <c r="O51" s="1">
        <f>VLOOKUP(A51,[2]Sheet1!$A:$B,2,0)</f>
        <v>60</v>
      </c>
      <c r="P51" s="1">
        <f>VLOOKUP(A51,[2]Sheet1!$A:$C,3,0)</f>
        <v>60</v>
      </c>
      <c r="Q51" s="7">
        <f>VLOOKUP(A51,[2]Sheet1!$A:$D,4,0)</f>
        <v>60</v>
      </c>
      <c r="R51" s="7">
        <f>VLOOKUP(A51,[2]Sheet1!$A:$E,5,0)</f>
        <v>200</v>
      </c>
      <c r="S51" s="7">
        <f>VLOOKUP(A51,[2]Sheet1!$A:$F,6,0)</f>
        <v>200</v>
      </c>
      <c r="T51" s="7">
        <f>VLOOKUP(A51,[2]Sheet1!$A:$G,7,0)</f>
        <v>300</v>
      </c>
      <c r="U51" s="7">
        <f>VLOOKUP(A51,[2]Sheet1!$A:$H,8,0)</f>
        <v>400</v>
      </c>
      <c r="V51" s="7">
        <f>VLOOKUP(A51,[2]Sheet1!$A:$I,9,0)</f>
        <v>400</v>
      </c>
      <c r="W51" s="7">
        <f>VLOOKUP(A51,[2]Sheet1!$A:$K,10,0)</f>
        <v>400</v>
      </c>
      <c r="X51" s="7">
        <f>VLOOKUP(A51,[2]Sheet1!$A:$L,11,0)</f>
        <v>400</v>
      </c>
      <c r="Y51" s="7">
        <f>VLOOKUP(A51,[2]Sheet1!$A:$L,12,0)</f>
        <v>200</v>
      </c>
      <c r="Z51" s="7">
        <f>VLOOKUP(A51,[2]Sheet1!$A:$M,13,0)</f>
        <v>100</v>
      </c>
      <c r="AA51" s="1">
        <f t="shared" si="0"/>
        <v>2780</v>
      </c>
      <c r="AB51" s="7">
        <f t="shared" si="3"/>
        <v>232</v>
      </c>
      <c r="AC51" s="13">
        <f t="shared" si="1"/>
        <v>231.66666666666666</v>
      </c>
      <c r="AD51" s="9">
        <f t="shared" si="4"/>
        <v>44452.2</v>
      </c>
      <c r="AE51" s="9">
        <f t="shared" si="5"/>
        <v>3704.35</v>
      </c>
      <c r="AF51" s="11">
        <v>3.66</v>
      </c>
      <c r="AG51" s="11">
        <v>15.99</v>
      </c>
      <c r="AH51" s="9">
        <f t="shared" si="6"/>
        <v>0.11573333333333327</v>
      </c>
      <c r="AI51" s="11">
        <f t="shared" si="7"/>
        <v>0.40506666666666641</v>
      </c>
      <c r="AJ51" s="14">
        <v>0.5</v>
      </c>
      <c r="AK51" s="14">
        <v>0.5</v>
      </c>
      <c r="AL51" s="11">
        <v>3.66</v>
      </c>
      <c r="AM51" s="9">
        <f t="shared" si="8"/>
        <v>2.3984999999999999</v>
      </c>
      <c r="AN51" s="9">
        <f t="shared" si="9"/>
        <v>0.47970000000000002</v>
      </c>
      <c r="AO51" s="9">
        <f t="shared" si="10"/>
        <v>3.1980000000000004</v>
      </c>
      <c r="AP51" s="9">
        <f t="shared" si="11"/>
        <v>0.31980000000000003</v>
      </c>
      <c r="AQ51" s="9">
        <f t="shared" si="12"/>
        <v>3.1980000000000004</v>
      </c>
      <c r="AR51" s="9">
        <f t="shared" si="13"/>
        <v>3.9975000000000001</v>
      </c>
      <c r="AS51" s="11">
        <f t="shared" si="14"/>
        <v>1.1573333333333327</v>
      </c>
      <c r="AT51" s="12">
        <f t="shared" si="15"/>
        <v>0.62433333333333285</v>
      </c>
    </row>
    <row r="52" spans="1:46" ht="16.5" x14ac:dyDescent="0.4">
      <c r="A52" s="1" t="s">
        <v>275</v>
      </c>
      <c r="B52" s="7" t="s">
        <v>42</v>
      </c>
      <c r="C52" s="7" t="s">
        <v>42</v>
      </c>
      <c r="D52" s="1" t="s">
        <v>276</v>
      </c>
      <c r="E52" s="1" t="s">
        <v>277</v>
      </c>
      <c r="F52" s="1" t="s">
        <v>278</v>
      </c>
      <c r="G52" s="7" t="str">
        <f>VLOOKUP(A52,[1]done!$A:$I,9,0)</f>
        <v>Cockroach</v>
      </c>
      <c r="H52" s="7" t="str" cm="1">
        <f t="array" ref="H52">_xlfn.IFS(
OR(ISNUMBER(SEARCH("mouse",E52)),ISNUMBER(SEARCH("rat",E52)),ISNUMBER(SEARCH("mice",E52)),ISNUMBER(SEARCH("rodent",E52))),"Rodent Control",
OR(ISNUMBER(SEARCH("fly",E52)),ISNUMBER(SEARCH("gnat",E52)),ISNUMBER(SEARCH("insect",E52)),ISNUMBER(SEARCH("mosquito",E52))),"Flying Insect Control",
OR(ISNUMBER(SEARCH("roach",E52)),ISNUMBER(SEARCH("ant",E52)),ISNUMBER(SEARCH("spider",E52)),ISNUMBER(SEARCH("cricket",E52)),ISNUMBER(SEARCH("scorpion",E52)),ISNUMBER(SEARCH("centipede",E52)),ISNUMBER(SEARCH("beetle",E52))),"Crawling Insect Control",
OR(ISNUMBER(SEARCH("tree",E52)),ISNUMBER(SEARCH("lantern",E52)),ISNUMBER(SEARCH("garden",E52)),ISNUMBER(SEARCH("plant",E52))),"Garden Pest Control",
OR(ISNUMBER(SEARCH("grass seed",E52)),ISNUMBER(SEARCH("seed mix",E52))),"Grass Seed",
OR(ISNUMBER(SEARCH("lawn food",E52)),ISNUMBER(SEARCH("fertilizer",E52))),"Lawn Fertilizer",
OR(ISNUMBER(SEARCH("patch",E52)),ISNUMBER(SEARCH("repair",E52)),ISNUMBER(SEARCH("thick'r",E52)),ISNUMBER(SEARCH("thick'r lawn",E52)),ISNUMBER(SEARCH("rapid grass",E52))),"Lawn Repair",
OR(ISNUMBER(SEARCH("weed",E52)),ISNUMBER(SEARCH("crabgrass",E52))),"Weed Control",
OR(ISNUMBER(SEARCH("fungicide",E52)),ISNUMBER(SEARCH("moss",E52))),"Disease &amp; Moss Control",
OR(ISNUMBER(SEARCH("plant food",E52)),ISNUMBER(SEARCH("miracid",E52))),"Plant Nutrition",
OR(ISNUMBER(SEARCH("perlite",E52))),"Soil Amendment",
OR(ISNUMBER(SEARCH("spreader",E52)),ISNUMBER(SEARCH("sprayer",E52)),ISNUMBER(SEARCH("mower",E52)),ISNUMBER(SEARCH("sweeper",E52)),ISNUMBER(SEARCH("pruner",E52)),ISNUMBER(SEARCH("trimmer",E52)),ISNUMBER(SEARCH("pole saw",E52))),"Garden Equipment",
TRUE,"Other"
)</f>
        <v>Flying Insect Control</v>
      </c>
      <c r="I52" s="7" t="str" cm="1">
        <f t="array" ref="I52">_xlfn.IFS(
OR(ISNUMBER(SEARCH("glue trap",E52)),ISNUMBER(SEARCH("glue board",E52))),"Glue Traps",
OR(ISNUMBER(SEARCH("snap trap",E52)),ISNUMBER(SEARCH("power-kill",E52)),ISNUMBER(SEARCH("wide pedal",E52)),ISNUMBER(SEARCH("metal pedal",E52))),"Snap Traps",
OR(ISNUMBER(SEARCH("electronic",E52)),ISNUMBER(SEARCH("zapper",E52))),"Electronic Traps",
OR(ISNUMBER(SEARCH("live catch",E52)),ISNUMBER(SEARCH("multi-catch",E52)),ISNUMBER(SEARCH("catch &amp; hold",E52)),ISNUMBER(SEARCH("tin cat",E52))),"Live Catch Traps",
OR(ISNUMBER(SEARCH("bait",E52)),ISNUMBER(SEARCH("poison",E52))),"Bait &amp; Poison",
ISNUMBER(SEARCH("repellent",E52)),"Repellents",
OR(ISNUMBER(SEARCH("fly trap",E52)),ISNUMBER(SEARCH("fly ribbon",E52)),ISNUMBER(SEARCH("fly stick",E52)),ISNUMBER(SEARCH("window fly",E52)),ISNUMBER(SEARCH("fly magnet",E52))),"Fly Traps",
OR(ISNUMBER(SEARCH("uv",E52)),ISNUMBER(SEARCH("fly light",E52)),ISNUMBER(SEARCH("plug-in",E52))),"UV Fly Traps",
ISNUMBER(SEARCH("roach",E52)),"Roach Traps",
ISNUMBER(SEARCH("ant",E52)),"Ant Traps",
ISNUMBER(SEARCH("spider",E52)),"Spider Traps",
ISNUMBER(SEARCH("mosquito",E52)),"Mosquito Traps",
ISNUMBER(SEARCH("beetle",E52)),"Beetle Traps",
ISNUMBER(SEARCH("lantern",E52)),"Lanternfly Control",
OR(ISNUMBER(SEARCH("tree shield",E52)),ISNUMBER(SEARCH("tree banding",E52)),ISNUMBER(SEARCH("insect barrier",E52))),"Tree Barriers",
OR(ISNUMBER(SEARCH("sun &amp; shade",E52)),ISNUMBER(SEARCH("sun and shade",E52))),"Sun &amp; Shade Mix",
ISNUMBER(SEARCH("tall fescue",E52)),"Tall Fescue",
ISNUMBER(SEARCH("bermudagrass",E52)),"Bermudagrass",
ISNUMBER(SEARCH("kentucky",E52)),"Kentucky Bluegrass",
ISNUMBER(SEARCH("zoysia",E52)),"Zoysia",
ISNUMBER(SEARCH("ryegrass",E52)),"Perennial Ryegrass",
ISNUMBER(SEARCH("centipede",E52)),"Centipede Grass",
ISNUMBER(SEARCH("dense shade",E52)),"Dense Shade Mix",
ISNUMBER(SEARCH("southern gold",E52)),"Southern Gold Mix",
ISNUMBER(SEARCH("heat-tolerant blue",E52)),"Heat-Tolerant Blue Mix",
ISNUMBER(SEARCH("high traffic",E52)),"High Traffic Mix",
ISNUMBER(SEARCH("quick fix",E52)),"Quick Fix Mix",
ISNUMBER(SEARCH("starter",E52)),"Starter Fertilizer",
ISNUMBER(SEARCH("weed &amp; feed",E52)),"Weed &amp; Feed",
ISNUMBER(SEARCH("lawn food",E52)),"Lawn Food",
ISNUMBER(SEARCH("triple action",E52)),"Triple Action Fertilizer",
ISNUMBER(SEARCH("green max",E52)),"Green Max Lawn Food",
ISNUMBER(SEARCH("patchmaster",E52)),"PatchMaster Repair",
ISNUMBER(SEARCH("ez seed",E52)),"EZ Seed Repair",
ISNUMBER(SEARCH("rapid grass",E52)),"Rapid Grass",
ISNUMBER(SEARCH("thick'r lawn",E52)),"Thick'R Lawn",
ISNUMBER(SEARCH("fungicide",E52)),"Fungicide",
ISNUMBER(SEARCH("moss",E52)),"Moss Control",
ISNUMBER(SEARCH("perlite",E52)),"Perlite",
ISNUMBER(SEARCH("plant food",E52)),"Plant Food",
ISNUMBER(SEARCH("spreader",E52)),"Spreader",
ISNUMBER(SEARCH("sprayer",E52)),"Sprayer",
ISNUMBER(SEARCH("mower",E52)),"Lawn Mower",
ISNUMBER(SEARCH("sweeper",E52)),"Lawn Sweeper",
OR(ISNUMBER(SEARCH("pruner",E52)),ISNUMBER(SEARCH("trimmer",E52)),ISNUMBER(SEARCH("pole saw",E52))),"Pruning Tools",
TRUE,"Other"
)</f>
        <v>Glue Traps</v>
      </c>
      <c r="J52" s="7" t="str">
        <f t="shared" si="2"/>
        <v>Flying Insect Control - Glue Traps</v>
      </c>
      <c r="K52" s="1">
        <v>300</v>
      </c>
      <c r="L52" s="1">
        <v>4</v>
      </c>
      <c r="M52" s="1">
        <v>243</v>
      </c>
      <c r="N52" s="1" t="s">
        <v>129</v>
      </c>
      <c r="O52" s="1">
        <f>VLOOKUP(A52,[2]Sheet1!$A:$B,2,0)</f>
        <v>50</v>
      </c>
      <c r="P52" s="1">
        <f>VLOOKUP(A52,[2]Sheet1!$A:$C,3,0)</f>
        <v>50</v>
      </c>
      <c r="Q52" s="7">
        <f>VLOOKUP(A52,[2]Sheet1!$A:$D,4,0)</f>
        <v>100</v>
      </c>
      <c r="R52" s="7">
        <f>VLOOKUP(A52,[2]Sheet1!$A:$E,5,0)</f>
        <v>100</v>
      </c>
      <c r="S52" s="7">
        <f>VLOOKUP(A52,[2]Sheet1!$A:$F,6,0)</f>
        <v>200</v>
      </c>
      <c r="T52" s="7">
        <f>VLOOKUP(A52,[2]Sheet1!$A:$G,7,0)</f>
        <v>300</v>
      </c>
      <c r="U52" s="7">
        <f>VLOOKUP(A52,[2]Sheet1!$A:$H,8,0)</f>
        <v>400</v>
      </c>
      <c r="V52" s="7">
        <f>VLOOKUP(A52,[2]Sheet1!$A:$I,9,0)</f>
        <v>400</v>
      </c>
      <c r="W52" s="7">
        <f>VLOOKUP(A52,[2]Sheet1!$A:$K,10,0)</f>
        <v>400</v>
      </c>
      <c r="X52" s="7">
        <f>VLOOKUP(A52,[2]Sheet1!$A:$L,11,0)</f>
        <v>600</v>
      </c>
      <c r="Y52" s="7">
        <f>VLOOKUP(A52,[2]Sheet1!$A:$L,12,0)</f>
        <v>100</v>
      </c>
      <c r="Z52" s="7">
        <f>VLOOKUP(A52,[2]Sheet1!$A:$M,13,0)</f>
        <v>100</v>
      </c>
      <c r="AA52" s="1">
        <f t="shared" si="0"/>
        <v>2800</v>
      </c>
      <c r="AB52" s="7">
        <f t="shared" si="3"/>
        <v>233</v>
      </c>
      <c r="AC52" s="13">
        <f t="shared" si="1"/>
        <v>233.33333333333334</v>
      </c>
      <c r="AD52" s="9">
        <f t="shared" si="4"/>
        <v>41972</v>
      </c>
      <c r="AE52" s="9">
        <f t="shared" si="5"/>
        <v>3497.666666666667</v>
      </c>
      <c r="AF52" s="11">
        <v>3.66</v>
      </c>
      <c r="AG52" s="11">
        <v>14.99</v>
      </c>
      <c r="AH52" s="9">
        <f t="shared" si="6"/>
        <v>8.9066666666666627E-2</v>
      </c>
      <c r="AI52" s="11">
        <f t="shared" si="7"/>
        <v>0.3117333333333332</v>
      </c>
      <c r="AJ52" s="14">
        <v>0.5</v>
      </c>
      <c r="AK52" s="14">
        <v>0.5</v>
      </c>
      <c r="AL52" s="11">
        <v>3.66</v>
      </c>
      <c r="AM52" s="9">
        <f t="shared" si="8"/>
        <v>2.2484999999999999</v>
      </c>
      <c r="AN52" s="9">
        <f t="shared" si="9"/>
        <v>0.44969999999999999</v>
      </c>
      <c r="AO52" s="9">
        <f t="shared" si="10"/>
        <v>2.9980000000000002</v>
      </c>
      <c r="AP52" s="9">
        <f t="shared" si="11"/>
        <v>0.29980000000000001</v>
      </c>
      <c r="AQ52" s="9">
        <f t="shared" si="12"/>
        <v>2.9980000000000002</v>
      </c>
      <c r="AR52" s="9">
        <f t="shared" si="13"/>
        <v>3.7475000000000001</v>
      </c>
      <c r="AS52" s="11">
        <f t="shared" si="14"/>
        <v>0.89066666666666627</v>
      </c>
      <c r="AT52" s="12">
        <f t="shared" si="15"/>
        <v>0.39099999999999974</v>
      </c>
    </row>
    <row r="53" spans="1:46" ht="16.5" x14ac:dyDescent="0.4">
      <c r="A53" s="1" t="s">
        <v>279</v>
      </c>
      <c r="B53" s="7" t="s">
        <v>42</v>
      </c>
      <c r="C53" s="7" t="s">
        <v>42</v>
      </c>
      <c r="D53" s="1" t="s">
        <v>258</v>
      </c>
      <c r="E53" s="1" t="s">
        <v>280</v>
      </c>
      <c r="F53" s="1" t="s">
        <v>281</v>
      </c>
      <c r="G53" s="7" t="str">
        <f>VLOOKUP(A53,[1]done!$A:$I,9,0)</f>
        <v>Mosquito/Fly</v>
      </c>
      <c r="H53" s="7" t="str" cm="1">
        <f t="array" ref="H53">_xlfn.IFS(
OR(ISNUMBER(SEARCH("mouse",E53)),ISNUMBER(SEARCH("rat",E53)),ISNUMBER(SEARCH("mice",E53)),ISNUMBER(SEARCH("rodent",E53))),"Rodent Control",
OR(ISNUMBER(SEARCH("fly",E53)),ISNUMBER(SEARCH("gnat",E53)),ISNUMBER(SEARCH("insect",E53)),ISNUMBER(SEARCH("mosquito",E53))),"Flying Insect Control",
OR(ISNUMBER(SEARCH("roach",E53)),ISNUMBER(SEARCH("ant",E53)),ISNUMBER(SEARCH("spider",E53)),ISNUMBER(SEARCH("cricket",E53)),ISNUMBER(SEARCH("scorpion",E53)),ISNUMBER(SEARCH("centipede",E53)),ISNUMBER(SEARCH("beetle",E53))),"Crawling Insect Control",
OR(ISNUMBER(SEARCH("tree",E53)),ISNUMBER(SEARCH("lantern",E53)),ISNUMBER(SEARCH("garden",E53)),ISNUMBER(SEARCH("plant",E53))),"Garden Pest Control",
OR(ISNUMBER(SEARCH("grass seed",E53)),ISNUMBER(SEARCH("seed mix",E53))),"Grass Seed",
OR(ISNUMBER(SEARCH("lawn food",E53)),ISNUMBER(SEARCH("fertilizer",E53))),"Lawn Fertilizer",
OR(ISNUMBER(SEARCH("patch",E53)),ISNUMBER(SEARCH("repair",E53)),ISNUMBER(SEARCH("thick'r",E53)),ISNUMBER(SEARCH("thick'r lawn",E53)),ISNUMBER(SEARCH("rapid grass",E53))),"Lawn Repair",
OR(ISNUMBER(SEARCH("weed",E53)),ISNUMBER(SEARCH("crabgrass",E53))),"Weed Control",
OR(ISNUMBER(SEARCH("fungicide",E53)),ISNUMBER(SEARCH("moss",E53))),"Disease &amp; Moss Control",
OR(ISNUMBER(SEARCH("plant food",E53)),ISNUMBER(SEARCH("miracid",E53))),"Plant Nutrition",
OR(ISNUMBER(SEARCH("perlite",E53))),"Soil Amendment",
OR(ISNUMBER(SEARCH("spreader",E53)),ISNUMBER(SEARCH("sprayer",E53)),ISNUMBER(SEARCH("mower",E53)),ISNUMBER(SEARCH("sweeper",E53)),ISNUMBER(SEARCH("pruner",E53)),ISNUMBER(SEARCH("trimmer",E53)),ISNUMBER(SEARCH("pole saw",E53))),"Garden Equipment",
TRUE,"Other"
)</f>
        <v>Flying Insect Control</v>
      </c>
      <c r="I53" s="7" t="str" cm="1">
        <f t="array" ref="I53">_xlfn.IFS(
OR(ISNUMBER(SEARCH("glue trap",E53)),ISNUMBER(SEARCH("glue board",E53))),"Glue Traps",
OR(ISNUMBER(SEARCH("snap trap",E53)),ISNUMBER(SEARCH("power-kill",E53)),ISNUMBER(SEARCH("wide pedal",E53)),ISNUMBER(SEARCH("metal pedal",E53))),"Snap Traps",
OR(ISNUMBER(SEARCH("electronic",E53)),ISNUMBER(SEARCH("zapper",E53))),"Electronic Traps",
OR(ISNUMBER(SEARCH("live catch",E53)),ISNUMBER(SEARCH("multi-catch",E53)),ISNUMBER(SEARCH("catch &amp; hold",E53)),ISNUMBER(SEARCH("tin cat",E53))),"Live Catch Traps",
OR(ISNUMBER(SEARCH("bait",E53)),ISNUMBER(SEARCH("poison",E53))),"Bait &amp; Poison",
ISNUMBER(SEARCH("repellent",E53)),"Repellents",
OR(ISNUMBER(SEARCH("fly trap",E53)),ISNUMBER(SEARCH("fly ribbon",E53)),ISNUMBER(SEARCH("fly stick",E53)),ISNUMBER(SEARCH("window fly",E53)),ISNUMBER(SEARCH("fly magnet",E53))),"Fly Traps",
OR(ISNUMBER(SEARCH("uv",E53)),ISNUMBER(SEARCH("fly light",E53)),ISNUMBER(SEARCH("plug-in",E53))),"UV Fly Traps",
ISNUMBER(SEARCH("roach",E53)),"Roach Traps",
ISNUMBER(SEARCH("ant",E53)),"Ant Traps",
ISNUMBER(SEARCH("spider",E53)),"Spider Traps",
ISNUMBER(SEARCH("mosquito",E53)),"Mosquito Traps",
ISNUMBER(SEARCH("beetle",E53)),"Beetle Traps",
ISNUMBER(SEARCH("lantern",E53)),"Lanternfly Control",
OR(ISNUMBER(SEARCH("tree shield",E53)),ISNUMBER(SEARCH("tree banding",E53)),ISNUMBER(SEARCH("insect barrier",E53))),"Tree Barriers",
OR(ISNUMBER(SEARCH("sun &amp; shade",E53)),ISNUMBER(SEARCH("sun and shade",E53))),"Sun &amp; Shade Mix",
ISNUMBER(SEARCH("tall fescue",E53)),"Tall Fescue",
ISNUMBER(SEARCH("bermudagrass",E53)),"Bermudagrass",
ISNUMBER(SEARCH("kentucky",E53)),"Kentucky Bluegrass",
ISNUMBER(SEARCH("zoysia",E53)),"Zoysia",
ISNUMBER(SEARCH("ryegrass",E53)),"Perennial Ryegrass",
ISNUMBER(SEARCH("centipede",E53)),"Centipede Grass",
ISNUMBER(SEARCH("dense shade",E53)),"Dense Shade Mix",
ISNUMBER(SEARCH("southern gold",E53)),"Southern Gold Mix",
ISNUMBER(SEARCH("heat-tolerant blue",E53)),"Heat-Tolerant Blue Mix",
ISNUMBER(SEARCH("high traffic",E53)),"High Traffic Mix",
ISNUMBER(SEARCH("quick fix",E53)),"Quick Fix Mix",
ISNUMBER(SEARCH("starter",E53)),"Starter Fertilizer",
ISNUMBER(SEARCH("weed &amp; feed",E53)),"Weed &amp; Feed",
ISNUMBER(SEARCH("lawn food",E53)),"Lawn Food",
ISNUMBER(SEARCH("triple action",E53)),"Triple Action Fertilizer",
ISNUMBER(SEARCH("green max",E53)),"Green Max Lawn Food",
ISNUMBER(SEARCH("patchmaster",E53)),"PatchMaster Repair",
ISNUMBER(SEARCH("ez seed",E53)),"EZ Seed Repair",
ISNUMBER(SEARCH("rapid grass",E53)),"Rapid Grass",
ISNUMBER(SEARCH("thick'r lawn",E53)),"Thick'R Lawn",
ISNUMBER(SEARCH("fungicide",E53)),"Fungicide",
ISNUMBER(SEARCH("moss",E53)),"Moss Control",
ISNUMBER(SEARCH("perlite",E53)),"Perlite",
ISNUMBER(SEARCH("plant food",E53)),"Plant Food",
ISNUMBER(SEARCH("spreader",E53)),"Spreader",
ISNUMBER(SEARCH("sprayer",E53)),"Sprayer",
ISNUMBER(SEARCH("mower",E53)),"Lawn Mower",
ISNUMBER(SEARCH("sweeper",E53)),"Lawn Sweeper",
OR(ISNUMBER(SEARCH("pruner",E53)),ISNUMBER(SEARCH("trimmer",E53)),ISNUMBER(SEARCH("pole saw",E53))),"Pruning Tools",
TRUE,"Other"
)</f>
        <v>Bait &amp; Poison</v>
      </c>
      <c r="J53" s="7" t="str">
        <f t="shared" si="2"/>
        <v>Flying Insect Control - Bait &amp; Poison</v>
      </c>
      <c r="K53" s="1">
        <v>300</v>
      </c>
      <c r="L53" s="1">
        <v>3.9</v>
      </c>
      <c r="M53" s="1">
        <v>499</v>
      </c>
      <c r="N53" s="1" t="s">
        <v>282</v>
      </c>
      <c r="O53" s="1">
        <f>VLOOKUP(A53,[2]Sheet1!$A:$B,2,0)</f>
        <v>0</v>
      </c>
      <c r="P53" s="1">
        <f>VLOOKUP(A53,[2]Sheet1!$A:$C,3,0)</f>
        <v>50</v>
      </c>
      <c r="Q53" s="7">
        <f>VLOOKUP(A53,[2]Sheet1!$A:$D,4,0)</f>
        <v>100</v>
      </c>
      <c r="R53" s="7">
        <f>VLOOKUP(A53,[2]Sheet1!$A:$E,5,0)</f>
        <v>1000</v>
      </c>
      <c r="S53" s="7">
        <f>VLOOKUP(A53,[2]Sheet1!$A:$F,6,0)</f>
        <v>1000</v>
      </c>
      <c r="T53" s="7">
        <f>VLOOKUP(A53,[2]Sheet1!$A:$G,7,0)</f>
        <v>1000</v>
      </c>
      <c r="U53" s="7">
        <f>VLOOKUP(A53,[2]Sheet1!$A:$H,8,0)</f>
        <v>1000</v>
      </c>
      <c r="V53" s="7">
        <f>VLOOKUP(A53,[2]Sheet1!$A:$I,9,0)</f>
        <v>600</v>
      </c>
      <c r="W53" s="7">
        <f>VLOOKUP(A53,[2]Sheet1!$A:$K,10,0)</f>
        <v>400</v>
      </c>
      <c r="X53" s="7">
        <f>VLOOKUP(A53,[2]Sheet1!$A:$L,11,0)</f>
        <v>300</v>
      </c>
      <c r="Y53" s="7">
        <f>VLOOKUP(A53,[2]Sheet1!$A:$L,12,0)</f>
        <v>200</v>
      </c>
      <c r="Z53" s="7">
        <f>VLOOKUP(A53,[2]Sheet1!$A:$M,13,0)</f>
        <v>50</v>
      </c>
      <c r="AA53" s="1">
        <f t="shared" si="0"/>
        <v>5700</v>
      </c>
      <c r="AB53" s="7">
        <f t="shared" si="3"/>
        <v>475</v>
      </c>
      <c r="AC53" s="13">
        <f t="shared" si="1"/>
        <v>475</v>
      </c>
      <c r="AD53" s="9">
        <f t="shared" si="4"/>
        <v>199443</v>
      </c>
      <c r="AE53" s="9">
        <f t="shared" si="5"/>
        <v>16620.25</v>
      </c>
      <c r="AF53" s="11">
        <v>8.6199999999999992</v>
      </c>
      <c r="AG53" s="11">
        <v>34.99</v>
      </c>
      <c r="AH53" s="9">
        <f t="shared" si="6"/>
        <v>0.29173333333333334</v>
      </c>
      <c r="AI53" s="11">
        <f t="shared" si="7"/>
        <v>1.0210666666666666</v>
      </c>
      <c r="AJ53" s="14">
        <v>0.5</v>
      </c>
      <c r="AK53" s="14">
        <v>0.5</v>
      </c>
      <c r="AL53" s="11">
        <v>8.6199999999999992</v>
      </c>
      <c r="AM53" s="9">
        <f t="shared" si="8"/>
        <v>5.2484999999999999</v>
      </c>
      <c r="AN53" s="9">
        <f t="shared" si="9"/>
        <v>1.0497000000000001</v>
      </c>
      <c r="AO53" s="9">
        <f t="shared" si="10"/>
        <v>6.9980000000000011</v>
      </c>
      <c r="AP53" s="9">
        <f t="shared" si="11"/>
        <v>0.69980000000000009</v>
      </c>
      <c r="AQ53" s="9">
        <f t="shared" si="12"/>
        <v>6.9980000000000011</v>
      </c>
      <c r="AR53" s="9">
        <f t="shared" si="13"/>
        <v>8.7475000000000005</v>
      </c>
      <c r="AS53" s="11">
        <f t="shared" si="14"/>
        <v>2.9173333333333331</v>
      </c>
      <c r="AT53" s="12">
        <f t="shared" si="15"/>
        <v>1.7510000000000001</v>
      </c>
    </row>
    <row r="54" spans="1:46" ht="16.5" x14ac:dyDescent="0.4">
      <c r="A54" s="1" t="s">
        <v>283</v>
      </c>
      <c r="B54" s="7" t="s">
        <v>42</v>
      </c>
      <c r="C54" s="7">
        <v>0</v>
      </c>
      <c r="D54" s="1" t="s">
        <v>284</v>
      </c>
      <c r="E54" s="1" t="s">
        <v>285</v>
      </c>
      <c r="F54" s="1" t="s">
        <v>286</v>
      </c>
      <c r="G54" s="7" t="str">
        <f>VLOOKUP(A54,[1]done!$A:$I,9,0)</f>
        <v>Mosquito/Fly</v>
      </c>
      <c r="H54" s="7" t="str" cm="1">
        <f t="array" ref="H54">_xlfn.IFS(
OR(ISNUMBER(SEARCH("mouse",E54)),ISNUMBER(SEARCH("rat",E54)),ISNUMBER(SEARCH("mice",E54)),ISNUMBER(SEARCH("rodent",E54))),"Rodent Control",
OR(ISNUMBER(SEARCH("fly",E54)),ISNUMBER(SEARCH("gnat",E54)),ISNUMBER(SEARCH("insect",E54)),ISNUMBER(SEARCH("mosquito",E54))),"Flying Insect Control",
OR(ISNUMBER(SEARCH("roach",E54)),ISNUMBER(SEARCH("ant",E54)),ISNUMBER(SEARCH("spider",E54)),ISNUMBER(SEARCH("cricket",E54)),ISNUMBER(SEARCH("scorpion",E54)),ISNUMBER(SEARCH("centipede",E54)),ISNUMBER(SEARCH("beetle",E54))),"Crawling Insect Control",
OR(ISNUMBER(SEARCH("tree",E54)),ISNUMBER(SEARCH("lantern",E54)),ISNUMBER(SEARCH("garden",E54)),ISNUMBER(SEARCH("plant",E54))),"Garden Pest Control",
OR(ISNUMBER(SEARCH("grass seed",E54)),ISNUMBER(SEARCH("seed mix",E54))),"Grass Seed",
OR(ISNUMBER(SEARCH("lawn food",E54)),ISNUMBER(SEARCH("fertilizer",E54))),"Lawn Fertilizer",
OR(ISNUMBER(SEARCH("patch",E54)),ISNUMBER(SEARCH("repair",E54)),ISNUMBER(SEARCH("thick'r",E54)),ISNUMBER(SEARCH("thick'r lawn",E54)),ISNUMBER(SEARCH("rapid grass",E54))),"Lawn Repair",
OR(ISNUMBER(SEARCH("weed",E54)),ISNUMBER(SEARCH("crabgrass",E54))),"Weed Control",
OR(ISNUMBER(SEARCH("fungicide",E54)),ISNUMBER(SEARCH("moss",E54))),"Disease &amp; Moss Control",
OR(ISNUMBER(SEARCH("plant food",E54)),ISNUMBER(SEARCH("miracid",E54))),"Plant Nutrition",
OR(ISNUMBER(SEARCH("perlite",E54))),"Soil Amendment",
OR(ISNUMBER(SEARCH("spreader",E54)),ISNUMBER(SEARCH("sprayer",E54)),ISNUMBER(SEARCH("mower",E54)),ISNUMBER(SEARCH("sweeper",E54)),ISNUMBER(SEARCH("pruner",E54)),ISNUMBER(SEARCH("trimmer",E54)),ISNUMBER(SEARCH("pole saw",E54))),"Garden Equipment",
TRUE,"Other"
)</f>
        <v>Flying Insect Control</v>
      </c>
      <c r="I54" s="7" t="str" cm="1">
        <f t="array" ref="I54">_xlfn.IFS(
OR(ISNUMBER(SEARCH("glue trap",E54)),ISNUMBER(SEARCH("glue board",E54))),"Glue Traps",
OR(ISNUMBER(SEARCH("snap trap",E54)),ISNUMBER(SEARCH("power-kill",E54)),ISNUMBER(SEARCH("wide pedal",E54)),ISNUMBER(SEARCH("metal pedal",E54))),"Snap Traps",
OR(ISNUMBER(SEARCH("electronic",E54)),ISNUMBER(SEARCH("zapper",E54))),"Electronic Traps",
OR(ISNUMBER(SEARCH("live catch",E54)),ISNUMBER(SEARCH("multi-catch",E54)),ISNUMBER(SEARCH("catch &amp; hold",E54)),ISNUMBER(SEARCH("tin cat",E54))),"Live Catch Traps",
OR(ISNUMBER(SEARCH("bait",E54)),ISNUMBER(SEARCH("poison",E54))),"Bait &amp; Poison",
ISNUMBER(SEARCH("repellent",E54)),"Repellents",
OR(ISNUMBER(SEARCH("fly trap",E54)),ISNUMBER(SEARCH("fly ribbon",E54)),ISNUMBER(SEARCH("fly stick",E54)),ISNUMBER(SEARCH("window fly",E54)),ISNUMBER(SEARCH("fly magnet",E54))),"Fly Traps",
OR(ISNUMBER(SEARCH("uv",E54)),ISNUMBER(SEARCH("fly light",E54)),ISNUMBER(SEARCH("plug-in",E54))),"UV Fly Traps",
ISNUMBER(SEARCH("roach",E54)),"Roach Traps",
ISNUMBER(SEARCH("ant",E54)),"Ant Traps",
ISNUMBER(SEARCH("spider",E54)),"Spider Traps",
ISNUMBER(SEARCH("mosquito",E54)),"Mosquito Traps",
ISNUMBER(SEARCH("beetle",E54)),"Beetle Traps",
ISNUMBER(SEARCH("lantern",E54)),"Lanternfly Control",
OR(ISNUMBER(SEARCH("tree shield",E54)),ISNUMBER(SEARCH("tree banding",E54)),ISNUMBER(SEARCH("insect barrier",E54))),"Tree Barriers",
OR(ISNUMBER(SEARCH("sun &amp; shade",E54)),ISNUMBER(SEARCH("sun and shade",E54))),"Sun &amp; Shade Mix",
ISNUMBER(SEARCH("tall fescue",E54)),"Tall Fescue",
ISNUMBER(SEARCH("bermudagrass",E54)),"Bermudagrass",
ISNUMBER(SEARCH("kentucky",E54)),"Kentucky Bluegrass",
ISNUMBER(SEARCH("zoysia",E54)),"Zoysia",
ISNUMBER(SEARCH("ryegrass",E54)),"Perennial Ryegrass",
ISNUMBER(SEARCH("centipede",E54)),"Centipede Grass",
ISNUMBER(SEARCH("dense shade",E54)),"Dense Shade Mix",
ISNUMBER(SEARCH("southern gold",E54)),"Southern Gold Mix",
ISNUMBER(SEARCH("heat-tolerant blue",E54)),"Heat-Tolerant Blue Mix",
ISNUMBER(SEARCH("high traffic",E54)),"High Traffic Mix",
ISNUMBER(SEARCH("quick fix",E54)),"Quick Fix Mix",
ISNUMBER(SEARCH("starter",E54)),"Starter Fertilizer",
ISNUMBER(SEARCH("weed &amp; feed",E54)),"Weed &amp; Feed",
ISNUMBER(SEARCH("lawn food",E54)),"Lawn Food",
ISNUMBER(SEARCH("triple action",E54)),"Triple Action Fertilizer",
ISNUMBER(SEARCH("green max",E54)),"Green Max Lawn Food",
ISNUMBER(SEARCH("patchmaster",E54)),"PatchMaster Repair",
ISNUMBER(SEARCH("ez seed",E54)),"EZ Seed Repair",
ISNUMBER(SEARCH("rapid grass",E54)),"Rapid Grass",
ISNUMBER(SEARCH("thick'r lawn",E54)),"Thick'R Lawn",
ISNUMBER(SEARCH("fungicide",E54)),"Fungicide",
ISNUMBER(SEARCH("moss",E54)),"Moss Control",
ISNUMBER(SEARCH("perlite",E54)),"Perlite",
ISNUMBER(SEARCH("plant food",E54)),"Plant Food",
ISNUMBER(SEARCH("spreader",E54)),"Spreader",
ISNUMBER(SEARCH("sprayer",E54)),"Sprayer",
ISNUMBER(SEARCH("mower",E54)),"Lawn Mower",
ISNUMBER(SEARCH("sweeper",E54)),"Lawn Sweeper",
OR(ISNUMBER(SEARCH("pruner",E54)),ISNUMBER(SEARCH("trimmer",E54)),ISNUMBER(SEARCH("pole saw",E54))),"Pruning Tools",
TRUE,"Other"
)</f>
        <v>Fly Traps</v>
      </c>
      <c r="J54" s="7" t="str">
        <f t="shared" si="2"/>
        <v>Flying Insect Control - Fly Traps</v>
      </c>
      <c r="K54" s="1">
        <v>400</v>
      </c>
      <c r="L54" s="1">
        <v>4.5</v>
      </c>
      <c r="M54" s="1">
        <v>1812</v>
      </c>
      <c r="N54" s="1" t="s">
        <v>287</v>
      </c>
      <c r="O54" s="1">
        <f>VLOOKUP(A54,[2]Sheet1!$A:$B,2,0)</f>
        <v>100</v>
      </c>
      <c r="P54" s="1">
        <f>VLOOKUP(A54,[2]Sheet1!$A:$C,3,0)</f>
        <v>200</v>
      </c>
      <c r="Q54" s="7">
        <f>VLOOKUP(A54,[2]Sheet1!$A:$D,4,0)</f>
        <v>300</v>
      </c>
      <c r="R54" s="7">
        <f>VLOOKUP(A54,[2]Sheet1!$A:$E,5,0)</f>
        <v>100</v>
      </c>
      <c r="S54" s="7">
        <f>VLOOKUP(A54,[2]Sheet1!$A:$F,6,0)</f>
        <v>200</v>
      </c>
      <c r="T54" s="7">
        <f>VLOOKUP(A54,[2]Sheet1!$A:$G,7,0)</f>
        <v>600</v>
      </c>
      <c r="U54" s="7">
        <f>VLOOKUP(A54,[2]Sheet1!$A:$H,8,0)</f>
        <v>700</v>
      </c>
      <c r="V54" s="7">
        <f>VLOOKUP(A54,[2]Sheet1!$A:$I,9,0)</f>
        <v>500</v>
      </c>
      <c r="W54" s="7">
        <f>VLOOKUP(A54,[2]Sheet1!$A:$K,10,0)</f>
        <v>400</v>
      </c>
      <c r="X54" s="7">
        <f>VLOOKUP(A54,[2]Sheet1!$A:$L,11,0)</f>
        <v>300</v>
      </c>
      <c r="Y54" s="7">
        <f>VLOOKUP(A54,[2]Sheet1!$A:$L,12,0)</f>
        <v>200</v>
      </c>
      <c r="Z54" s="7">
        <f>VLOOKUP(A54,[2]Sheet1!$A:$M,13,0)</f>
        <v>100</v>
      </c>
      <c r="AA54" s="1">
        <f t="shared" si="0"/>
        <v>3700</v>
      </c>
      <c r="AB54" s="7">
        <f t="shared" si="3"/>
        <v>308</v>
      </c>
      <c r="AC54" s="13">
        <f t="shared" si="1"/>
        <v>308.33333333333331</v>
      </c>
      <c r="AD54" s="9">
        <f t="shared" si="4"/>
        <v>107263</v>
      </c>
      <c r="AE54" s="9">
        <f t="shared" si="5"/>
        <v>8938.5833333333321</v>
      </c>
      <c r="AF54" s="11">
        <v>4.76</v>
      </c>
      <c r="AG54" s="11">
        <v>28.99</v>
      </c>
      <c r="AH54" s="9">
        <f t="shared" si="6"/>
        <v>0.38906666666666662</v>
      </c>
      <c r="AI54" s="11">
        <f t="shared" si="7"/>
        <v>1.361733333333333</v>
      </c>
      <c r="AJ54" s="14">
        <v>0.5</v>
      </c>
      <c r="AK54" s="14">
        <v>0.5</v>
      </c>
      <c r="AL54" s="11">
        <v>4.76</v>
      </c>
      <c r="AM54" s="9">
        <f t="shared" si="8"/>
        <v>4.3484999999999996</v>
      </c>
      <c r="AN54" s="9">
        <f t="shared" si="9"/>
        <v>0.86969999999999992</v>
      </c>
      <c r="AO54" s="9">
        <f t="shared" si="10"/>
        <v>5.798</v>
      </c>
      <c r="AP54" s="9">
        <f t="shared" si="11"/>
        <v>0.57979999999999998</v>
      </c>
      <c r="AQ54" s="9">
        <f t="shared" si="12"/>
        <v>5.798</v>
      </c>
      <c r="AR54" s="9">
        <f t="shared" si="13"/>
        <v>7.2474999999999996</v>
      </c>
      <c r="AS54" s="11">
        <f t="shared" si="14"/>
        <v>3.8906666666666658</v>
      </c>
      <c r="AT54" s="12">
        <f t="shared" si="15"/>
        <v>2.9243333333333328</v>
      </c>
    </row>
    <row r="55" spans="1:46" ht="16.5" x14ac:dyDescent="0.4">
      <c r="A55" s="1" t="s">
        <v>288</v>
      </c>
      <c r="B55" s="7" t="s">
        <v>42</v>
      </c>
      <c r="C55" s="7" t="s">
        <v>1780</v>
      </c>
      <c r="D55" s="1" t="s">
        <v>289</v>
      </c>
      <c r="E55" s="1" t="s">
        <v>290</v>
      </c>
      <c r="F55" s="1" t="s">
        <v>291</v>
      </c>
      <c r="G55" s="7" t="str">
        <f>VLOOKUP(A55,[1]done!$A:$I,9,0)</f>
        <v>Mosquito/Fly</v>
      </c>
      <c r="H55" s="7" t="str" cm="1">
        <f t="array" ref="H55">_xlfn.IFS(
OR(ISNUMBER(SEARCH("mouse",E55)),ISNUMBER(SEARCH("rat",E55)),ISNUMBER(SEARCH("mice",E55)),ISNUMBER(SEARCH("rodent",E55))),"Rodent Control",
OR(ISNUMBER(SEARCH("fly",E55)),ISNUMBER(SEARCH("gnat",E55)),ISNUMBER(SEARCH("insect",E55)),ISNUMBER(SEARCH("mosquito",E55))),"Flying Insect Control",
OR(ISNUMBER(SEARCH("roach",E55)),ISNUMBER(SEARCH("ant",E55)),ISNUMBER(SEARCH("spider",E55)),ISNUMBER(SEARCH("cricket",E55)),ISNUMBER(SEARCH("scorpion",E55)),ISNUMBER(SEARCH("centipede",E55)),ISNUMBER(SEARCH("beetle",E55))),"Crawling Insect Control",
OR(ISNUMBER(SEARCH("tree",E55)),ISNUMBER(SEARCH("lantern",E55)),ISNUMBER(SEARCH("garden",E55)),ISNUMBER(SEARCH("plant",E55))),"Garden Pest Control",
OR(ISNUMBER(SEARCH("grass seed",E55)),ISNUMBER(SEARCH("seed mix",E55))),"Grass Seed",
OR(ISNUMBER(SEARCH("lawn food",E55)),ISNUMBER(SEARCH("fertilizer",E55))),"Lawn Fertilizer",
OR(ISNUMBER(SEARCH("patch",E55)),ISNUMBER(SEARCH("repair",E55)),ISNUMBER(SEARCH("thick'r",E55)),ISNUMBER(SEARCH("thick'r lawn",E55)),ISNUMBER(SEARCH("rapid grass",E55))),"Lawn Repair",
OR(ISNUMBER(SEARCH("weed",E55)),ISNUMBER(SEARCH("crabgrass",E55))),"Weed Control",
OR(ISNUMBER(SEARCH("fungicide",E55)),ISNUMBER(SEARCH("moss",E55))),"Disease &amp; Moss Control",
OR(ISNUMBER(SEARCH("plant food",E55)),ISNUMBER(SEARCH("miracid",E55))),"Plant Nutrition",
OR(ISNUMBER(SEARCH("perlite",E55))),"Soil Amendment",
OR(ISNUMBER(SEARCH("spreader",E55)),ISNUMBER(SEARCH("sprayer",E55)),ISNUMBER(SEARCH("mower",E55)),ISNUMBER(SEARCH("sweeper",E55)),ISNUMBER(SEARCH("pruner",E55)),ISNUMBER(SEARCH("trimmer",E55)),ISNUMBER(SEARCH("pole saw",E55))),"Garden Equipment",
TRUE,"Other"
)</f>
        <v>Flying Insect Control</v>
      </c>
      <c r="I55" s="7" t="str" cm="1">
        <f t="array" ref="I55">_xlfn.IFS(
OR(ISNUMBER(SEARCH("glue trap",E55)),ISNUMBER(SEARCH("glue board",E55))),"Glue Traps",
OR(ISNUMBER(SEARCH("snap trap",E55)),ISNUMBER(SEARCH("power-kill",E55)),ISNUMBER(SEARCH("wide pedal",E55)),ISNUMBER(SEARCH("metal pedal",E55))),"Snap Traps",
OR(ISNUMBER(SEARCH("electronic",E55)),ISNUMBER(SEARCH("zapper",E55))),"Electronic Traps",
OR(ISNUMBER(SEARCH("live catch",E55)),ISNUMBER(SEARCH("multi-catch",E55)),ISNUMBER(SEARCH("catch &amp; hold",E55)),ISNUMBER(SEARCH("tin cat",E55))),"Live Catch Traps",
OR(ISNUMBER(SEARCH("bait",E55)),ISNUMBER(SEARCH("poison",E55))),"Bait &amp; Poison",
ISNUMBER(SEARCH("repellent",E55)),"Repellents",
OR(ISNUMBER(SEARCH("fly trap",E55)),ISNUMBER(SEARCH("fly ribbon",E55)),ISNUMBER(SEARCH("fly stick",E55)),ISNUMBER(SEARCH("window fly",E55)),ISNUMBER(SEARCH("fly magnet",E55))),"Fly Traps",
OR(ISNUMBER(SEARCH("uv",E55)),ISNUMBER(SEARCH("fly light",E55)),ISNUMBER(SEARCH("plug-in",E55))),"UV Fly Traps",
ISNUMBER(SEARCH("roach",E55)),"Roach Traps",
ISNUMBER(SEARCH("ant",E55)),"Ant Traps",
ISNUMBER(SEARCH("spider",E55)),"Spider Traps",
ISNUMBER(SEARCH("mosquito",E55)),"Mosquito Traps",
ISNUMBER(SEARCH("beetle",E55)),"Beetle Traps",
ISNUMBER(SEARCH("lantern",E55)),"Lanternfly Control",
OR(ISNUMBER(SEARCH("tree shield",E55)),ISNUMBER(SEARCH("tree banding",E55)),ISNUMBER(SEARCH("insect barrier",E55))),"Tree Barriers",
OR(ISNUMBER(SEARCH("sun &amp; shade",E55)),ISNUMBER(SEARCH("sun and shade",E55))),"Sun &amp; Shade Mix",
ISNUMBER(SEARCH("tall fescue",E55)),"Tall Fescue",
ISNUMBER(SEARCH("bermudagrass",E55)),"Bermudagrass",
ISNUMBER(SEARCH("kentucky",E55)),"Kentucky Bluegrass",
ISNUMBER(SEARCH("zoysia",E55)),"Zoysia",
ISNUMBER(SEARCH("ryegrass",E55)),"Perennial Ryegrass",
ISNUMBER(SEARCH("centipede",E55)),"Centipede Grass",
ISNUMBER(SEARCH("dense shade",E55)),"Dense Shade Mix",
ISNUMBER(SEARCH("southern gold",E55)),"Southern Gold Mix",
ISNUMBER(SEARCH("heat-tolerant blue",E55)),"Heat-Tolerant Blue Mix",
ISNUMBER(SEARCH("high traffic",E55)),"High Traffic Mix",
ISNUMBER(SEARCH("quick fix",E55)),"Quick Fix Mix",
ISNUMBER(SEARCH("starter",E55)),"Starter Fertilizer",
ISNUMBER(SEARCH("weed &amp; feed",E55)),"Weed &amp; Feed",
ISNUMBER(SEARCH("lawn food",E55)),"Lawn Food",
ISNUMBER(SEARCH("triple action",E55)),"Triple Action Fertilizer",
ISNUMBER(SEARCH("green max",E55)),"Green Max Lawn Food",
ISNUMBER(SEARCH("patchmaster",E55)),"PatchMaster Repair",
ISNUMBER(SEARCH("ez seed",E55)),"EZ Seed Repair",
ISNUMBER(SEARCH("rapid grass",E55)),"Rapid Grass",
ISNUMBER(SEARCH("thick'r lawn",E55)),"Thick'R Lawn",
ISNUMBER(SEARCH("fungicide",E55)),"Fungicide",
ISNUMBER(SEARCH("moss",E55)),"Moss Control",
ISNUMBER(SEARCH("perlite",E55)),"Perlite",
ISNUMBER(SEARCH("plant food",E55)),"Plant Food",
ISNUMBER(SEARCH("spreader",E55)),"Spreader",
ISNUMBER(SEARCH("sprayer",E55)),"Sprayer",
ISNUMBER(SEARCH("mower",E55)),"Lawn Mower",
ISNUMBER(SEARCH("sweeper",E55)),"Lawn Sweeper",
OR(ISNUMBER(SEARCH("pruner",E55)),ISNUMBER(SEARCH("trimmer",E55)),ISNUMBER(SEARCH("pole saw",E55))),"Pruning Tools",
TRUE,"Other"
)</f>
        <v>Fly Traps</v>
      </c>
      <c r="J55" s="7" t="str">
        <f t="shared" si="2"/>
        <v>Flying Insect Control - Fly Traps</v>
      </c>
      <c r="K55" s="1">
        <v>400</v>
      </c>
      <c r="L55" s="1">
        <v>2.8</v>
      </c>
      <c r="M55" s="1">
        <v>77</v>
      </c>
      <c r="N55" s="1"/>
      <c r="O55" s="1">
        <f>VLOOKUP(A55,[2]Sheet1!$A:$B,2,0)</f>
        <v>0</v>
      </c>
      <c r="P55" s="1">
        <f>VLOOKUP(A55,[2]Sheet1!$A:$C,3,0)</f>
        <v>0</v>
      </c>
      <c r="Q55" s="7">
        <f>VLOOKUP(A55,[2]Sheet1!$A:$D,4,0)</f>
        <v>0</v>
      </c>
      <c r="R55" s="7">
        <f>VLOOKUP(A55,[2]Sheet1!$A:$E,5,0)</f>
        <v>0</v>
      </c>
      <c r="S55" s="7">
        <f>VLOOKUP(A55,[2]Sheet1!$A:$F,6,0)</f>
        <v>0</v>
      </c>
      <c r="T55" s="7">
        <f>VLOOKUP(A55,[2]Sheet1!$A:$G,7,0)</f>
        <v>0</v>
      </c>
      <c r="U55" s="7">
        <f>VLOOKUP(A55,[2]Sheet1!$A:$H,8,0)</f>
        <v>0</v>
      </c>
      <c r="V55" s="7">
        <f>VLOOKUP(A55,[2]Sheet1!$A:$I,9,0)</f>
        <v>1000</v>
      </c>
      <c r="W55" s="7">
        <f>VLOOKUP(A55,[2]Sheet1!$A:$K,10,0)</f>
        <v>400</v>
      </c>
      <c r="X55" s="7">
        <f>VLOOKUP(A55,[2]Sheet1!$A:$L,11,0)</f>
        <v>0</v>
      </c>
      <c r="Y55" s="7">
        <f>VLOOKUP(A55,[2]Sheet1!$A:$L,12,0)</f>
        <v>0</v>
      </c>
      <c r="Z55" s="7">
        <f>VLOOKUP(A55,[2]Sheet1!$A:$M,13,0)</f>
        <v>0</v>
      </c>
      <c r="AA55" s="1">
        <f t="shared" si="0"/>
        <v>1400</v>
      </c>
      <c r="AB55" s="7">
        <f t="shared" si="3"/>
        <v>117</v>
      </c>
      <c r="AC55" s="13">
        <f t="shared" si="1"/>
        <v>116.66666666666667</v>
      </c>
      <c r="AD55" s="9">
        <f t="shared" si="4"/>
        <v>30785.999999999996</v>
      </c>
      <c r="AE55" s="9">
        <f t="shared" si="5"/>
        <v>2565.5</v>
      </c>
      <c r="AF55" s="11">
        <v>7.3</v>
      </c>
      <c r="AG55" s="11">
        <v>21.99</v>
      </c>
      <c r="AH55" s="9">
        <f t="shared" si="6"/>
        <v>3.306666666666664E-2</v>
      </c>
      <c r="AI55" s="11">
        <f t="shared" si="7"/>
        <v>0.11573333333333323</v>
      </c>
      <c r="AJ55" s="14">
        <v>0.5</v>
      </c>
      <c r="AK55" s="14">
        <v>0.5</v>
      </c>
      <c r="AL55" s="11">
        <v>7.3</v>
      </c>
      <c r="AM55" s="9">
        <f t="shared" si="8"/>
        <v>3.2984999999999998</v>
      </c>
      <c r="AN55" s="9">
        <f t="shared" si="9"/>
        <v>0.65969999999999995</v>
      </c>
      <c r="AO55" s="9">
        <f t="shared" si="10"/>
        <v>4.3979999999999997</v>
      </c>
      <c r="AP55" s="9">
        <f t="shared" si="11"/>
        <v>0.43979999999999997</v>
      </c>
      <c r="AQ55" s="9">
        <f t="shared" si="12"/>
        <v>4.3979999999999997</v>
      </c>
      <c r="AR55" s="9">
        <f t="shared" si="13"/>
        <v>5.4974999999999996</v>
      </c>
      <c r="AS55" s="11">
        <f t="shared" si="14"/>
        <v>0.33066666666666639</v>
      </c>
      <c r="AT55" s="12">
        <f t="shared" si="15"/>
        <v>-0.4023333333333336</v>
      </c>
    </row>
    <row r="56" spans="1:46" ht="16.5" x14ac:dyDescent="0.4">
      <c r="A56" s="1" t="s">
        <v>292</v>
      </c>
      <c r="B56" s="7" t="s">
        <v>42</v>
      </c>
      <c r="C56" s="7" t="s">
        <v>42</v>
      </c>
      <c r="D56" s="1" t="s">
        <v>293</v>
      </c>
      <c r="E56" s="1" t="s">
        <v>294</v>
      </c>
      <c r="F56" s="1" t="s">
        <v>295</v>
      </c>
      <c r="G56" s="7" t="str">
        <f>VLOOKUP(A56,[1]done!$A:$I,9,0)</f>
        <v>Mosquito/Fly</v>
      </c>
      <c r="H56" s="7" t="str" cm="1">
        <f t="array" ref="H56">_xlfn.IFS(
OR(ISNUMBER(SEARCH("mouse",E56)),ISNUMBER(SEARCH("rat",E56)),ISNUMBER(SEARCH("mice",E56)),ISNUMBER(SEARCH("rodent",E56))),"Rodent Control",
OR(ISNUMBER(SEARCH("fly",E56)),ISNUMBER(SEARCH("gnat",E56)),ISNUMBER(SEARCH("insect",E56)),ISNUMBER(SEARCH("mosquito",E56))),"Flying Insect Control",
OR(ISNUMBER(SEARCH("roach",E56)),ISNUMBER(SEARCH("ant",E56)),ISNUMBER(SEARCH("spider",E56)),ISNUMBER(SEARCH("cricket",E56)),ISNUMBER(SEARCH("scorpion",E56)),ISNUMBER(SEARCH("centipede",E56)),ISNUMBER(SEARCH("beetle",E56))),"Crawling Insect Control",
OR(ISNUMBER(SEARCH("tree",E56)),ISNUMBER(SEARCH("lantern",E56)),ISNUMBER(SEARCH("garden",E56)),ISNUMBER(SEARCH("plant",E56))),"Garden Pest Control",
OR(ISNUMBER(SEARCH("grass seed",E56)),ISNUMBER(SEARCH("seed mix",E56))),"Grass Seed",
OR(ISNUMBER(SEARCH("lawn food",E56)),ISNUMBER(SEARCH("fertilizer",E56))),"Lawn Fertilizer",
OR(ISNUMBER(SEARCH("patch",E56)),ISNUMBER(SEARCH("repair",E56)),ISNUMBER(SEARCH("thick'r",E56)),ISNUMBER(SEARCH("thick'r lawn",E56)),ISNUMBER(SEARCH("rapid grass",E56))),"Lawn Repair",
OR(ISNUMBER(SEARCH("weed",E56)),ISNUMBER(SEARCH("crabgrass",E56))),"Weed Control",
OR(ISNUMBER(SEARCH("fungicide",E56)),ISNUMBER(SEARCH("moss",E56))),"Disease &amp; Moss Control",
OR(ISNUMBER(SEARCH("plant food",E56)),ISNUMBER(SEARCH("miracid",E56))),"Plant Nutrition",
OR(ISNUMBER(SEARCH("perlite",E56))),"Soil Amendment",
OR(ISNUMBER(SEARCH("spreader",E56)),ISNUMBER(SEARCH("sprayer",E56)),ISNUMBER(SEARCH("mower",E56)),ISNUMBER(SEARCH("sweeper",E56)),ISNUMBER(SEARCH("pruner",E56)),ISNUMBER(SEARCH("trimmer",E56)),ISNUMBER(SEARCH("pole saw",E56))),"Garden Equipment",
TRUE,"Other"
)</f>
        <v>Flying Insect Control</v>
      </c>
      <c r="I56" s="7" t="str" cm="1">
        <f t="array" ref="I56">_xlfn.IFS(
OR(ISNUMBER(SEARCH("glue trap",E56)),ISNUMBER(SEARCH("glue board",E56))),"Glue Traps",
OR(ISNUMBER(SEARCH("snap trap",E56)),ISNUMBER(SEARCH("power-kill",E56)),ISNUMBER(SEARCH("wide pedal",E56)),ISNUMBER(SEARCH("metal pedal",E56))),"Snap Traps",
OR(ISNUMBER(SEARCH("electronic",E56)),ISNUMBER(SEARCH("zapper",E56))),"Electronic Traps",
OR(ISNUMBER(SEARCH("live catch",E56)),ISNUMBER(SEARCH("multi-catch",E56)),ISNUMBER(SEARCH("catch &amp; hold",E56)),ISNUMBER(SEARCH("tin cat",E56))),"Live Catch Traps",
OR(ISNUMBER(SEARCH("bait",E56)),ISNUMBER(SEARCH("poison",E56))),"Bait &amp; Poison",
ISNUMBER(SEARCH("repellent",E56)),"Repellents",
OR(ISNUMBER(SEARCH("fly trap",E56)),ISNUMBER(SEARCH("fly ribbon",E56)),ISNUMBER(SEARCH("fly stick",E56)),ISNUMBER(SEARCH("window fly",E56)),ISNUMBER(SEARCH("fly magnet",E56))),"Fly Traps",
OR(ISNUMBER(SEARCH("uv",E56)),ISNUMBER(SEARCH("fly light",E56)),ISNUMBER(SEARCH("plug-in",E56))),"UV Fly Traps",
ISNUMBER(SEARCH("roach",E56)),"Roach Traps",
ISNUMBER(SEARCH("ant",E56)),"Ant Traps",
ISNUMBER(SEARCH("spider",E56)),"Spider Traps",
ISNUMBER(SEARCH("mosquito",E56)),"Mosquito Traps",
ISNUMBER(SEARCH("beetle",E56)),"Beetle Traps",
ISNUMBER(SEARCH("lantern",E56)),"Lanternfly Control",
OR(ISNUMBER(SEARCH("tree shield",E56)),ISNUMBER(SEARCH("tree banding",E56)),ISNUMBER(SEARCH("insect barrier",E56))),"Tree Barriers",
OR(ISNUMBER(SEARCH("sun &amp; shade",E56)),ISNUMBER(SEARCH("sun and shade",E56))),"Sun &amp; Shade Mix",
ISNUMBER(SEARCH("tall fescue",E56)),"Tall Fescue",
ISNUMBER(SEARCH("bermudagrass",E56)),"Bermudagrass",
ISNUMBER(SEARCH("kentucky",E56)),"Kentucky Bluegrass",
ISNUMBER(SEARCH("zoysia",E56)),"Zoysia",
ISNUMBER(SEARCH("ryegrass",E56)),"Perennial Ryegrass",
ISNUMBER(SEARCH("centipede",E56)),"Centipede Grass",
ISNUMBER(SEARCH("dense shade",E56)),"Dense Shade Mix",
ISNUMBER(SEARCH("southern gold",E56)),"Southern Gold Mix",
ISNUMBER(SEARCH("heat-tolerant blue",E56)),"Heat-Tolerant Blue Mix",
ISNUMBER(SEARCH("high traffic",E56)),"High Traffic Mix",
ISNUMBER(SEARCH("quick fix",E56)),"Quick Fix Mix",
ISNUMBER(SEARCH("starter",E56)),"Starter Fertilizer",
ISNUMBER(SEARCH("weed &amp; feed",E56)),"Weed &amp; Feed",
ISNUMBER(SEARCH("lawn food",E56)),"Lawn Food",
ISNUMBER(SEARCH("triple action",E56)),"Triple Action Fertilizer",
ISNUMBER(SEARCH("green max",E56)),"Green Max Lawn Food",
ISNUMBER(SEARCH("patchmaster",E56)),"PatchMaster Repair",
ISNUMBER(SEARCH("ez seed",E56)),"EZ Seed Repair",
ISNUMBER(SEARCH("rapid grass",E56)),"Rapid Grass",
ISNUMBER(SEARCH("thick'r lawn",E56)),"Thick'R Lawn",
ISNUMBER(SEARCH("fungicide",E56)),"Fungicide",
ISNUMBER(SEARCH("moss",E56)),"Moss Control",
ISNUMBER(SEARCH("perlite",E56)),"Perlite",
ISNUMBER(SEARCH("plant food",E56)),"Plant Food",
ISNUMBER(SEARCH("spreader",E56)),"Spreader",
ISNUMBER(SEARCH("sprayer",E56)),"Sprayer",
ISNUMBER(SEARCH("mower",E56)),"Lawn Mower",
ISNUMBER(SEARCH("sweeper",E56)),"Lawn Sweeper",
OR(ISNUMBER(SEARCH("pruner",E56)),ISNUMBER(SEARCH("trimmer",E56)),ISNUMBER(SEARCH("pole saw",E56))),"Pruning Tools",
TRUE,"Other"
)</f>
        <v>Glue Traps</v>
      </c>
      <c r="J56" s="7" t="str">
        <f t="shared" si="2"/>
        <v>Flying Insect Control - Glue Traps</v>
      </c>
      <c r="K56" s="1">
        <v>400</v>
      </c>
      <c r="L56" s="1">
        <v>4.9000000000000004</v>
      </c>
      <c r="M56" s="1">
        <v>77</v>
      </c>
      <c r="N56" s="1" t="s">
        <v>296</v>
      </c>
      <c r="O56" s="1">
        <f>VLOOKUP(A56,[2]Sheet1!$A:$B,2,0)</f>
        <v>50</v>
      </c>
      <c r="P56" s="1">
        <f>VLOOKUP(A56,[2]Sheet1!$A:$C,3,0)</f>
        <v>100</v>
      </c>
      <c r="Q56" s="7">
        <f>VLOOKUP(A56,[2]Sheet1!$A:$D,4,0)</f>
        <v>100</v>
      </c>
      <c r="R56" s="7">
        <f>VLOOKUP(A56,[2]Sheet1!$A:$E,5,0)</f>
        <v>200</v>
      </c>
      <c r="S56" s="7">
        <f>VLOOKUP(A56,[2]Sheet1!$A:$F,6,0)</f>
        <v>200</v>
      </c>
      <c r="T56" s="7">
        <f>VLOOKUP(A56,[2]Sheet1!$A:$G,7,0)</f>
        <v>300</v>
      </c>
      <c r="U56" s="7">
        <f>VLOOKUP(A56,[2]Sheet1!$A:$H,8,0)</f>
        <v>400</v>
      </c>
      <c r="V56" s="7">
        <f>VLOOKUP(A56,[2]Sheet1!$A:$I,9,0)</f>
        <v>400</v>
      </c>
      <c r="W56" s="7">
        <f>VLOOKUP(A56,[2]Sheet1!$A:$K,10,0)</f>
        <v>400</v>
      </c>
      <c r="X56" s="7">
        <f>VLOOKUP(A56,[2]Sheet1!$A:$L,11,0)</f>
        <v>300</v>
      </c>
      <c r="Y56" s="7">
        <f>VLOOKUP(A56,[2]Sheet1!$A:$L,12,0)</f>
        <v>100</v>
      </c>
      <c r="Z56" s="7">
        <f>VLOOKUP(A56,[2]Sheet1!$A:$M,13,0)</f>
        <v>50</v>
      </c>
      <c r="AA56" s="1">
        <f t="shared" si="0"/>
        <v>2600</v>
      </c>
      <c r="AB56" s="7">
        <f t="shared" si="3"/>
        <v>217</v>
      </c>
      <c r="AC56" s="13">
        <f t="shared" si="1"/>
        <v>216.66666666666666</v>
      </c>
      <c r="AD56" s="9">
        <f t="shared" si="4"/>
        <v>90974</v>
      </c>
      <c r="AE56" s="9">
        <f t="shared" si="5"/>
        <v>7581.166666666667</v>
      </c>
      <c r="AF56" s="11">
        <v>5.76</v>
      </c>
      <c r="AG56" s="11">
        <v>34.99</v>
      </c>
      <c r="AH56" s="9">
        <f t="shared" si="6"/>
        <v>0.48239999999999994</v>
      </c>
      <c r="AI56" s="11">
        <f t="shared" si="7"/>
        <v>1.6883999999999995</v>
      </c>
      <c r="AJ56" s="14">
        <v>0.5</v>
      </c>
      <c r="AK56" s="14">
        <v>0.5</v>
      </c>
      <c r="AL56" s="11">
        <v>5.76</v>
      </c>
      <c r="AM56" s="9">
        <f t="shared" si="8"/>
        <v>5.2484999999999999</v>
      </c>
      <c r="AN56" s="9">
        <f t="shared" si="9"/>
        <v>1.0497000000000001</v>
      </c>
      <c r="AO56" s="9">
        <f t="shared" si="10"/>
        <v>6.9980000000000011</v>
      </c>
      <c r="AP56" s="9">
        <f t="shared" si="11"/>
        <v>0.69980000000000009</v>
      </c>
      <c r="AQ56" s="9">
        <f t="shared" si="12"/>
        <v>6.9980000000000011</v>
      </c>
      <c r="AR56" s="9">
        <f t="shared" si="13"/>
        <v>8.7475000000000005</v>
      </c>
      <c r="AS56" s="11">
        <f t="shared" si="14"/>
        <v>4.823999999999999</v>
      </c>
      <c r="AT56" s="12">
        <f t="shared" si="15"/>
        <v>3.6576666666666662</v>
      </c>
    </row>
    <row r="57" spans="1:46" ht="16.5" x14ac:dyDescent="0.4">
      <c r="A57" s="1" t="s">
        <v>297</v>
      </c>
      <c r="B57" s="7" t="s">
        <v>42</v>
      </c>
      <c r="C57" s="7" t="s">
        <v>42</v>
      </c>
      <c r="D57" s="1" t="s">
        <v>298</v>
      </c>
      <c r="E57" s="1" t="s">
        <v>299</v>
      </c>
      <c r="F57" s="1" t="s">
        <v>300</v>
      </c>
      <c r="G57" s="7" t="str">
        <f>VLOOKUP(A57,[1]done!$A:$I,9,0)</f>
        <v>Mosquito/Fly</v>
      </c>
      <c r="H57" s="7" t="str" cm="1">
        <f t="array" ref="H57">_xlfn.IFS(
OR(ISNUMBER(SEARCH("mouse",E57)),ISNUMBER(SEARCH("rat",E57)),ISNUMBER(SEARCH("mice",E57)),ISNUMBER(SEARCH("rodent",E57))),"Rodent Control",
OR(ISNUMBER(SEARCH("fly",E57)),ISNUMBER(SEARCH("gnat",E57)),ISNUMBER(SEARCH("insect",E57)),ISNUMBER(SEARCH("mosquito",E57))),"Flying Insect Control",
OR(ISNUMBER(SEARCH("roach",E57)),ISNUMBER(SEARCH("ant",E57)),ISNUMBER(SEARCH("spider",E57)),ISNUMBER(SEARCH("cricket",E57)),ISNUMBER(SEARCH("scorpion",E57)),ISNUMBER(SEARCH("centipede",E57)),ISNUMBER(SEARCH("beetle",E57))),"Crawling Insect Control",
OR(ISNUMBER(SEARCH("tree",E57)),ISNUMBER(SEARCH("lantern",E57)),ISNUMBER(SEARCH("garden",E57)),ISNUMBER(SEARCH("plant",E57))),"Garden Pest Control",
OR(ISNUMBER(SEARCH("grass seed",E57)),ISNUMBER(SEARCH("seed mix",E57))),"Grass Seed",
OR(ISNUMBER(SEARCH("lawn food",E57)),ISNUMBER(SEARCH("fertilizer",E57))),"Lawn Fertilizer",
OR(ISNUMBER(SEARCH("patch",E57)),ISNUMBER(SEARCH("repair",E57)),ISNUMBER(SEARCH("thick'r",E57)),ISNUMBER(SEARCH("thick'r lawn",E57)),ISNUMBER(SEARCH("rapid grass",E57))),"Lawn Repair",
OR(ISNUMBER(SEARCH("weed",E57)),ISNUMBER(SEARCH("crabgrass",E57))),"Weed Control",
OR(ISNUMBER(SEARCH("fungicide",E57)),ISNUMBER(SEARCH("moss",E57))),"Disease &amp; Moss Control",
OR(ISNUMBER(SEARCH("plant food",E57)),ISNUMBER(SEARCH("miracid",E57))),"Plant Nutrition",
OR(ISNUMBER(SEARCH("perlite",E57))),"Soil Amendment",
OR(ISNUMBER(SEARCH("spreader",E57)),ISNUMBER(SEARCH("sprayer",E57)),ISNUMBER(SEARCH("mower",E57)),ISNUMBER(SEARCH("sweeper",E57)),ISNUMBER(SEARCH("pruner",E57)),ISNUMBER(SEARCH("trimmer",E57)),ISNUMBER(SEARCH("pole saw",E57))),"Garden Equipment",
TRUE,"Other"
)</f>
        <v>Flying Insect Control</v>
      </c>
      <c r="I57" s="7" t="str" cm="1">
        <f t="array" ref="I57">_xlfn.IFS(
OR(ISNUMBER(SEARCH("glue trap",E57)),ISNUMBER(SEARCH("glue board",E57))),"Glue Traps",
OR(ISNUMBER(SEARCH("snap trap",E57)),ISNUMBER(SEARCH("power-kill",E57)),ISNUMBER(SEARCH("wide pedal",E57)),ISNUMBER(SEARCH("metal pedal",E57))),"Snap Traps",
OR(ISNUMBER(SEARCH("electronic",E57)),ISNUMBER(SEARCH("zapper",E57))),"Electronic Traps",
OR(ISNUMBER(SEARCH("live catch",E57)),ISNUMBER(SEARCH("multi-catch",E57)),ISNUMBER(SEARCH("catch &amp; hold",E57)),ISNUMBER(SEARCH("tin cat",E57))),"Live Catch Traps",
OR(ISNUMBER(SEARCH("bait",E57)),ISNUMBER(SEARCH("poison",E57))),"Bait &amp; Poison",
ISNUMBER(SEARCH("repellent",E57)),"Repellents",
OR(ISNUMBER(SEARCH("fly trap",E57)),ISNUMBER(SEARCH("fly ribbon",E57)),ISNUMBER(SEARCH("fly stick",E57)),ISNUMBER(SEARCH("window fly",E57)),ISNUMBER(SEARCH("fly magnet",E57))),"Fly Traps",
OR(ISNUMBER(SEARCH("uv",E57)),ISNUMBER(SEARCH("fly light",E57)),ISNUMBER(SEARCH("plug-in",E57))),"UV Fly Traps",
ISNUMBER(SEARCH("roach",E57)),"Roach Traps",
ISNUMBER(SEARCH("ant",E57)),"Ant Traps",
ISNUMBER(SEARCH("spider",E57)),"Spider Traps",
ISNUMBER(SEARCH("mosquito",E57)),"Mosquito Traps",
ISNUMBER(SEARCH("beetle",E57)),"Beetle Traps",
ISNUMBER(SEARCH("lantern",E57)),"Lanternfly Control",
OR(ISNUMBER(SEARCH("tree shield",E57)),ISNUMBER(SEARCH("tree banding",E57)),ISNUMBER(SEARCH("insect barrier",E57))),"Tree Barriers",
OR(ISNUMBER(SEARCH("sun &amp; shade",E57)),ISNUMBER(SEARCH("sun and shade",E57))),"Sun &amp; Shade Mix",
ISNUMBER(SEARCH("tall fescue",E57)),"Tall Fescue",
ISNUMBER(SEARCH("bermudagrass",E57)),"Bermudagrass",
ISNUMBER(SEARCH("kentucky",E57)),"Kentucky Bluegrass",
ISNUMBER(SEARCH("zoysia",E57)),"Zoysia",
ISNUMBER(SEARCH("ryegrass",E57)),"Perennial Ryegrass",
ISNUMBER(SEARCH("centipede",E57)),"Centipede Grass",
ISNUMBER(SEARCH("dense shade",E57)),"Dense Shade Mix",
ISNUMBER(SEARCH("southern gold",E57)),"Southern Gold Mix",
ISNUMBER(SEARCH("heat-tolerant blue",E57)),"Heat-Tolerant Blue Mix",
ISNUMBER(SEARCH("high traffic",E57)),"High Traffic Mix",
ISNUMBER(SEARCH("quick fix",E57)),"Quick Fix Mix",
ISNUMBER(SEARCH("starter",E57)),"Starter Fertilizer",
ISNUMBER(SEARCH("weed &amp; feed",E57)),"Weed &amp; Feed",
ISNUMBER(SEARCH("lawn food",E57)),"Lawn Food",
ISNUMBER(SEARCH("triple action",E57)),"Triple Action Fertilizer",
ISNUMBER(SEARCH("green max",E57)),"Green Max Lawn Food",
ISNUMBER(SEARCH("patchmaster",E57)),"PatchMaster Repair",
ISNUMBER(SEARCH("ez seed",E57)),"EZ Seed Repair",
ISNUMBER(SEARCH("rapid grass",E57)),"Rapid Grass",
ISNUMBER(SEARCH("thick'r lawn",E57)),"Thick'R Lawn",
ISNUMBER(SEARCH("fungicide",E57)),"Fungicide",
ISNUMBER(SEARCH("moss",E57)),"Moss Control",
ISNUMBER(SEARCH("perlite",E57)),"Perlite",
ISNUMBER(SEARCH("plant food",E57)),"Plant Food",
ISNUMBER(SEARCH("spreader",E57)),"Spreader",
ISNUMBER(SEARCH("sprayer",E57)),"Sprayer",
ISNUMBER(SEARCH("mower",E57)),"Lawn Mower",
ISNUMBER(SEARCH("sweeper",E57)),"Lawn Sweeper",
OR(ISNUMBER(SEARCH("pruner",E57)),ISNUMBER(SEARCH("trimmer",E57)),ISNUMBER(SEARCH("pole saw",E57))),"Pruning Tools",
TRUE,"Other"
)</f>
        <v>Fly Traps</v>
      </c>
      <c r="J57" s="7" t="str">
        <f t="shared" si="2"/>
        <v>Flying Insect Control - Fly Traps</v>
      </c>
      <c r="K57" s="1">
        <v>300</v>
      </c>
      <c r="L57" s="1">
        <v>3.7</v>
      </c>
      <c r="M57" s="1">
        <v>41</v>
      </c>
      <c r="N57" s="1"/>
      <c r="O57" s="1">
        <f>VLOOKUP(A57,[2]Sheet1!$A:$B,2,0)</f>
        <v>0</v>
      </c>
      <c r="P57" s="1">
        <f>VLOOKUP(A57,[2]Sheet1!$A:$C,3,0)</f>
        <v>0</v>
      </c>
      <c r="Q57" s="7">
        <f>VLOOKUP(A57,[2]Sheet1!$A:$D,4,0)</f>
        <v>0</v>
      </c>
      <c r="R57" s="7">
        <f>VLOOKUP(A57,[2]Sheet1!$A:$E,5,0)</f>
        <v>100</v>
      </c>
      <c r="S57" s="7">
        <f>VLOOKUP(A57,[2]Sheet1!$A:$F,6,0)</f>
        <v>50</v>
      </c>
      <c r="T57" s="7">
        <f>VLOOKUP(A57,[2]Sheet1!$A:$G,7,0)</f>
        <v>100</v>
      </c>
      <c r="U57" s="7">
        <f>VLOOKUP(A57,[2]Sheet1!$A:$H,8,0)</f>
        <v>200</v>
      </c>
      <c r="V57" s="7">
        <f>VLOOKUP(A57,[2]Sheet1!$A:$I,9,0)</f>
        <v>400</v>
      </c>
      <c r="W57" s="7">
        <f>VLOOKUP(A57,[2]Sheet1!$A:$K,10,0)</f>
        <v>400</v>
      </c>
      <c r="X57" s="7">
        <f>VLOOKUP(A57,[2]Sheet1!$A:$L,11,0)</f>
        <v>50</v>
      </c>
      <c r="Y57" s="7">
        <f>VLOOKUP(A57,[2]Sheet1!$A:$L,12,0)</f>
        <v>50</v>
      </c>
      <c r="Z57" s="7">
        <f>VLOOKUP(A57,[2]Sheet1!$A:$M,13,0)</f>
        <v>0</v>
      </c>
      <c r="AA57" s="1">
        <f t="shared" si="0"/>
        <v>1350</v>
      </c>
      <c r="AB57" s="7">
        <f t="shared" si="3"/>
        <v>113</v>
      </c>
      <c r="AC57" s="13">
        <f t="shared" si="1"/>
        <v>112.5</v>
      </c>
      <c r="AD57" s="9">
        <f t="shared" si="4"/>
        <v>47236.5</v>
      </c>
      <c r="AE57" s="9">
        <f t="shared" si="5"/>
        <v>3936.375</v>
      </c>
      <c r="AF57" s="11">
        <v>6.01</v>
      </c>
      <c r="AG57" s="11">
        <v>34.99</v>
      </c>
      <c r="AH57" s="9">
        <f t="shared" si="6"/>
        <v>0.46573333333333333</v>
      </c>
      <c r="AI57" s="11">
        <f t="shared" si="7"/>
        <v>1.6300666666666663</v>
      </c>
      <c r="AJ57" s="14">
        <v>0.5</v>
      </c>
      <c r="AK57" s="14">
        <v>0.5</v>
      </c>
      <c r="AL57" s="11">
        <v>6.01</v>
      </c>
      <c r="AM57" s="9">
        <f t="shared" si="8"/>
        <v>5.2484999999999999</v>
      </c>
      <c r="AN57" s="9">
        <f t="shared" si="9"/>
        <v>1.0497000000000001</v>
      </c>
      <c r="AO57" s="9">
        <f t="shared" si="10"/>
        <v>6.9980000000000011</v>
      </c>
      <c r="AP57" s="9">
        <f t="shared" si="11"/>
        <v>0.69980000000000009</v>
      </c>
      <c r="AQ57" s="9">
        <f t="shared" si="12"/>
        <v>6.9980000000000011</v>
      </c>
      <c r="AR57" s="9">
        <f t="shared" si="13"/>
        <v>8.7475000000000005</v>
      </c>
      <c r="AS57" s="11">
        <f t="shared" si="14"/>
        <v>4.6573333333333329</v>
      </c>
      <c r="AT57" s="12">
        <f t="shared" si="15"/>
        <v>3.4909999999999997</v>
      </c>
    </row>
    <row r="58" spans="1:46" ht="16.5" x14ac:dyDescent="0.4">
      <c r="A58" s="1" t="s">
        <v>301</v>
      </c>
      <c r="B58" s="7" t="s">
        <v>42</v>
      </c>
      <c r="C58" s="7" t="s">
        <v>42</v>
      </c>
      <c r="D58" s="1" t="s">
        <v>302</v>
      </c>
      <c r="E58" s="1" t="s">
        <v>303</v>
      </c>
      <c r="F58" s="1" t="s">
        <v>304</v>
      </c>
      <c r="G58" s="7" t="str">
        <f>VLOOKUP(A58,[1]done!$A:$I,9,0)</f>
        <v>Mosquito/Fly</v>
      </c>
      <c r="H58" s="7" t="str" cm="1">
        <f t="array" ref="H58">_xlfn.IFS(
OR(ISNUMBER(SEARCH("mouse",E58)),ISNUMBER(SEARCH("rat",E58)),ISNUMBER(SEARCH("mice",E58)),ISNUMBER(SEARCH("rodent",E58))),"Rodent Control",
OR(ISNUMBER(SEARCH("fly",E58)),ISNUMBER(SEARCH("gnat",E58)),ISNUMBER(SEARCH("insect",E58)),ISNUMBER(SEARCH("mosquito",E58))),"Flying Insect Control",
OR(ISNUMBER(SEARCH("roach",E58)),ISNUMBER(SEARCH("ant",E58)),ISNUMBER(SEARCH("spider",E58)),ISNUMBER(SEARCH("cricket",E58)),ISNUMBER(SEARCH("scorpion",E58)),ISNUMBER(SEARCH("centipede",E58)),ISNUMBER(SEARCH("beetle",E58))),"Crawling Insect Control",
OR(ISNUMBER(SEARCH("tree",E58)),ISNUMBER(SEARCH("lantern",E58)),ISNUMBER(SEARCH("garden",E58)),ISNUMBER(SEARCH("plant",E58))),"Garden Pest Control",
OR(ISNUMBER(SEARCH("grass seed",E58)),ISNUMBER(SEARCH("seed mix",E58))),"Grass Seed",
OR(ISNUMBER(SEARCH("lawn food",E58)),ISNUMBER(SEARCH("fertilizer",E58))),"Lawn Fertilizer",
OR(ISNUMBER(SEARCH("patch",E58)),ISNUMBER(SEARCH("repair",E58)),ISNUMBER(SEARCH("thick'r",E58)),ISNUMBER(SEARCH("thick'r lawn",E58)),ISNUMBER(SEARCH("rapid grass",E58))),"Lawn Repair",
OR(ISNUMBER(SEARCH("weed",E58)),ISNUMBER(SEARCH("crabgrass",E58))),"Weed Control",
OR(ISNUMBER(SEARCH("fungicide",E58)),ISNUMBER(SEARCH("moss",E58))),"Disease &amp; Moss Control",
OR(ISNUMBER(SEARCH("plant food",E58)),ISNUMBER(SEARCH("miracid",E58))),"Plant Nutrition",
OR(ISNUMBER(SEARCH("perlite",E58))),"Soil Amendment",
OR(ISNUMBER(SEARCH("spreader",E58)),ISNUMBER(SEARCH("sprayer",E58)),ISNUMBER(SEARCH("mower",E58)),ISNUMBER(SEARCH("sweeper",E58)),ISNUMBER(SEARCH("pruner",E58)),ISNUMBER(SEARCH("trimmer",E58)),ISNUMBER(SEARCH("pole saw",E58))),"Garden Equipment",
TRUE,"Other"
)</f>
        <v>Flying Insect Control</v>
      </c>
      <c r="I58" s="7" t="str" cm="1">
        <f t="array" ref="I58">_xlfn.IFS(
OR(ISNUMBER(SEARCH("glue trap",E58)),ISNUMBER(SEARCH("glue board",E58))),"Glue Traps",
OR(ISNUMBER(SEARCH("snap trap",E58)),ISNUMBER(SEARCH("power-kill",E58)),ISNUMBER(SEARCH("wide pedal",E58)),ISNUMBER(SEARCH("metal pedal",E58))),"Snap Traps",
OR(ISNUMBER(SEARCH("electronic",E58)),ISNUMBER(SEARCH("zapper",E58))),"Electronic Traps",
OR(ISNUMBER(SEARCH("live catch",E58)),ISNUMBER(SEARCH("multi-catch",E58)),ISNUMBER(SEARCH("catch &amp; hold",E58)),ISNUMBER(SEARCH("tin cat",E58))),"Live Catch Traps",
OR(ISNUMBER(SEARCH("bait",E58)),ISNUMBER(SEARCH("poison",E58))),"Bait &amp; Poison",
ISNUMBER(SEARCH("repellent",E58)),"Repellents",
OR(ISNUMBER(SEARCH("fly trap",E58)),ISNUMBER(SEARCH("fly ribbon",E58)),ISNUMBER(SEARCH("fly stick",E58)),ISNUMBER(SEARCH("window fly",E58)),ISNUMBER(SEARCH("fly magnet",E58))),"Fly Traps",
OR(ISNUMBER(SEARCH("uv",E58)),ISNUMBER(SEARCH("fly light",E58)),ISNUMBER(SEARCH("plug-in",E58))),"UV Fly Traps",
ISNUMBER(SEARCH("roach",E58)),"Roach Traps",
ISNUMBER(SEARCH("ant",E58)),"Ant Traps",
ISNUMBER(SEARCH("spider",E58)),"Spider Traps",
ISNUMBER(SEARCH("mosquito",E58)),"Mosquito Traps",
ISNUMBER(SEARCH("beetle",E58)),"Beetle Traps",
ISNUMBER(SEARCH("lantern",E58)),"Lanternfly Control",
OR(ISNUMBER(SEARCH("tree shield",E58)),ISNUMBER(SEARCH("tree banding",E58)),ISNUMBER(SEARCH("insect barrier",E58))),"Tree Barriers",
OR(ISNUMBER(SEARCH("sun &amp; shade",E58)),ISNUMBER(SEARCH("sun and shade",E58))),"Sun &amp; Shade Mix",
ISNUMBER(SEARCH("tall fescue",E58)),"Tall Fescue",
ISNUMBER(SEARCH("bermudagrass",E58)),"Bermudagrass",
ISNUMBER(SEARCH("kentucky",E58)),"Kentucky Bluegrass",
ISNUMBER(SEARCH("zoysia",E58)),"Zoysia",
ISNUMBER(SEARCH("ryegrass",E58)),"Perennial Ryegrass",
ISNUMBER(SEARCH("centipede",E58)),"Centipede Grass",
ISNUMBER(SEARCH("dense shade",E58)),"Dense Shade Mix",
ISNUMBER(SEARCH("southern gold",E58)),"Southern Gold Mix",
ISNUMBER(SEARCH("heat-tolerant blue",E58)),"Heat-Tolerant Blue Mix",
ISNUMBER(SEARCH("high traffic",E58)),"High Traffic Mix",
ISNUMBER(SEARCH("quick fix",E58)),"Quick Fix Mix",
ISNUMBER(SEARCH("starter",E58)),"Starter Fertilizer",
ISNUMBER(SEARCH("weed &amp; feed",E58)),"Weed &amp; Feed",
ISNUMBER(SEARCH("lawn food",E58)),"Lawn Food",
ISNUMBER(SEARCH("triple action",E58)),"Triple Action Fertilizer",
ISNUMBER(SEARCH("green max",E58)),"Green Max Lawn Food",
ISNUMBER(SEARCH("patchmaster",E58)),"PatchMaster Repair",
ISNUMBER(SEARCH("ez seed",E58)),"EZ Seed Repair",
ISNUMBER(SEARCH("rapid grass",E58)),"Rapid Grass",
ISNUMBER(SEARCH("thick'r lawn",E58)),"Thick'R Lawn",
ISNUMBER(SEARCH("fungicide",E58)),"Fungicide",
ISNUMBER(SEARCH("moss",E58)),"Moss Control",
ISNUMBER(SEARCH("perlite",E58)),"Perlite",
ISNUMBER(SEARCH("plant food",E58)),"Plant Food",
ISNUMBER(SEARCH("spreader",E58)),"Spreader",
ISNUMBER(SEARCH("sprayer",E58)),"Sprayer",
ISNUMBER(SEARCH("mower",E58)),"Lawn Mower",
ISNUMBER(SEARCH("sweeper",E58)),"Lawn Sweeper",
OR(ISNUMBER(SEARCH("pruner",E58)),ISNUMBER(SEARCH("trimmer",E58)),ISNUMBER(SEARCH("pole saw",E58))),"Pruning Tools",
TRUE,"Other"
)</f>
        <v>Glue Traps</v>
      </c>
      <c r="J58" s="7" t="str">
        <f t="shared" si="2"/>
        <v>Flying Insect Control - Glue Traps</v>
      </c>
      <c r="K58" s="1">
        <v>300</v>
      </c>
      <c r="L58" s="1">
        <v>4.2</v>
      </c>
      <c r="M58" s="1">
        <v>155</v>
      </c>
      <c r="N58" s="1" t="s">
        <v>305</v>
      </c>
      <c r="O58" s="1">
        <f>VLOOKUP(A58,[2]Sheet1!$A:$B,2,0)</f>
        <v>0</v>
      </c>
      <c r="P58" s="1">
        <f>VLOOKUP(A58,[2]Sheet1!$A:$C,3,0)</f>
        <v>0</v>
      </c>
      <c r="Q58" s="7">
        <f>VLOOKUP(A58,[2]Sheet1!$A:$D,4,0)</f>
        <v>50</v>
      </c>
      <c r="R58" s="7">
        <f>VLOOKUP(A58,[2]Sheet1!$A:$E,5,0)</f>
        <v>100</v>
      </c>
      <c r="S58" s="7">
        <f>VLOOKUP(A58,[2]Sheet1!$A:$F,6,0)</f>
        <v>200</v>
      </c>
      <c r="T58" s="7">
        <f>VLOOKUP(A58,[2]Sheet1!$A:$G,7,0)</f>
        <v>200</v>
      </c>
      <c r="U58" s="7">
        <f>VLOOKUP(A58,[2]Sheet1!$A:$H,8,0)</f>
        <v>200</v>
      </c>
      <c r="V58" s="7">
        <f>VLOOKUP(A58,[2]Sheet1!$A:$I,9,0)</f>
        <v>400</v>
      </c>
      <c r="W58" s="7">
        <f>VLOOKUP(A58,[2]Sheet1!$A:$K,10,0)</f>
        <v>300</v>
      </c>
      <c r="X58" s="7">
        <f>VLOOKUP(A58,[2]Sheet1!$A:$L,11,0)</f>
        <v>200</v>
      </c>
      <c r="Y58" s="7">
        <f>VLOOKUP(A58,[2]Sheet1!$A:$L,12,0)</f>
        <v>100</v>
      </c>
      <c r="Z58" s="7">
        <f>VLOOKUP(A58,[2]Sheet1!$A:$M,13,0)</f>
        <v>50</v>
      </c>
      <c r="AA58" s="1">
        <f t="shared" si="0"/>
        <v>1800</v>
      </c>
      <c r="AB58" s="7">
        <f t="shared" si="3"/>
        <v>150</v>
      </c>
      <c r="AC58" s="13">
        <f t="shared" si="1"/>
        <v>150</v>
      </c>
      <c r="AD58" s="9">
        <f t="shared" si="4"/>
        <v>43182</v>
      </c>
      <c r="AE58" s="9">
        <f t="shared" si="5"/>
        <v>3598.4999999999995</v>
      </c>
      <c r="AF58" s="11">
        <v>3.54</v>
      </c>
      <c r="AG58" s="11">
        <v>23.99</v>
      </c>
      <c r="AH58" s="9">
        <f t="shared" si="6"/>
        <v>0.33706666666666663</v>
      </c>
      <c r="AI58" s="11">
        <f t="shared" si="7"/>
        <v>1.1797333333333331</v>
      </c>
      <c r="AJ58" s="14">
        <v>0.5</v>
      </c>
      <c r="AK58" s="14">
        <v>0.5</v>
      </c>
      <c r="AL58" s="11">
        <v>3.54</v>
      </c>
      <c r="AM58" s="9">
        <f t="shared" si="8"/>
        <v>3.5984999999999996</v>
      </c>
      <c r="AN58" s="9">
        <f t="shared" si="9"/>
        <v>0.7196999999999999</v>
      </c>
      <c r="AO58" s="9">
        <f t="shared" si="10"/>
        <v>4.798</v>
      </c>
      <c r="AP58" s="9">
        <f t="shared" si="11"/>
        <v>0.4798</v>
      </c>
      <c r="AQ58" s="9">
        <f t="shared" si="12"/>
        <v>4.798</v>
      </c>
      <c r="AR58" s="9">
        <f t="shared" si="13"/>
        <v>5.9974999999999996</v>
      </c>
      <c r="AS58" s="11">
        <f t="shared" si="14"/>
        <v>3.3706666666666663</v>
      </c>
      <c r="AT58" s="12">
        <f t="shared" si="15"/>
        <v>2.5709999999999997</v>
      </c>
    </row>
    <row r="59" spans="1:46" ht="16.5" x14ac:dyDescent="0.4">
      <c r="A59" s="1" t="s">
        <v>306</v>
      </c>
      <c r="B59" s="7" t="s">
        <v>42</v>
      </c>
      <c r="C59" s="7" t="s">
        <v>1781</v>
      </c>
      <c r="D59" s="1" t="s">
        <v>307</v>
      </c>
      <c r="E59" s="1" t="s">
        <v>308</v>
      </c>
      <c r="F59" s="1" t="s">
        <v>309</v>
      </c>
      <c r="G59" s="7" t="str">
        <f>VLOOKUP(A59,[1]done!$A:$I,9,0)</f>
        <v>Mosquito/Fly</v>
      </c>
      <c r="H59" s="7" t="str" cm="1">
        <f t="array" ref="H59">_xlfn.IFS(
OR(ISNUMBER(SEARCH("mouse",E59)),ISNUMBER(SEARCH("rat",E59)),ISNUMBER(SEARCH("mice",E59)),ISNUMBER(SEARCH("rodent",E59))),"Rodent Control",
OR(ISNUMBER(SEARCH("fly",E59)),ISNUMBER(SEARCH("gnat",E59)),ISNUMBER(SEARCH("insect",E59)),ISNUMBER(SEARCH("mosquito",E59))),"Flying Insect Control",
OR(ISNUMBER(SEARCH("roach",E59)),ISNUMBER(SEARCH("ant",E59)),ISNUMBER(SEARCH("spider",E59)),ISNUMBER(SEARCH("cricket",E59)),ISNUMBER(SEARCH("scorpion",E59)),ISNUMBER(SEARCH("centipede",E59)),ISNUMBER(SEARCH("beetle",E59))),"Crawling Insect Control",
OR(ISNUMBER(SEARCH("tree",E59)),ISNUMBER(SEARCH("lantern",E59)),ISNUMBER(SEARCH("garden",E59)),ISNUMBER(SEARCH("plant",E59))),"Garden Pest Control",
OR(ISNUMBER(SEARCH("grass seed",E59)),ISNUMBER(SEARCH("seed mix",E59))),"Grass Seed",
OR(ISNUMBER(SEARCH("lawn food",E59)),ISNUMBER(SEARCH("fertilizer",E59))),"Lawn Fertilizer",
OR(ISNUMBER(SEARCH("patch",E59)),ISNUMBER(SEARCH("repair",E59)),ISNUMBER(SEARCH("thick'r",E59)),ISNUMBER(SEARCH("thick'r lawn",E59)),ISNUMBER(SEARCH("rapid grass",E59))),"Lawn Repair",
OR(ISNUMBER(SEARCH("weed",E59)),ISNUMBER(SEARCH("crabgrass",E59))),"Weed Control",
OR(ISNUMBER(SEARCH("fungicide",E59)),ISNUMBER(SEARCH("moss",E59))),"Disease &amp; Moss Control",
OR(ISNUMBER(SEARCH("plant food",E59)),ISNUMBER(SEARCH("miracid",E59))),"Plant Nutrition",
OR(ISNUMBER(SEARCH("perlite",E59))),"Soil Amendment",
OR(ISNUMBER(SEARCH("spreader",E59)),ISNUMBER(SEARCH("sprayer",E59)),ISNUMBER(SEARCH("mower",E59)),ISNUMBER(SEARCH("sweeper",E59)),ISNUMBER(SEARCH("pruner",E59)),ISNUMBER(SEARCH("trimmer",E59)),ISNUMBER(SEARCH("pole saw",E59))),"Garden Equipment",
TRUE,"Other"
)</f>
        <v>Flying Insect Control</v>
      </c>
      <c r="I59" s="7" t="str" cm="1">
        <f t="array" ref="I59">_xlfn.IFS(
OR(ISNUMBER(SEARCH("glue trap",E59)),ISNUMBER(SEARCH("glue board",E59))),"Glue Traps",
OR(ISNUMBER(SEARCH("snap trap",E59)),ISNUMBER(SEARCH("power-kill",E59)),ISNUMBER(SEARCH("wide pedal",E59)),ISNUMBER(SEARCH("metal pedal",E59))),"Snap Traps",
OR(ISNUMBER(SEARCH("electronic",E59)),ISNUMBER(SEARCH("zapper",E59))),"Electronic Traps",
OR(ISNUMBER(SEARCH("live catch",E59)),ISNUMBER(SEARCH("multi-catch",E59)),ISNUMBER(SEARCH("catch &amp; hold",E59)),ISNUMBER(SEARCH("tin cat",E59))),"Live Catch Traps",
OR(ISNUMBER(SEARCH("bait",E59)),ISNUMBER(SEARCH("poison",E59))),"Bait &amp; Poison",
ISNUMBER(SEARCH("repellent",E59)),"Repellents",
OR(ISNUMBER(SEARCH("fly trap",E59)),ISNUMBER(SEARCH("fly ribbon",E59)),ISNUMBER(SEARCH("fly stick",E59)),ISNUMBER(SEARCH("window fly",E59)),ISNUMBER(SEARCH("fly magnet",E59))),"Fly Traps",
OR(ISNUMBER(SEARCH("uv",E59)),ISNUMBER(SEARCH("fly light",E59)),ISNUMBER(SEARCH("plug-in",E59))),"UV Fly Traps",
ISNUMBER(SEARCH("roach",E59)),"Roach Traps",
ISNUMBER(SEARCH("ant",E59)),"Ant Traps",
ISNUMBER(SEARCH("spider",E59)),"Spider Traps",
ISNUMBER(SEARCH("mosquito",E59)),"Mosquito Traps",
ISNUMBER(SEARCH("beetle",E59)),"Beetle Traps",
ISNUMBER(SEARCH("lantern",E59)),"Lanternfly Control",
OR(ISNUMBER(SEARCH("tree shield",E59)),ISNUMBER(SEARCH("tree banding",E59)),ISNUMBER(SEARCH("insect barrier",E59))),"Tree Barriers",
OR(ISNUMBER(SEARCH("sun &amp; shade",E59)),ISNUMBER(SEARCH("sun and shade",E59))),"Sun &amp; Shade Mix",
ISNUMBER(SEARCH("tall fescue",E59)),"Tall Fescue",
ISNUMBER(SEARCH("bermudagrass",E59)),"Bermudagrass",
ISNUMBER(SEARCH("kentucky",E59)),"Kentucky Bluegrass",
ISNUMBER(SEARCH("zoysia",E59)),"Zoysia",
ISNUMBER(SEARCH("ryegrass",E59)),"Perennial Ryegrass",
ISNUMBER(SEARCH("centipede",E59)),"Centipede Grass",
ISNUMBER(SEARCH("dense shade",E59)),"Dense Shade Mix",
ISNUMBER(SEARCH("southern gold",E59)),"Southern Gold Mix",
ISNUMBER(SEARCH("heat-tolerant blue",E59)),"Heat-Tolerant Blue Mix",
ISNUMBER(SEARCH("high traffic",E59)),"High Traffic Mix",
ISNUMBER(SEARCH("quick fix",E59)),"Quick Fix Mix",
ISNUMBER(SEARCH("starter",E59)),"Starter Fertilizer",
ISNUMBER(SEARCH("weed &amp; feed",E59)),"Weed &amp; Feed",
ISNUMBER(SEARCH("lawn food",E59)),"Lawn Food",
ISNUMBER(SEARCH("triple action",E59)),"Triple Action Fertilizer",
ISNUMBER(SEARCH("green max",E59)),"Green Max Lawn Food",
ISNUMBER(SEARCH("patchmaster",E59)),"PatchMaster Repair",
ISNUMBER(SEARCH("ez seed",E59)),"EZ Seed Repair",
ISNUMBER(SEARCH("rapid grass",E59)),"Rapid Grass",
ISNUMBER(SEARCH("thick'r lawn",E59)),"Thick'R Lawn",
ISNUMBER(SEARCH("fungicide",E59)),"Fungicide",
ISNUMBER(SEARCH("moss",E59)),"Moss Control",
ISNUMBER(SEARCH("perlite",E59)),"Perlite",
ISNUMBER(SEARCH("plant food",E59)),"Plant Food",
ISNUMBER(SEARCH("spreader",E59)),"Spreader",
ISNUMBER(SEARCH("sprayer",E59)),"Sprayer",
ISNUMBER(SEARCH("mower",E59)),"Lawn Mower",
ISNUMBER(SEARCH("sweeper",E59)),"Lawn Sweeper",
OR(ISNUMBER(SEARCH("pruner",E59)),ISNUMBER(SEARCH("trimmer",E59)),ISNUMBER(SEARCH("pole saw",E59))),"Pruning Tools",
TRUE,"Other"
)</f>
        <v>Glue Traps</v>
      </c>
      <c r="J59" s="7" t="str">
        <f t="shared" si="2"/>
        <v>Flying Insect Control - Glue Traps</v>
      </c>
      <c r="K59" s="1">
        <v>300</v>
      </c>
      <c r="L59" s="1">
        <v>3.3</v>
      </c>
      <c r="M59" s="1">
        <v>73</v>
      </c>
      <c r="N59" s="1" t="s">
        <v>310</v>
      </c>
      <c r="O59" s="1">
        <f>VLOOKUP(A59,[2]Sheet1!$A:$B,2,0)</f>
        <v>0</v>
      </c>
      <c r="P59" s="1">
        <f>VLOOKUP(A59,[2]Sheet1!$A:$C,3,0)</f>
        <v>0</v>
      </c>
      <c r="Q59" s="7">
        <f>VLOOKUP(A59,[2]Sheet1!$A:$D,4,0)</f>
        <v>0</v>
      </c>
      <c r="R59" s="7">
        <f>VLOOKUP(A59,[2]Sheet1!$A:$E,5,0)</f>
        <v>0</v>
      </c>
      <c r="S59" s="7">
        <f>VLOOKUP(A59,[2]Sheet1!$A:$F,6,0)</f>
        <v>0</v>
      </c>
      <c r="T59" s="7">
        <f>VLOOKUP(A59,[2]Sheet1!$A:$G,7,0)</f>
        <v>200</v>
      </c>
      <c r="U59" s="7">
        <f>VLOOKUP(A59,[2]Sheet1!$A:$H,8,0)</f>
        <v>500</v>
      </c>
      <c r="V59" s="7">
        <f>VLOOKUP(A59,[2]Sheet1!$A:$I,9,0)</f>
        <v>400</v>
      </c>
      <c r="W59" s="7">
        <f>VLOOKUP(A59,[2]Sheet1!$A:$K,10,0)</f>
        <v>300</v>
      </c>
      <c r="X59" s="7">
        <f>VLOOKUP(A59,[2]Sheet1!$A:$L,11,0)</f>
        <v>0</v>
      </c>
      <c r="Y59" s="7">
        <f>VLOOKUP(A59,[2]Sheet1!$A:$L,12,0)</f>
        <v>0</v>
      </c>
      <c r="Z59" s="7">
        <f>VLOOKUP(A59,[2]Sheet1!$A:$M,13,0)</f>
        <v>0</v>
      </c>
      <c r="AA59" s="1">
        <f t="shared" si="0"/>
        <v>1400</v>
      </c>
      <c r="AB59" s="7">
        <f t="shared" si="3"/>
        <v>117</v>
      </c>
      <c r="AC59" s="13">
        <f t="shared" si="1"/>
        <v>116.66666666666667</v>
      </c>
      <c r="AD59" s="9">
        <f t="shared" si="4"/>
        <v>18186</v>
      </c>
      <c r="AE59" s="9">
        <f t="shared" si="5"/>
        <v>1515.5</v>
      </c>
      <c r="AF59" s="11">
        <v>3.44</v>
      </c>
      <c r="AG59" s="11">
        <v>12.99</v>
      </c>
      <c r="AH59" s="9">
        <f t="shared" si="6"/>
        <v>5.0399999999999959E-2</v>
      </c>
      <c r="AI59" s="11">
        <f t="shared" si="7"/>
        <v>0.17639999999999983</v>
      </c>
      <c r="AJ59" s="14">
        <v>0.5</v>
      </c>
      <c r="AK59" s="14">
        <v>0.5</v>
      </c>
      <c r="AL59" s="11">
        <v>3.44</v>
      </c>
      <c r="AM59" s="9">
        <f t="shared" si="8"/>
        <v>1.9484999999999999</v>
      </c>
      <c r="AN59" s="9">
        <f t="shared" si="9"/>
        <v>0.38969999999999999</v>
      </c>
      <c r="AO59" s="9">
        <f t="shared" si="10"/>
        <v>2.5980000000000003</v>
      </c>
      <c r="AP59" s="9">
        <f t="shared" si="11"/>
        <v>0.25980000000000003</v>
      </c>
      <c r="AQ59" s="9">
        <f t="shared" si="12"/>
        <v>2.5980000000000003</v>
      </c>
      <c r="AR59" s="9">
        <f t="shared" si="13"/>
        <v>3.2475000000000001</v>
      </c>
      <c r="AS59" s="11">
        <f t="shared" si="14"/>
        <v>0.50399999999999956</v>
      </c>
      <c r="AT59" s="12">
        <f t="shared" si="15"/>
        <v>7.099999999999973E-2</v>
      </c>
    </row>
    <row r="60" spans="1:46" ht="16.5" x14ac:dyDescent="0.4">
      <c r="A60" s="1" t="s">
        <v>311</v>
      </c>
      <c r="B60" s="7" t="s">
        <v>42</v>
      </c>
      <c r="C60" s="7" t="s">
        <v>42</v>
      </c>
      <c r="D60" s="1" t="s">
        <v>312</v>
      </c>
      <c r="E60" s="1" t="s">
        <v>313</v>
      </c>
      <c r="F60" s="1" t="s">
        <v>314</v>
      </c>
      <c r="G60" s="7" t="str">
        <f>VLOOKUP(A60,[1]done!$A:$I,9,0)</f>
        <v>Other crawling insects</v>
      </c>
      <c r="H60" s="7" t="str" cm="1">
        <f t="array" ref="H60">_xlfn.IFS(
OR(ISNUMBER(SEARCH("mouse",E60)),ISNUMBER(SEARCH("rat",E60)),ISNUMBER(SEARCH("mice",E60)),ISNUMBER(SEARCH("rodent",E60))),"Rodent Control",
OR(ISNUMBER(SEARCH("fly",E60)),ISNUMBER(SEARCH("gnat",E60)),ISNUMBER(SEARCH("insect",E60)),ISNUMBER(SEARCH("mosquito",E60))),"Flying Insect Control",
OR(ISNUMBER(SEARCH("roach",E60)),ISNUMBER(SEARCH("ant",E60)),ISNUMBER(SEARCH("spider",E60)),ISNUMBER(SEARCH("cricket",E60)),ISNUMBER(SEARCH("scorpion",E60)),ISNUMBER(SEARCH("centipede",E60)),ISNUMBER(SEARCH("beetle",E60))),"Crawling Insect Control",
OR(ISNUMBER(SEARCH("tree",E60)),ISNUMBER(SEARCH("lantern",E60)),ISNUMBER(SEARCH("garden",E60)),ISNUMBER(SEARCH("plant",E60))),"Garden Pest Control",
OR(ISNUMBER(SEARCH("grass seed",E60)),ISNUMBER(SEARCH("seed mix",E60))),"Grass Seed",
OR(ISNUMBER(SEARCH("lawn food",E60)),ISNUMBER(SEARCH("fertilizer",E60))),"Lawn Fertilizer",
OR(ISNUMBER(SEARCH("patch",E60)),ISNUMBER(SEARCH("repair",E60)),ISNUMBER(SEARCH("thick'r",E60)),ISNUMBER(SEARCH("thick'r lawn",E60)),ISNUMBER(SEARCH("rapid grass",E60))),"Lawn Repair",
OR(ISNUMBER(SEARCH("weed",E60)),ISNUMBER(SEARCH("crabgrass",E60))),"Weed Control",
OR(ISNUMBER(SEARCH("fungicide",E60)),ISNUMBER(SEARCH("moss",E60))),"Disease &amp; Moss Control",
OR(ISNUMBER(SEARCH("plant food",E60)),ISNUMBER(SEARCH("miracid",E60))),"Plant Nutrition",
OR(ISNUMBER(SEARCH("perlite",E60))),"Soil Amendment",
OR(ISNUMBER(SEARCH("spreader",E60)),ISNUMBER(SEARCH("sprayer",E60)),ISNUMBER(SEARCH("mower",E60)),ISNUMBER(SEARCH("sweeper",E60)),ISNUMBER(SEARCH("pruner",E60)),ISNUMBER(SEARCH("trimmer",E60)),ISNUMBER(SEARCH("pole saw",E60))),"Garden Equipment",
TRUE,"Other"
)</f>
        <v>Crawling Insect Control</v>
      </c>
      <c r="I60" s="7" t="str" cm="1">
        <f t="array" ref="I60">_xlfn.IFS(
OR(ISNUMBER(SEARCH("glue trap",E60)),ISNUMBER(SEARCH("glue board",E60))),"Glue Traps",
OR(ISNUMBER(SEARCH("snap trap",E60)),ISNUMBER(SEARCH("power-kill",E60)),ISNUMBER(SEARCH("wide pedal",E60)),ISNUMBER(SEARCH("metal pedal",E60))),"Snap Traps",
OR(ISNUMBER(SEARCH("electronic",E60)),ISNUMBER(SEARCH("zapper",E60))),"Electronic Traps",
OR(ISNUMBER(SEARCH("live catch",E60)),ISNUMBER(SEARCH("multi-catch",E60)),ISNUMBER(SEARCH("catch &amp; hold",E60)),ISNUMBER(SEARCH("tin cat",E60))),"Live Catch Traps",
OR(ISNUMBER(SEARCH("bait",E60)),ISNUMBER(SEARCH("poison",E60))),"Bait &amp; Poison",
ISNUMBER(SEARCH("repellent",E60)),"Repellents",
OR(ISNUMBER(SEARCH("fly trap",E60)),ISNUMBER(SEARCH("fly ribbon",E60)),ISNUMBER(SEARCH("fly stick",E60)),ISNUMBER(SEARCH("window fly",E60)),ISNUMBER(SEARCH("fly magnet",E60))),"Fly Traps",
OR(ISNUMBER(SEARCH("uv",E60)),ISNUMBER(SEARCH("fly light",E60)),ISNUMBER(SEARCH("plug-in",E60))),"UV Fly Traps",
ISNUMBER(SEARCH("roach",E60)),"Roach Traps",
ISNUMBER(SEARCH("ant",E60)),"Ant Traps",
ISNUMBER(SEARCH("spider",E60)),"Spider Traps",
ISNUMBER(SEARCH("mosquito",E60)),"Mosquito Traps",
ISNUMBER(SEARCH("beetle",E60)),"Beetle Traps",
ISNUMBER(SEARCH("lantern",E60)),"Lanternfly Control",
OR(ISNUMBER(SEARCH("tree shield",E60)),ISNUMBER(SEARCH("tree banding",E60)),ISNUMBER(SEARCH("insect barrier",E60))),"Tree Barriers",
OR(ISNUMBER(SEARCH("sun &amp; shade",E60)),ISNUMBER(SEARCH("sun and shade",E60))),"Sun &amp; Shade Mix",
ISNUMBER(SEARCH("tall fescue",E60)),"Tall Fescue",
ISNUMBER(SEARCH("bermudagrass",E60)),"Bermudagrass",
ISNUMBER(SEARCH("kentucky",E60)),"Kentucky Bluegrass",
ISNUMBER(SEARCH("zoysia",E60)),"Zoysia",
ISNUMBER(SEARCH("ryegrass",E60)),"Perennial Ryegrass",
ISNUMBER(SEARCH("centipede",E60)),"Centipede Grass",
ISNUMBER(SEARCH("dense shade",E60)),"Dense Shade Mix",
ISNUMBER(SEARCH("southern gold",E60)),"Southern Gold Mix",
ISNUMBER(SEARCH("heat-tolerant blue",E60)),"Heat-Tolerant Blue Mix",
ISNUMBER(SEARCH("high traffic",E60)),"High Traffic Mix",
ISNUMBER(SEARCH("quick fix",E60)),"Quick Fix Mix",
ISNUMBER(SEARCH("starter",E60)),"Starter Fertilizer",
ISNUMBER(SEARCH("weed &amp; feed",E60)),"Weed &amp; Feed",
ISNUMBER(SEARCH("lawn food",E60)),"Lawn Food",
ISNUMBER(SEARCH("triple action",E60)),"Triple Action Fertilizer",
ISNUMBER(SEARCH("green max",E60)),"Green Max Lawn Food",
ISNUMBER(SEARCH("patchmaster",E60)),"PatchMaster Repair",
ISNUMBER(SEARCH("ez seed",E60)),"EZ Seed Repair",
ISNUMBER(SEARCH("rapid grass",E60)),"Rapid Grass",
ISNUMBER(SEARCH("thick'r lawn",E60)),"Thick'R Lawn",
ISNUMBER(SEARCH("fungicide",E60)),"Fungicide",
ISNUMBER(SEARCH("moss",E60)),"Moss Control",
ISNUMBER(SEARCH("perlite",E60)),"Perlite",
ISNUMBER(SEARCH("plant food",E60)),"Plant Food",
ISNUMBER(SEARCH("spreader",E60)),"Spreader",
ISNUMBER(SEARCH("sprayer",E60)),"Sprayer",
ISNUMBER(SEARCH("mower",E60)),"Lawn Mower",
ISNUMBER(SEARCH("sweeper",E60)),"Lawn Sweeper",
OR(ISNUMBER(SEARCH("pruner",E60)),ISNUMBER(SEARCH("trimmer",E60)),ISNUMBER(SEARCH("pole saw",E60))),"Pruning Tools",
TRUE,"Other"
)</f>
        <v>Bait &amp; Poison</v>
      </c>
      <c r="J60" s="7" t="str">
        <f t="shared" si="2"/>
        <v>Crawling Insect Control - Bait &amp; Poison</v>
      </c>
      <c r="K60" s="1">
        <v>300</v>
      </c>
      <c r="L60" s="1">
        <v>4</v>
      </c>
      <c r="M60" s="1">
        <v>45</v>
      </c>
      <c r="N60" s="1"/>
      <c r="O60" s="1">
        <f>VLOOKUP(A60,[2]Sheet1!$A:$B,2,0)</f>
        <v>0</v>
      </c>
      <c r="P60" s="1">
        <f>VLOOKUP(A60,[2]Sheet1!$A:$C,3,0)</f>
        <v>60</v>
      </c>
      <c r="Q60" s="7">
        <f>VLOOKUP(A60,[2]Sheet1!$A:$D,4,0)</f>
        <v>200</v>
      </c>
      <c r="R60" s="7">
        <f>VLOOKUP(A60,[2]Sheet1!$A:$E,5,0)</f>
        <v>300</v>
      </c>
      <c r="S60" s="7">
        <f>VLOOKUP(A60,[2]Sheet1!$A:$F,6,0)</f>
        <v>200</v>
      </c>
      <c r="T60" s="7">
        <f>VLOOKUP(A60,[2]Sheet1!$A:$G,7,0)</f>
        <v>600</v>
      </c>
      <c r="U60" s="7">
        <f>VLOOKUP(A60,[2]Sheet1!$A:$H,8,0)</f>
        <v>400</v>
      </c>
      <c r="V60" s="7">
        <f>VLOOKUP(A60,[2]Sheet1!$A:$I,9,0)</f>
        <v>400</v>
      </c>
      <c r="W60" s="7">
        <f>VLOOKUP(A60,[2]Sheet1!$A:$K,10,0)</f>
        <v>300</v>
      </c>
      <c r="X60" s="7">
        <f>VLOOKUP(A60,[2]Sheet1!$A:$L,11,0)</f>
        <v>0</v>
      </c>
      <c r="Y60" s="7">
        <f>VLOOKUP(A60,[2]Sheet1!$A:$L,12,0)</f>
        <v>0</v>
      </c>
      <c r="Z60" s="7">
        <f>VLOOKUP(A60,[2]Sheet1!$A:$M,13,0)</f>
        <v>0</v>
      </c>
      <c r="AA60" s="1">
        <f t="shared" si="0"/>
        <v>2460</v>
      </c>
      <c r="AB60" s="7">
        <f t="shared" si="3"/>
        <v>205</v>
      </c>
      <c r="AC60" s="13">
        <f t="shared" si="1"/>
        <v>205</v>
      </c>
      <c r="AD60" s="9">
        <f t="shared" si="4"/>
        <v>34415.4</v>
      </c>
      <c r="AE60" s="9">
        <f t="shared" si="5"/>
        <v>2867.95</v>
      </c>
      <c r="AF60" s="11">
        <v>4.09</v>
      </c>
      <c r="AG60" s="11">
        <v>13.99</v>
      </c>
      <c r="AH60" s="9">
        <f t="shared" si="6"/>
        <v>3.3733333333333351E-2</v>
      </c>
      <c r="AI60" s="11">
        <f t="shared" si="7"/>
        <v>0.11806666666666671</v>
      </c>
      <c r="AJ60" s="14">
        <v>0.5</v>
      </c>
      <c r="AK60" s="14">
        <v>0.5</v>
      </c>
      <c r="AL60" s="11">
        <v>4.09</v>
      </c>
      <c r="AM60" s="9">
        <f t="shared" si="8"/>
        <v>2.0985</v>
      </c>
      <c r="AN60" s="9">
        <f t="shared" si="9"/>
        <v>0.41970000000000002</v>
      </c>
      <c r="AO60" s="9">
        <f t="shared" si="10"/>
        <v>2.798</v>
      </c>
      <c r="AP60" s="9">
        <f t="shared" si="11"/>
        <v>0.27979999999999999</v>
      </c>
      <c r="AQ60" s="9">
        <f t="shared" si="12"/>
        <v>2.798</v>
      </c>
      <c r="AR60" s="9">
        <f t="shared" si="13"/>
        <v>3.4975000000000001</v>
      </c>
      <c r="AS60" s="11">
        <f t="shared" si="14"/>
        <v>0.33733333333333348</v>
      </c>
      <c r="AT60" s="12">
        <f t="shared" si="15"/>
        <v>-0.12899999999999986</v>
      </c>
    </row>
    <row r="61" spans="1:46" ht="16.5" x14ac:dyDescent="0.4">
      <c r="A61" s="1" t="s">
        <v>315</v>
      </c>
      <c r="B61" s="7" t="s">
        <v>42</v>
      </c>
      <c r="C61" s="7" t="s">
        <v>42</v>
      </c>
      <c r="D61" s="1" t="s">
        <v>316</v>
      </c>
      <c r="E61" s="1" t="s">
        <v>317</v>
      </c>
      <c r="F61" s="1" t="s">
        <v>318</v>
      </c>
      <c r="G61" s="7" t="str">
        <f>VLOOKUP(A61,[1]done!$A:$I,9,0)</f>
        <v>Cockroach</v>
      </c>
      <c r="H61" s="7" t="str" cm="1">
        <f t="array" ref="H61">_xlfn.IFS(
OR(ISNUMBER(SEARCH("mouse",E61)),ISNUMBER(SEARCH("rat",E61)),ISNUMBER(SEARCH("mice",E61)),ISNUMBER(SEARCH("rodent",E61))),"Rodent Control",
OR(ISNUMBER(SEARCH("fly",E61)),ISNUMBER(SEARCH("gnat",E61)),ISNUMBER(SEARCH("insect",E61)),ISNUMBER(SEARCH("mosquito",E61))),"Flying Insect Control",
OR(ISNUMBER(SEARCH("roach",E61)),ISNUMBER(SEARCH("ant",E61)),ISNUMBER(SEARCH("spider",E61)),ISNUMBER(SEARCH("cricket",E61)),ISNUMBER(SEARCH("scorpion",E61)),ISNUMBER(SEARCH("centipede",E61)),ISNUMBER(SEARCH("beetle",E61))),"Crawling Insect Control",
OR(ISNUMBER(SEARCH("tree",E61)),ISNUMBER(SEARCH("lantern",E61)),ISNUMBER(SEARCH("garden",E61)),ISNUMBER(SEARCH("plant",E61))),"Garden Pest Control",
OR(ISNUMBER(SEARCH("grass seed",E61)),ISNUMBER(SEARCH("seed mix",E61))),"Grass Seed",
OR(ISNUMBER(SEARCH("lawn food",E61)),ISNUMBER(SEARCH("fertilizer",E61))),"Lawn Fertilizer",
OR(ISNUMBER(SEARCH("patch",E61)),ISNUMBER(SEARCH("repair",E61)),ISNUMBER(SEARCH("thick'r",E61)),ISNUMBER(SEARCH("thick'r lawn",E61)),ISNUMBER(SEARCH("rapid grass",E61))),"Lawn Repair",
OR(ISNUMBER(SEARCH("weed",E61)),ISNUMBER(SEARCH("crabgrass",E61))),"Weed Control",
OR(ISNUMBER(SEARCH("fungicide",E61)),ISNUMBER(SEARCH("moss",E61))),"Disease &amp; Moss Control",
OR(ISNUMBER(SEARCH("plant food",E61)),ISNUMBER(SEARCH("miracid",E61))),"Plant Nutrition",
OR(ISNUMBER(SEARCH("perlite",E61))),"Soil Amendment",
OR(ISNUMBER(SEARCH("spreader",E61)),ISNUMBER(SEARCH("sprayer",E61)),ISNUMBER(SEARCH("mower",E61)),ISNUMBER(SEARCH("sweeper",E61)),ISNUMBER(SEARCH("pruner",E61)),ISNUMBER(SEARCH("trimmer",E61)),ISNUMBER(SEARCH("pole saw",E61))),"Garden Equipment",
TRUE,"Other"
)</f>
        <v>Flying Insect Control</v>
      </c>
      <c r="I61" s="7" t="str" cm="1">
        <f t="array" ref="I61">_xlfn.IFS(
OR(ISNUMBER(SEARCH("glue trap",E61)),ISNUMBER(SEARCH("glue board",E61))),"Glue Traps",
OR(ISNUMBER(SEARCH("snap trap",E61)),ISNUMBER(SEARCH("power-kill",E61)),ISNUMBER(SEARCH("wide pedal",E61)),ISNUMBER(SEARCH("metal pedal",E61))),"Snap Traps",
OR(ISNUMBER(SEARCH("electronic",E61)),ISNUMBER(SEARCH("zapper",E61))),"Electronic Traps",
OR(ISNUMBER(SEARCH("live catch",E61)),ISNUMBER(SEARCH("multi-catch",E61)),ISNUMBER(SEARCH("catch &amp; hold",E61)),ISNUMBER(SEARCH("tin cat",E61))),"Live Catch Traps",
OR(ISNUMBER(SEARCH("bait",E61)),ISNUMBER(SEARCH("poison",E61))),"Bait &amp; Poison",
ISNUMBER(SEARCH("repellent",E61)),"Repellents",
OR(ISNUMBER(SEARCH("fly trap",E61)),ISNUMBER(SEARCH("fly ribbon",E61)),ISNUMBER(SEARCH("fly stick",E61)),ISNUMBER(SEARCH("window fly",E61)),ISNUMBER(SEARCH("fly magnet",E61))),"Fly Traps",
OR(ISNUMBER(SEARCH("uv",E61)),ISNUMBER(SEARCH("fly light",E61)),ISNUMBER(SEARCH("plug-in",E61))),"UV Fly Traps",
ISNUMBER(SEARCH("roach",E61)),"Roach Traps",
ISNUMBER(SEARCH("ant",E61)),"Ant Traps",
ISNUMBER(SEARCH("spider",E61)),"Spider Traps",
ISNUMBER(SEARCH("mosquito",E61)),"Mosquito Traps",
ISNUMBER(SEARCH("beetle",E61)),"Beetle Traps",
ISNUMBER(SEARCH("lantern",E61)),"Lanternfly Control",
OR(ISNUMBER(SEARCH("tree shield",E61)),ISNUMBER(SEARCH("tree banding",E61)),ISNUMBER(SEARCH("insect barrier",E61))),"Tree Barriers",
OR(ISNUMBER(SEARCH("sun &amp; shade",E61)),ISNUMBER(SEARCH("sun and shade",E61))),"Sun &amp; Shade Mix",
ISNUMBER(SEARCH("tall fescue",E61)),"Tall Fescue",
ISNUMBER(SEARCH("bermudagrass",E61)),"Bermudagrass",
ISNUMBER(SEARCH("kentucky",E61)),"Kentucky Bluegrass",
ISNUMBER(SEARCH("zoysia",E61)),"Zoysia",
ISNUMBER(SEARCH("ryegrass",E61)),"Perennial Ryegrass",
ISNUMBER(SEARCH("centipede",E61)),"Centipede Grass",
ISNUMBER(SEARCH("dense shade",E61)),"Dense Shade Mix",
ISNUMBER(SEARCH("southern gold",E61)),"Southern Gold Mix",
ISNUMBER(SEARCH("heat-tolerant blue",E61)),"Heat-Tolerant Blue Mix",
ISNUMBER(SEARCH("high traffic",E61)),"High Traffic Mix",
ISNUMBER(SEARCH("quick fix",E61)),"Quick Fix Mix",
ISNUMBER(SEARCH("starter",E61)),"Starter Fertilizer",
ISNUMBER(SEARCH("weed &amp; feed",E61)),"Weed &amp; Feed",
ISNUMBER(SEARCH("lawn food",E61)),"Lawn Food",
ISNUMBER(SEARCH("triple action",E61)),"Triple Action Fertilizer",
ISNUMBER(SEARCH("green max",E61)),"Green Max Lawn Food",
ISNUMBER(SEARCH("patchmaster",E61)),"PatchMaster Repair",
ISNUMBER(SEARCH("ez seed",E61)),"EZ Seed Repair",
ISNUMBER(SEARCH("rapid grass",E61)),"Rapid Grass",
ISNUMBER(SEARCH("thick'r lawn",E61)),"Thick'R Lawn",
ISNUMBER(SEARCH("fungicide",E61)),"Fungicide",
ISNUMBER(SEARCH("moss",E61)),"Moss Control",
ISNUMBER(SEARCH("perlite",E61)),"Perlite",
ISNUMBER(SEARCH("plant food",E61)),"Plant Food",
ISNUMBER(SEARCH("spreader",E61)),"Spreader",
ISNUMBER(SEARCH("sprayer",E61)),"Sprayer",
ISNUMBER(SEARCH("mower",E61)),"Lawn Mower",
ISNUMBER(SEARCH("sweeper",E61)),"Lawn Sweeper",
OR(ISNUMBER(SEARCH("pruner",E61)),ISNUMBER(SEARCH("trimmer",E61)),ISNUMBER(SEARCH("pole saw",E61))),"Pruning Tools",
TRUE,"Other"
)</f>
        <v>Glue Traps</v>
      </c>
      <c r="J61" s="7" t="str">
        <f t="shared" si="2"/>
        <v>Flying Insect Control - Glue Traps</v>
      </c>
      <c r="K61" s="1">
        <v>300</v>
      </c>
      <c r="L61" s="1">
        <v>4.2</v>
      </c>
      <c r="M61" s="1">
        <v>455</v>
      </c>
      <c r="N61" s="1" t="s">
        <v>129</v>
      </c>
      <c r="O61" s="1">
        <f>VLOOKUP(A61,[2]Sheet1!$A:$B,2,0)</f>
        <v>60</v>
      </c>
      <c r="P61" s="1">
        <f>VLOOKUP(A61,[2]Sheet1!$A:$C,3,0)</f>
        <v>60</v>
      </c>
      <c r="Q61" s="7">
        <f>VLOOKUP(A61,[2]Sheet1!$A:$D,4,0)</f>
        <v>60</v>
      </c>
      <c r="R61" s="7">
        <f>VLOOKUP(A61,[2]Sheet1!$A:$E,5,0)</f>
        <v>100</v>
      </c>
      <c r="S61" s="7">
        <f>VLOOKUP(A61,[2]Sheet1!$A:$F,6,0)</f>
        <v>200</v>
      </c>
      <c r="T61" s="7">
        <f>VLOOKUP(A61,[2]Sheet1!$A:$G,7,0)</f>
        <v>200</v>
      </c>
      <c r="U61" s="7">
        <f>VLOOKUP(A61,[2]Sheet1!$A:$H,8,0)</f>
        <v>300</v>
      </c>
      <c r="V61" s="7">
        <f>VLOOKUP(A61,[2]Sheet1!$A:$I,9,0)</f>
        <v>300</v>
      </c>
      <c r="W61" s="7">
        <f>VLOOKUP(A61,[2]Sheet1!$A:$K,10,0)</f>
        <v>300</v>
      </c>
      <c r="X61" s="7">
        <f>VLOOKUP(A61,[2]Sheet1!$A:$L,11,0)</f>
        <v>400</v>
      </c>
      <c r="Y61" s="7">
        <f>VLOOKUP(A61,[2]Sheet1!$A:$L,12,0)</f>
        <v>200</v>
      </c>
      <c r="Z61" s="7">
        <f>VLOOKUP(A61,[2]Sheet1!$A:$M,13,0)</f>
        <v>100</v>
      </c>
      <c r="AA61" s="1">
        <f t="shared" si="0"/>
        <v>2280</v>
      </c>
      <c r="AB61" s="7">
        <f t="shared" si="3"/>
        <v>190</v>
      </c>
      <c r="AC61" s="13">
        <f t="shared" si="1"/>
        <v>190</v>
      </c>
      <c r="AD61" s="9">
        <f t="shared" si="4"/>
        <v>27337.200000000001</v>
      </c>
      <c r="AE61" s="9">
        <f t="shared" si="5"/>
        <v>2278.1</v>
      </c>
      <c r="AF61" s="11">
        <v>3.54</v>
      </c>
      <c r="AG61" s="11">
        <v>11.99</v>
      </c>
      <c r="AH61" s="9">
        <f t="shared" si="6"/>
        <v>1.7066666666666654E-2</v>
      </c>
      <c r="AI61" s="11">
        <f t="shared" si="7"/>
        <v>5.9733333333333277E-2</v>
      </c>
      <c r="AJ61" s="14">
        <v>0.5</v>
      </c>
      <c r="AK61" s="14">
        <v>0.5</v>
      </c>
      <c r="AL61" s="11">
        <v>3.54</v>
      </c>
      <c r="AM61" s="9">
        <f t="shared" si="8"/>
        <v>1.7985</v>
      </c>
      <c r="AN61" s="9">
        <f t="shared" si="9"/>
        <v>0.35970000000000002</v>
      </c>
      <c r="AO61" s="9">
        <f t="shared" si="10"/>
        <v>2.3980000000000001</v>
      </c>
      <c r="AP61" s="9">
        <f t="shared" si="11"/>
        <v>0.23980000000000001</v>
      </c>
      <c r="AQ61" s="9">
        <f t="shared" si="12"/>
        <v>2.3980000000000001</v>
      </c>
      <c r="AR61" s="9">
        <f t="shared" si="13"/>
        <v>2.9975000000000001</v>
      </c>
      <c r="AS61" s="11">
        <f t="shared" si="14"/>
        <v>0.17066666666666652</v>
      </c>
      <c r="AT61" s="12">
        <f t="shared" si="15"/>
        <v>-0.22900000000000009</v>
      </c>
    </row>
    <row r="62" spans="1:46" ht="16.5" x14ac:dyDescent="0.4">
      <c r="A62" s="1" t="s">
        <v>319</v>
      </c>
      <c r="B62" s="7" t="s">
        <v>42</v>
      </c>
      <c r="C62" s="7" t="s">
        <v>42</v>
      </c>
      <c r="D62" s="1" t="s">
        <v>320</v>
      </c>
      <c r="E62" s="1" t="s">
        <v>321</v>
      </c>
      <c r="F62" s="1" t="s">
        <v>322</v>
      </c>
      <c r="G62" s="7" t="str">
        <f>VLOOKUP(A62,[1]done!$A:$I,9,0)</f>
        <v>Other crawling insects</v>
      </c>
      <c r="H62" s="7" t="str" cm="1">
        <f t="array" ref="H62">_xlfn.IFS(
OR(ISNUMBER(SEARCH("mouse",E62)),ISNUMBER(SEARCH("rat",E62)),ISNUMBER(SEARCH("mice",E62)),ISNUMBER(SEARCH("rodent",E62))),"Rodent Control",
OR(ISNUMBER(SEARCH("fly",E62)),ISNUMBER(SEARCH("gnat",E62)),ISNUMBER(SEARCH("insect",E62)),ISNUMBER(SEARCH("mosquito",E62))),"Flying Insect Control",
OR(ISNUMBER(SEARCH("roach",E62)),ISNUMBER(SEARCH("ant",E62)),ISNUMBER(SEARCH("spider",E62)),ISNUMBER(SEARCH("cricket",E62)),ISNUMBER(SEARCH("scorpion",E62)),ISNUMBER(SEARCH("centipede",E62)),ISNUMBER(SEARCH("beetle",E62))),"Crawling Insect Control",
OR(ISNUMBER(SEARCH("tree",E62)),ISNUMBER(SEARCH("lantern",E62)),ISNUMBER(SEARCH("garden",E62)),ISNUMBER(SEARCH("plant",E62))),"Garden Pest Control",
OR(ISNUMBER(SEARCH("grass seed",E62)),ISNUMBER(SEARCH("seed mix",E62))),"Grass Seed",
OR(ISNUMBER(SEARCH("lawn food",E62)),ISNUMBER(SEARCH("fertilizer",E62))),"Lawn Fertilizer",
OR(ISNUMBER(SEARCH("patch",E62)),ISNUMBER(SEARCH("repair",E62)),ISNUMBER(SEARCH("thick'r",E62)),ISNUMBER(SEARCH("thick'r lawn",E62)),ISNUMBER(SEARCH("rapid grass",E62))),"Lawn Repair",
OR(ISNUMBER(SEARCH("weed",E62)),ISNUMBER(SEARCH("crabgrass",E62))),"Weed Control",
OR(ISNUMBER(SEARCH("fungicide",E62)),ISNUMBER(SEARCH("moss",E62))),"Disease &amp; Moss Control",
OR(ISNUMBER(SEARCH("plant food",E62)),ISNUMBER(SEARCH("miracid",E62))),"Plant Nutrition",
OR(ISNUMBER(SEARCH("perlite",E62))),"Soil Amendment",
OR(ISNUMBER(SEARCH("spreader",E62)),ISNUMBER(SEARCH("sprayer",E62)),ISNUMBER(SEARCH("mower",E62)),ISNUMBER(SEARCH("sweeper",E62)),ISNUMBER(SEARCH("pruner",E62)),ISNUMBER(SEARCH("trimmer",E62)),ISNUMBER(SEARCH("pole saw",E62))),"Garden Equipment",
TRUE,"Other"
)</f>
        <v>Flying Insect Control</v>
      </c>
      <c r="I62" s="7" t="str" cm="1">
        <f t="array" ref="I62">_xlfn.IFS(
OR(ISNUMBER(SEARCH("glue trap",E62)),ISNUMBER(SEARCH("glue board",E62))),"Glue Traps",
OR(ISNUMBER(SEARCH("snap trap",E62)),ISNUMBER(SEARCH("power-kill",E62)),ISNUMBER(SEARCH("wide pedal",E62)),ISNUMBER(SEARCH("metal pedal",E62))),"Snap Traps",
OR(ISNUMBER(SEARCH("electronic",E62)),ISNUMBER(SEARCH("zapper",E62))),"Electronic Traps",
OR(ISNUMBER(SEARCH("live catch",E62)),ISNUMBER(SEARCH("multi-catch",E62)),ISNUMBER(SEARCH("catch &amp; hold",E62)),ISNUMBER(SEARCH("tin cat",E62))),"Live Catch Traps",
OR(ISNUMBER(SEARCH("bait",E62)),ISNUMBER(SEARCH("poison",E62))),"Bait &amp; Poison",
ISNUMBER(SEARCH("repellent",E62)),"Repellents",
OR(ISNUMBER(SEARCH("fly trap",E62)),ISNUMBER(SEARCH("fly ribbon",E62)),ISNUMBER(SEARCH("fly stick",E62)),ISNUMBER(SEARCH("window fly",E62)),ISNUMBER(SEARCH("fly magnet",E62))),"Fly Traps",
OR(ISNUMBER(SEARCH("uv",E62)),ISNUMBER(SEARCH("fly light",E62)),ISNUMBER(SEARCH("plug-in",E62))),"UV Fly Traps",
ISNUMBER(SEARCH("roach",E62)),"Roach Traps",
ISNUMBER(SEARCH("ant",E62)),"Ant Traps",
ISNUMBER(SEARCH("spider",E62)),"Spider Traps",
ISNUMBER(SEARCH("mosquito",E62)),"Mosquito Traps",
ISNUMBER(SEARCH("beetle",E62)),"Beetle Traps",
ISNUMBER(SEARCH("lantern",E62)),"Lanternfly Control",
OR(ISNUMBER(SEARCH("tree shield",E62)),ISNUMBER(SEARCH("tree banding",E62)),ISNUMBER(SEARCH("insect barrier",E62))),"Tree Barriers",
OR(ISNUMBER(SEARCH("sun &amp; shade",E62)),ISNUMBER(SEARCH("sun and shade",E62))),"Sun &amp; Shade Mix",
ISNUMBER(SEARCH("tall fescue",E62)),"Tall Fescue",
ISNUMBER(SEARCH("bermudagrass",E62)),"Bermudagrass",
ISNUMBER(SEARCH("kentucky",E62)),"Kentucky Bluegrass",
ISNUMBER(SEARCH("zoysia",E62)),"Zoysia",
ISNUMBER(SEARCH("ryegrass",E62)),"Perennial Ryegrass",
ISNUMBER(SEARCH("centipede",E62)),"Centipede Grass",
ISNUMBER(SEARCH("dense shade",E62)),"Dense Shade Mix",
ISNUMBER(SEARCH("southern gold",E62)),"Southern Gold Mix",
ISNUMBER(SEARCH("heat-tolerant blue",E62)),"Heat-Tolerant Blue Mix",
ISNUMBER(SEARCH("high traffic",E62)),"High Traffic Mix",
ISNUMBER(SEARCH("quick fix",E62)),"Quick Fix Mix",
ISNUMBER(SEARCH("starter",E62)),"Starter Fertilizer",
ISNUMBER(SEARCH("weed &amp; feed",E62)),"Weed &amp; Feed",
ISNUMBER(SEARCH("lawn food",E62)),"Lawn Food",
ISNUMBER(SEARCH("triple action",E62)),"Triple Action Fertilizer",
ISNUMBER(SEARCH("green max",E62)),"Green Max Lawn Food",
ISNUMBER(SEARCH("patchmaster",E62)),"PatchMaster Repair",
ISNUMBER(SEARCH("ez seed",E62)),"EZ Seed Repair",
ISNUMBER(SEARCH("rapid grass",E62)),"Rapid Grass",
ISNUMBER(SEARCH("thick'r lawn",E62)),"Thick'R Lawn",
ISNUMBER(SEARCH("fungicide",E62)),"Fungicide",
ISNUMBER(SEARCH("moss",E62)),"Moss Control",
ISNUMBER(SEARCH("perlite",E62)),"Perlite",
ISNUMBER(SEARCH("plant food",E62)),"Plant Food",
ISNUMBER(SEARCH("spreader",E62)),"Spreader",
ISNUMBER(SEARCH("sprayer",E62)),"Sprayer",
ISNUMBER(SEARCH("mower",E62)),"Lawn Mower",
ISNUMBER(SEARCH("sweeper",E62)),"Lawn Sweeper",
OR(ISNUMBER(SEARCH("pruner",E62)),ISNUMBER(SEARCH("trimmer",E62)),ISNUMBER(SEARCH("pole saw",E62))),"Pruning Tools",
TRUE,"Other"
)</f>
        <v>Ant Traps</v>
      </c>
      <c r="J62" s="7" t="str">
        <f t="shared" si="2"/>
        <v>Flying Insect Control - Ant Traps</v>
      </c>
      <c r="K62" s="1">
        <v>200</v>
      </c>
      <c r="L62" s="1">
        <v>4.3</v>
      </c>
      <c r="M62" s="1">
        <v>477</v>
      </c>
      <c r="N62" s="1" t="s">
        <v>323</v>
      </c>
      <c r="O62" s="1">
        <f>VLOOKUP(A62,[2]Sheet1!$A:$B,2,0)</f>
        <v>0</v>
      </c>
      <c r="P62" s="1">
        <f>VLOOKUP(A62,[2]Sheet1!$A:$C,3,0)</f>
        <v>50</v>
      </c>
      <c r="Q62" s="7">
        <f>VLOOKUP(A62,[2]Sheet1!$A:$D,4,0)</f>
        <v>100</v>
      </c>
      <c r="R62" s="7">
        <f>VLOOKUP(A62,[2]Sheet1!$A:$E,5,0)</f>
        <v>500</v>
      </c>
      <c r="S62" s="7">
        <f>VLOOKUP(A62,[2]Sheet1!$A:$F,6,0)</f>
        <v>200</v>
      </c>
      <c r="T62" s="7">
        <f>VLOOKUP(A62,[2]Sheet1!$A:$G,7,0)</f>
        <v>700</v>
      </c>
      <c r="U62" s="7">
        <f>VLOOKUP(A62,[2]Sheet1!$A:$H,8,0)</f>
        <v>700</v>
      </c>
      <c r="V62" s="7">
        <f>VLOOKUP(A62,[2]Sheet1!$A:$I,9,0)</f>
        <v>400</v>
      </c>
      <c r="W62" s="7">
        <f>VLOOKUP(A62,[2]Sheet1!$A:$K,10,0)</f>
        <v>300</v>
      </c>
      <c r="X62" s="7">
        <f>VLOOKUP(A62,[2]Sheet1!$A:$L,11,0)</f>
        <v>200</v>
      </c>
      <c r="Y62" s="7">
        <f>VLOOKUP(A62,[2]Sheet1!$A:$L,12,0)</f>
        <v>100</v>
      </c>
      <c r="Z62" s="7">
        <f>VLOOKUP(A62,[2]Sheet1!$A:$M,13,0)</f>
        <v>50</v>
      </c>
      <c r="AA62" s="1">
        <f t="shared" si="0"/>
        <v>3300</v>
      </c>
      <c r="AB62" s="7">
        <f t="shared" si="3"/>
        <v>275</v>
      </c>
      <c r="AC62" s="13">
        <f t="shared" si="1"/>
        <v>275</v>
      </c>
      <c r="AD62" s="9">
        <f t="shared" si="4"/>
        <v>59366.999999999993</v>
      </c>
      <c r="AE62" s="9">
        <f t="shared" si="5"/>
        <v>4947.25</v>
      </c>
      <c r="AF62" s="11">
        <v>4.76</v>
      </c>
      <c r="AG62" s="11">
        <v>17.989999999999998</v>
      </c>
      <c r="AH62" s="9">
        <f t="shared" si="6"/>
        <v>9.5733333333333281E-2</v>
      </c>
      <c r="AI62" s="11">
        <f t="shared" si="7"/>
        <v>0.3350666666666664</v>
      </c>
      <c r="AJ62" s="14">
        <v>0.5</v>
      </c>
      <c r="AK62" s="14">
        <v>0.5</v>
      </c>
      <c r="AL62" s="11">
        <v>4.76</v>
      </c>
      <c r="AM62" s="9">
        <f t="shared" si="8"/>
        <v>2.6984999999999997</v>
      </c>
      <c r="AN62" s="9">
        <f t="shared" si="9"/>
        <v>0.53969999999999996</v>
      </c>
      <c r="AO62" s="9">
        <f t="shared" si="10"/>
        <v>3.5979999999999999</v>
      </c>
      <c r="AP62" s="9">
        <f t="shared" si="11"/>
        <v>0.35979999999999995</v>
      </c>
      <c r="AQ62" s="9">
        <f t="shared" si="12"/>
        <v>3.5979999999999999</v>
      </c>
      <c r="AR62" s="9">
        <f t="shared" si="13"/>
        <v>4.4974999999999996</v>
      </c>
      <c r="AS62" s="11">
        <f t="shared" si="14"/>
        <v>0.9573333333333327</v>
      </c>
      <c r="AT62" s="12">
        <f t="shared" si="15"/>
        <v>0.35766666666666619</v>
      </c>
    </row>
    <row r="63" spans="1:46" ht="16.5" x14ac:dyDescent="0.4">
      <c r="A63" s="1" t="s">
        <v>324</v>
      </c>
      <c r="B63" s="7" t="s">
        <v>42</v>
      </c>
      <c r="C63" s="7">
        <v>0</v>
      </c>
      <c r="D63" s="1" t="s">
        <v>325</v>
      </c>
      <c r="E63" s="1" t="s">
        <v>326</v>
      </c>
      <c r="F63" s="1" t="s">
        <v>327</v>
      </c>
      <c r="G63" s="7" t="str">
        <f>VLOOKUP(A63,[1]done!$A:$I,9,0)</f>
        <v>Rodent</v>
      </c>
      <c r="H63" s="7" t="str" cm="1">
        <f t="array" ref="H63">_xlfn.IFS(
OR(ISNUMBER(SEARCH("mouse",E63)),ISNUMBER(SEARCH("rat",E63)),ISNUMBER(SEARCH("mice",E63)),ISNUMBER(SEARCH("rodent",E63))),"Rodent Control",
OR(ISNUMBER(SEARCH("fly",E63)),ISNUMBER(SEARCH("gnat",E63)),ISNUMBER(SEARCH("insect",E63)),ISNUMBER(SEARCH("mosquito",E63))),"Flying Insect Control",
OR(ISNUMBER(SEARCH("roach",E63)),ISNUMBER(SEARCH("ant",E63)),ISNUMBER(SEARCH("spider",E63)),ISNUMBER(SEARCH("cricket",E63)),ISNUMBER(SEARCH("scorpion",E63)),ISNUMBER(SEARCH("centipede",E63)),ISNUMBER(SEARCH("beetle",E63))),"Crawling Insect Control",
OR(ISNUMBER(SEARCH("tree",E63)),ISNUMBER(SEARCH("lantern",E63)),ISNUMBER(SEARCH("garden",E63)),ISNUMBER(SEARCH("plant",E63))),"Garden Pest Control",
OR(ISNUMBER(SEARCH("grass seed",E63)),ISNUMBER(SEARCH("seed mix",E63))),"Grass Seed",
OR(ISNUMBER(SEARCH("lawn food",E63)),ISNUMBER(SEARCH("fertilizer",E63))),"Lawn Fertilizer",
OR(ISNUMBER(SEARCH("patch",E63)),ISNUMBER(SEARCH("repair",E63)),ISNUMBER(SEARCH("thick'r",E63)),ISNUMBER(SEARCH("thick'r lawn",E63)),ISNUMBER(SEARCH("rapid grass",E63))),"Lawn Repair",
OR(ISNUMBER(SEARCH("weed",E63)),ISNUMBER(SEARCH("crabgrass",E63))),"Weed Control",
OR(ISNUMBER(SEARCH("fungicide",E63)),ISNUMBER(SEARCH("moss",E63))),"Disease &amp; Moss Control",
OR(ISNUMBER(SEARCH("plant food",E63)),ISNUMBER(SEARCH("miracid",E63))),"Plant Nutrition",
OR(ISNUMBER(SEARCH("perlite",E63))),"Soil Amendment",
OR(ISNUMBER(SEARCH("spreader",E63)),ISNUMBER(SEARCH("sprayer",E63)),ISNUMBER(SEARCH("mower",E63)),ISNUMBER(SEARCH("sweeper",E63)),ISNUMBER(SEARCH("pruner",E63)),ISNUMBER(SEARCH("trimmer",E63)),ISNUMBER(SEARCH("pole saw",E63))),"Garden Equipment",
TRUE,"Other"
)</f>
        <v>Rodent Control</v>
      </c>
      <c r="I63" s="7" t="str" cm="1">
        <f t="array" ref="I63">_xlfn.IFS(
OR(ISNUMBER(SEARCH("glue trap",E63)),ISNUMBER(SEARCH("glue board",E63))),"Glue Traps",
OR(ISNUMBER(SEARCH("snap trap",E63)),ISNUMBER(SEARCH("power-kill",E63)),ISNUMBER(SEARCH("wide pedal",E63)),ISNUMBER(SEARCH("metal pedal",E63))),"Snap Traps",
OR(ISNUMBER(SEARCH("electronic",E63)),ISNUMBER(SEARCH("zapper",E63))),"Electronic Traps",
OR(ISNUMBER(SEARCH("live catch",E63)),ISNUMBER(SEARCH("multi-catch",E63)),ISNUMBER(SEARCH("catch &amp; hold",E63)),ISNUMBER(SEARCH("tin cat",E63))),"Live Catch Traps",
OR(ISNUMBER(SEARCH("bait",E63)),ISNUMBER(SEARCH("poison",E63))),"Bait &amp; Poison",
ISNUMBER(SEARCH("repellent",E63)),"Repellents",
OR(ISNUMBER(SEARCH("fly trap",E63)),ISNUMBER(SEARCH("fly ribbon",E63)),ISNUMBER(SEARCH("fly stick",E63)),ISNUMBER(SEARCH("window fly",E63)),ISNUMBER(SEARCH("fly magnet",E63))),"Fly Traps",
OR(ISNUMBER(SEARCH("uv",E63)),ISNUMBER(SEARCH("fly light",E63)),ISNUMBER(SEARCH("plug-in",E63))),"UV Fly Traps",
ISNUMBER(SEARCH("roach",E63)),"Roach Traps",
ISNUMBER(SEARCH("ant",E63)),"Ant Traps",
ISNUMBER(SEARCH("spider",E63)),"Spider Traps",
ISNUMBER(SEARCH("mosquito",E63)),"Mosquito Traps",
ISNUMBER(SEARCH("beetle",E63)),"Beetle Traps",
ISNUMBER(SEARCH("lantern",E63)),"Lanternfly Control",
OR(ISNUMBER(SEARCH("tree shield",E63)),ISNUMBER(SEARCH("tree banding",E63)),ISNUMBER(SEARCH("insect barrier",E63))),"Tree Barriers",
OR(ISNUMBER(SEARCH("sun &amp; shade",E63)),ISNUMBER(SEARCH("sun and shade",E63))),"Sun &amp; Shade Mix",
ISNUMBER(SEARCH("tall fescue",E63)),"Tall Fescue",
ISNUMBER(SEARCH("bermudagrass",E63)),"Bermudagrass",
ISNUMBER(SEARCH("kentucky",E63)),"Kentucky Bluegrass",
ISNUMBER(SEARCH("zoysia",E63)),"Zoysia",
ISNUMBER(SEARCH("ryegrass",E63)),"Perennial Ryegrass",
ISNUMBER(SEARCH("centipede",E63)),"Centipede Grass",
ISNUMBER(SEARCH("dense shade",E63)),"Dense Shade Mix",
ISNUMBER(SEARCH("southern gold",E63)),"Southern Gold Mix",
ISNUMBER(SEARCH("heat-tolerant blue",E63)),"Heat-Tolerant Blue Mix",
ISNUMBER(SEARCH("high traffic",E63)),"High Traffic Mix",
ISNUMBER(SEARCH("quick fix",E63)),"Quick Fix Mix",
ISNUMBER(SEARCH("starter",E63)),"Starter Fertilizer",
ISNUMBER(SEARCH("weed &amp; feed",E63)),"Weed &amp; Feed",
ISNUMBER(SEARCH("lawn food",E63)),"Lawn Food",
ISNUMBER(SEARCH("triple action",E63)),"Triple Action Fertilizer",
ISNUMBER(SEARCH("green max",E63)),"Green Max Lawn Food",
ISNUMBER(SEARCH("patchmaster",E63)),"PatchMaster Repair",
ISNUMBER(SEARCH("ez seed",E63)),"EZ Seed Repair",
ISNUMBER(SEARCH("rapid grass",E63)),"Rapid Grass",
ISNUMBER(SEARCH("thick'r lawn",E63)),"Thick'R Lawn",
ISNUMBER(SEARCH("fungicide",E63)),"Fungicide",
ISNUMBER(SEARCH("moss",E63)),"Moss Control",
ISNUMBER(SEARCH("perlite",E63)),"Perlite",
ISNUMBER(SEARCH("plant food",E63)),"Plant Food",
ISNUMBER(SEARCH("spreader",E63)),"Spreader",
ISNUMBER(SEARCH("sprayer",E63)),"Sprayer",
ISNUMBER(SEARCH("mower",E63)),"Lawn Mower",
ISNUMBER(SEARCH("sweeper",E63)),"Lawn Sweeper",
OR(ISNUMBER(SEARCH("pruner",E63)),ISNUMBER(SEARCH("trimmer",E63)),ISNUMBER(SEARCH("pole saw",E63))),"Pruning Tools",
TRUE,"Other"
)</f>
        <v>Glue Traps</v>
      </c>
      <c r="J63" s="7" t="str">
        <f t="shared" si="2"/>
        <v>Rodent Control - Glue Traps</v>
      </c>
      <c r="K63" s="1">
        <v>300</v>
      </c>
      <c r="L63" s="1">
        <v>4.7</v>
      </c>
      <c r="M63" s="1">
        <v>705</v>
      </c>
      <c r="N63" s="1"/>
      <c r="O63" s="1">
        <f>VLOOKUP(A63,[2]Sheet1!$A:$B,2,0)</f>
        <v>100</v>
      </c>
      <c r="P63" s="1">
        <f>VLOOKUP(A63,[2]Sheet1!$A:$C,3,0)</f>
        <v>100</v>
      </c>
      <c r="Q63" s="7">
        <f>VLOOKUP(A63,[2]Sheet1!$A:$D,4,0)</f>
        <v>100</v>
      </c>
      <c r="R63" s="7">
        <f>VLOOKUP(A63,[2]Sheet1!$A:$E,5,0)</f>
        <v>100</v>
      </c>
      <c r="S63" s="7">
        <f>VLOOKUP(A63,[2]Sheet1!$A:$F,6,0)</f>
        <v>200</v>
      </c>
      <c r="T63" s="7">
        <f>VLOOKUP(A63,[2]Sheet1!$A:$G,7,0)</f>
        <v>200</v>
      </c>
      <c r="U63" s="7">
        <f>VLOOKUP(A63,[2]Sheet1!$A:$H,8,0)</f>
        <v>200</v>
      </c>
      <c r="V63" s="7">
        <f>VLOOKUP(A63,[2]Sheet1!$A:$I,9,0)</f>
        <v>200</v>
      </c>
      <c r="W63" s="7">
        <f>VLOOKUP(A63,[2]Sheet1!$A:$K,10,0)</f>
        <v>200</v>
      </c>
      <c r="X63" s="7">
        <f>VLOOKUP(A63,[2]Sheet1!$A:$L,11,0)</f>
        <v>300</v>
      </c>
      <c r="Y63" s="7">
        <f>VLOOKUP(A63,[2]Sheet1!$A:$L,12,0)</f>
        <v>200</v>
      </c>
      <c r="Z63" s="7">
        <f>VLOOKUP(A63,[2]Sheet1!$A:$M,13,0)</f>
        <v>200</v>
      </c>
      <c r="AA63" s="1">
        <f t="shared" si="0"/>
        <v>2100</v>
      </c>
      <c r="AB63" s="7">
        <f t="shared" si="3"/>
        <v>175</v>
      </c>
      <c r="AC63" s="13">
        <f t="shared" si="1"/>
        <v>175</v>
      </c>
      <c r="AD63" s="9">
        <f t="shared" si="4"/>
        <v>77049</v>
      </c>
      <c r="AE63" s="9">
        <f t="shared" si="5"/>
        <v>6420.75</v>
      </c>
      <c r="AF63" s="11">
        <v>7.32</v>
      </c>
      <c r="AG63" s="11">
        <v>36.69</v>
      </c>
      <c r="AH63" s="9">
        <f t="shared" si="6"/>
        <v>0.4237333333333333</v>
      </c>
      <c r="AI63" s="11">
        <f t="shared" si="7"/>
        <v>1.4830666666666665</v>
      </c>
      <c r="AJ63" s="14">
        <v>0.5</v>
      </c>
      <c r="AK63" s="14">
        <v>0.5</v>
      </c>
      <c r="AL63" s="11">
        <v>7.32</v>
      </c>
      <c r="AM63" s="9">
        <f t="shared" si="8"/>
        <v>5.5034999999999998</v>
      </c>
      <c r="AN63" s="9">
        <f t="shared" si="9"/>
        <v>1.1006999999999998</v>
      </c>
      <c r="AO63" s="9">
        <f t="shared" si="10"/>
        <v>7.3380000000000001</v>
      </c>
      <c r="AP63" s="9">
        <f t="shared" si="11"/>
        <v>0.73380000000000001</v>
      </c>
      <c r="AQ63" s="9">
        <f t="shared" si="12"/>
        <v>7.3380000000000001</v>
      </c>
      <c r="AR63" s="9">
        <f t="shared" si="13"/>
        <v>9.1724999999999994</v>
      </c>
      <c r="AS63" s="11">
        <f t="shared" si="14"/>
        <v>4.237333333333333</v>
      </c>
      <c r="AT63" s="12">
        <f t="shared" si="15"/>
        <v>3.0143333333333331</v>
      </c>
    </row>
    <row r="64" spans="1:46" ht="16.5" x14ac:dyDescent="0.4">
      <c r="A64" s="1" t="s">
        <v>328</v>
      </c>
      <c r="B64" s="7" t="s">
        <v>42</v>
      </c>
      <c r="C64" s="7" t="s">
        <v>1781</v>
      </c>
      <c r="D64" s="1" t="s">
        <v>329</v>
      </c>
      <c r="E64" s="1" t="s">
        <v>330</v>
      </c>
      <c r="F64" s="1" t="s">
        <v>331</v>
      </c>
      <c r="G64" s="7" t="str">
        <f>VLOOKUP(A64,[1]done!$A:$I,9,0)</f>
        <v>Mosquito/Fly</v>
      </c>
      <c r="H64" s="7" t="str" cm="1">
        <f t="array" ref="H64">_xlfn.IFS(
OR(ISNUMBER(SEARCH("mouse",E64)),ISNUMBER(SEARCH("rat",E64)),ISNUMBER(SEARCH("mice",E64)),ISNUMBER(SEARCH("rodent",E64))),"Rodent Control",
OR(ISNUMBER(SEARCH("fly",E64)),ISNUMBER(SEARCH("gnat",E64)),ISNUMBER(SEARCH("insect",E64)),ISNUMBER(SEARCH("mosquito",E64))),"Flying Insect Control",
OR(ISNUMBER(SEARCH("roach",E64)),ISNUMBER(SEARCH("ant",E64)),ISNUMBER(SEARCH("spider",E64)),ISNUMBER(SEARCH("cricket",E64)),ISNUMBER(SEARCH("scorpion",E64)),ISNUMBER(SEARCH("centipede",E64)),ISNUMBER(SEARCH("beetle",E64))),"Crawling Insect Control",
OR(ISNUMBER(SEARCH("tree",E64)),ISNUMBER(SEARCH("lantern",E64)),ISNUMBER(SEARCH("garden",E64)),ISNUMBER(SEARCH("plant",E64))),"Garden Pest Control",
OR(ISNUMBER(SEARCH("grass seed",E64)),ISNUMBER(SEARCH("seed mix",E64))),"Grass Seed",
OR(ISNUMBER(SEARCH("lawn food",E64)),ISNUMBER(SEARCH("fertilizer",E64))),"Lawn Fertilizer",
OR(ISNUMBER(SEARCH("patch",E64)),ISNUMBER(SEARCH("repair",E64)),ISNUMBER(SEARCH("thick'r",E64)),ISNUMBER(SEARCH("thick'r lawn",E64)),ISNUMBER(SEARCH("rapid grass",E64))),"Lawn Repair",
OR(ISNUMBER(SEARCH("weed",E64)),ISNUMBER(SEARCH("crabgrass",E64))),"Weed Control",
OR(ISNUMBER(SEARCH("fungicide",E64)),ISNUMBER(SEARCH("moss",E64))),"Disease &amp; Moss Control",
OR(ISNUMBER(SEARCH("plant food",E64)),ISNUMBER(SEARCH("miracid",E64))),"Plant Nutrition",
OR(ISNUMBER(SEARCH("perlite",E64))),"Soil Amendment",
OR(ISNUMBER(SEARCH("spreader",E64)),ISNUMBER(SEARCH("sprayer",E64)),ISNUMBER(SEARCH("mower",E64)),ISNUMBER(SEARCH("sweeper",E64)),ISNUMBER(SEARCH("pruner",E64)),ISNUMBER(SEARCH("trimmer",E64)),ISNUMBER(SEARCH("pole saw",E64))),"Garden Equipment",
TRUE,"Other"
)</f>
        <v>Flying Insect Control</v>
      </c>
      <c r="I64" s="7" t="str" cm="1">
        <f t="array" ref="I64">_xlfn.IFS(
OR(ISNUMBER(SEARCH("glue trap",E64)),ISNUMBER(SEARCH("glue board",E64))),"Glue Traps",
OR(ISNUMBER(SEARCH("snap trap",E64)),ISNUMBER(SEARCH("power-kill",E64)),ISNUMBER(SEARCH("wide pedal",E64)),ISNUMBER(SEARCH("metal pedal",E64))),"Snap Traps",
OR(ISNUMBER(SEARCH("electronic",E64)),ISNUMBER(SEARCH("zapper",E64))),"Electronic Traps",
OR(ISNUMBER(SEARCH("live catch",E64)),ISNUMBER(SEARCH("multi-catch",E64)),ISNUMBER(SEARCH("catch &amp; hold",E64)),ISNUMBER(SEARCH("tin cat",E64))),"Live Catch Traps",
OR(ISNUMBER(SEARCH("bait",E64)),ISNUMBER(SEARCH("poison",E64))),"Bait &amp; Poison",
ISNUMBER(SEARCH("repellent",E64)),"Repellents",
OR(ISNUMBER(SEARCH("fly trap",E64)),ISNUMBER(SEARCH("fly ribbon",E64)),ISNUMBER(SEARCH("fly stick",E64)),ISNUMBER(SEARCH("window fly",E64)),ISNUMBER(SEARCH("fly magnet",E64))),"Fly Traps",
OR(ISNUMBER(SEARCH("uv",E64)),ISNUMBER(SEARCH("fly light",E64)),ISNUMBER(SEARCH("plug-in",E64))),"UV Fly Traps",
ISNUMBER(SEARCH("roach",E64)),"Roach Traps",
ISNUMBER(SEARCH("ant",E64)),"Ant Traps",
ISNUMBER(SEARCH("spider",E64)),"Spider Traps",
ISNUMBER(SEARCH("mosquito",E64)),"Mosquito Traps",
ISNUMBER(SEARCH("beetle",E64)),"Beetle Traps",
ISNUMBER(SEARCH("lantern",E64)),"Lanternfly Control",
OR(ISNUMBER(SEARCH("tree shield",E64)),ISNUMBER(SEARCH("tree banding",E64)),ISNUMBER(SEARCH("insect barrier",E64))),"Tree Barriers",
OR(ISNUMBER(SEARCH("sun &amp; shade",E64)),ISNUMBER(SEARCH("sun and shade",E64))),"Sun &amp; Shade Mix",
ISNUMBER(SEARCH("tall fescue",E64)),"Tall Fescue",
ISNUMBER(SEARCH("bermudagrass",E64)),"Bermudagrass",
ISNUMBER(SEARCH("kentucky",E64)),"Kentucky Bluegrass",
ISNUMBER(SEARCH("zoysia",E64)),"Zoysia",
ISNUMBER(SEARCH("ryegrass",E64)),"Perennial Ryegrass",
ISNUMBER(SEARCH("centipede",E64)),"Centipede Grass",
ISNUMBER(SEARCH("dense shade",E64)),"Dense Shade Mix",
ISNUMBER(SEARCH("southern gold",E64)),"Southern Gold Mix",
ISNUMBER(SEARCH("heat-tolerant blue",E64)),"Heat-Tolerant Blue Mix",
ISNUMBER(SEARCH("high traffic",E64)),"High Traffic Mix",
ISNUMBER(SEARCH("quick fix",E64)),"Quick Fix Mix",
ISNUMBER(SEARCH("starter",E64)),"Starter Fertilizer",
ISNUMBER(SEARCH("weed &amp; feed",E64)),"Weed &amp; Feed",
ISNUMBER(SEARCH("lawn food",E64)),"Lawn Food",
ISNUMBER(SEARCH("triple action",E64)),"Triple Action Fertilizer",
ISNUMBER(SEARCH("green max",E64)),"Green Max Lawn Food",
ISNUMBER(SEARCH("patchmaster",E64)),"PatchMaster Repair",
ISNUMBER(SEARCH("ez seed",E64)),"EZ Seed Repair",
ISNUMBER(SEARCH("rapid grass",E64)),"Rapid Grass",
ISNUMBER(SEARCH("thick'r lawn",E64)),"Thick'R Lawn",
ISNUMBER(SEARCH("fungicide",E64)),"Fungicide",
ISNUMBER(SEARCH("moss",E64)),"Moss Control",
ISNUMBER(SEARCH("perlite",E64)),"Perlite",
ISNUMBER(SEARCH("plant food",E64)),"Plant Food",
ISNUMBER(SEARCH("spreader",E64)),"Spreader",
ISNUMBER(SEARCH("sprayer",E64)),"Sprayer",
ISNUMBER(SEARCH("mower",E64)),"Lawn Mower",
ISNUMBER(SEARCH("sweeper",E64)),"Lawn Sweeper",
OR(ISNUMBER(SEARCH("pruner",E64)),ISNUMBER(SEARCH("trimmer",E64)),ISNUMBER(SEARCH("pole saw",E64))),"Pruning Tools",
TRUE,"Other"
)</f>
        <v>Fly Traps</v>
      </c>
      <c r="J64" s="7" t="str">
        <f t="shared" si="2"/>
        <v>Flying Insect Control - Fly Traps</v>
      </c>
      <c r="K64" s="1">
        <v>200</v>
      </c>
      <c r="L64" s="1">
        <v>3.2</v>
      </c>
      <c r="M64" s="1">
        <v>66</v>
      </c>
      <c r="N64" s="1" t="s">
        <v>332</v>
      </c>
      <c r="O64" s="1">
        <f>VLOOKUP(A64,[2]Sheet1!$A:$B,2,0)</f>
        <v>0</v>
      </c>
      <c r="P64" s="1">
        <f>VLOOKUP(A64,[2]Sheet1!$A:$C,3,0)</f>
        <v>0</v>
      </c>
      <c r="Q64" s="7">
        <f>VLOOKUP(A64,[2]Sheet1!$A:$D,4,0)</f>
        <v>0</v>
      </c>
      <c r="R64" s="7">
        <f>VLOOKUP(A64,[2]Sheet1!$A:$E,5,0)</f>
        <v>0</v>
      </c>
      <c r="S64" s="7">
        <f>VLOOKUP(A64,[2]Sheet1!$A:$F,6,0)</f>
        <v>0</v>
      </c>
      <c r="T64" s="7">
        <f>VLOOKUP(A64,[2]Sheet1!$A:$G,7,0)</f>
        <v>400</v>
      </c>
      <c r="U64" s="7">
        <f>VLOOKUP(A64,[2]Sheet1!$A:$H,8,0)</f>
        <v>400</v>
      </c>
      <c r="V64" s="7">
        <f>VLOOKUP(A64,[2]Sheet1!$A:$I,9,0)</f>
        <v>300</v>
      </c>
      <c r="W64" s="7">
        <f>VLOOKUP(A64,[2]Sheet1!$A:$K,10,0)</f>
        <v>200</v>
      </c>
      <c r="X64" s="7">
        <f>VLOOKUP(A64,[2]Sheet1!$A:$L,11,0)</f>
        <v>0</v>
      </c>
      <c r="Y64" s="7">
        <f>VLOOKUP(A64,[2]Sheet1!$A:$L,12,0)</f>
        <v>0</v>
      </c>
      <c r="Z64" s="7">
        <f>VLOOKUP(A64,[2]Sheet1!$A:$M,13,0)</f>
        <v>0</v>
      </c>
      <c r="AA64" s="1">
        <f t="shared" si="0"/>
        <v>1300</v>
      </c>
      <c r="AB64" s="7">
        <f t="shared" si="3"/>
        <v>108</v>
      </c>
      <c r="AC64" s="13">
        <f t="shared" si="1"/>
        <v>108.33333333333333</v>
      </c>
      <c r="AD64" s="9">
        <f t="shared" si="4"/>
        <v>16887</v>
      </c>
      <c r="AE64" s="9">
        <f t="shared" si="5"/>
        <v>1407.25</v>
      </c>
      <c r="AF64" s="11">
        <v>3.44</v>
      </c>
      <c r="AG64" s="11">
        <v>12.99</v>
      </c>
      <c r="AH64" s="9">
        <f t="shared" si="6"/>
        <v>5.0399999999999959E-2</v>
      </c>
      <c r="AI64" s="11">
        <f t="shared" si="7"/>
        <v>0.17639999999999983</v>
      </c>
      <c r="AJ64" s="14">
        <v>0.5</v>
      </c>
      <c r="AK64" s="14">
        <v>0.5</v>
      </c>
      <c r="AL64" s="11">
        <v>3.44</v>
      </c>
      <c r="AM64" s="9">
        <f t="shared" si="8"/>
        <v>1.9484999999999999</v>
      </c>
      <c r="AN64" s="9">
        <f t="shared" si="9"/>
        <v>0.38969999999999999</v>
      </c>
      <c r="AO64" s="9">
        <f t="shared" si="10"/>
        <v>2.5980000000000003</v>
      </c>
      <c r="AP64" s="9">
        <f t="shared" si="11"/>
        <v>0.25980000000000003</v>
      </c>
      <c r="AQ64" s="9">
        <f t="shared" si="12"/>
        <v>2.5980000000000003</v>
      </c>
      <c r="AR64" s="9">
        <f t="shared" si="13"/>
        <v>3.2475000000000001</v>
      </c>
      <c r="AS64" s="11">
        <f t="shared" si="14"/>
        <v>0.50399999999999956</v>
      </c>
      <c r="AT64" s="12">
        <f t="shared" si="15"/>
        <v>7.099999999999973E-2</v>
      </c>
    </row>
    <row r="65" spans="1:46" ht="16.5" x14ac:dyDescent="0.4">
      <c r="A65" s="1" t="s">
        <v>333</v>
      </c>
      <c r="B65" s="7" t="s">
        <v>42</v>
      </c>
      <c r="C65" s="7" t="s">
        <v>42</v>
      </c>
      <c r="D65" s="1" t="s">
        <v>334</v>
      </c>
      <c r="E65" s="1" t="s">
        <v>335</v>
      </c>
      <c r="F65" s="1" t="s">
        <v>336</v>
      </c>
      <c r="G65" s="7" t="str">
        <f>VLOOKUP(A65,[1]done!$A:$I,9,0)</f>
        <v>Rodent</v>
      </c>
      <c r="H65" s="7" t="str" cm="1">
        <f t="array" ref="H65">_xlfn.IFS(
OR(ISNUMBER(SEARCH("mouse",E65)),ISNUMBER(SEARCH("rat",E65)),ISNUMBER(SEARCH("mice",E65)),ISNUMBER(SEARCH("rodent",E65))),"Rodent Control",
OR(ISNUMBER(SEARCH("fly",E65)),ISNUMBER(SEARCH("gnat",E65)),ISNUMBER(SEARCH("insect",E65)),ISNUMBER(SEARCH("mosquito",E65))),"Flying Insect Control",
OR(ISNUMBER(SEARCH("roach",E65)),ISNUMBER(SEARCH("ant",E65)),ISNUMBER(SEARCH("spider",E65)),ISNUMBER(SEARCH("cricket",E65)),ISNUMBER(SEARCH("scorpion",E65)),ISNUMBER(SEARCH("centipede",E65)),ISNUMBER(SEARCH("beetle",E65))),"Crawling Insect Control",
OR(ISNUMBER(SEARCH("tree",E65)),ISNUMBER(SEARCH("lantern",E65)),ISNUMBER(SEARCH("garden",E65)),ISNUMBER(SEARCH("plant",E65))),"Garden Pest Control",
OR(ISNUMBER(SEARCH("grass seed",E65)),ISNUMBER(SEARCH("seed mix",E65))),"Grass Seed",
OR(ISNUMBER(SEARCH("lawn food",E65)),ISNUMBER(SEARCH("fertilizer",E65))),"Lawn Fertilizer",
OR(ISNUMBER(SEARCH("patch",E65)),ISNUMBER(SEARCH("repair",E65)),ISNUMBER(SEARCH("thick'r",E65)),ISNUMBER(SEARCH("thick'r lawn",E65)),ISNUMBER(SEARCH("rapid grass",E65))),"Lawn Repair",
OR(ISNUMBER(SEARCH("weed",E65)),ISNUMBER(SEARCH("crabgrass",E65))),"Weed Control",
OR(ISNUMBER(SEARCH("fungicide",E65)),ISNUMBER(SEARCH("moss",E65))),"Disease &amp; Moss Control",
OR(ISNUMBER(SEARCH("plant food",E65)),ISNUMBER(SEARCH("miracid",E65))),"Plant Nutrition",
OR(ISNUMBER(SEARCH("perlite",E65))),"Soil Amendment",
OR(ISNUMBER(SEARCH("spreader",E65)),ISNUMBER(SEARCH("sprayer",E65)),ISNUMBER(SEARCH("mower",E65)),ISNUMBER(SEARCH("sweeper",E65)),ISNUMBER(SEARCH("pruner",E65)),ISNUMBER(SEARCH("trimmer",E65)),ISNUMBER(SEARCH("pole saw",E65))),"Garden Equipment",
TRUE,"Other"
)</f>
        <v>Rodent Control</v>
      </c>
      <c r="I65" s="7" t="str" cm="1">
        <f t="array" ref="I65">_xlfn.IFS(
OR(ISNUMBER(SEARCH("glue trap",E65)),ISNUMBER(SEARCH("glue board",E65))),"Glue Traps",
OR(ISNUMBER(SEARCH("snap trap",E65)),ISNUMBER(SEARCH("power-kill",E65)),ISNUMBER(SEARCH("wide pedal",E65)),ISNUMBER(SEARCH("metal pedal",E65))),"Snap Traps",
OR(ISNUMBER(SEARCH("electronic",E65)),ISNUMBER(SEARCH("zapper",E65))),"Electronic Traps",
OR(ISNUMBER(SEARCH("live catch",E65)),ISNUMBER(SEARCH("multi-catch",E65)),ISNUMBER(SEARCH("catch &amp; hold",E65)),ISNUMBER(SEARCH("tin cat",E65))),"Live Catch Traps",
OR(ISNUMBER(SEARCH("bait",E65)),ISNUMBER(SEARCH("poison",E65))),"Bait &amp; Poison",
ISNUMBER(SEARCH("repellent",E65)),"Repellents",
OR(ISNUMBER(SEARCH("fly trap",E65)),ISNUMBER(SEARCH("fly ribbon",E65)),ISNUMBER(SEARCH("fly stick",E65)),ISNUMBER(SEARCH("window fly",E65)),ISNUMBER(SEARCH("fly magnet",E65))),"Fly Traps",
OR(ISNUMBER(SEARCH("uv",E65)),ISNUMBER(SEARCH("fly light",E65)),ISNUMBER(SEARCH("plug-in",E65))),"UV Fly Traps",
ISNUMBER(SEARCH("roach",E65)),"Roach Traps",
ISNUMBER(SEARCH("ant",E65)),"Ant Traps",
ISNUMBER(SEARCH("spider",E65)),"Spider Traps",
ISNUMBER(SEARCH("mosquito",E65)),"Mosquito Traps",
ISNUMBER(SEARCH("beetle",E65)),"Beetle Traps",
ISNUMBER(SEARCH("lantern",E65)),"Lanternfly Control",
OR(ISNUMBER(SEARCH("tree shield",E65)),ISNUMBER(SEARCH("tree banding",E65)),ISNUMBER(SEARCH("insect barrier",E65))),"Tree Barriers",
OR(ISNUMBER(SEARCH("sun &amp; shade",E65)),ISNUMBER(SEARCH("sun and shade",E65))),"Sun &amp; Shade Mix",
ISNUMBER(SEARCH("tall fescue",E65)),"Tall Fescue",
ISNUMBER(SEARCH("bermudagrass",E65)),"Bermudagrass",
ISNUMBER(SEARCH("kentucky",E65)),"Kentucky Bluegrass",
ISNUMBER(SEARCH("zoysia",E65)),"Zoysia",
ISNUMBER(SEARCH("ryegrass",E65)),"Perennial Ryegrass",
ISNUMBER(SEARCH("centipede",E65)),"Centipede Grass",
ISNUMBER(SEARCH("dense shade",E65)),"Dense Shade Mix",
ISNUMBER(SEARCH("southern gold",E65)),"Southern Gold Mix",
ISNUMBER(SEARCH("heat-tolerant blue",E65)),"Heat-Tolerant Blue Mix",
ISNUMBER(SEARCH("high traffic",E65)),"High Traffic Mix",
ISNUMBER(SEARCH("quick fix",E65)),"Quick Fix Mix",
ISNUMBER(SEARCH("starter",E65)),"Starter Fertilizer",
ISNUMBER(SEARCH("weed &amp; feed",E65)),"Weed &amp; Feed",
ISNUMBER(SEARCH("lawn food",E65)),"Lawn Food",
ISNUMBER(SEARCH("triple action",E65)),"Triple Action Fertilizer",
ISNUMBER(SEARCH("green max",E65)),"Green Max Lawn Food",
ISNUMBER(SEARCH("patchmaster",E65)),"PatchMaster Repair",
ISNUMBER(SEARCH("ez seed",E65)),"EZ Seed Repair",
ISNUMBER(SEARCH("rapid grass",E65)),"Rapid Grass",
ISNUMBER(SEARCH("thick'r lawn",E65)),"Thick'R Lawn",
ISNUMBER(SEARCH("fungicide",E65)),"Fungicide",
ISNUMBER(SEARCH("moss",E65)),"Moss Control",
ISNUMBER(SEARCH("perlite",E65)),"Perlite",
ISNUMBER(SEARCH("plant food",E65)),"Plant Food",
ISNUMBER(SEARCH("spreader",E65)),"Spreader",
ISNUMBER(SEARCH("sprayer",E65)),"Sprayer",
ISNUMBER(SEARCH("mower",E65)),"Lawn Mower",
ISNUMBER(SEARCH("sweeper",E65)),"Lawn Sweeper",
OR(ISNUMBER(SEARCH("pruner",E65)),ISNUMBER(SEARCH("trimmer",E65)),ISNUMBER(SEARCH("pole saw",E65))),"Pruning Tools",
TRUE,"Other"
)</f>
        <v>Glue Traps</v>
      </c>
      <c r="J65" s="7" t="str">
        <f t="shared" si="2"/>
        <v>Rodent Control - Glue Traps</v>
      </c>
      <c r="K65" s="1">
        <v>200</v>
      </c>
      <c r="L65" s="1">
        <v>4.3</v>
      </c>
      <c r="M65" s="1">
        <v>110</v>
      </c>
      <c r="N65" s="1" t="s">
        <v>337</v>
      </c>
      <c r="O65" s="1">
        <f>VLOOKUP(A65,[2]Sheet1!$A:$B,2,0)</f>
        <v>50</v>
      </c>
      <c r="P65" s="1">
        <f>VLOOKUP(A65,[2]Sheet1!$A:$C,3,0)</f>
        <v>50</v>
      </c>
      <c r="Q65" s="7">
        <f>VLOOKUP(A65,[2]Sheet1!$A:$D,4,0)</f>
        <v>50</v>
      </c>
      <c r="R65" s="7">
        <f>VLOOKUP(A65,[2]Sheet1!$A:$E,5,0)</f>
        <v>50</v>
      </c>
      <c r="S65" s="7">
        <f>VLOOKUP(A65,[2]Sheet1!$A:$F,6,0)</f>
        <v>100</v>
      </c>
      <c r="T65" s="7">
        <f>VLOOKUP(A65,[2]Sheet1!$A:$G,7,0)</f>
        <v>100</v>
      </c>
      <c r="U65" s="7">
        <f>VLOOKUP(A65,[2]Sheet1!$A:$H,8,0)</f>
        <v>100</v>
      </c>
      <c r="V65" s="7">
        <f>VLOOKUP(A65,[2]Sheet1!$A:$I,9,0)</f>
        <v>100</v>
      </c>
      <c r="W65" s="7">
        <f>VLOOKUP(A65,[2]Sheet1!$A:$K,10,0)</f>
        <v>200</v>
      </c>
      <c r="X65" s="7">
        <f>VLOOKUP(A65,[2]Sheet1!$A:$L,11,0)</f>
        <v>100</v>
      </c>
      <c r="Y65" s="7">
        <f>VLOOKUP(A65,[2]Sheet1!$A:$L,12,0)</f>
        <v>100</v>
      </c>
      <c r="Z65" s="7">
        <f>VLOOKUP(A65,[2]Sheet1!$A:$M,13,0)</f>
        <v>100</v>
      </c>
      <c r="AA65" s="1">
        <f t="shared" si="0"/>
        <v>1100</v>
      </c>
      <c r="AB65" s="7">
        <f t="shared" si="3"/>
        <v>92</v>
      </c>
      <c r="AC65" s="13">
        <f t="shared" si="1"/>
        <v>91.666666666666671</v>
      </c>
      <c r="AD65" s="9">
        <f t="shared" si="4"/>
        <v>18689</v>
      </c>
      <c r="AE65" s="9">
        <f t="shared" si="5"/>
        <v>1557.4166666666665</v>
      </c>
      <c r="AF65" s="11">
        <v>4.3499999999999996</v>
      </c>
      <c r="AG65" s="11">
        <v>16.989999999999998</v>
      </c>
      <c r="AH65" s="9">
        <f t="shared" si="6"/>
        <v>9.6399999999999986E-2</v>
      </c>
      <c r="AI65" s="11">
        <f t="shared" si="7"/>
        <v>0.33739999999999992</v>
      </c>
      <c r="AJ65" s="14">
        <v>0.5</v>
      </c>
      <c r="AK65" s="14">
        <v>0.5</v>
      </c>
      <c r="AL65" s="11">
        <v>4.3499999999999996</v>
      </c>
      <c r="AM65" s="9">
        <f t="shared" si="8"/>
        <v>2.5484999999999998</v>
      </c>
      <c r="AN65" s="9">
        <f t="shared" si="9"/>
        <v>0.50969999999999993</v>
      </c>
      <c r="AO65" s="9">
        <f t="shared" si="10"/>
        <v>3.3979999999999997</v>
      </c>
      <c r="AP65" s="9">
        <f t="shared" si="11"/>
        <v>0.33979999999999999</v>
      </c>
      <c r="AQ65" s="9">
        <f t="shared" si="12"/>
        <v>3.3979999999999997</v>
      </c>
      <c r="AR65" s="9">
        <f t="shared" si="13"/>
        <v>4.2474999999999996</v>
      </c>
      <c r="AS65" s="11">
        <f t="shared" si="14"/>
        <v>0.96399999999999986</v>
      </c>
      <c r="AT65" s="12">
        <f t="shared" si="15"/>
        <v>0.39766666666666656</v>
      </c>
    </row>
    <row r="66" spans="1:46" ht="16.5" x14ac:dyDescent="0.4">
      <c r="A66" s="1" t="s">
        <v>338</v>
      </c>
      <c r="B66" s="7" t="s">
        <v>42</v>
      </c>
      <c r="C66" s="7" t="s">
        <v>42</v>
      </c>
      <c r="D66" s="1" t="s">
        <v>339</v>
      </c>
      <c r="E66" s="1" t="s">
        <v>340</v>
      </c>
      <c r="F66" s="1" t="s">
        <v>341</v>
      </c>
      <c r="G66" s="7" t="str">
        <f>VLOOKUP(A66,[1]done!$A:$I,9,0)</f>
        <v>Other crawling insects</v>
      </c>
      <c r="H66" s="7" t="str" cm="1">
        <f t="array" ref="H66">_xlfn.IFS(
OR(ISNUMBER(SEARCH("mouse",E66)),ISNUMBER(SEARCH("rat",E66)),ISNUMBER(SEARCH("mice",E66)),ISNUMBER(SEARCH("rodent",E66))),"Rodent Control",
OR(ISNUMBER(SEARCH("fly",E66)),ISNUMBER(SEARCH("gnat",E66)),ISNUMBER(SEARCH("insect",E66)),ISNUMBER(SEARCH("mosquito",E66))),"Flying Insect Control",
OR(ISNUMBER(SEARCH("roach",E66)),ISNUMBER(SEARCH("ant",E66)),ISNUMBER(SEARCH("spider",E66)),ISNUMBER(SEARCH("cricket",E66)),ISNUMBER(SEARCH("scorpion",E66)),ISNUMBER(SEARCH("centipede",E66)),ISNUMBER(SEARCH("beetle",E66))),"Crawling Insect Control",
OR(ISNUMBER(SEARCH("tree",E66)),ISNUMBER(SEARCH("lantern",E66)),ISNUMBER(SEARCH("garden",E66)),ISNUMBER(SEARCH("plant",E66))),"Garden Pest Control",
OR(ISNUMBER(SEARCH("grass seed",E66)),ISNUMBER(SEARCH("seed mix",E66))),"Grass Seed",
OR(ISNUMBER(SEARCH("lawn food",E66)),ISNUMBER(SEARCH("fertilizer",E66))),"Lawn Fertilizer",
OR(ISNUMBER(SEARCH("patch",E66)),ISNUMBER(SEARCH("repair",E66)),ISNUMBER(SEARCH("thick'r",E66)),ISNUMBER(SEARCH("thick'r lawn",E66)),ISNUMBER(SEARCH("rapid grass",E66))),"Lawn Repair",
OR(ISNUMBER(SEARCH("weed",E66)),ISNUMBER(SEARCH("crabgrass",E66))),"Weed Control",
OR(ISNUMBER(SEARCH("fungicide",E66)),ISNUMBER(SEARCH("moss",E66))),"Disease &amp; Moss Control",
OR(ISNUMBER(SEARCH("plant food",E66)),ISNUMBER(SEARCH("miracid",E66))),"Plant Nutrition",
OR(ISNUMBER(SEARCH("perlite",E66))),"Soil Amendment",
OR(ISNUMBER(SEARCH("spreader",E66)),ISNUMBER(SEARCH("sprayer",E66)),ISNUMBER(SEARCH("mower",E66)),ISNUMBER(SEARCH("sweeper",E66)),ISNUMBER(SEARCH("pruner",E66)),ISNUMBER(SEARCH("trimmer",E66)),ISNUMBER(SEARCH("pole saw",E66))),"Garden Equipment",
TRUE,"Other"
)</f>
        <v>Flying Insect Control</v>
      </c>
      <c r="I66" s="7" t="str" cm="1">
        <f t="array" ref="I66">_xlfn.IFS(
OR(ISNUMBER(SEARCH("glue trap",E66)),ISNUMBER(SEARCH("glue board",E66))),"Glue Traps",
OR(ISNUMBER(SEARCH("snap trap",E66)),ISNUMBER(SEARCH("power-kill",E66)),ISNUMBER(SEARCH("wide pedal",E66)),ISNUMBER(SEARCH("metal pedal",E66))),"Snap Traps",
OR(ISNUMBER(SEARCH("electronic",E66)),ISNUMBER(SEARCH("zapper",E66))),"Electronic Traps",
OR(ISNUMBER(SEARCH("live catch",E66)),ISNUMBER(SEARCH("multi-catch",E66)),ISNUMBER(SEARCH("catch &amp; hold",E66)),ISNUMBER(SEARCH("tin cat",E66))),"Live Catch Traps",
OR(ISNUMBER(SEARCH("bait",E66)),ISNUMBER(SEARCH("poison",E66))),"Bait &amp; Poison",
ISNUMBER(SEARCH("repellent",E66)),"Repellents",
OR(ISNUMBER(SEARCH("fly trap",E66)),ISNUMBER(SEARCH("fly ribbon",E66)),ISNUMBER(SEARCH("fly stick",E66)),ISNUMBER(SEARCH("window fly",E66)),ISNUMBER(SEARCH("fly magnet",E66))),"Fly Traps",
OR(ISNUMBER(SEARCH("uv",E66)),ISNUMBER(SEARCH("fly light",E66)),ISNUMBER(SEARCH("plug-in",E66))),"UV Fly Traps",
ISNUMBER(SEARCH("roach",E66)),"Roach Traps",
ISNUMBER(SEARCH("ant",E66)),"Ant Traps",
ISNUMBER(SEARCH("spider",E66)),"Spider Traps",
ISNUMBER(SEARCH("mosquito",E66)),"Mosquito Traps",
ISNUMBER(SEARCH("beetle",E66)),"Beetle Traps",
ISNUMBER(SEARCH("lantern",E66)),"Lanternfly Control",
OR(ISNUMBER(SEARCH("tree shield",E66)),ISNUMBER(SEARCH("tree banding",E66)),ISNUMBER(SEARCH("insect barrier",E66))),"Tree Barriers",
OR(ISNUMBER(SEARCH("sun &amp; shade",E66)),ISNUMBER(SEARCH("sun and shade",E66))),"Sun &amp; Shade Mix",
ISNUMBER(SEARCH("tall fescue",E66)),"Tall Fescue",
ISNUMBER(SEARCH("bermudagrass",E66)),"Bermudagrass",
ISNUMBER(SEARCH("kentucky",E66)),"Kentucky Bluegrass",
ISNUMBER(SEARCH("zoysia",E66)),"Zoysia",
ISNUMBER(SEARCH("ryegrass",E66)),"Perennial Ryegrass",
ISNUMBER(SEARCH("centipede",E66)),"Centipede Grass",
ISNUMBER(SEARCH("dense shade",E66)),"Dense Shade Mix",
ISNUMBER(SEARCH("southern gold",E66)),"Southern Gold Mix",
ISNUMBER(SEARCH("heat-tolerant blue",E66)),"Heat-Tolerant Blue Mix",
ISNUMBER(SEARCH("high traffic",E66)),"High Traffic Mix",
ISNUMBER(SEARCH("quick fix",E66)),"Quick Fix Mix",
ISNUMBER(SEARCH("starter",E66)),"Starter Fertilizer",
ISNUMBER(SEARCH("weed &amp; feed",E66)),"Weed &amp; Feed",
ISNUMBER(SEARCH("lawn food",E66)),"Lawn Food",
ISNUMBER(SEARCH("triple action",E66)),"Triple Action Fertilizer",
ISNUMBER(SEARCH("green max",E66)),"Green Max Lawn Food",
ISNUMBER(SEARCH("patchmaster",E66)),"PatchMaster Repair",
ISNUMBER(SEARCH("ez seed",E66)),"EZ Seed Repair",
ISNUMBER(SEARCH("rapid grass",E66)),"Rapid Grass",
ISNUMBER(SEARCH("thick'r lawn",E66)),"Thick'R Lawn",
ISNUMBER(SEARCH("fungicide",E66)),"Fungicide",
ISNUMBER(SEARCH("moss",E66)),"Moss Control",
ISNUMBER(SEARCH("perlite",E66)),"Perlite",
ISNUMBER(SEARCH("plant food",E66)),"Plant Food",
ISNUMBER(SEARCH("spreader",E66)),"Spreader",
ISNUMBER(SEARCH("sprayer",E66)),"Sprayer",
ISNUMBER(SEARCH("mower",E66)),"Lawn Mower",
ISNUMBER(SEARCH("sweeper",E66)),"Lawn Sweeper",
OR(ISNUMBER(SEARCH("pruner",E66)),ISNUMBER(SEARCH("trimmer",E66)),ISNUMBER(SEARCH("pole saw",E66))),"Pruning Tools",
TRUE,"Other"
)</f>
        <v>Ant Traps</v>
      </c>
      <c r="J66" s="7" t="str">
        <f t="shared" si="2"/>
        <v>Flying Insect Control - Ant Traps</v>
      </c>
      <c r="K66" s="1">
        <v>100</v>
      </c>
      <c r="L66" s="1">
        <v>4.3</v>
      </c>
      <c r="M66" s="1">
        <v>368</v>
      </c>
      <c r="N66" s="1" t="s">
        <v>342</v>
      </c>
      <c r="O66" s="1">
        <f>VLOOKUP(A66,[2]Sheet1!$A:$B,2,0)</f>
        <v>50</v>
      </c>
      <c r="P66" s="1">
        <f>VLOOKUP(A66,[2]Sheet1!$A:$C,3,0)</f>
        <v>50</v>
      </c>
      <c r="Q66" s="7">
        <f>VLOOKUP(A66,[2]Sheet1!$A:$D,4,0)</f>
        <v>100</v>
      </c>
      <c r="R66" s="7">
        <f>VLOOKUP(A66,[2]Sheet1!$A:$E,5,0)</f>
        <v>400</v>
      </c>
      <c r="S66" s="7">
        <f>VLOOKUP(A66,[2]Sheet1!$A:$F,6,0)</f>
        <v>900</v>
      </c>
      <c r="T66" s="7">
        <f>VLOOKUP(A66,[2]Sheet1!$A:$G,7,0)</f>
        <v>400</v>
      </c>
      <c r="U66" s="7">
        <f>VLOOKUP(A66,[2]Sheet1!$A:$H,8,0)</f>
        <v>400</v>
      </c>
      <c r="V66" s="7">
        <f>VLOOKUP(A66,[2]Sheet1!$A:$I,9,0)</f>
        <v>300</v>
      </c>
      <c r="W66" s="7">
        <f>VLOOKUP(A66,[2]Sheet1!$A:$K,10,0)</f>
        <v>200</v>
      </c>
      <c r="X66" s="7">
        <f>VLOOKUP(A66,[2]Sheet1!$A:$L,11,0)</f>
        <v>100</v>
      </c>
      <c r="Y66" s="7">
        <f>VLOOKUP(A66,[2]Sheet1!$A:$L,12,0)</f>
        <v>100</v>
      </c>
      <c r="Z66" s="7">
        <f>VLOOKUP(A66,[2]Sheet1!$A:$M,13,0)</f>
        <v>50</v>
      </c>
      <c r="AA66" s="1">
        <f t="shared" ref="AA66:AA103" si="16">SUM(O66:Z66)</f>
        <v>3050</v>
      </c>
      <c r="AB66" s="7">
        <f t="shared" si="3"/>
        <v>254</v>
      </c>
      <c r="AC66" s="13">
        <f t="shared" ref="AC66:AC103" si="17">AVERAGE(O66:Z66)</f>
        <v>254.16666666666666</v>
      </c>
      <c r="AD66" s="9">
        <f t="shared" si="4"/>
        <v>59444.499999999993</v>
      </c>
      <c r="AE66" s="9">
        <f t="shared" si="5"/>
        <v>4953.708333333333</v>
      </c>
      <c r="AF66" s="11">
        <v>5.22</v>
      </c>
      <c r="AG66" s="11">
        <v>19.489999999999998</v>
      </c>
      <c r="AH66" s="9">
        <f t="shared" si="6"/>
        <v>0.10506666666666664</v>
      </c>
      <c r="AI66" s="11">
        <f t="shared" si="7"/>
        <v>0.36773333333333325</v>
      </c>
      <c r="AJ66" s="14">
        <v>0.5</v>
      </c>
      <c r="AK66" s="14">
        <v>0.5</v>
      </c>
      <c r="AL66" s="11">
        <v>5.22</v>
      </c>
      <c r="AM66" s="9">
        <f t="shared" si="8"/>
        <v>2.9234999999999998</v>
      </c>
      <c r="AN66" s="9">
        <f t="shared" si="9"/>
        <v>0.58469999999999989</v>
      </c>
      <c r="AO66" s="9">
        <f t="shared" si="10"/>
        <v>3.8979999999999997</v>
      </c>
      <c r="AP66" s="9">
        <f t="shared" si="11"/>
        <v>0.38979999999999998</v>
      </c>
      <c r="AQ66" s="9">
        <f t="shared" si="12"/>
        <v>3.8979999999999997</v>
      </c>
      <c r="AR66" s="9">
        <f t="shared" si="13"/>
        <v>4.8724999999999996</v>
      </c>
      <c r="AS66" s="11">
        <f t="shared" si="14"/>
        <v>1.0506666666666664</v>
      </c>
      <c r="AT66" s="12">
        <f t="shared" si="15"/>
        <v>0.4009999999999998</v>
      </c>
    </row>
    <row r="67" spans="1:46" ht="16.5" x14ac:dyDescent="0.4">
      <c r="A67" s="1" t="s">
        <v>343</v>
      </c>
      <c r="B67" s="7" t="s">
        <v>42</v>
      </c>
      <c r="C67" s="7" t="s">
        <v>42</v>
      </c>
      <c r="D67" s="1" t="s">
        <v>344</v>
      </c>
      <c r="E67" s="1" t="s">
        <v>345</v>
      </c>
      <c r="F67" s="1" t="s">
        <v>346</v>
      </c>
      <c r="G67" s="7" t="str">
        <f>VLOOKUP(A67,[1]done!$A:$I,9,0)</f>
        <v>Mosquito/Fly</v>
      </c>
      <c r="H67" s="7" t="str" cm="1">
        <f t="array" ref="H67">_xlfn.IFS(
OR(ISNUMBER(SEARCH("mouse",E67)),ISNUMBER(SEARCH("rat",E67)),ISNUMBER(SEARCH("mice",E67)),ISNUMBER(SEARCH("rodent",E67))),"Rodent Control",
OR(ISNUMBER(SEARCH("fly",E67)),ISNUMBER(SEARCH("gnat",E67)),ISNUMBER(SEARCH("insect",E67)),ISNUMBER(SEARCH("mosquito",E67))),"Flying Insect Control",
OR(ISNUMBER(SEARCH("roach",E67)),ISNUMBER(SEARCH("ant",E67)),ISNUMBER(SEARCH("spider",E67)),ISNUMBER(SEARCH("cricket",E67)),ISNUMBER(SEARCH("scorpion",E67)),ISNUMBER(SEARCH("centipede",E67)),ISNUMBER(SEARCH("beetle",E67))),"Crawling Insect Control",
OR(ISNUMBER(SEARCH("tree",E67)),ISNUMBER(SEARCH("lantern",E67)),ISNUMBER(SEARCH("garden",E67)),ISNUMBER(SEARCH("plant",E67))),"Garden Pest Control",
OR(ISNUMBER(SEARCH("grass seed",E67)),ISNUMBER(SEARCH("seed mix",E67))),"Grass Seed",
OR(ISNUMBER(SEARCH("lawn food",E67)),ISNUMBER(SEARCH("fertilizer",E67))),"Lawn Fertilizer",
OR(ISNUMBER(SEARCH("patch",E67)),ISNUMBER(SEARCH("repair",E67)),ISNUMBER(SEARCH("thick'r",E67)),ISNUMBER(SEARCH("thick'r lawn",E67)),ISNUMBER(SEARCH("rapid grass",E67))),"Lawn Repair",
OR(ISNUMBER(SEARCH("weed",E67)),ISNUMBER(SEARCH("crabgrass",E67))),"Weed Control",
OR(ISNUMBER(SEARCH("fungicide",E67)),ISNUMBER(SEARCH("moss",E67))),"Disease &amp; Moss Control",
OR(ISNUMBER(SEARCH("plant food",E67)),ISNUMBER(SEARCH("miracid",E67))),"Plant Nutrition",
OR(ISNUMBER(SEARCH("perlite",E67))),"Soil Amendment",
OR(ISNUMBER(SEARCH("spreader",E67)),ISNUMBER(SEARCH("sprayer",E67)),ISNUMBER(SEARCH("mower",E67)),ISNUMBER(SEARCH("sweeper",E67)),ISNUMBER(SEARCH("pruner",E67)),ISNUMBER(SEARCH("trimmer",E67)),ISNUMBER(SEARCH("pole saw",E67))),"Garden Equipment",
TRUE,"Other"
)</f>
        <v>Flying Insect Control</v>
      </c>
      <c r="I67" s="7" t="str" cm="1">
        <f t="array" ref="I67">_xlfn.IFS(
OR(ISNUMBER(SEARCH("glue trap",E67)),ISNUMBER(SEARCH("glue board",E67))),"Glue Traps",
OR(ISNUMBER(SEARCH("snap trap",E67)),ISNUMBER(SEARCH("power-kill",E67)),ISNUMBER(SEARCH("wide pedal",E67)),ISNUMBER(SEARCH("metal pedal",E67))),"Snap Traps",
OR(ISNUMBER(SEARCH("electronic",E67)),ISNUMBER(SEARCH("zapper",E67))),"Electronic Traps",
OR(ISNUMBER(SEARCH("live catch",E67)),ISNUMBER(SEARCH("multi-catch",E67)),ISNUMBER(SEARCH("catch &amp; hold",E67)),ISNUMBER(SEARCH("tin cat",E67))),"Live Catch Traps",
OR(ISNUMBER(SEARCH("bait",E67)),ISNUMBER(SEARCH("poison",E67))),"Bait &amp; Poison",
ISNUMBER(SEARCH("repellent",E67)),"Repellents",
OR(ISNUMBER(SEARCH("fly trap",E67)),ISNUMBER(SEARCH("fly ribbon",E67)),ISNUMBER(SEARCH("fly stick",E67)),ISNUMBER(SEARCH("window fly",E67)),ISNUMBER(SEARCH("fly magnet",E67))),"Fly Traps",
OR(ISNUMBER(SEARCH("uv",E67)),ISNUMBER(SEARCH("fly light",E67)),ISNUMBER(SEARCH("plug-in",E67))),"UV Fly Traps",
ISNUMBER(SEARCH("roach",E67)),"Roach Traps",
ISNUMBER(SEARCH("ant",E67)),"Ant Traps",
ISNUMBER(SEARCH("spider",E67)),"Spider Traps",
ISNUMBER(SEARCH("mosquito",E67)),"Mosquito Traps",
ISNUMBER(SEARCH("beetle",E67)),"Beetle Traps",
ISNUMBER(SEARCH("lantern",E67)),"Lanternfly Control",
OR(ISNUMBER(SEARCH("tree shield",E67)),ISNUMBER(SEARCH("tree banding",E67)),ISNUMBER(SEARCH("insect barrier",E67))),"Tree Barriers",
OR(ISNUMBER(SEARCH("sun &amp; shade",E67)),ISNUMBER(SEARCH("sun and shade",E67))),"Sun &amp; Shade Mix",
ISNUMBER(SEARCH("tall fescue",E67)),"Tall Fescue",
ISNUMBER(SEARCH("bermudagrass",E67)),"Bermudagrass",
ISNUMBER(SEARCH("kentucky",E67)),"Kentucky Bluegrass",
ISNUMBER(SEARCH("zoysia",E67)),"Zoysia",
ISNUMBER(SEARCH("ryegrass",E67)),"Perennial Ryegrass",
ISNUMBER(SEARCH("centipede",E67)),"Centipede Grass",
ISNUMBER(SEARCH("dense shade",E67)),"Dense Shade Mix",
ISNUMBER(SEARCH("southern gold",E67)),"Southern Gold Mix",
ISNUMBER(SEARCH("heat-tolerant blue",E67)),"Heat-Tolerant Blue Mix",
ISNUMBER(SEARCH("high traffic",E67)),"High Traffic Mix",
ISNUMBER(SEARCH("quick fix",E67)),"Quick Fix Mix",
ISNUMBER(SEARCH("starter",E67)),"Starter Fertilizer",
ISNUMBER(SEARCH("weed &amp; feed",E67)),"Weed &amp; Feed",
ISNUMBER(SEARCH("lawn food",E67)),"Lawn Food",
ISNUMBER(SEARCH("triple action",E67)),"Triple Action Fertilizer",
ISNUMBER(SEARCH("green max",E67)),"Green Max Lawn Food",
ISNUMBER(SEARCH("patchmaster",E67)),"PatchMaster Repair",
ISNUMBER(SEARCH("ez seed",E67)),"EZ Seed Repair",
ISNUMBER(SEARCH("rapid grass",E67)),"Rapid Grass",
ISNUMBER(SEARCH("thick'r lawn",E67)),"Thick'R Lawn",
ISNUMBER(SEARCH("fungicide",E67)),"Fungicide",
ISNUMBER(SEARCH("moss",E67)),"Moss Control",
ISNUMBER(SEARCH("perlite",E67)),"Perlite",
ISNUMBER(SEARCH("plant food",E67)),"Plant Food",
ISNUMBER(SEARCH("spreader",E67)),"Spreader",
ISNUMBER(SEARCH("sprayer",E67)),"Sprayer",
ISNUMBER(SEARCH("mower",E67)),"Lawn Mower",
ISNUMBER(SEARCH("sweeper",E67)),"Lawn Sweeper",
OR(ISNUMBER(SEARCH("pruner",E67)),ISNUMBER(SEARCH("trimmer",E67)),ISNUMBER(SEARCH("pole saw",E67))),"Pruning Tools",
TRUE,"Other"
)</f>
        <v>UV Fly Traps</v>
      </c>
      <c r="J67" s="7" t="str">
        <f t="shared" ref="J67:J130" si="18">H67&amp;" - "&amp;I67</f>
        <v>Flying Insect Control - UV Fly Traps</v>
      </c>
      <c r="K67" s="1">
        <v>200</v>
      </c>
      <c r="L67" s="1">
        <v>4.5</v>
      </c>
      <c r="M67" s="1">
        <v>57</v>
      </c>
      <c r="N67" s="1" t="s">
        <v>347</v>
      </c>
      <c r="O67" s="1">
        <f>VLOOKUP(A67,[2]Sheet1!$A:$B,2,0)</f>
        <v>0</v>
      </c>
      <c r="P67" s="1">
        <f>VLOOKUP(A67,[2]Sheet1!$A:$C,3,0)</f>
        <v>50</v>
      </c>
      <c r="Q67" s="7">
        <f>VLOOKUP(A67,[2]Sheet1!$A:$D,4,0)</f>
        <v>50</v>
      </c>
      <c r="R67" s="7">
        <f>VLOOKUP(A67,[2]Sheet1!$A:$E,5,0)</f>
        <v>50</v>
      </c>
      <c r="S67" s="7">
        <f>VLOOKUP(A67,[2]Sheet1!$A:$F,6,0)</f>
        <v>50</v>
      </c>
      <c r="T67" s="7">
        <f>VLOOKUP(A67,[2]Sheet1!$A:$G,7,0)</f>
        <v>100</v>
      </c>
      <c r="U67" s="7">
        <f>VLOOKUP(A67,[2]Sheet1!$A:$H,8,0)</f>
        <v>100</v>
      </c>
      <c r="V67" s="7">
        <f>VLOOKUP(A67,[2]Sheet1!$A:$I,9,0)</f>
        <v>200</v>
      </c>
      <c r="W67" s="7">
        <f>VLOOKUP(A67,[2]Sheet1!$A:$K,10,0)</f>
        <v>200</v>
      </c>
      <c r="X67" s="7">
        <f>VLOOKUP(A67,[2]Sheet1!$A:$L,11,0)</f>
        <v>100</v>
      </c>
      <c r="Y67" s="7">
        <f>VLOOKUP(A67,[2]Sheet1!$A:$L,12,0)</f>
        <v>100</v>
      </c>
      <c r="Z67" s="7">
        <f>VLOOKUP(A67,[2]Sheet1!$A:$M,13,0)</f>
        <v>50</v>
      </c>
      <c r="AA67" s="1">
        <f t="shared" si="16"/>
        <v>1050</v>
      </c>
      <c r="AB67" s="7">
        <f t="shared" ref="AB67:AB130" si="19">ROUND(AA67/12,0)</f>
        <v>88</v>
      </c>
      <c r="AC67" s="13">
        <f t="shared" si="17"/>
        <v>87.5</v>
      </c>
      <c r="AD67" s="9">
        <f t="shared" ref="AD67:AD103" si="20">AA67*AG67</f>
        <v>194764.5</v>
      </c>
      <c r="AE67" s="9">
        <f t="shared" ref="AE67:AE103" si="21">AG67*AC67</f>
        <v>16230.375</v>
      </c>
      <c r="AF67" s="11">
        <v>10.57</v>
      </c>
      <c r="AG67" s="11">
        <v>185.49</v>
      </c>
      <c r="AH67" s="9">
        <f t="shared" ref="AH67:AH103" si="22">0.1*AS67</f>
        <v>4.1750666666666651</v>
      </c>
      <c r="AI67" s="11">
        <f t="shared" ref="AI67:AI103" si="23">0.35*AS67</f>
        <v>14.612733333333328</v>
      </c>
      <c r="AJ67" s="14">
        <v>0.5</v>
      </c>
      <c r="AK67" s="14">
        <v>0.5</v>
      </c>
      <c r="AL67" s="11">
        <v>10.57</v>
      </c>
      <c r="AM67" s="9">
        <f t="shared" ref="AM67:AM130" si="24">0.15*AG67</f>
        <v>27.823499999999999</v>
      </c>
      <c r="AN67" s="9">
        <f t="shared" ref="AN67:AN130" si="25">0.03*AG67</f>
        <v>5.5647000000000002</v>
      </c>
      <c r="AO67" s="9">
        <f t="shared" ref="AO67:AO130" si="26">0.2*AG67</f>
        <v>37.098000000000006</v>
      </c>
      <c r="AP67" s="9">
        <f t="shared" ref="AP67:AP130" si="27">0.02*AG67</f>
        <v>3.7098000000000004</v>
      </c>
      <c r="AQ67" s="9">
        <f t="shared" ref="AQ67:AQ130" si="28">0.2*AG67</f>
        <v>37.098000000000006</v>
      </c>
      <c r="AR67" s="9">
        <f t="shared" ref="AR67:AR130" si="29">0.25*AG67</f>
        <v>46.372500000000002</v>
      </c>
      <c r="AS67" s="11">
        <f t="shared" ref="AS67:AS130" si="30">(AG67*(1-(0.15+0.03+0.2+0.02))-AJ67-AK67-AL67-AQ67)/(1+0.1+0.4)</f>
        <v>41.750666666666653</v>
      </c>
      <c r="AT67" s="12">
        <f t="shared" ref="AT67:AT130" si="31">(AG67*(1-(0.15+0.03+0.2+0.02))-AJ67-AK67-AL67-AR67)/(1+0.1+0.4)</f>
        <v>35.567666666666661</v>
      </c>
    </row>
    <row r="68" spans="1:46" ht="16.5" x14ac:dyDescent="0.4">
      <c r="A68" s="1" t="s">
        <v>348</v>
      </c>
      <c r="B68" s="7" t="s">
        <v>42</v>
      </c>
      <c r="C68" s="7" t="s">
        <v>42</v>
      </c>
      <c r="D68" s="1" t="s">
        <v>349</v>
      </c>
      <c r="E68" s="1" t="s">
        <v>350</v>
      </c>
      <c r="F68" s="1" t="s">
        <v>351</v>
      </c>
      <c r="G68" s="7" t="str">
        <f>VLOOKUP(A68,[1]done!$A:$I,9,0)</f>
        <v>Mosquito/Fly</v>
      </c>
      <c r="H68" s="7" t="str" cm="1">
        <f t="array" ref="H68">_xlfn.IFS(
OR(ISNUMBER(SEARCH("mouse",E68)),ISNUMBER(SEARCH("rat",E68)),ISNUMBER(SEARCH("mice",E68)),ISNUMBER(SEARCH("rodent",E68))),"Rodent Control",
OR(ISNUMBER(SEARCH("fly",E68)),ISNUMBER(SEARCH("gnat",E68)),ISNUMBER(SEARCH("insect",E68)),ISNUMBER(SEARCH("mosquito",E68))),"Flying Insect Control",
OR(ISNUMBER(SEARCH("roach",E68)),ISNUMBER(SEARCH("ant",E68)),ISNUMBER(SEARCH("spider",E68)),ISNUMBER(SEARCH("cricket",E68)),ISNUMBER(SEARCH("scorpion",E68)),ISNUMBER(SEARCH("centipede",E68)),ISNUMBER(SEARCH("beetle",E68))),"Crawling Insect Control",
OR(ISNUMBER(SEARCH("tree",E68)),ISNUMBER(SEARCH("lantern",E68)),ISNUMBER(SEARCH("garden",E68)),ISNUMBER(SEARCH("plant",E68))),"Garden Pest Control",
OR(ISNUMBER(SEARCH("grass seed",E68)),ISNUMBER(SEARCH("seed mix",E68))),"Grass Seed",
OR(ISNUMBER(SEARCH("lawn food",E68)),ISNUMBER(SEARCH("fertilizer",E68))),"Lawn Fertilizer",
OR(ISNUMBER(SEARCH("patch",E68)),ISNUMBER(SEARCH("repair",E68)),ISNUMBER(SEARCH("thick'r",E68)),ISNUMBER(SEARCH("thick'r lawn",E68)),ISNUMBER(SEARCH("rapid grass",E68))),"Lawn Repair",
OR(ISNUMBER(SEARCH("weed",E68)),ISNUMBER(SEARCH("crabgrass",E68))),"Weed Control",
OR(ISNUMBER(SEARCH("fungicide",E68)),ISNUMBER(SEARCH("moss",E68))),"Disease &amp; Moss Control",
OR(ISNUMBER(SEARCH("plant food",E68)),ISNUMBER(SEARCH("miracid",E68))),"Plant Nutrition",
OR(ISNUMBER(SEARCH("perlite",E68))),"Soil Amendment",
OR(ISNUMBER(SEARCH("spreader",E68)),ISNUMBER(SEARCH("sprayer",E68)),ISNUMBER(SEARCH("mower",E68)),ISNUMBER(SEARCH("sweeper",E68)),ISNUMBER(SEARCH("pruner",E68)),ISNUMBER(SEARCH("trimmer",E68)),ISNUMBER(SEARCH("pole saw",E68))),"Garden Equipment",
TRUE,"Other"
)</f>
        <v>Flying Insect Control</v>
      </c>
      <c r="I68" s="7" t="str" cm="1">
        <f t="array" ref="I68">_xlfn.IFS(
OR(ISNUMBER(SEARCH("glue trap",E68)),ISNUMBER(SEARCH("glue board",E68))),"Glue Traps",
OR(ISNUMBER(SEARCH("snap trap",E68)),ISNUMBER(SEARCH("power-kill",E68)),ISNUMBER(SEARCH("wide pedal",E68)),ISNUMBER(SEARCH("metal pedal",E68))),"Snap Traps",
OR(ISNUMBER(SEARCH("electronic",E68)),ISNUMBER(SEARCH("zapper",E68))),"Electronic Traps",
OR(ISNUMBER(SEARCH("live catch",E68)),ISNUMBER(SEARCH("multi-catch",E68)),ISNUMBER(SEARCH("catch &amp; hold",E68)),ISNUMBER(SEARCH("tin cat",E68))),"Live Catch Traps",
OR(ISNUMBER(SEARCH("bait",E68)),ISNUMBER(SEARCH("poison",E68))),"Bait &amp; Poison",
ISNUMBER(SEARCH("repellent",E68)),"Repellents",
OR(ISNUMBER(SEARCH("fly trap",E68)),ISNUMBER(SEARCH("fly ribbon",E68)),ISNUMBER(SEARCH("fly stick",E68)),ISNUMBER(SEARCH("window fly",E68)),ISNUMBER(SEARCH("fly magnet",E68))),"Fly Traps",
OR(ISNUMBER(SEARCH("uv",E68)),ISNUMBER(SEARCH("fly light",E68)),ISNUMBER(SEARCH("plug-in",E68))),"UV Fly Traps",
ISNUMBER(SEARCH("roach",E68)),"Roach Traps",
ISNUMBER(SEARCH("ant",E68)),"Ant Traps",
ISNUMBER(SEARCH("spider",E68)),"Spider Traps",
ISNUMBER(SEARCH("mosquito",E68)),"Mosquito Traps",
ISNUMBER(SEARCH("beetle",E68)),"Beetle Traps",
ISNUMBER(SEARCH("lantern",E68)),"Lanternfly Control",
OR(ISNUMBER(SEARCH("tree shield",E68)),ISNUMBER(SEARCH("tree banding",E68)),ISNUMBER(SEARCH("insect barrier",E68))),"Tree Barriers",
OR(ISNUMBER(SEARCH("sun &amp; shade",E68)),ISNUMBER(SEARCH("sun and shade",E68))),"Sun &amp; Shade Mix",
ISNUMBER(SEARCH("tall fescue",E68)),"Tall Fescue",
ISNUMBER(SEARCH("bermudagrass",E68)),"Bermudagrass",
ISNUMBER(SEARCH("kentucky",E68)),"Kentucky Bluegrass",
ISNUMBER(SEARCH("zoysia",E68)),"Zoysia",
ISNUMBER(SEARCH("ryegrass",E68)),"Perennial Ryegrass",
ISNUMBER(SEARCH("centipede",E68)),"Centipede Grass",
ISNUMBER(SEARCH("dense shade",E68)),"Dense Shade Mix",
ISNUMBER(SEARCH("southern gold",E68)),"Southern Gold Mix",
ISNUMBER(SEARCH("heat-tolerant blue",E68)),"Heat-Tolerant Blue Mix",
ISNUMBER(SEARCH("high traffic",E68)),"High Traffic Mix",
ISNUMBER(SEARCH("quick fix",E68)),"Quick Fix Mix",
ISNUMBER(SEARCH("starter",E68)),"Starter Fertilizer",
ISNUMBER(SEARCH("weed &amp; feed",E68)),"Weed &amp; Feed",
ISNUMBER(SEARCH("lawn food",E68)),"Lawn Food",
ISNUMBER(SEARCH("triple action",E68)),"Triple Action Fertilizer",
ISNUMBER(SEARCH("green max",E68)),"Green Max Lawn Food",
ISNUMBER(SEARCH("patchmaster",E68)),"PatchMaster Repair",
ISNUMBER(SEARCH("ez seed",E68)),"EZ Seed Repair",
ISNUMBER(SEARCH("rapid grass",E68)),"Rapid Grass",
ISNUMBER(SEARCH("thick'r lawn",E68)),"Thick'R Lawn",
ISNUMBER(SEARCH("fungicide",E68)),"Fungicide",
ISNUMBER(SEARCH("moss",E68)),"Moss Control",
ISNUMBER(SEARCH("perlite",E68)),"Perlite",
ISNUMBER(SEARCH("plant food",E68)),"Plant Food",
ISNUMBER(SEARCH("spreader",E68)),"Spreader",
ISNUMBER(SEARCH("sprayer",E68)),"Sprayer",
ISNUMBER(SEARCH("mower",E68)),"Lawn Mower",
ISNUMBER(SEARCH("sweeper",E68)),"Lawn Sweeper",
OR(ISNUMBER(SEARCH("pruner",E68)),ISNUMBER(SEARCH("trimmer",E68)),ISNUMBER(SEARCH("pole saw",E68))),"Pruning Tools",
TRUE,"Other"
)</f>
        <v>Glue Traps</v>
      </c>
      <c r="J68" s="7" t="str">
        <f t="shared" si="18"/>
        <v>Flying Insect Control - Glue Traps</v>
      </c>
      <c r="K68" s="1">
        <v>200</v>
      </c>
      <c r="L68" s="1">
        <v>4.5999999999999996</v>
      </c>
      <c r="M68" s="1">
        <v>48</v>
      </c>
      <c r="N68" s="1" t="s">
        <v>352</v>
      </c>
      <c r="O68" s="1">
        <f>VLOOKUP(A68,[2]Sheet1!$A:$B,2,0)</f>
        <v>50</v>
      </c>
      <c r="P68" s="1">
        <f>VLOOKUP(A68,[2]Sheet1!$A:$C,3,0)</f>
        <v>50</v>
      </c>
      <c r="Q68" s="7">
        <f>VLOOKUP(A68,[2]Sheet1!$A:$D,4,0)</f>
        <v>50</v>
      </c>
      <c r="R68" s="7">
        <f>VLOOKUP(A68,[2]Sheet1!$A:$E,5,0)</f>
        <v>100</v>
      </c>
      <c r="S68" s="7">
        <f>VLOOKUP(A68,[2]Sheet1!$A:$F,6,0)</f>
        <v>100</v>
      </c>
      <c r="T68" s="7">
        <f>VLOOKUP(A68,[2]Sheet1!$A:$G,7,0)</f>
        <v>200</v>
      </c>
      <c r="U68" s="7">
        <f>VLOOKUP(A68,[2]Sheet1!$A:$H,8,0)</f>
        <v>200</v>
      </c>
      <c r="V68" s="7">
        <f>VLOOKUP(A68,[2]Sheet1!$A:$I,9,0)</f>
        <v>300</v>
      </c>
      <c r="W68" s="7">
        <f>VLOOKUP(A68,[2]Sheet1!$A:$K,10,0)</f>
        <v>200</v>
      </c>
      <c r="X68" s="7">
        <f>VLOOKUP(A68,[2]Sheet1!$A:$L,11,0)</f>
        <v>100</v>
      </c>
      <c r="Y68" s="7">
        <f>VLOOKUP(A68,[2]Sheet1!$A:$L,12,0)</f>
        <v>100</v>
      </c>
      <c r="Z68" s="7">
        <f>VLOOKUP(A68,[2]Sheet1!$A:$M,13,0)</f>
        <v>100</v>
      </c>
      <c r="AA68" s="1">
        <f t="shared" si="16"/>
        <v>1550</v>
      </c>
      <c r="AB68" s="7">
        <f t="shared" si="19"/>
        <v>129</v>
      </c>
      <c r="AC68" s="13">
        <f t="shared" si="17"/>
        <v>129.16666666666666</v>
      </c>
      <c r="AD68" s="9">
        <f t="shared" si="20"/>
        <v>54234.5</v>
      </c>
      <c r="AE68" s="9">
        <f t="shared" si="21"/>
        <v>4519.541666666667</v>
      </c>
      <c r="AF68" s="11">
        <v>6.02</v>
      </c>
      <c r="AG68" s="11">
        <v>34.99</v>
      </c>
      <c r="AH68" s="9">
        <f t="shared" si="22"/>
        <v>0.46506666666666663</v>
      </c>
      <c r="AI68" s="11">
        <f t="shared" si="23"/>
        <v>1.627733333333333</v>
      </c>
      <c r="AJ68" s="14">
        <v>0.5</v>
      </c>
      <c r="AK68" s="14">
        <v>0.5</v>
      </c>
      <c r="AL68" s="11">
        <v>6.02</v>
      </c>
      <c r="AM68" s="9">
        <f t="shared" si="24"/>
        <v>5.2484999999999999</v>
      </c>
      <c r="AN68" s="9">
        <f t="shared" si="25"/>
        <v>1.0497000000000001</v>
      </c>
      <c r="AO68" s="9">
        <f t="shared" si="26"/>
        <v>6.9980000000000011</v>
      </c>
      <c r="AP68" s="9">
        <f t="shared" si="27"/>
        <v>0.69980000000000009</v>
      </c>
      <c r="AQ68" s="9">
        <f t="shared" si="28"/>
        <v>6.9980000000000011</v>
      </c>
      <c r="AR68" s="9">
        <f t="shared" si="29"/>
        <v>8.7475000000000005</v>
      </c>
      <c r="AS68" s="11">
        <f t="shared" si="30"/>
        <v>4.6506666666666661</v>
      </c>
      <c r="AT68" s="12">
        <f t="shared" si="31"/>
        <v>3.4843333333333333</v>
      </c>
    </row>
    <row r="69" spans="1:46" ht="16.5" x14ac:dyDescent="0.4">
      <c r="A69" s="1" t="s">
        <v>353</v>
      </c>
      <c r="B69" s="7" t="s">
        <v>42</v>
      </c>
      <c r="C69" s="7" t="s">
        <v>42</v>
      </c>
      <c r="D69" s="1" t="s">
        <v>354</v>
      </c>
      <c r="E69" s="1" t="s">
        <v>355</v>
      </c>
      <c r="F69" s="1" t="s">
        <v>356</v>
      </c>
      <c r="G69" s="7" t="str">
        <f>VLOOKUP(A69,[1]done!$A:$I,9,0)</f>
        <v>Other crawling insects</v>
      </c>
      <c r="H69" s="7" t="str" cm="1">
        <f t="array" ref="H69">_xlfn.IFS(
OR(ISNUMBER(SEARCH("mouse",E69)),ISNUMBER(SEARCH("rat",E69)),ISNUMBER(SEARCH("mice",E69)),ISNUMBER(SEARCH("rodent",E69))),"Rodent Control",
OR(ISNUMBER(SEARCH("fly",E69)),ISNUMBER(SEARCH("gnat",E69)),ISNUMBER(SEARCH("insect",E69)),ISNUMBER(SEARCH("mosquito",E69))),"Flying Insect Control",
OR(ISNUMBER(SEARCH("roach",E69)),ISNUMBER(SEARCH("ant",E69)),ISNUMBER(SEARCH("spider",E69)),ISNUMBER(SEARCH("cricket",E69)),ISNUMBER(SEARCH("scorpion",E69)),ISNUMBER(SEARCH("centipede",E69)),ISNUMBER(SEARCH("beetle",E69))),"Crawling Insect Control",
OR(ISNUMBER(SEARCH("tree",E69)),ISNUMBER(SEARCH("lantern",E69)),ISNUMBER(SEARCH("garden",E69)),ISNUMBER(SEARCH("plant",E69))),"Garden Pest Control",
OR(ISNUMBER(SEARCH("grass seed",E69)),ISNUMBER(SEARCH("seed mix",E69))),"Grass Seed",
OR(ISNUMBER(SEARCH("lawn food",E69)),ISNUMBER(SEARCH("fertilizer",E69))),"Lawn Fertilizer",
OR(ISNUMBER(SEARCH("patch",E69)),ISNUMBER(SEARCH("repair",E69)),ISNUMBER(SEARCH("thick'r",E69)),ISNUMBER(SEARCH("thick'r lawn",E69)),ISNUMBER(SEARCH("rapid grass",E69))),"Lawn Repair",
OR(ISNUMBER(SEARCH("weed",E69)),ISNUMBER(SEARCH("crabgrass",E69))),"Weed Control",
OR(ISNUMBER(SEARCH("fungicide",E69)),ISNUMBER(SEARCH("moss",E69))),"Disease &amp; Moss Control",
OR(ISNUMBER(SEARCH("plant food",E69)),ISNUMBER(SEARCH("miracid",E69))),"Plant Nutrition",
OR(ISNUMBER(SEARCH("perlite",E69))),"Soil Amendment",
OR(ISNUMBER(SEARCH("spreader",E69)),ISNUMBER(SEARCH("sprayer",E69)),ISNUMBER(SEARCH("mower",E69)),ISNUMBER(SEARCH("sweeper",E69)),ISNUMBER(SEARCH("pruner",E69)),ISNUMBER(SEARCH("trimmer",E69)),ISNUMBER(SEARCH("pole saw",E69))),"Garden Equipment",
TRUE,"Other"
)</f>
        <v>Crawling Insect Control</v>
      </c>
      <c r="I69" s="7" t="str" cm="1">
        <f t="array" ref="I69">_xlfn.IFS(
OR(ISNUMBER(SEARCH("glue trap",E69)),ISNUMBER(SEARCH("glue board",E69))),"Glue Traps",
OR(ISNUMBER(SEARCH("snap trap",E69)),ISNUMBER(SEARCH("power-kill",E69)),ISNUMBER(SEARCH("wide pedal",E69)),ISNUMBER(SEARCH("metal pedal",E69))),"Snap Traps",
OR(ISNUMBER(SEARCH("electronic",E69)),ISNUMBER(SEARCH("zapper",E69))),"Electronic Traps",
OR(ISNUMBER(SEARCH("live catch",E69)),ISNUMBER(SEARCH("multi-catch",E69)),ISNUMBER(SEARCH("catch &amp; hold",E69)),ISNUMBER(SEARCH("tin cat",E69))),"Live Catch Traps",
OR(ISNUMBER(SEARCH("bait",E69)),ISNUMBER(SEARCH("poison",E69))),"Bait &amp; Poison",
ISNUMBER(SEARCH("repellent",E69)),"Repellents",
OR(ISNUMBER(SEARCH("fly trap",E69)),ISNUMBER(SEARCH("fly ribbon",E69)),ISNUMBER(SEARCH("fly stick",E69)),ISNUMBER(SEARCH("window fly",E69)),ISNUMBER(SEARCH("fly magnet",E69))),"Fly Traps",
OR(ISNUMBER(SEARCH("uv",E69)),ISNUMBER(SEARCH("fly light",E69)),ISNUMBER(SEARCH("plug-in",E69))),"UV Fly Traps",
ISNUMBER(SEARCH("roach",E69)),"Roach Traps",
ISNUMBER(SEARCH("ant",E69)),"Ant Traps",
ISNUMBER(SEARCH("spider",E69)),"Spider Traps",
ISNUMBER(SEARCH("mosquito",E69)),"Mosquito Traps",
ISNUMBER(SEARCH("beetle",E69)),"Beetle Traps",
ISNUMBER(SEARCH("lantern",E69)),"Lanternfly Control",
OR(ISNUMBER(SEARCH("tree shield",E69)),ISNUMBER(SEARCH("tree banding",E69)),ISNUMBER(SEARCH("insect barrier",E69))),"Tree Barriers",
OR(ISNUMBER(SEARCH("sun &amp; shade",E69)),ISNUMBER(SEARCH("sun and shade",E69))),"Sun &amp; Shade Mix",
ISNUMBER(SEARCH("tall fescue",E69)),"Tall Fescue",
ISNUMBER(SEARCH("bermudagrass",E69)),"Bermudagrass",
ISNUMBER(SEARCH("kentucky",E69)),"Kentucky Bluegrass",
ISNUMBER(SEARCH("zoysia",E69)),"Zoysia",
ISNUMBER(SEARCH("ryegrass",E69)),"Perennial Ryegrass",
ISNUMBER(SEARCH("centipede",E69)),"Centipede Grass",
ISNUMBER(SEARCH("dense shade",E69)),"Dense Shade Mix",
ISNUMBER(SEARCH("southern gold",E69)),"Southern Gold Mix",
ISNUMBER(SEARCH("heat-tolerant blue",E69)),"Heat-Tolerant Blue Mix",
ISNUMBER(SEARCH("high traffic",E69)),"High Traffic Mix",
ISNUMBER(SEARCH("quick fix",E69)),"Quick Fix Mix",
ISNUMBER(SEARCH("starter",E69)),"Starter Fertilizer",
ISNUMBER(SEARCH("weed &amp; feed",E69)),"Weed &amp; Feed",
ISNUMBER(SEARCH("lawn food",E69)),"Lawn Food",
ISNUMBER(SEARCH("triple action",E69)),"Triple Action Fertilizer",
ISNUMBER(SEARCH("green max",E69)),"Green Max Lawn Food",
ISNUMBER(SEARCH("patchmaster",E69)),"PatchMaster Repair",
ISNUMBER(SEARCH("ez seed",E69)),"EZ Seed Repair",
ISNUMBER(SEARCH("rapid grass",E69)),"Rapid Grass",
ISNUMBER(SEARCH("thick'r lawn",E69)),"Thick'R Lawn",
ISNUMBER(SEARCH("fungicide",E69)),"Fungicide",
ISNUMBER(SEARCH("moss",E69)),"Moss Control",
ISNUMBER(SEARCH("perlite",E69)),"Perlite",
ISNUMBER(SEARCH("plant food",E69)),"Plant Food",
ISNUMBER(SEARCH("spreader",E69)),"Spreader",
ISNUMBER(SEARCH("sprayer",E69)),"Sprayer",
ISNUMBER(SEARCH("mower",E69)),"Lawn Mower",
ISNUMBER(SEARCH("sweeper",E69)),"Lawn Sweeper",
OR(ISNUMBER(SEARCH("pruner",E69)),ISNUMBER(SEARCH("trimmer",E69)),ISNUMBER(SEARCH("pole saw",E69))),"Pruning Tools",
TRUE,"Other"
)</f>
        <v>Beetle Traps</v>
      </c>
      <c r="J69" s="7" t="str">
        <f t="shared" si="18"/>
        <v>Crawling Insect Control - Beetle Traps</v>
      </c>
      <c r="K69" s="1">
        <v>100</v>
      </c>
      <c r="L69" s="1">
        <v>4.0999999999999996</v>
      </c>
      <c r="M69" s="1">
        <v>1095</v>
      </c>
      <c r="N69" s="1" t="s">
        <v>357</v>
      </c>
      <c r="O69" s="1">
        <f>VLOOKUP(A69,[2]Sheet1!$A:$B,2,0)</f>
        <v>0</v>
      </c>
      <c r="P69" s="1">
        <f>VLOOKUP(A69,[2]Sheet1!$A:$C,3,0)</f>
        <v>0</v>
      </c>
      <c r="Q69" s="7">
        <f>VLOOKUP(A69,[2]Sheet1!$A:$D,4,0)</f>
        <v>250</v>
      </c>
      <c r="R69" s="7">
        <f>VLOOKUP(A69,[2]Sheet1!$A:$E,5,0)</f>
        <v>500</v>
      </c>
      <c r="S69" s="7">
        <f>VLOOKUP(A69,[2]Sheet1!$A:$F,6,0)</f>
        <v>750</v>
      </c>
      <c r="T69" s="7">
        <f>VLOOKUP(A69,[2]Sheet1!$A:$G,7,0)</f>
        <v>1000</v>
      </c>
      <c r="U69" s="7">
        <f>VLOOKUP(A69,[2]Sheet1!$A:$H,8,0)</f>
        <v>10000</v>
      </c>
      <c r="V69" s="7">
        <f>VLOOKUP(A69,[2]Sheet1!$A:$I,9,0)</f>
        <v>1000</v>
      </c>
      <c r="W69" s="7">
        <f>VLOOKUP(A69,[2]Sheet1!$A:$K,10,0)</f>
        <v>500</v>
      </c>
      <c r="X69" s="7">
        <f>VLOOKUP(A69,[2]Sheet1!$A:$L,11,0)</f>
        <v>0</v>
      </c>
      <c r="Y69" s="7">
        <f>VLOOKUP(A69,[2]Sheet1!$A:$L,12,0)</f>
        <v>0</v>
      </c>
      <c r="Z69" s="7">
        <f>VLOOKUP(A69,[2]Sheet1!$A:$M,13,0)</f>
        <v>0</v>
      </c>
      <c r="AA69" s="1">
        <f t="shared" si="16"/>
        <v>14000</v>
      </c>
      <c r="AB69" s="7">
        <f t="shared" si="19"/>
        <v>1167</v>
      </c>
      <c r="AC69" s="13">
        <f t="shared" si="17"/>
        <v>1166.6666666666667</v>
      </c>
      <c r="AD69" s="9">
        <f t="shared" si="20"/>
        <v>629860</v>
      </c>
      <c r="AE69" s="9">
        <f t="shared" si="21"/>
        <v>52488.333333333336</v>
      </c>
      <c r="AF69" s="11">
        <v>5.66</v>
      </c>
      <c r="AG69" s="11">
        <v>44.99</v>
      </c>
      <c r="AH69" s="9">
        <f t="shared" si="22"/>
        <v>0.75573333333333326</v>
      </c>
      <c r="AI69" s="11">
        <f t="shared" si="23"/>
        <v>2.6450666666666662</v>
      </c>
      <c r="AJ69" s="14">
        <v>0.5</v>
      </c>
      <c r="AK69" s="14">
        <v>0.5</v>
      </c>
      <c r="AL69" s="11">
        <v>5.66</v>
      </c>
      <c r="AM69" s="9">
        <f t="shared" si="24"/>
        <v>6.7484999999999999</v>
      </c>
      <c r="AN69" s="9">
        <f t="shared" si="25"/>
        <v>1.3496999999999999</v>
      </c>
      <c r="AO69" s="9">
        <f t="shared" si="26"/>
        <v>8.9980000000000011</v>
      </c>
      <c r="AP69" s="9">
        <f t="shared" si="27"/>
        <v>0.89980000000000004</v>
      </c>
      <c r="AQ69" s="9">
        <f t="shared" si="28"/>
        <v>8.9980000000000011</v>
      </c>
      <c r="AR69" s="9">
        <f t="shared" si="29"/>
        <v>11.2475</v>
      </c>
      <c r="AS69" s="11">
        <f t="shared" si="30"/>
        <v>7.5573333333333323</v>
      </c>
      <c r="AT69" s="12">
        <f t="shared" si="31"/>
        <v>6.0576666666666661</v>
      </c>
    </row>
    <row r="70" spans="1:46" ht="16.5" x14ac:dyDescent="0.4">
      <c r="A70" s="1" t="s">
        <v>358</v>
      </c>
      <c r="B70" s="7" t="s">
        <v>42</v>
      </c>
      <c r="C70" s="7" t="s">
        <v>42</v>
      </c>
      <c r="D70" s="1" t="s">
        <v>359</v>
      </c>
      <c r="E70" s="1" t="s">
        <v>360</v>
      </c>
      <c r="F70" s="1" t="s">
        <v>361</v>
      </c>
      <c r="G70" s="7" t="str">
        <f>VLOOKUP(A70,[1]done!$A:$I,9,0)</f>
        <v>Mosquito/Fly</v>
      </c>
      <c r="H70" s="7" t="str" cm="1">
        <f t="array" ref="H70">_xlfn.IFS(
OR(ISNUMBER(SEARCH("mouse",E70)),ISNUMBER(SEARCH("rat",E70)),ISNUMBER(SEARCH("mice",E70)),ISNUMBER(SEARCH("rodent",E70))),"Rodent Control",
OR(ISNUMBER(SEARCH("fly",E70)),ISNUMBER(SEARCH("gnat",E70)),ISNUMBER(SEARCH("insect",E70)),ISNUMBER(SEARCH("mosquito",E70))),"Flying Insect Control",
OR(ISNUMBER(SEARCH("roach",E70)),ISNUMBER(SEARCH("ant",E70)),ISNUMBER(SEARCH("spider",E70)),ISNUMBER(SEARCH("cricket",E70)),ISNUMBER(SEARCH("scorpion",E70)),ISNUMBER(SEARCH("centipede",E70)),ISNUMBER(SEARCH("beetle",E70))),"Crawling Insect Control",
OR(ISNUMBER(SEARCH("tree",E70)),ISNUMBER(SEARCH("lantern",E70)),ISNUMBER(SEARCH("garden",E70)),ISNUMBER(SEARCH("plant",E70))),"Garden Pest Control",
OR(ISNUMBER(SEARCH("grass seed",E70)),ISNUMBER(SEARCH("seed mix",E70))),"Grass Seed",
OR(ISNUMBER(SEARCH("lawn food",E70)),ISNUMBER(SEARCH("fertilizer",E70))),"Lawn Fertilizer",
OR(ISNUMBER(SEARCH("patch",E70)),ISNUMBER(SEARCH("repair",E70)),ISNUMBER(SEARCH("thick'r",E70)),ISNUMBER(SEARCH("thick'r lawn",E70)),ISNUMBER(SEARCH("rapid grass",E70))),"Lawn Repair",
OR(ISNUMBER(SEARCH("weed",E70)),ISNUMBER(SEARCH("crabgrass",E70))),"Weed Control",
OR(ISNUMBER(SEARCH("fungicide",E70)),ISNUMBER(SEARCH("moss",E70))),"Disease &amp; Moss Control",
OR(ISNUMBER(SEARCH("plant food",E70)),ISNUMBER(SEARCH("miracid",E70))),"Plant Nutrition",
OR(ISNUMBER(SEARCH("perlite",E70))),"Soil Amendment",
OR(ISNUMBER(SEARCH("spreader",E70)),ISNUMBER(SEARCH("sprayer",E70)),ISNUMBER(SEARCH("mower",E70)),ISNUMBER(SEARCH("sweeper",E70)),ISNUMBER(SEARCH("pruner",E70)),ISNUMBER(SEARCH("trimmer",E70)),ISNUMBER(SEARCH("pole saw",E70))),"Garden Equipment",
TRUE,"Other"
)</f>
        <v>Flying Insect Control</v>
      </c>
      <c r="I70" s="7" t="str" cm="1">
        <f t="array" ref="I70">_xlfn.IFS(
OR(ISNUMBER(SEARCH("glue trap",E70)),ISNUMBER(SEARCH("glue board",E70))),"Glue Traps",
OR(ISNUMBER(SEARCH("snap trap",E70)),ISNUMBER(SEARCH("power-kill",E70)),ISNUMBER(SEARCH("wide pedal",E70)),ISNUMBER(SEARCH("metal pedal",E70))),"Snap Traps",
OR(ISNUMBER(SEARCH("electronic",E70)),ISNUMBER(SEARCH("zapper",E70))),"Electronic Traps",
OR(ISNUMBER(SEARCH("live catch",E70)),ISNUMBER(SEARCH("multi-catch",E70)),ISNUMBER(SEARCH("catch &amp; hold",E70)),ISNUMBER(SEARCH("tin cat",E70))),"Live Catch Traps",
OR(ISNUMBER(SEARCH("bait",E70)),ISNUMBER(SEARCH("poison",E70))),"Bait &amp; Poison",
ISNUMBER(SEARCH("repellent",E70)),"Repellents",
OR(ISNUMBER(SEARCH("fly trap",E70)),ISNUMBER(SEARCH("fly ribbon",E70)),ISNUMBER(SEARCH("fly stick",E70)),ISNUMBER(SEARCH("window fly",E70)),ISNUMBER(SEARCH("fly magnet",E70))),"Fly Traps",
OR(ISNUMBER(SEARCH("uv",E70)),ISNUMBER(SEARCH("fly light",E70)),ISNUMBER(SEARCH("plug-in",E70))),"UV Fly Traps",
ISNUMBER(SEARCH("roach",E70)),"Roach Traps",
ISNUMBER(SEARCH("ant",E70)),"Ant Traps",
ISNUMBER(SEARCH("spider",E70)),"Spider Traps",
ISNUMBER(SEARCH("mosquito",E70)),"Mosquito Traps",
ISNUMBER(SEARCH("beetle",E70)),"Beetle Traps",
ISNUMBER(SEARCH("lantern",E70)),"Lanternfly Control",
OR(ISNUMBER(SEARCH("tree shield",E70)),ISNUMBER(SEARCH("tree banding",E70)),ISNUMBER(SEARCH("insect barrier",E70))),"Tree Barriers",
OR(ISNUMBER(SEARCH("sun &amp; shade",E70)),ISNUMBER(SEARCH("sun and shade",E70))),"Sun &amp; Shade Mix",
ISNUMBER(SEARCH("tall fescue",E70)),"Tall Fescue",
ISNUMBER(SEARCH("bermudagrass",E70)),"Bermudagrass",
ISNUMBER(SEARCH("kentucky",E70)),"Kentucky Bluegrass",
ISNUMBER(SEARCH("zoysia",E70)),"Zoysia",
ISNUMBER(SEARCH("ryegrass",E70)),"Perennial Ryegrass",
ISNUMBER(SEARCH("centipede",E70)),"Centipede Grass",
ISNUMBER(SEARCH("dense shade",E70)),"Dense Shade Mix",
ISNUMBER(SEARCH("southern gold",E70)),"Southern Gold Mix",
ISNUMBER(SEARCH("heat-tolerant blue",E70)),"Heat-Tolerant Blue Mix",
ISNUMBER(SEARCH("high traffic",E70)),"High Traffic Mix",
ISNUMBER(SEARCH("quick fix",E70)),"Quick Fix Mix",
ISNUMBER(SEARCH("starter",E70)),"Starter Fertilizer",
ISNUMBER(SEARCH("weed &amp; feed",E70)),"Weed &amp; Feed",
ISNUMBER(SEARCH("lawn food",E70)),"Lawn Food",
ISNUMBER(SEARCH("triple action",E70)),"Triple Action Fertilizer",
ISNUMBER(SEARCH("green max",E70)),"Green Max Lawn Food",
ISNUMBER(SEARCH("patchmaster",E70)),"PatchMaster Repair",
ISNUMBER(SEARCH("ez seed",E70)),"EZ Seed Repair",
ISNUMBER(SEARCH("rapid grass",E70)),"Rapid Grass",
ISNUMBER(SEARCH("thick'r lawn",E70)),"Thick'R Lawn",
ISNUMBER(SEARCH("fungicide",E70)),"Fungicide",
ISNUMBER(SEARCH("moss",E70)),"Moss Control",
ISNUMBER(SEARCH("perlite",E70)),"Perlite",
ISNUMBER(SEARCH("plant food",E70)),"Plant Food",
ISNUMBER(SEARCH("spreader",E70)),"Spreader",
ISNUMBER(SEARCH("sprayer",E70)),"Sprayer",
ISNUMBER(SEARCH("mower",E70)),"Lawn Mower",
ISNUMBER(SEARCH("sweeper",E70)),"Lawn Sweeper",
OR(ISNUMBER(SEARCH("pruner",E70)),ISNUMBER(SEARCH("trimmer",E70)),ISNUMBER(SEARCH("pole saw",E70))),"Pruning Tools",
TRUE,"Other"
)</f>
        <v>Glue Traps</v>
      </c>
      <c r="J70" s="7" t="str">
        <f t="shared" si="18"/>
        <v>Flying Insect Control - Glue Traps</v>
      </c>
      <c r="K70" s="1">
        <v>200</v>
      </c>
      <c r="L70" s="1">
        <v>4.3</v>
      </c>
      <c r="M70" s="1">
        <v>90</v>
      </c>
      <c r="N70" s="1" t="s">
        <v>362</v>
      </c>
      <c r="O70" s="1">
        <f>VLOOKUP(A70,[2]Sheet1!$A:$B,2,0)</f>
        <v>100</v>
      </c>
      <c r="P70" s="1">
        <f>VLOOKUP(A70,[2]Sheet1!$A:$C,3,0)</f>
        <v>100</v>
      </c>
      <c r="Q70" s="7">
        <f>VLOOKUP(A70,[2]Sheet1!$A:$D,4,0)</f>
        <v>100</v>
      </c>
      <c r="R70" s="7">
        <f>VLOOKUP(A70,[2]Sheet1!$A:$E,5,0)</f>
        <v>100</v>
      </c>
      <c r="S70" s="7">
        <f>VLOOKUP(A70,[2]Sheet1!$A:$F,6,0)</f>
        <v>100</v>
      </c>
      <c r="T70" s="7">
        <f>VLOOKUP(A70,[2]Sheet1!$A:$G,7,0)</f>
        <v>200</v>
      </c>
      <c r="U70" s="7">
        <f>VLOOKUP(A70,[2]Sheet1!$A:$H,8,0)</f>
        <v>200</v>
      </c>
      <c r="V70" s="7">
        <f>VLOOKUP(A70,[2]Sheet1!$A:$I,9,0)</f>
        <v>200</v>
      </c>
      <c r="W70" s="7">
        <f>VLOOKUP(A70,[2]Sheet1!$A:$K,10,0)</f>
        <v>200</v>
      </c>
      <c r="X70" s="7">
        <f>VLOOKUP(A70,[2]Sheet1!$A:$L,11,0)</f>
        <v>0</v>
      </c>
      <c r="Y70" s="7">
        <f>VLOOKUP(A70,[2]Sheet1!$A:$L,12,0)</f>
        <v>0</v>
      </c>
      <c r="Z70" s="7">
        <f>VLOOKUP(A70,[2]Sheet1!$A:$M,13,0)</f>
        <v>50</v>
      </c>
      <c r="AA70" s="1">
        <f t="shared" si="16"/>
        <v>1350</v>
      </c>
      <c r="AB70" s="7">
        <f t="shared" si="19"/>
        <v>113</v>
      </c>
      <c r="AC70" s="13">
        <f t="shared" si="17"/>
        <v>112.5</v>
      </c>
      <c r="AD70" s="9">
        <f t="shared" si="20"/>
        <v>22261.499999999996</v>
      </c>
      <c r="AE70" s="9">
        <f t="shared" si="21"/>
        <v>1855.1249999999998</v>
      </c>
      <c r="AF70" s="11">
        <v>4.09</v>
      </c>
      <c r="AG70" s="11">
        <v>16.489999999999998</v>
      </c>
      <c r="AH70" s="9">
        <f t="shared" si="22"/>
        <v>0.10039999999999989</v>
      </c>
      <c r="AI70" s="11">
        <f t="shared" si="23"/>
        <v>0.3513999999999996</v>
      </c>
      <c r="AJ70" s="14">
        <v>0.5</v>
      </c>
      <c r="AK70" s="14">
        <v>0.5</v>
      </c>
      <c r="AL70" s="11">
        <v>4.09</v>
      </c>
      <c r="AM70" s="9">
        <f t="shared" si="24"/>
        <v>2.4734999999999996</v>
      </c>
      <c r="AN70" s="9">
        <f t="shared" si="25"/>
        <v>0.49469999999999992</v>
      </c>
      <c r="AO70" s="9">
        <f t="shared" si="26"/>
        <v>3.298</v>
      </c>
      <c r="AP70" s="9">
        <f t="shared" si="27"/>
        <v>0.32979999999999998</v>
      </c>
      <c r="AQ70" s="9">
        <f t="shared" si="28"/>
        <v>3.298</v>
      </c>
      <c r="AR70" s="9">
        <f t="shared" si="29"/>
        <v>4.1224999999999996</v>
      </c>
      <c r="AS70" s="11">
        <f t="shared" si="30"/>
        <v>1.0039999999999989</v>
      </c>
      <c r="AT70" s="12">
        <f t="shared" si="31"/>
        <v>0.45433333333333259</v>
      </c>
    </row>
    <row r="71" spans="1:46" ht="16.5" x14ac:dyDescent="0.4">
      <c r="A71" s="1" t="s">
        <v>363</v>
      </c>
      <c r="B71" s="7" t="s">
        <v>42</v>
      </c>
      <c r="C71" s="7" t="s">
        <v>1780</v>
      </c>
      <c r="D71" s="1" t="s">
        <v>364</v>
      </c>
      <c r="E71" s="1" t="s">
        <v>365</v>
      </c>
      <c r="F71" s="1" t="s">
        <v>366</v>
      </c>
      <c r="G71" s="7" t="str">
        <f>VLOOKUP(A71,[1]done!$A:$I,9,0)</f>
        <v>Other Glue boards for insect or rodent</v>
      </c>
      <c r="H71" s="7" t="str" cm="1">
        <f t="array" ref="H71">_xlfn.IFS(
OR(ISNUMBER(SEARCH("mouse",E71)),ISNUMBER(SEARCH("rat",E71)),ISNUMBER(SEARCH("mice",E71)),ISNUMBER(SEARCH("rodent",E71))),"Rodent Control",
OR(ISNUMBER(SEARCH("fly",E71)),ISNUMBER(SEARCH("gnat",E71)),ISNUMBER(SEARCH("insect",E71)),ISNUMBER(SEARCH("mosquito",E71))),"Flying Insect Control",
OR(ISNUMBER(SEARCH("roach",E71)),ISNUMBER(SEARCH("ant",E71)),ISNUMBER(SEARCH("spider",E71)),ISNUMBER(SEARCH("cricket",E71)),ISNUMBER(SEARCH("scorpion",E71)),ISNUMBER(SEARCH("centipede",E71)),ISNUMBER(SEARCH("beetle",E71))),"Crawling Insect Control",
OR(ISNUMBER(SEARCH("tree",E71)),ISNUMBER(SEARCH("lantern",E71)),ISNUMBER(SEARCH("garden",E71)),ISNUMBER(SEARCH("plant",E71))),"Garden Pest Control",
OR(ISNUMBER(SEARCH("grass seed",E71)),ISNUMBER(SEARCH("seed mix",E71))),"Grass Seed",
OR(ISNUMBER(SEARCH("lawn food",E71)),ISNUMBER(SEARCH("fertilizer",E71))),"Lawn Fertilizer",
OR(ISNUMBER(SEARCH("patch",E71)),ISNUMBER(SEARCH("repair",E71)),ISNUMBER(SEARCH("thick'r",E71)),ISNUMBER(SEARCH("thick'r lawn",E71)),ISNUMBER(SEARCH("rapid grass",E71))),"Lawn Repair",
OR(ISNUMBER(SEARCH("weed",E71)),ISNUMBER(SEARCH("crabgrass",E71))),"Weed Control",
OR(ISNUMBER(SEARCH("fungicide",E71)),ISNUMBER(SEARCH("moss",E71))),"Disease &amp; Moss Control",
OR(ISNUMBER(SEARCH("plant food",E71)),ISNUMBER(SEARCH("miracid",E71))),"Plant Nutrition",
OR(ISNUMBER(SEARCH("perlite",E71))),"Soil Amendment",
OR(ISNUMBER(SEARCH("spreader",E71)),ISNUMBER(SEARCH("sprayer",E71)),ISNUMBER(SEARCH("mower",E71)),ISNUMBER(SEARCH("sweeper",E71)),ISNUMBER(SEARCH("pruner",E71)),ISNUMBER(SEARCH("trimmer",E71)),ISNUMBER(SEARCH("pole saw",E71))),"Garden Equipment",
TRUE,"Other"
)</f>
        <v>Other</v>
      </c>
      <c r="I71" s="7" t="str" cm="1">
        <f t="array" ref="I71">_xlfn.IFS(
OR(ISNUMBER(SEARCH("glue trap",E71)),ISNUMBER(SEARCH("glue board",E71))),"Glue Traps",
OR(ISNUMBER(SEARCH("snap trap",E71)),ISNUMBER(SEARCH("power-kill",E71)),ISNUMBER(SEARCH("wide pedal",E71)),ISNUMBER(SEARCH("metal pedal",E71))),"Snap Traps",
OR(ISNUMBER(SEARCH("electronic",E71)),ISNUMBER(SEARCH("zapper",E71))),"Electronic Traps",
OR(ISNUMBER(SEARCH("live catch",E71)),ISNUMBER(SEARCH("multi-catch",E71)),ISNUMBER(SEARCH("catch &amp; hold",E71)),ISNUMBER(SEARCH("tin cat",E71))),"Live Catch Traps",
OR(ISNUMBER(SEARCH("bait",E71)),ISNUMBER(SEARCH("poison",E71))),"Bait &amp; Poison",
ISNUMBER(SEARCH("repellent",E71)),"Repellents",
OR(ISNUMBER(SEARCH("fly trap",E71)),ISNUMBER(SEARCH("fly ribbon",E71)),ISNUMBER(SEARCH("fly stick",E71)),ISNUMBER(SEARCH("window fly",E71)),ISNUMBER(SEARCH("fly magnet",E71))),"Fly Traps",
OR(ISNUMBER(SEARCH("uv",E71)),ISNUMBER(SEARCH("fly light",E71)),ISNUMBER(SEARCH("plug-in",E71))),"UV Fly Traps",
ISNUMBER(SEARCH("roach",E71)),"Roach Traps",
ISNUMBER(SEARCH("ant",E71)),"Ant Traps",
ISNUMBER(SEARCH("spider",E71)),"Spider Traps",
ISNUMBER(SEARCH("mosquito",E71)),"Mosquito Traps",
ISNUMBER(SEARCH("beetle",E71)),"Beetle Traps",
ISNUMBER(SEARCH("lantern",E71)),"Lanternfly Control",
OR(ISNUMBER(SEARCH("tree shield",E71)),ISNUMBER(SEARCH("tree banding",E71)),ISNUMBER(SEARCH("insect barrier",E71))),"Tree Barriers",
OR(ISNUMBER(SEARCH("sun &amp; shade",E71)),ISNUMBER(SEARCH("sun and shade",E71))),"Sun &amp; Shade Mix",
ISNUMBER(SEARCH("tall fescue",E71)),"Tall Fescue",
ISNUMBER(SEARCH("bermudagrass",E71)),"Bermudagrass",
ISNUMBER(SEARCH("kentucky",E71)),"Kentucky Bluegrass",
ISNUMBER(SEARCH("zoysia",E71)),"Zoysia",
ISNUMBER(SEARCH("ryegrass",E71)),"Perennial Ryegrass",
ISNUMBER(SEARCH("centipede",E71)),"Centipede Grass",
ISNUMBER(SEARCH("dense shade",E71)),"Dense Shade Mix",
ISNUMBER(SEARCH("southern gold",E71)),"Southern Gold Mix",
ISNUMBER(SEARCH("heat-tolerant blue",E71)),"Heat-Tolerant Blue Mix",
ISNUMBER(SEARCH("high traffic",E71)),"High Traffic Mix",
ISNUMBER(SEARCH("quick fix",E71)),"Quick Fix Mix",
ISNUMBER(SEARCH("starter",E71)),"Starter Fertilizer",
ISNUMBER(SEARCH("weed &amp; feed",E71)),"Weed &amp; Feed",
ISNUMBER(SEARCH("lawn food",E71)),"Lawn Food",
ISNUMBER(SEARCH("triple action",E71)),"Triple Action Fertilizer",
ISNUMBER(SEARCH("green max",E71)),"Green Max Lawn Food",
ISNUMBER(SEARCH("patchmaster",E71)),"PatchMaster Repair",
ISNUMBER(SEARCH("ez seed",E71)),"EZ Seed Repair",
ISNUMBER(SEARCH("rapid grass",E71)),"Rapid Grass",
ISNUMBER(SEARCH("thick'r lawn",E71)),"Thick'R Lawn",
ISNUMBER(SEARCH("fungicide",E71)),"Fungicide",
ISNUMBER(SEARCH("moss",E71)),"Moss Control",
ISNUMBER(SEARCH("perlite",E71)),"Perlite",
ISNUMBER(SEARCH("plant food",E71)),"Plant Food",
ISNUMBER(SEARCH("spreader",E71)),"Spreader",
ISNUMBER(SEARCH("sprayer",E71)),"Sprayer",
ISNUMBER(SEARCH("mower",E71)),"Lawn Mower",
ISNUMBER(SEARCH("sweeper",E71)),"Lawn Sweeper",
OR(ISNUMBER(SEARCH("pruner",E71)),ISNUMBER(SEARCH("trimmer",E71)),ISNUMBER(SEARCH("pole saw",E71))),"Pruning Tools",
TRUE,"Other"
)</f>
        <v>Other</v>
      </c>
      <c r="J71" s="7" t="str">
        <f t="shared" si="18"/>
        <v>Other - Other</v>
      </c>
      <c r="K71" s="1">
        <v>200</v>
      </c>
      <c r="L71" s="1">
        <v>4.5</v>
      </c>
      <c r="M71" s="1">
        <v>362</v>
      </c>
      <c r="N71" s="1" t="s">
        <v>367</v>
      </c>
      <c r="O71" s="1">
        <f>VLOOKUP(A71,[2]Sheet1!$A:$B,2,0)</f>
        <v>100</v>
      </c>
      <c r="P71" s="1">
        <f>VLOOKUP(A71,[2]Sheet1!$A:$C,3,0)</f>
        <v>100</v>
      </c>
      <c r="Q71" s="7">
        <f>VLOOKUP(A71,[2]Sheet1!$A:$D,4,0)</f>
        <v>100</v>
      </c>
      <c r="R71" s="7">
        <f>VLOOKUP(A71,[2]Sheet1!$A:$E,5,0)</f>
        <v>100</v>
      </c>
      <c r="S71" s="7">
        <f>VLOOKUP(A71,[2]Sheet1!$A:$F,6,0)</f>
        <v>100</v>
      </c>
      <c r="T71" s="7">
        <f>VLOOKUP(A71,[2]Sheet1!$A:$G,7,0)</f>
        <v>100</v>
      </c>
      <c r="U71" s="7">
        <f>VLOOKUP(A71,[2]Sheet1!$A:$H,8,0)</f>
        <v>100</v>
      </c>
      <c r="V71" s="7">
        <f>VLOOKUP(A71,[2]Sheet1!$A:$I,9,0)</f>
        <v>200</v>
      </c>
      <c r="W71" s="7">
        <f>VLOOKUP(A71,[2]Sheet1!$A:$K,10,0)</f>
        <v>200</v>
      </c>
      <c r="X71" s="7">
        <f>VLOOKUP(A71,[2]Sheet1!$A:$L,11,0)</f>
        <v>200</v>
      </c>
      <c r="Y71" s="7">
        <f>VLOOKUP(A71,[2]Sheet1!$A:$L,12,0)</f>
        <v>200</v>
      </c>
      <c r="Z71" s="7">
        <f>VLOOKUP(A71,[2]Sheet1!$A:$M,13,0)</f>
        <v>100</v>
      </c>
      <c r="AA71" s="1">
        <f t="shared" si="16"/>
        <v>1600</v>
      </c>
      <c r="AB71" s="7">
        <f t="shared" si="19"/>
        <v>133</v>
      </c>
      <c r="AC71" s="13">
        <f t="shared" si="17"/>
        <v>133.33333333333334</v>
      </c>
      <c r="AD71" s="9">
        <f t="shared" si="20"/>
        <v>20400</v>
      </c>
      <c r="AE71" s="9">
        <f t="shared" si="21"/>
        <v>1700.0000000000002</v>
      </c>
      <c r="AF71" s="11">
        <v>4.76</v>
      </c>
      <c r="AG71" s="11">
        <v>12.75</v>
      </c>
      <c r="AH71" s="9">
        <f t="shared" si="22"/>
        <v>-4.4000000000000039E-2</v>
      </c>
      <c r="AI71" s="11">
        <f t="shared" si="23"/>
        <v>-0.15400000000000014</v>
      </c>
      <c r="AJ71" s="14">
        <v>0.5</v>
      </c>
      <c r="AK71" s="14">
        <v>0.5</v>
      </c>
      <c r="AL71" s="11">
        <v>4.76</v>
      </c>
      <c r="AM71" s="9">
        <f t="shared" si="24"/>
        <v>1.9124999999999999</v>
      </c>
      <c r="AN71" s="9">
        <f t="shared" si="25"/>
        <v>0.38250000000000001</v>
      </c>
      <c r="AO71" s="9">
        <f t="shared" si="26"/>
        <v>2.5500000000000003</v>
      </c>
      <c r="AP71" s="9">
        <f t="shared" si="27"/>
        <v>0.255</v>
      </c>
      <c r="AQ71" s="9">
        <f t="shared" si="28"/>
        <v>2.5500000000000003</v>
      </c>
      <c r="AR71" s="9">
        <f t="shared" si="29"/>
        <v>3.1875</v>
      </c>
      <c r="AS71" s="11">
        <f t="shared" si="30"/>
        <v>-0.44000000000000039</v>
      </c>
      <c r="AT71" s="12">
        <f t="shared" si="31"/>
        <v>-0.86500000000000021</v>
      </c>
    </row>
    <row r="72" spans="1:46" ht="16.5" x14ac:dyDescent="0.4">
      <c r="A72" s="1" t="s">
        <v>368</v>
      </c>
      <c r="B72" s="7" t="s">
        <v>42</v>
      </c>
      <c r="C72" s="7" t="s">
        <v>42</v>
      </c>
      <c r="D72" s="1" t="s">
        <v>369</v>
      </c>
      <c r="E72" s="1" t="s">
        <v>370</v>
      </c>
      <c r="F72" s="1" t="s">
        <v>371</v>
      </c>
      <c r="G72" s="7" t="str">
        <f>VLOOKUP(A72,[1]done!$A:$I,9,0)</f>
        <v>Rodent</v>
      </c>
      <c r="H72" s="7" t="str" cm="1">
        <f t="array" ref="H72">_xlfn.IFS(
OR(ISNUMBER(SEARCH("mouse",E72)),ISNUMBER(SEARCH("rat",E72)),ISNUMBER(SEARCH("mice",E72)),ISNUMBER(SEARCH("rodent",E72))),"Rodent Control",
OR(ISNUMBER(SEARCH("fly",E72)),ISNUMBER(SEARCH("gnat",E72)),ISNUMBER(SEARCH("insect",E72)),ISNUMBER(SEARCH("mosquito",E72))),"Flying Insect Control",
OR(ISNUMBER(SEARCH("roach",E72)),ISNUMBER(SEARCH("ant",E72)),ISNUMBER(SEARCH("spider",E72)),ISNUMBER(SEARCH("cricket",E72)),ISNUMBER(SEARCH("scorpion",E72)),ISNUMBER(SEARCH("centipede",E72)),ISNUMBER(SEARCH("beetle",E72))),"Crawling Insect Control",
OR(ISNUMBER(SEARCH("tree",E72)),ISNUMBER(SEARCH("lantern",E72)),ISNUMBER(SEARCH("garden",E72)),ISNUMBER(SEARCH("plant",E72))),"Garden Pest Control",
OR(ISNUMBER(SEARCH("grass seed",E72)),ISNUMBER(SEARCH("seed mix",E72))),"Grass Seed",
OR(ISNUMBER(SEARCH("lawn food",E72)),ISNUMBER(SEARCH("fertilizer",E72))),"Lawn Fertilizer",
OR(ISNUMBER(SEARCH("patch",E72)),ISNUMBER(SEARCH("repair",E72)),ISNUMBER(SEARCH("thick'r",E72)),ISNUMBER(SEARCH("thick'r lawn",E72)),ISNUMBER(SEARCH("rapid grass",E72))),"Lawn Repair",
OR(ISNUMBER(SEARCH("weed",E72)),ISNUMBER(SEARCH("crabgrass",E72))),"Weed Control",
OR(ISNUMBER(SEARCH("fungicide",E72)),ISNUMBER(SEARCH("moss",E72))),"Disease &amp; Moss Control",
OR(ISNUMBER(SEARCH("plant food",E72)),ISNUMBER(SEARCH("miracid",E72))),"Plant Nutrition",
OR(ISNUMBER(SEARCH("perlite",E72))),"Soil Amendment",
OR(ISNUMBER(SEARCH("spreader",E72)),ISNUMBER(SEARCH("sprayer",E72)),ISNUMBER(SEARCH("mower",E72)),ISNUMBER(SEARCH("sweeper",E72)),ISNUMBER(SEARCH("pruner",E72)),ISNUMBER(SEARCH("trimmer",E72)),ISNUMBER(SEARCH("pole saw",E72))),"Garden Equipment",
TRUE,"Other"
)</f>
        <v>Rodent Control</v>
      </c>
      <c r="I72" s="7" t="str" cm="1">
        <f t="array" ref="I72">_xlfn.IFS(
OR(ISNUMBER(SEARCH("glue trap",E72)),ISNUMBER(SEARCH("glue board",E72))),"Glue Traps",
OR(ISNUMBER(SEARCH("snap trap",E72)),ISNUMBER(SEARCH("power-kill",E72)),ISNUMBER(SEARCH("wide pedal",E72)),ISNUMBER(SEARCH("metal pedal",E72))),"Snap Traps",
OR(ISNUMBER(SEARCH("electronic",E72)),ISNUMBER(SEARCH("zapper",E72))),"Electronic Traps",
OR(ISNUMBER(SEARCH("live catch",E72)),ISNUMBER(SEARCH("multi-catch",E72)),ISNUMBER(SEARCH("catch &amp; hold",E72)),ISNUMBER(SEARCH("tin cat",E72))),"Live Catch Traps",
OR(ISNUMBER(SEARCH("bait",E72)),ISNUMBER(SEARCH("poison",E72))),"Bait &amp; Poison",
ISNUMBER(SEARCH("repellent",E72)),"Repellents",
OR(ISNUMBER(SEARCH("fly trap",E72)),ISNUMBER(SEARCH("fly ribbon",E72)),ISNUMBER(SEARCH("fly stick",E72)),ISNUMBER(SEARCH("window fly",E72)),ISNUMBER(SEARCH("fly magnet",E72))),"Fly Traps",
OR(ISNUMBER(SEARCH("uv",E72)),ISNUMBER(SEARCH("fly light",E72)),ISNUMBER(SEARCH("plug-in",E72))),"UV Fly Traps",
ISNUMBER(SEARCH("roach",E72)),"Roach Traps",
ISNUMBER(SEARCH("ant",E72)),"Ant Traps",
ISNUMBER(SEARCH("spider",E72)),"Spider Traps",
ISNUMBER(SEARCH("mosquito",E72)),"Mosquito Traps",
ISNUMBER(SEARCH("beetle",E72)),"Beetle Traps",
ISNUMBER(SEARCH("lantern",E72)),"Lanternfly Control",
OR(ISNUMBER(SEARCH("tree shield",E72)),ISNUMBER(SEARCH("tree banding",E72)),ISNUMBER(SEARCH("insect barrier",E72))),"Tree Barriers",
OR(ISNUMBER(SEARCH("sun &amp; shade",E72)),ISNUMBER(SEARCH("sun and shade",E72))),"Sun &amp; Shade Mix",
ISNUMBER(SEARCH("tall fescue",E72)),"Tall Fescue",
ISNUMBER(SEARCH("bermudagrass",E72)),"Bermudagrass",
ISNUMBER(SEARCH("kentucky",E72)),"Kentucky Bluegrass",
ISNUMBER(SEARCH("zoysia",E72)),"Zoysia",
ISNUMBER(SEARCH("ryegrass",E72)),"Perennial Ryegrass",
ISNUMBER(SEARCH("centipede",E72)),"Centipede Grass",
ISNUMBER(SEARCH("dense shade",E72)),"Dense Shade Mix",
ISNUMBER(SEARCH("southern gold",E72)),"Southern Gold Mix",
ISNUMBER(SEARCH("heat-tolerant blue",E72)),"Heat-Tolerant Blue Mix",
ISNUMBER(SEARCH("high traffic",E72)),"High Traffic Mix",
ISNUMBER(SEARCH("quick fix",E72)),"Quick Fix Mix",
ISNUMBER(SEARCH("starter",E72)),"Starter Fertilizer",
ISNUMBER(SEARCH("weed &amp; feed",E72)),"Weed &amp; Feed",
ISNUMBER(SEARCH("lawn food",E72)),"Lawn Food",
ISNUMBER(SEARCH("triple action",E72)),"Triple Action Fertilizer",
ISNUMBER(SEARCH("green max",E72)),"Green Max Lawn Food",
ISNUMBER(SEARCH("patchmaster",E72)),"PatchMaster Repair",
ISNUMBER(SEARCH("ez seed",E72)),"EZ Seed Repair",
ISNUMBER(SEARCH("rapid grass",E72)),"Rapid Grass",
ISNUMBER(SEARCH("thick'r lawn",E72)),"Thick'R Lawn",
ISNUMBER(SEARCH("fungicide",E72)),"Fungicide",
ISNUMBER(SEARCH("moss",E72)),"Moss Control",
ISNUMBER(SEARCH("perlite",E72)),"Perlite",
ISNUMBER(SEARCH("plant food",E72)),"Plant Food",
ISNUMBER(SEARCH("spreader",E72)),"Spreader",
ISNUMBER(SEARCH("sprayer",E72)),"Sprayer",
ISNUMBER(SEARCH("mower",E72)),"Lawn Mower",
ISNUMBER(SEARCH("sweeper",E72)),"Lawn Sweeper",
OR(ISNUMBER(SEARCH("pruner",E72)),ISNUMBER(SEARCH("trimmer",E72)),ISNUMBER(SEARCH("pole saw",E72))),"Pruning Tools",
TRUE,"Other"
)</f>
        <v>Glue Traps</v>
      </c>
      <c r="J72" s="7" t="str">
        <f t="shared" si="18"/>
        <v>Rodent Control - Glue Traps</v>
      </c>
      <c r="K72" s="1">
        <v>100</v>
      </c>
      <c r="L72" s="1">
        <v>4.2</v>
      </c>
      <c r="M72" s="1">
        <v>661</v>
      </c>
      <c r="N72" s="1" t="s">
        <v>114</v>
      </c>
      <c r="O72" s="1">
        <f>VLOOKUP(A72,[2]Sheet1!$A:$B,2,0)</f>
        <v>300</v>
      </c>
      <c r="P72" s="1">
        <f>VLOOKUP(A72,[2]Sheet1!$A:$C,3,0)</f>
        <v>300</v>
      </c>
      <c r="Q72" s="7">
        <f>VLOOKUP(A72,[2]Sheet1!$A:$D,4,0)</f>
        <v>200</v>
      </c>
      <c r="R72" s="7">
        <f>VLOOKUP(A72,[2]Sheet1!$A:$E,5,0)</f>
        <v>100</v>
      </c>
      <c r="S72" s="7">
        <f>VLOOKUP(A72,[2]Sheet1!$A:$F,6,0)</f>
        <v>100</v>
      </c>
      <c r="T72" s="7">
        <f>VLOOKUP(A72,[2]Sheet1!$A:$G,7,0)</f>
        <v>60</v>
      </c>
      <c r="U72" s="7">
        <f>VLOOKUP(A72,[2]Sheet1!$A:$H,8,0)</f>
        <v>100</v>
      </c>
      <c r="V72" s="7">
        <f>VLOOKUP(A72,[2]Sheet1!$A:$I,9,0)</f>
        <v>100</v>
      </c>
      <c r="W72" s="7">
        <f>VLOOKUP(A72,[2]Sheet1!$A:$K,10,0)</f>
        <v>100</v>
      </c>
      <c r="X72" s="7">
        <f>VLOOKUP(A72,[2]Sheet1!$A:$L,11,0)</f>
        <v>300</v>
      </c>
      <c r="Y72" s="7">
        <f>VLOOKUP(A72,[2]Sheet1!$A:$L,12,0)</f>
        <v>400</v>
      </c>
      <c r="Z72" s="7">
        <f>VLOOKUP(A72,[2]Sheet1!$A:$M,13,0)</f>
        <v>600</v>
      </c>
      <c r="AA72" s="1">
        <f t="shared" si="16"/>
        <v>2660</v>
      </c>
      <c r="AB72" s="7">
        <f t="shared" si="19"/>
        <v>222</v>
      </c>
      <c r="AC72" s="13">
        <f t="shared" si="17"/>
        <v>221.66666666666666</v>
      </c>
      <c r="AD72" s="9">
        <f t="shared" si="20"/>
        <v>62137.599999999999</v>
      </c>
      <c r="AE72" s="9">
        <f t="shared" si="21"/>
        <v>5178.1333333333332</v>
      </c>
      <c r="AF72" s="11">
        <v>5.76</v>
      </c>
      <c r="AG72" s="11">
        <v>23.36</v>
      </c>
      <c r="AH72" s="9">
        <f t="shared" si="22"/>
        <v>0.17226666666666671</v>
      </c>
      <c r="AI72" s="11">
        <f t="shared" si="23"/>
        <v>0.60293333333333343</v>
      </c>
      <c r="AJ72" s="14">
        <v>0.5</v>
      </c>
      <c r="AK72" s="14">
        <v>0.5</v>
      </c>
      <c r="AL72" s="11">
        <v>5.76</v>
      </c>
      <c r="AM72" s="9">
        <f t="shared" si="24"/>
        <v>3.504</v>
      </c>
      <c r="AN72" s="9">
        <f t="shared" si="25"/>
        <v>0.70079999999999998</v>
      </c>
      <c r="AO72" s="9">
        <f t="shared" si="26"/>
        <v>4.6719999999999997</v>
      </c>
      <c r="AP72" s="9">
        <f t="shared" si="27"/>
        <v>0.4672</v>
      </c>
      <c r="AQ72" s="9">
        <f t="shared" si="28"/>
        <v>4.6719999999999997</v>
      </c>
      <c r="AR72" s="9">
        <f t="shared" si="29"/>
        <v>5.84</v>
      </c>
      <c r="AS72" s="11">
        <f t="shared" si="30"/>
        <v>1.722666666666667</v>
      </c>
      <c r="AT72" s="12">
        <f t="shared" si="31"/>
        <v>0.94400000000000028</v>
      </c>
    </row>
    <row r="73" spans="1:46" ht="16.5" x14ac:dyDescent="0.4">
      <c r="A73" s="1" t="s">
        <v>372</v>
      </c>
      <c r="B73" s="7" t="s">
        <v>42</v>
      </c>
      <c r="C73" s="7" t="s">
        <v>42</v>
      </c>
      <c r="D73" s="1" t="s">
        <v>373</v>
      </c>
      <c r="E73" s="1" t="s">
        <v>374</v>
      </c>
      <c r="F73" s="1" t="s">
        <v>375</v>
      </c>
      <c r="G73" s="7" t="str">
        <f>VLOOKUP(A73,[1]done!$A:$I,9,0)</f>
        <v>Rodent</v>
      </c>
      <c r="H73" s="7" t="str" cm="1">
        <f t="array" ref="H73">_xlfn.IFS(
OR(ISNUMBER(SEARCH("mouse",E73)),ISNUMBER(SEARCH("rat",E73)),ISNUMBER(SEARCH("mice",E73)),ISNUMBER(SEARCH("rodent",E73))),"Rodent Control",
OR(ISNUMBER(SEARCH("fly",E73)),ISNUMBER(SEARCH("gnat",E73)),ISNUMBER(SEARCH("insect",E73)),ISNUMBER(SEARCH("mosquito",E73))),"Flying Insect Control",
OR(ISNUMBER(SEARCH("roach",E73)),ISNUMBER(SEARCH("ant",E73)),ISNUMBER(SEARCH("spider",E73)),ISNUMBER(SEARCH("cricket",E73)),ISNUMBER(SEARCH("scorpion",E73)),ISNUMBER(SEARCH("centipede",E73)),ISNUMBER(SEARCH("beetle",E73))),"Crawling Insect Control",
OR(ISNUMBER(SEARCH("tree",E73)),ISNUMBER(SEARCH("lantern",E73)),ISNUMBER(SEARCH("garden",E73)),ISNUMBER(SEARCH("plant",E73))),"Garden Pest Control",
OR(ISNUMBER(SEARCH("grass seed",E73)),ISNUMBER(SEARCH("seed mix",E73))),"Grass Seed",
OR(ISNUMBER(SEARCH("lawn food",E73)),ISNUMBER(SEARCH("fertilizer",E73))),"Lawn Fertilizer",
OR(ISNUMBER(SEARCH("patch",E73)),ISNUMBER(SEARCH("repair",E73)),ISNUMBER(SEARCH("thick'r",E73)),ISNUMBER(SEARCH("thick'r lawn",E73)),ISNUMBER(SEARCH("rapid grass",E73))),"Lawn Repair",
OR(ISNUMBER(SEARCH("weed",E73)),ISNUMBER(SEARCH("crabgrass",E73))),"Weed Control",
OR(ISNUMBER(SEARCH("fungicide",E73)),ISNUMBER(SEARCH("moss",E73))),"Disease &amp; Moss Control",
OR(ISNUMBER(SEARCH("plant food",E73)),ISNUMBER(SEARCH("miracid",E73))),"Plant Nutrition",
OR(ISNUMBER(SEARCH("perlite",E73))),"Soil Amendment",
OR(ISNUMBER(SEARCH("spreader",E73)),ISNUMBER(SEARCH("sprayer",E73)),ISNUMBER(SEARCH("mower",E73)),ISNUMBER(SEARCH("sweeper",E73)),ISNUMBER(SEARCH("pruner",E73)),ISNUMBER(SEARCH("trimmer",E73)),ISNUMBER(SEARCH("pole saw",E73))),"Garden Equipment",
TRUE,"Other"
)</f>
        <v>Rodent Control</v>
      </c>
      <c r="I73" s="7" t="str" cm="1">
        <f t="array" ref="I73">_xlfn.IFS(
OR(ISNUMBER(SEARCH("glue trap",E73)),ISNUMBER(SEARCH("glue board",E73))),"Glue Traps",
OR(ISNUMBER(SEARCH("snap trap",E73)),ISNUMBER(SEARCH("power-kill",E73)),ISNUMBER(SEARCH("wide pedal",E73)),ISNUMBER(SEARCH("metal pedal",E73))),"Snap Traps",
OR(ISNUMBER(SEARCH("electronic",E73)),ISNUMBER(SEARCH("zapper",E73))),"Electronic Traps",
OR(ISNUMBER(SEARCH("live catch",E73)),ISNUMBER(SEARCH("multi-catch",E73)),ISNUMBER(SEARCH("catch &amp; hold",E73)),ISNUMBER(SEARCH("tin cat",E73))),"Live Catch Traps",
OR(ISNUMBER(SEARCH("bait",E73)),ISNUMBER(SEARCH("poison",E73))),"Bait &amp; Poison",
ISNUMBER(SEARCH("repellent",E73)),"Repellents",
OR(ISNUMBER(SEARCH("fly trap",E73)),ISNUMBER(SEARCH("fly ribbon",E73)),ISNUMBER(SEARCH("fly stick",E73)),ISNUMBER(SEARCH("window fly",E73)),ISNUMBER(SEARCH("fly magnet",E73))),"Fly Traps",
OR(ISNUMBER(SEARCH("uv",E73)),ISNUMBER(SEARCH("fly light",E73)),ISNUMBER(SEARCH("plug-in",E73))),"UV Fly Traps",
ISNUMBER(SEARCH("roach",E73)),"Roach Traps",
ISNUMBER(SEARCH("ant",E73)),"Ant Traps",
ISNUMBER(SEARCH("spider",E73)),"Spider Traps",
ISNUMBER(SEARCH("mosquito",E73)),"Mosquito Traps",
ISNUMBER(SEARCH("beetle",E73)),"Beetle Traps",
ISNUMBER(SEARCH("lantern",E73)),"Lanternfly Control",
OR(ISNUMBER(SEARCH("tree shield",E73)),ISNUMBER(SEARCH("tree banding",E73)),ISNUMBER(SEARCH("insect barrier",E73))),"Tree Barriers",
OR(ISNUMBER(SEARCH("sun &amp; shade",E73)),ISNUMBER(SEARCH("sun and shade",E73))),"Sun &amp; Shade Mix",
ISNUMBER(SEARCH("tall fescue",E73)),"Tall Fescue",
ISNUMBER(SEARCH("bermudagrass",E73)),"Bermudagrass",
ISNUMBER(SEARCH("kentucky",E73)),"Kentucky Bluegrass",
ISNUMBER(SEARCH("zoysia",E73)),"Zoysia",
ISNUMBER(SEARCH("ryegrass",E73)),"Perennial Ryegrass",
ISNUMBER(SEARCH("centipede",E73)),"Centipede Grass",
ISNUMBER(SEARCH("dense shade",E73)),"Dense Shade Mix",
ISNUMBER(SEARCH("southern gold",E73)),"Southern Gold Mix",
ISNUMBER(SEARCH("heat-tolerant blue",E73)),"Heat-Tolerant Blue Mix",
ISNUMBER(SEARCH("high traffic",E73)),"High Traffic Mix",
ISNUMBER(SEARCH("quick fix",E73)),"Quick Fix Mix",
ISNUMBER(SEARCH("starter",E73)),"Starter Fertilizer",
ISNUMBER(SEARCH("weed &amp; feed",E73)),"Weed &amp; Feed",
ISNUMBER(SEARCH("lawn food",E73)),"Lawn Food",
ISNUMBER(SEARCH("triple action",E73)),"Triple Action Fertilizer",
ISNUMBER(SEARCH("green max",E73)),"Green Max Lawn Food",
ISNUMBER(SEARCH("patchmaster",E73)),"PatchMaster Repair",
ISNUMBER(SEARCH("ez seed",E73)),"EZ Seed Repair",
ISNUMBER(SEARCH("rapid grass",E73)),"Rapid Grass",
ISNUMBER(SEARCH("thick'r lawn",E73)),"Thick'R Lawn",
ISNUMBER(SEARCH("fungicide",E73)),"Fungicide",
ISNUMBER(SEARCH("moss",E73)),"Moss Control",
ISNUMBER(SEARCH("perlite",E73)),"Perlite",
ISNUMBER(SEARCH("plant food",E73)),"Plant Food",
ISNUMBER(SEARCH("spreader",E73)),"Spreader",
ISNUMBER(SEARCH("sprayer",E73)),"Sprayer",
ISNUMBER(SEARCH("mower",E73)),"Lawn Mower",
ISNUMBER(SEARCH("sweeper",E73)),"Lawn Sweeper",
OR(ISNUMBER(SEARCH("pruner",E73)),ISNUMBER(SEARCH("trimmer",E73)),ISNUMBER(SEARCH("pole saw",E73))),"Pruning Tools",
TRUE,"Other"
)</f>
        <v>Glue Traps</v>
      </c>
      <c r="J73" s="7" t="str">
        <f t="shared" si="18"/>
        <v>Rodent Control - Glue Traps</v>
      </c>
      <c r="K73" s="1">
        <v>100</v>
      </c>
      <c r="L73" s="1">
        <v>4</v>
      </c>
      <c r="M73" s="1">
        <v>340</v>
      </c>
      <c r="N73" s="1" t="s">
        <v>376</v>
      </c>
      <c r="O73" s="1">
        <f>VLOOKUP(A73,[2]Sheet1!$A:$B,2,0)</f>
        <v>300</v>
      </c>
      <c r="P73" s="1">
        <f>VLOOKUP(A73,[2]Sheet1!$A:$C,3,0)</f>
        <v>200</v>
      </c>
      <c r="Q73" s="7">
        <f>VLOOKUP(A73,[2]Sheet1!$A:$D,4,0)</f>
        <v>100</v>
      </c>
      <c r="R73" s="7">
        <f>VLOOKUP(A73,[2]Sheet1!$A:$E,5,0)</f>
        <v>50</v>
      </c>
      <c r="S73" s="7">
        <f>VLOOKUP(A73,[2]Sheet1!$A:$F,6,0)</f>
        <v>0</v>
      </c>
      <c r="T73" s="7">
        <f>VLOOKUP(A73,[2]Sheet1!$A:$G,7,0)</f>
        <v>0</v>
      </c>
      <c r="U73" s="7">
        <f>VLOOKUP(A73,[2]Sheet1!$A:$H,8,0)</f>
        <v>50</v>
      </c>
      <c r="V73" s="7">
        <f>VLOOKUP(A73,[2]Sheet1!$A:$I,9,0)</f>
        <v>100</v>
      </c>
      <c r="W73" s="7">
        <f>VLOOKUP(A73,[2]Sheet1!$A:$K,10,0)</f>
        <v>100</v>
      </c>
      <c r="X73" s="7">
        <f>VLOOKUP(A73,[2]Sheet1!$A:$L,11,0)</f>
        <v>100</v>
      </c>
      <c r="Y73" s="7">
        <f>VLOOKUP(A73,[2]Sheet1!$A:$L,12,0)</f>
        <v>300</v>
      </c>
      <c r="Z73" s="7">
        <f>VLOOKUP(A73,[2]Sheet1!$A:$M,13,0)</f>
        <v>300</v>
      </c>
      <c r="AA73" s="1">
        <f t="shared" si="16"/>
        <v>1600</v>
      </c>
      <c r="AB73" s="7">
        <f t="shared" si="19"/>
        <v>133</v>
      </c>
      <c r="AC73" s="13">
        <f t="shared" si="17"/>
        <v>133.33333333333334</v>
      </c>
      <c r="AD73" s="9">
        <f t="shared" si="20"/>
        <v>19184</v>
      </c>
      <c r="AE73" s="9">
        <f t="shared" si="21"/>
        <v>1598.6666666666667</v>
      </c>
      <c r="AF73" s="11">
        <v>4.09</v>
      </c>
      <c r="AG73" s="11">
        <v>11.99</v>
      </c>
      <c r="AH73" s="9">
        <f t="shared" si="22"/>
        <v>-1.9600000000000006E-2</v>
      </c>
      <c r="AI73" s="11">
        <f t="shared" si="23"/>
        <v>-6.8600000000000008E-2</v>
      </c>
      <c r="AJ73" s="14">
        <v>0.5</v>
      </c>
      <c r="AK73" s="14">
        <v>0.5</v>
      </c>
      <c r="AL73" s="11">
        <v>4.09</v>
      </c>
      <c r="AM73" s="9">
        <f t="shared" si="24"/>
        <v>1.7985</v>
      </c>
      <c r="AN73" s="9">
        <f t="shared" si="25"/>
        <v>0.35970000000000002</v>
      </c>
      <c r="AO73" s="9">
        <f t="shared" si="26"/>
        <v>2.3980000000000001</v>
      </c>
      <c r="AP73" s="9">
        <f t="shared" si="27"/>
        <v>0.23980000000000001</v>
      </c>
      <c r="AQ73" s="9">
        <f t="shared" si="28"/>
        <v>2.3980000000000001</v>
      </c>
      <c r="AR73" s="9">
        <f t="shared" si="29"/>
        <v>2.9975000000000001</v>
      </c>
      <c r="AS73" s="11">
        <f t="shared" si="30"/>
        <v>-0.19600000000000004</v>
      </c>
      <c r="AT73" s="12">
        <f t="shared" si="31"/>
        <v>-0.59566666666666668</v>
      </c>
    </row>
    <row r="74" spans="1:46" ht="16.5" x14ac:dyDescent="0.4">
      <c r="A74" s="1" t="s">
        <v>377</v>
      </c>
      <c r="B74" s="7" t="s">
        <v>42</v>
      </c>
      <c r="C74" s="7" t="s">
        <v>1781</v>
      </c>
      <c r="D74" s="1" t="s">
        <v>378</v>
      </c>
      <c r="E74" s="1" t="s">
        <v>379</v>
      </c>
      <c r="F74" s="1" t="s">
        <v>380</v>
      </c>
      <c r="G74" s="7" t="str">
        <f>VLOOKUP(A74,[1]done!$A:$I,9,0)</f>
        <v>Mosquito/Fly</v>
      </c>
      <c r="H74" s="7" t="str" cm="1">
        <f t="array" ref="H74">_xlfn.IFS(
OR(ISNUMBER(SEARCH("mouse",E74)),ISNUMBER(SEARCH("rat",E74)),ISNUMBER(SEARCH("mice",E74)),ISNUMBER(SEARCH("rodent",E74))),"Rodent Control",
OR(ISNUMBER(SEARCH("fly",E74)),ISNUMBER(SEARCH("gnat",E74)),ISNUMBER(SEARCH("insect",E74)),ISNUMBER(SEARCH("mosquito",E74))),"Flying Insect Control",
OR(ISNUMBER(SEARCH("roach",E74)),ISNUMBER(SEARCH("ant",E74)),ISNUMBER(SEARCH("spider",E74)),ISNUMBER(SEARCH("cricket",E74)),ISNUMBER(SEARCH("scorpion",E74)),ISNUMBER(SEARCH("centipede",E74)),ISNUMBER(SEARCH("beetle",E74))),"Crawling Insect Control",
OR(ISNUMBER(SEARCH("tree",E74)),ISNUMBER(SEARCH("lantern",E74)),ISNUMBER(SEARCH("garden",E74)),ISNUMBER(SEARCH("plant",E74))),"Garden Pest Control",
OR(ISNUMBER(SEARCH("grass seed",E74)),ISNUMBER(SEARCH("seed mix",E74))),"Grass Seed",
OR(ISNUMBER(SEARCH("lawn food",E74)),ISNUMBER(SEARCH("fertilizer",E74))),"Lawn Fertilizer",
OR(ISNUMBER(SEARCH("patch",E74)),ISNUMBER(SEARCH("repair",E74)),ISNUMBER(SEARCH("thick'r",E74)),ISNUMBER(SEARCH("thick'r lawn",E74)),ISNUMBER(SEARCH("rapid grass",E74))),"Lawn Repair",
OR(ISNUMBER(SEARCH("weed",E74)),ISNUMBER(SEARCH("crabgrass",E74))),"Weed Control",
OR(ISNUMBER(SEARCH("fungicide",E74)),ISNUMBER(SEARCH("moss",E74))),"Disease &amp; Moss Control",
OR(ISNUMBER(SEARCH("plant food",E74)),ISNUMBER(SEARCH("miracid",E74))),"Plant Nutrition",
OR(ISNUMBER(SEARCH("perlite",E74))),"Soil Amendment",
OR(ISNUMBER(SEARCH("spreader",E74)),ISNUMBER(SEARCH("sprayer",E74)),ISNUMBER(SEARCH("mower",E74)),ISNUMBER(SEARCH("sweeper",E74)),ISNUMBER(SEARCH("pruner",E74)),ISNUMBER(SEARCH("trimmer",E74)),ISNUMBER(SEARCH("pole saw",E74))),"Garden Equipment",
TRUE,"Other"
)</f>
        <v>Rodent Control</v>
      </c>
      <c r="I74" s="7" t="str" cm="1">
        <f t="array" ref="I74">_xlfn.IFS(
OR(ISNUMBER(SEARCH("glue trap",E74)),ISNUMBER(SEARCH("glue board",E74))),"Glue Traps",
OR(ISNUMBER(SEARCH("snap trap",E74)),ISNUMBER(SEARCH("power-kill",E74)),ISNUMBER(SEARCH("wide pedal",E74)),ISNUMBER(SEARCH("metal pedal",E74))),"Snap Traps",
OR(ISNUMBER(SEARCH("electronic",E74)),ISNUMBER(SEARCH("zapper",E74))),"Electronic Traps",
OR(ISNUMBER(SEARCH("live catch",E74)),ISNUMBER(SEARCH("multi-catch",E74)),ISNUMBER(SEARCH("catch &amp; hold",E74)),ISNUMBER(SEARCH("tin cat",E74))),"Live Catch Traps",
OR(ISNUMBER(SEARCH("bait",E74)),ISNUMBER(SEARCH("poison",E74))),"Bait &amp; Poison",
ISNUMBER(SEARCH("repellent",E74)),"Repellents",
OR(ISNUMBER(SEARCH("fly trap",E74)),ISNUMBER(SEARCH("fly ribbon",E74)),ISNUMBER(SEARCH("fly stick",E74)),ISNUMBER(SEARCH("window fly",E74)),ISNUMBER(SEARCH("fly magnet",E74))),"Fly Traps",
OR(ISNUMBER(SEARCH("uv",E74)),ISNUMBER(SEARCH("fly light",E74)),ISNUMBER(SEARCH("plug-in",E74))),"UV Fly Traps",
ISNUMBER(SEARCH("roach",E74)),"Roach Traps",
ISNUMBER(SEARCH("ant",E74)),"Ant Traps",
ISNUMBER(SEARCH("spider",E74)),"Spider Traps",
ISNUMBER(SEARCH("mosquito",E74)),"Mosquito Traps",
ISNUMBER(SEARCH("beetle",E74)),"Beetle Traps",
ISNUMBER(SEARCH("lantern",E74)),"Lanternfly Control",
OR(ISNUMBER(SEARCH("tree shield",E74)),ISNUMBER(SEARCH("tree banding",E74)),ISNUMBER(SEARCH("insect barrier",E74))),"Tree Barriers",
OR(ISNUMBER(SEARCH("sun &amp; shade",E74)),ISNUMBER(SEARCH("sun and shade",E74))),"Sun &amp; Shade Mix",
ISNUMBER(SEARCH("tall fescue",E74)),"Tall Fescue",
ISNUMBER(SEARCH("bermudagrass",E74)),"Bermudagrass",
ISNUMBER(SEARCH("kentucky",E74)),"Kentucky Bluegrass",
ISNUMBER(SEARCH("zoysia",E74)),"Zoysia",
ISNUMBER(SEARCH("ryegrass",E74)),"Perennial Ryegrass",
ISNUMBER(SEARCH("centipede",E74)),"Centipede Grass",
ISNUMBER(SEARCH("dense shade",E74)),"Dense Shade Mix",
ISNUMBER(SEARCH("southern gold",E74)),"Southern Gold Mix",
ISNUMBER(SEARCH("heat-tolerant blue",E74)),"Heat-Tolerant Blue Mix",
ISNUMBER(SEARCH("high traffic",E74)),"High Traffic Mix",
ISNUMBER(SEARCH("quick fix",E74)),"Quick Fix Mix",
ISNUMBER(SEARCH("starter",E74)),"Starter Fertilizer",
ISNUMBER(SEARCH("weed &amp; feed",E74)),"Weed &amp; Feed",
ISNUMBER(SEARCH("lawn food",E74)),"Lawn Food",
ISNUMBER(SEARCH("triple action",E74)),"Triple Action Fertilizer",
ISNUMBER(SEARCH("green max",E74)),"Green Max Lawn Food",
ISNUMBER(SEARCH("patchmaster",E74)),"PatchMaster Repair",
ISNUMBER(SEARCH("ez seed",E74)),"EZ Seed Repair",
ISNUMBER(SEARCH("rapid grass",E74)),"Rapid Grass",
ISNUMBER(SEARCH("thick'r lawn",E74)),"Thick'R Lawn",
ISNUMBER(SEARCH("fungicide",E74)),"Fungicide",
ISNUMBER(SEARCH("moss",E74)),"Moss Control",
ISNUMBER(SEARCH("perlite",E74)),"Perlite",
ISNUMBER(SEARCH("plant food",E74)),"Plant Food",
ISNUMBER(SEARCH("spreader",E74)),"Spreader",
ISNUMBER(SEARCH("sprayer",E74)),"Sprayer",
ISNUMBER(SEARCH("mower",E74)),"Lawn Mower",
ISNUMBER(SEARCH("sweeper",E74)),"Lawn Sweeper",
OR(ISNUMBER(SEARCH("pruner",E74)),ISNUMBER(SEARCH("trimmer",E74)),ISNUMBER(SEARCH("pole saw",E74))),"Pruning Tools",
TRUE,"Other"
)</f>
        <v>Glue Traps</v>
      </c>
      <c r="J74" s="7" t="str">
        <f t="shared" si="18"/>
        <v>Rodent Control - Glue Traps</v>
      </c>
      <c r="K74" s="1">
        <v>100</v>
      </c>
      <c r="L74" s="1">
        <v>3.2</v>
      </c>
      <c r="M74" s="1">
        <v>43</v>
      </c>
      <c r="N74" s="1" t="s">
        <v>381</v>
      </c>
      <c r="O74" s="1">
        <f>VLOOKUP(A74,[2]Sheet1!$A:$B,2,0)</f>
        <v>0</v>
      </c>
      <c r="P74" s="1">
        <f>VLOOKUP(A74,[2]Sheet1!$A:$C,3,0)</f>
        <v>0</v>
      </c>
      <c r="Q74" s="7">
        <f>VLOOKUP(A74,[2]Sheet1!$A:$D,4,0)</f>
        <v>0</v>
      </c>
      <c r="R74" s="7">
        <f>VLOOKUP(A74,[2]Sheet1!$A:$E,5,0)</f>
        <v>0</v>
      </c>
      <c r="S74" s="7">
        <f>VLOOKUP(A74,[2]Sheet1!$A:$F,6,0)</f>
        <v>0</v>
      </c>
      <c r="T74" s="7">
        <f>VLOOKUP(A74,[2]Sheet1!$A:$G,7,0)</f>
        <v>100</v>
      </c>
      <c r="U74" s="7">
        <f>VLOOKUP(A74,[2]Sheet1!$A:$H,8,0)</f>
        <v>200</v>
      </c>
      <c r="V74" s="7">
        <f>VLOOKUP(A74,[2]Sheet1!$A:$I,9,0)</f>
        <v>300</v>
      </c>
      <c r="W74" s="7">
        <f>VLOOKUP(A74,[2]Sheet1!$A:$K,10,0)</f>
        <v>100</v>
      </c>
      <c r="X74" s="7">
        <f>VLOOKUP(A74,[2]Sheet1!$A:$L,11,0)</f>
        <v>0</v>
      </c>
      <c r="Y74" s="7">
        <f>VLOOKUP(A74,[2]Sheet1!$A:$L,12,0)</f>
        <v>0</v>
      </c>
      <c r="Z74" s="7">
        <f>VLOOKUP(A74,[2]Sheet1!$A:$M,13,0)</f>
        <v>0</v>
      </c>
      <c r="AA74" s="1">
        <f t="shared" si="16"/>
        <v>700</v>
      </c>
      <c r="AB74" s="7">
        <f t="shared" si="19"/>
        <v>58</v>
      </c>
      <c r="AC74" s="13">
        <f t="shared" si="17"/>
        <v>58.333333333333336</v>
      </c>
      <c r="AD74" s="9">
        <f t="shared" si="20"/>
        <v>10493</v>
      </c>
      <c r="AE74" s="9">
        <f t="shared" si="21"/>
        <v>874.41666666666674</v>
      </c>
      <c r="AF74" s="11">
        <v>3.54</v>
      </c>
      <c r="AG74" s="11">
        <v>14.99</v>
      </c>
      <c r="AH74" s="9">
        <f t="shared" si="22"/>
        <v>9.7066666666666634E-2</v>
      </c>
      <c r="AI74" s="11">
        <f t="shared" si="23"/>
        <v>0.33973333333333322</v>
      </c>
      <c r="AJ74" s="14">
        <v>0.5</v>
      </c>
      <c r="AK74" s="14">
        <v>0.5</v>
      </c>
      <c r="AL74" s="11">
        <v>3.54</v>
      </c>
      <c r="AM74" s="9">
        <f t="shared" si="24"/>
        <v>2.2484999999999999</v>
      </c>
      <c r="AN74" s="9">
        <f t="shared" si="25"/>
        <v>0.44969999999999999</v>
      </c>
      <c r="AO74" s="9">
        <f t="shared" si="26"/>
        <v>2.9980000000000002</v>
      </c>
      <c r="AP74" s="9">
        <f t="shared" si="27"/>
        <v>0.29980000000000001</v>
      </c>
      <c r="AQ74" s="9">
        <f t="shared" si="28"/>
        <v>2.9980000000000002</v>
      </c>
      <c r="AR74" s="9">
        <f t="shared" si="29"/>
        <v>3.7475000000000001</v>
      </c>
      <c r="AS74" s="11">
        <f t="shared" si="30"/>
        <v>0.97066666666666634</v>
      </c>
      <c r="AT74" s="12">
        <f t="shared" si="31"/>
        <v>0.47099999999999981</v>
      </c>
    </row>
    <row r="75" spans="1:46" ht="16.5" x14ac:dyDescent="0.4">
      <c r="A75" s="1" t="s">
        <v>382</v>
      </c>
      <c r="B75" s="7" t="s">
        <v>42</v>
      </c>
      <c r="C75" s="7" t="s">
        <v>42</v>
      </c>
      <c r="D75" s="1" t="s">
        <v>383</v>
      </c>
      <c r="E75" s="1" t="s">
        <v>384</v>
      </c>
      <c r="F75" s="1" t="s">
        <v>385</v>
      </c>
      <c r="G75" s="7" t="str">
        <f>VLOOKUP(A75,[1]done!$A:$I,9,0)</f>
        <v>Other crawling insects</v>
      </c>
      <c r="H75" s="7" t="str" cm="1">
        <f t="array" ref="H75">_xlfn.IFS(
OR(ISNUMBER(SEARCH("mouse",E75)),ISNUMBER(SEARCH("rat",E75)),ISNUMBER(SEARCH("mice",E75)),ISNUMBER(SEARCH("rodent",E75))),"Rodent Control",
OR(ISNUMBER(SEARCH("fly",E75)),ISNUMBER(SEARCH("gnat",E75)),ISNUMBER(SEARCH("insect",E75)),ISNUMBER(SEARCH("mosquito",E75))),"Flying Insect Control",
OR(ISNUMBER(SEARCH("roach",E75)),ISNUMBER(SEARCH("ant",E75)),ISNUMBER(SEARCH("spider",E75)),ISNUMBER(SEARCH("cricket",E75)),ISNUMBER(SEARCH("scorpion",E75)),ISNUMBER(SEARCH("centipede",E75)),ISNUMBER(SEARCH("beetle",E75))),"Crawling Insect Control",
OR(ISNUMBER(SEARCH("tree",E75)),ISNUMBER(SEARCH("lantern",E75)),ISNUMBER(SEARCH("garden",E75)),ISNUMBER(SEARCH("plant",E75))),"Garden Pest Control",
OR(ISNUMBER(SEARCH("grass seed",E75)),ISNUMBER(SEARCH("seed mix",E75))),"Grass Seed",
OR(ISNUMBER(SEARCH("lawn food",E75)),ISNUMBER(SEARCH("fertilizer",E75))),"Lawn Fertilizer",
OR(ISNUMBER(SEARCH("patch",E75)),ISNUMBER(SEARCH("repair",E75)),ISNUMBER(SEARCH("thick'r",E75)),ISNUMBER(SEARCH("thick'r lawn",E75)),ISNUMBER(SEARCH("rapid grass",E75))),"Lawn Repair",
OR(ISNUMBER(SEARCH("weed",E75)),ISNUMBER(SEARCH("crabgrass",E75))),"Weed Control",
OR(ISNUMBER(SEARCH("fungicide",E75)),ISNUMBER(SEARCH("moss",E75))),"Disease &amp; Moss Control",
OR(ISNUMBER(SEARCH("plant food",E75)),ISNUMBER(SEARCH("miracid",E75))),"Plant Nutrition",
OR(ISNUMBER(SEARCH("perlite",E75))),"Soil Amendment",
OR(ISNUMBER(SEARCH("spreader",E75)),ISNUMBER(SEARCH("sprayer",E75)),ISNUMBER(SEARCH("mower",E75)),ISNUMBER(SEARCH("sweeper",E75)),ISNUMBER(SEARCH("pruner",E75)),ISNUMBER(SEARCH("trimmer",E75)),ISNUMBER(SEARCH("pole saw",E75))),"Garden Equipment",
TRUE,"Other"
)</f>
        <v>Crawling Insect Control</v>
      </c>
      <c r="I75" s="7" t="str" cm="1">
        <f t="array" ref="I75">_xlfn.IFS(
OR(ISNUMBER(SEARCH("glue trap",E75)),ISNUMBER(SEARCH("glue board",E75))),"Glue Traps",
OR(ISNUMBER(SEARCH("snap trap",E75)),ISNUMBER(SEARCH("power-kill",E75)),ISNUMBER(SEARCH("wide pedal",E75)),ISNUMBER(SEARCH("metal pedal",E75))),"Snap Traps",
OR(ISNUMBER(SEARCH("electronic",E75)),ISNUMBER(SEARCH("zapper",E75))),"Electronic Traps",
OR(ISNUMBER(SEARCH("live catch",E75)),ISNUMBER(SEARCH("multi-catch",E75)),ISNUMBER(SEARCH("catch &amp; hold",E75)),ISNUMBER(SEARCH("tin cat",E75))),"Live Catch Traps",
OR(ISNUMBER(SEARCH("bait",E75)),ISNUMBER(SEARCH("poison",E75))),"Bait &amp; Poison",
ISNUMBER(SEARCH("repellent",E75)),"Repellents",
OR(ISNUMBER(SEARCH("fly trap",E75)),ISNUMBER(SEARCH("fly ribbon",E75)),ISNUMBER(SEARCH("fly stick",E75)),ISNUMBER(SEARCH("window fly",E75)),ISNUMBER(SEARCH("fly magnet",E75))),"Fly Traps",
OR(ISNUMBER(SEARCH("uv",E75)),ISNUMBER(SEARCH("fly light",E75)),ISNUMBER(SEARCH("plug-in",E75))),"UV Fly Traps",
ISNUMBER(SEARCH("roach",E75)),"Roach Traps",
ISNUMBER(SEARCH("ant",E75)),"Ant Traps",
ISNUMBER(SEARCH("spider",E75)),"Spider Traps",
ISNUMBER(SEARCH("mosquito",E75)),"Mosquito Traps",
ISNUMBER(SEARCH("beetle",E75)),"Beetle Traps",
ISNUMBER(SEARCH("lantern",E75)),"Lanternfly Control",
OR(ISNUMBER(SEARCH("tree shield",E75)),ISNUMBER(SEARCH("tree banding",E75)),ISNUMBER(SEARCH("insect barrier",E75))),"Tree Barriers",
OR(ISNUMBER(SEARCH("sun &amp; shade",E75)),ISNUMBER(SEARCH("sun and shade",E75))),"Sun &amp; Shade Mix",
ISNUMBER(SEARCH("tall fescue",E75)),"Tall Fescue",
ISNUMBER(SEARCH("bermudagrass",E75)),"Bermudagrass",
ISNUMBER(SEARCH("kentucky",E75)),"Kentucky Bluegrass",
ISNUMBER(SEARCH("zoysia",E75)),"Zoysia",
ISNUMBER(SEARCH("ryegrass",E75)),"Perennial Ryegrass",
ISNUMBER(SEARCH("centipede",E75)),"Centipede Grass",
ISNUMBER(SEARCH("dense shade",E75)),"Dense Shade Mix",
ISNUMBER(SEARCH("southern gold",E75)),"Southern Gold Mix",
ISNUMBER(SEARCH("heat-tolerant blue",E75)),"Heat-Tolerant Blue Mix",
ISNUMBER(SEARCH("high traffic",E75)),"High Traffic Mix",
ISNUMBER(SEARCH("quick fix",E75)),"Quick Fix Mix",
ISNUMBER(SEARCH("starter",E75)),"Starter Fertilizer",
ISNUMBER(SEARCH("weed &amp; feed",E75)),"Weed &amp; Feed",
ISNUMBER(SEARCH("lawn food",E75)),"Lawn Food",
ISNUMBER(SEARCH("triple action",E75)),"Triple Action Fertilizer",
ISNUMBER(SEARCH("green max",E75)),"Green Max Lawn Food",
ISNUMBER(SEARCH("patchmaster",E75)),"PatchMaster Repair",
ISNUMBER(SEARCH("ez seed",E75)),"EZ Seed Repair",
ISNUMBER(SEARCH("rapid grass",E75)),"Rapid Grass",
ISNUMBER(SEARCH("thick'r lawn",E75)),"Thick'R Lawn",
ISNUMBER(SEARCH("fungicide",E75)),"Fungicide",
ISNUMBER(SEARCH("moss",E75)),"Moss Control",
ISNUMBER(SEARCH("perlite",E75)),"Perlite",
ISNUMBER(SEARCH("plant food",E75)),"Plant Food",
ISNUMBER(SEARCH("spreader",E75)),"Spreader",
ISNUMBER(SEARCH("sprayer",E75)),"Sprayer",
ISNUMBER(SEARCH("mower",E75)),"Lawn Mower",
ISNUMBER(SEARCH("sweeper",E75)),"Lawn Sweeper",
OR(ISNUMBER(SEARCH("pruner",E75)),ISNUMBER(SEARCH("trimmer",E75)),ISNUMBER(SEARCH("pole saw",E75))),"Pruning Tools",
TRUE,"Other"
)</f>
        <v>Bait &amp; Poison</v>
      </c>
      <c r="J75" s="7" t="str">
        <f t="shared" si="18"/>
        <v>Crawling Insect Control - Bait &amp; Poison</v>
      </c>
      <c r="K75" s="1">
        <v>100</v>
      </c>
      <c r="L75" s="1">
        <v>4.2</v>
      </c>
      <c r="M75" s="1">
        <v>51</v>
      </c>
      <c r="N75" s="1"/>
      <c r="O75" s="1">
        <f>VLOOKUP(A75,[2]Sheet1!$A:$B,2,0)</f>
        <v>50</v>
      </c>
      <c r="P75" s="1">
        <f>VLOOKUP(A75,[2]Sheet1!$A:$C,3,0)</f>
        <v>50</v>
      </c>
      <c r="Q75" s="7">
        <f>VLOOKUP(A75,[2]Sheet1!$A:$D,4,0)</f>
        <v>100</v>
      </c>
      <c r="R75" s="7">
        <f>VLOOKUP(A75,[2]Sheet1!$A:$E,5,0)</f>
        <v>100</v>
      </c>
      <c r="S75" s="7">
        <f>VLOOKUP(A75,[2]Sheet1!$A:$F,6,0)</f>
        <v>100</v>
      </c>
      <c r="T75" s="7">
        <f>VLOOKUP(A75,[2]Sheet1!$A:$G,7,0)</f>
        <v>100</v>
      </c>
      <c r="U75" s="7">
        <f>VLOOKUP(A75,[2]Sheet1!$A:$H,8,0)</f>
        <v>100</v>
      </c>
      <c r="V75" s="7">
        <f>VLOOKUP(A75,[2]Sheet1!$A:$I,9,0)</f>
        <v>100</v>
      </c>
      <c r="W75" s="7">
        <f>VLOOKUP(A75,[2]Sheet1!$A:$K,10,0)</f>
        <v>100</v>
      </c>
      <c r="X75" s="7">
        <f>VLOOKUP(A75,[2]Sheet1!$A:$L,11,0)</f>
        <v>50</v>
      </c>
      <c r="Y75" s="7">
        <f>VLOOKUP(A75,[2]Sheet1!$A:$L,12,0)</f>
        <v>50</v>
      </c>
      <c r="Z75" s="7">
        <f>VLOOKUP(A75,[2]Sheet1!$A:$M,13,0)</f>
        <v>50</v>
      </c>
      <c r="AA75" s="1">
        <f t="shared" si="16"/>
        <v>950</v>
      </c>
      <c r="AB75" s="7">
        <f t="shared" si="19"/>
        <v>79</v>
      </c>
      <c r="AC75" s="13">
        <f t="shared" si="17"/>
        <v>79.166666666666671</v>
      </c>
      <c r="AD75" s="9">
        <f t="shared" si="20"/>
        <v>13290.5</v>
      </c>
      <c r="AE75" s="9">
        <f t="shared" si="21"/>
        <v>1107.5416666666667</v>
      </c>
      <c r="AF75" s="11">
        <v>3.86</v>
      </c>
      <c r="AG75" s="11">
        <v>13.99</v>
      </c>
      <c r="AH75" s="9">
        <f t="shared" si="22"/>
        <v>4.9066666666666682E-2</v>
      </c>
      <c r="AI75" s="11">
        <f t="shared" si="23"/>
        <v>0.17173333333333338</v>
      </c>
      <c r="AJ75" s="14">
        <v>0.5</v>
      </c>
      <c r="AK75" s="14">
        <v>0.5</v>
      </c>
      <c r="AL75" s="11">
        <v>3.86</v>
      </c>
      <c r="AM75" s="9">
        <f t="shared" si="24"/>
        <v>2.0985</v>
      </c>
      <c r="AN75" s="9">
        <f t="shared" si="25"/>
        <v>0.41970000000000002</v>
      </c>
      <c r="AO75" s="9">
        <f t="shared" si="26"/>
        <v>2.798</v>
      </c>
      <c r="AP75" s="9">
        <f t="shared" si="27"/>
        <v>0.27979999999999999</v>
      </c>
      <c r="AQ75" s="9">
        <f t="shared" si="28"/>
        <v>2.798</v>
      </c>
      <c r="AR75" s="9">
        <f t="shared" si="29"/>
        <v>3.4975000000000001</v>
      </c>
      <c r="AS75" s="11">
        <f t="shared" si="30"/>
        <v>0.49066666666666681</v>
      </c>
      <c r="AT75" s="12">
        <f t="shared" si="31"/>
        <v>2.4333333333333467E-2</v>
      </c>
    </row>
    <row r="76" spans="1:46" ht="16.5" x14ac:dyDescent="0.4">
      <c r="A76" s="1" t="s">
        <v>386</v>
      </c>
      <c r="B76" s="7" t="s">
        <v>42</v>
      </c>
      <c r="C76" s="7" t="s">
        <v>1780</v>
      </c>
      <c r="D76" s="1" t="s">
        <v>387</v>
      </c>
      <c r="E76" s="1" t="s">
        <v>388</v>
      </c>
      <c r="F76" s="1" t="s">
        <v>389</v>
      </c>
      <c r="G76" s="7" t="str">
        <f>VLOOKUP(A76,[1]done!$A:$I,9,0)</f>
        <v>Other crawling insects</v>
      </c>
      <c r="H76" s="7" t="str" cm="1">
        <f t="array" ref="H76">_xlfn.IFS(
OR(ISNUMBER(SEARCH("mouse",E76)),ISNUMBER(SEARCH("rat",E76)),ISNUMBER(SEARCH("mice",E76)),ISNUMBER(SEARCH("rodent",E76))),"Rodent Control",
OR(ISNUMBER(SEARCH("fly",E76)),ISNUMBER(SEARCH("gnat",E76)),ISNUMBER(SEARCH("insect",E76)),ISNUMBER(SEARCH("mosquito",E76))),"Flying Insect Control",
OR(ISNUMBER(SEARCH("roach",E76)),ISNUMBER(SEARCH("ant",E76)),ISNUMBER(SEARCH("spider",E76)),ISNUMBER(SEARCH("cricket",E76)),ISNUMBER(SEARCH("scorpion",E76)),ISNUMBER(SEARCH("centipede",E76)),ISNUMBER(SEARCH("beetle",E76))),"Crawling Insect Control",
OR(ISNUMBER(SEARCH("tree",E76)),ISNUMBER(SEARCH("lantern",E76)),ISNUMBER(SEARCH("garden",E76)),ISNUMBER(SEARCH("plant",E76))),"Garden Pest Control",
OR(ISNUMBER(SEARCH("grass seed",E76)),ISNUMBER(SEARCH("seed mix",E76))),"Grass Seed",
OR(ISNUMBER(SEARCH("lawn food",E76)),ISNUMBER(SEARCH("fertilizer",E76))),"Lawn Fertilizer",
OR(ISNUMBER(SEARCH("patch",E76)),ISNUMBER(SEARCH("repair",E76)),ISNUMBER(SEARCH("thick'r",E76)),ISNUMBER(SEARCH("thick'r lawn",E76)),ISNUMBER(SEARCH("rapid grass",E76))),"Lawn Repair",
OR(ISNUMBER(SEARCH("weed",E76)),ISNUMBER(SEARCH("crabgrass",E76))),"Weed Control",
OR(ISNUMBER(SEARCH("fungicide",E76)),ISNUMBER(SEARCH("moss",E76))),"Disease &amp; Moss Control",
OR(ISNUMBER(SEARCH("plant food",E76)),ISNUMBER(SEARCH("miracid",E76))),"Plant Nutrition",
OR(ISNUMBER(SEARCH("perlite",E76))),"Soil Amendment",
OR(ISNUMBER(SEARCH("spreader",E76)),ISNUMBER(SEARCH("sprayer",E76)),ISNUMBER(SEARCH("mower",E76)),ISNUMBER(SEARCH("sweeper",E76)),ISNUMBER(SEARCH("pruner",E76)),ISNUMBER(SEARCH("trimmer",E76)),ISNUMBER(SEARCH("pole saw",E76))),"Garden Equipment",
TRUE,"Other"
)</f>
        <v>Crawling Insect Control</v>
      </c>
      <c r="I76" s="7" t="str" cm="1">
        <f t="array" ref="I76">_xlfn.IFS(
OR(ISNUMBER(SEARCH("glue trap",E76)),ISNUMBER(SEARCH("glue board",E76))),"Glue Traps",
OR(ISNUMBER(SEARCH("snap trap",E76)),ISNUMBER(SEARCH("power-kill",E76)),ISNUMBER(SEARCH("wide pedal",E76)),ISNUMBER(SEARCH("metal pedal",E76))),"Snap Traps",
OR(ISNUMBER(SEARCH("electronic",E76)),ISNUMBER(SEARCH("zapper",E76))),"Electronic Traps",
OR(ISNUMBER(SEARCH("live catch",E76)),ISNUMBER(SEARCH("multi-catch",E76)),ISNUMBER(SEARCH("catch &amp; hold",E76)),ISNUMBER(SEARCH("tin cat",E76))),"Live Catch Traps",
OR(ISNUMBER(SEARCH("bait",E76)),ISNUMBER(SEARCH("poison",E76))),"Bait &amp; Poison",
ISNUMBER(SEARCH("repellent",E76)),"Repellents",
OR(ISNUMBER(SEARCH("fly trap",E76)),ISNUMBER(SEARCH("fly ribbon",E76)),ISNUMBER(SEARCH("fly stick",E76)),ISNUMBER(SEARCH("window fly",E76)),ISNUMBER(SEARCH("fly magnet",E76))),"Fly Traps",
OR(ISNUMBER(SEARCH("uv",E76)),ISNUMBER(SEARCH("fly light",E76)),ISNUMBER(SEARCH("plug-in",E76))),"UV Fly Traps",
ISNUMBER(SEARCH("roach",E76)),"Roach Traps",
ISNUMBER(SEARCH("ant",E76)),"Ant Traps",
ISNUMBER(SEARCH("spider",E76)),"Spider Traps",
ISNUMBER(SEARCH("mosquito",E76)),"Mosquito Traps",
ISNUMBER(SEARCH("beetle",E76)),"Beetle Traps",
ISNUMBER(SEARCH("lantern",E76)),"Lanternfly Control",
OR(ISNUMBER(SEARCH("tree shield",E76)),ISNUMBER(SEARCH("tree banding",E76)),ISNUMBER(SEARCH("insect barrier",E76))),"Tree Barriers",
OR(ISNUMBER(SEARCH("sun &amp; shade",E76)),ISNUMBER(SEARCH("sun and shade",E76))),"Sun &amp; Shade Mix",
ISNUMBER(SEARCH("tall fescue",E76)),"Tall Fescue",
ISNUMBER(SEARCH("bermudagrass",E76)),"Bermudagrass",
ISNUMBER(SEARCH("kentucky",E76)),"Kentucky Bluegrass",
ISNUMBER(SEARCH("zoysia",E76)),"Zoysia",
ISNUMBER(SEARCH("ryegrass",E76)),"Perennial Ryegrass",
ISNUMBER(SEARCH("centipede",E76)),"Centipede Grass",
ISNUMBER(SEARCH("dense shade",E76)),"Dense Shade Mix",
ISNUMBER(SEARCH("southern gold",E76)),"Southern Gold Mix",
ISNUMBER(SEARCH("heat-tolerant blue",E76)),"Heat-Tolerant Blue Mix",
ISNUMBER(SEARCH("high traffic",E76)),"High Traffic Mix",
ISNUMBER(SEARCH("quick fix",E76)),"Quick Fix Mix",
ISNUMBER(SEARCH("starter",E76)),"Starter Fertilizer",
ISNUMBER(SEARCH("weed &amp; feed",E76)),"Weed &amp; Feed",
ISNUMBER(SEARCH("lawn food",E76)),"Lawn Food",
ISNUMBER(SEARCH("triple action",E76)),"Triple Action Fertilizer",
ISNUMBER(SEARCH("green max",E76)),"Green Max Lawn Food",
ISNUMBER(SEARCH("patchmaster",E76)),"PatchMaster Repair",
ISNUMBER(SEARCH("ez seed",E76)),"EZ Seed Repair",
ISNUMBER(SEARCH("rapid grass",E76)),"Rapid Grass",
ISNUMBER(SEARCH("thick'r lawn",E76)),"Thick'R Lawn",
ISNUMBER(SEARCH("fungicide",E76)),"Fungicide",
ISNUMBER(SEARCH("moss",E76)),"Moss Control",
ISNUMBER(SEARCH("perlite",E76)),"Perlite",
ISNUMBER(SEARCH("plant food",E76)),"Plant Food",
ISNUMBER(SEARCH("spreader",E76)),"Spreader",
ISNUMBER(SEARCH("sprayer",E76)),"Sprayer",
ISNUMBER(SEARCH("mower",E76)),"Lawn Mower",
ISNUMBER(SEARCH("sweeper",E76)),"Lawn Sweeper",
OR(ISNUMBER(SEARCH("pruner",E76)),ISNUMBER(SEARCH("trimmer",E76)),ISNUMBER(SEARCH("pole saw",E76))),"Pruning Tools",
TRUE,"Other"
)</f>
        <v>Bait &amp; Poison</v>
      </c>
      <c r="J76" s="7" t="str">
        <f t="shared" si="18"/>
        <v>Crawling Insect Control - Bait &amp; Poison</v>
      </c>
      <c r="K76" s="1">
        <v>100</v>
      </c>
      <c r="L76" s="1">
        <v>4</v>
      </c>
      <c r="M76" s="1">
        <v>31</v>
      </c>
      <c r="N76" s="1"/>
      <c r="O76" s="1">
        <f>VLOOKUP(A76,[2]Sheet1!$A:$B,2,0)</f>
        <v>0</v>
      </c>
      <c r="P76" s="1">
        <f>VLOOKUP(A76,[2]Sheet1!$A:$C,3,0)</f>
        <v>0</v>
      </c>
      <c r="Q76" s="7">
        <f>VLOOKUP(A76,[2]Sheet1!$A:$D,4,0)</f>
        <v>100</v>
      </c>
      <c r="R76" s="7">
        <f>VLOOKUP(A76,[2]Sheet1!$A:$E,5,0)</f>
        <v>200</v>
      </c>
      <c r="S76" s="7">
        <f>VLOOKUP(A76,[2]Sheet1!$A:$F,6,0)</f>
        <v>200</v>
      </c>
      <c r="T76" s="7">
        <f>VLOOKUP(A76,[2]Sheet1!$A:$G,7,0)</f>
        <v>400</v>
      </c>
      <c r="U76" s="7">
        <f>VLOOKUP(A76,[2]Sheet1!$A:$H,8,0)</f>
        <v>300</v>
      </c>
      <c r="V76" s="7">
        <f>VLOOKUP(A76,[2]Sheet1!$A:$I,9,0)</f>
        <v>300</v>
      </c>
      <c r="W76" s="7">
        <f>VLOOKUP(A76,[2]Sheet1!$A:$K,10,0)</f>
        <v>100</v>
      </c>
      <c r="X76" s="7">
        <f>VLOOKUP(A76,[2]Sheet1!$A:$L,11,0)</f>
        <v>0</v>
      </c>
      <c r="Y76" s="7">
        <f>VLOOKUP(A76,[2]Sheet1!$A:$L,12,0)</f>
        <v>0</v>
      </c>
      <c r="Z76" s="7">
        <f>VLOOKUP(A76,[2]Sheet1!$A:$M,13,0)</f>
        <v>0</v>
      </c>
      <c r="AA76" s="1">
        <f t="shared" si="16"/>
        <v>1600</v>
      </c>
      <c r="AB76" s="7">
        <f t="shared" si="19"/>
        <v>133</v>
      </c>
      <c r="AC76" s="13">
        <f t="shared" si="17"/>
        <v>133.33333333333334</v>
      </c>
      <c r="AD76" s="9">
        <f t="shared" si="20"/>
        <v>22384</v>
      </c>
      <c r="AE76" s="9">
        <f t="shared" si="21"/>
        <v>1865.3333333333335</v>
      </c>
      <c r="AF76" s="11">
        <v>4.76</v>
      </c>
      <c r="AG76" s="11">
        <v>13.99</v>
      </c>
      <c r="AH76" s="9">
        <f t="shared" si="22"/>
        <v>-1.0933333333333314E-2</v>
      </c>
      <c r="AI76" s="11">
        <f t="shared" si="23"/>
        <v>-3.8266666666666595E-2</v>
      </c>
      <c r="AJ76" s="14">
        <v>0.5</v>
      </c>
      <c r="AK76" s="14">
        <v>0.5</v>
      </c>
      <c r="AL76" s="11">
        <v>4.76</v>
      </c>
      <c r="AM76" s="9">
        <f t="shared" si="24"/>
        <v>2.0985</v>
      </c>
      <c r="AN76" s="9">
        <f t="shared" si="25"/>
        <v>0.41970000000000002</v>
      </c>
      <c r="AO76" s="9">
        <f t="shared" si="26"/>
        <v>2.798</v>
      </c>
      <c r="AP76" s="9">
        <f t="shared" si="27"/>
        <v>0.27979999999999999</v>
      </c>
      <c r="AQ76" s="9">
        <f t="shared" si="28"/>
        <v>2.798</v>
      </c>
      <c r="AR76" s="9">
        <f t="shared" si="29"/>
        <v>3.4975000000000001</v>
      </c>
      <c r="AS76" s="11">
        <f t="shared" si="30"/>
        <v>-0.10933333333333313</v>
      </c>
      <c r="AT76" s="12">
        <f t="shared" si="31"/>
        <v>-0.57566666666666644</v>
      </c>
    </row>
    <row r="77" spans="1:46" ht="16.5" x14ac:dyDescent="0.4">
      <c r="A77" s="1" t="s">
        <v>390</v>
      </c>
      <c r="B77" s="7" t="s">
        <v>42</v>
      </c>
      <c r="C77" s="7" t="s">
        <v>42</v>
      </c>
      <c r="D77" s="1" t="s">
        <v>391</v>
      </c>
      <c r="E77" s="1" t="s">
        <v>392</v>
      </c>
      <c r="F77" s="1" t="s">
        <v>393</v>
      </c>
      <c r="G77" s="7" t="str">
        <f>VLOOKUP(A77,[1]done!$A:$I,9,0)</f>
        <v>Rodent</v>
      </c>
      <c r="H77" s="7" t="str" cm="1">
        <f t="array" ref="H77">_xlfn.IFS(
OR(ISNUMBER(SEARCH("mouse",E77)),ISNUMBER(SEARCH("rat",E77)),ISNUMBER(SEARCH("mice",E77)),ISNUMBER(SEARCH("rodent",E77))),"Rodent Control",
OR(ISNUMBER(SEARCH("fly",E77)),ISNUMBER(SEARCH("gnat",E77)),ISNUMBER(SEARCH("insect",E77)),ISNUMBER(SEARCH("mosquito",E77))),"Flying Insect Control",
OR(ISNUMBER(SEARCH("roach",E77)),ISNUMBER(SEARCH("ant",E77)),ISNUMBER(SEARCH("spider",E77)),ISNUMBER(SEARCH("cricket",E77)),ISNUMBER(SEARCH("scorpion",E77)),ISNUMBER(SEARCH("centipede",E77)),ISNUMBER(SEARCH("beetle",E77))),"Crawling Insect Control",
OR(ISNUMBER(SEARCH("tree",E77)),ISNUMBER(SEARCH("lantern",E77)),ISNUMBER(SEARCH("garden",E77)),ISNUMBER(SEARCH("plant",E77))),"Garden Pest Control",
OR(ISNUMBER(SEARCH("grass seed",E77)),ISNUMBER(SEARCH("seed mix",E77))),"Grass Seed",
OR(ISNUMBER(SEARCH("lawn food",E77)),ISNUMBER(SEARCH("fertilizer",E77))),"Lawn Fertilizer",
OR(ISNUMBER(SEARCH("patch",E77)),ISNUMBER(SEARCH("repair",E77)),ISNUMBER(SEARCH("thick'r",E77)),ISNUMBER(SEARCH("thick'r lawn",E77)),ISNUMBER(SEARCH("rapid grass",E77))),"Lawn Repair",
OR(ISNUMBER(SEARCH("weed",E77)),ISNUMBER(SEARCH("crabgrass",E77))),"Weed Control",
OR(ISNUMBER(SEARCH("fungicide",E77)),ISNUMBER(SEARCH("moss",E77))),"Disease &amp; Moss Control",
OR(ISNUMBER(SEARCH("plant food",E77)),ISNUMBER(SEARCH("miracid",E77))),"Plant Nutrition",
OR(ISNUMBER(SEARCH("perlite",E77))),"Soil Amendment",
OR(ISNUMBER(SEARCH("spreader",E77)),ISNUMBER(SEARCH("sprayer",E77)),ISNUMBER(SEARCH("mower",E77)),ISNUMBER(SEARCH("sweeper",E77)),ISNUMBER(SEARCH("pruner",E77)),ISNUMBER(SEARCH("trimmer",E77)),ISNUMBER(SEARCH("pole saw",E77))),"Garden Equipment",
TRUE,"Other"
)</f>
        <v>Rodent Control</v>
      </c>
      <c r="I77" s="7" t="str" cm="1">
        <f t="array" ref="I77">_xlfn.IFS(
OR(ISNUMBER(SEARCH("glue trap",E77)),ISNUMBER(SEARCH("glue board",E77))),"Glue Traps",
OR(ISNUMBER(SEARCH("snap trap",E77)),ISNUMBER(SEARCH("power-kill",E77)),ISNUMBER(SEARCH("wide pedal",E77)),ISNUMBER(SEARCH("metal pedal",E77))),"Snap Traps",
OR(ISNUMBER(SEARCH("electronic",E77)),ISNUMBER(SEARCH("zapper",E77))),"Electronic Traps",
OR(ISNUMBER(SEARCH("live catch",E77)),ISNUMBER(SEARCH("multi-catch",E77)),ISNUMBER(SEARCH("catch &amp; hold",E77)),ISNUMBER(SEARCH("tin cat",E77))),"Live Catch Traps",
OR(ISNUMBER(SEARCH("bait",E77)),ISNUMBER(SEARCH("poison",E77))),"Bait &amp; Poison",
ISNUMBER(SEARCH("repellent",E77)),"Repellents",
OR(ISNUMBER(SEARCH("fly trap",E77)),ISNUMBER(SEARCH("fly ribbon",E77)),ISNUMBER(SEARCH("fly stick",E77)),ISNUMBER(SEARCH("window fly",E77)),ISNUMBER(SEARCH("fly magnet",E77))),"Fly Traps",
OR(ISNUMBER(SEARCH("uv",E77)),ISNUMBER(SEARCH("fly light",E77)),ISNUMBER(SEARCH("plug-in",E77))),"UV Fly Traps",
ISNUMBER(SEARCH("roach",E77)),"Roach Traps",
ISNUMBER(SEARCH("ant",E77)),"Ant Traps",
ISNUMBER(SEARCH("spider",E77)),"Spider Traps",
ISNUMBER(SEARCH("mosquito",E77)),"Mosquito Traps",
ISNUMBER(SEARCH("beetle",E77)),"Beetle Traps",
ISNUMBER(SEARCH("lantern",E77)),"Lanternfly Control",
OR(ISNUMBER(SEARCH("tree shield",E77)),ISNUMBER(SEARCH("tree banding",E77)),ISNUMBER(SEARCH("insect barrier",E77))),"Tree Barriers",
OR(ISNUMBER(SEARCH("sun &amp; shade",E77)),ISNUMBER(SEARCH("sun and shade",E77))),"Sun &amp; Shade Mix",
ISNUMBER(SEARCH("tall fescue",E77)),"Tall Fescue",
ISNUMBER(SEARCH("bermudagrass",E77)),"Bermudagrass",
ISNUMBER(SEARCH("kentucky",E77)),"Kentucky Bluegrass",
ISNUMBER(SEARCH("zoysia",E77)),"Zoysia",
ISNUMBER(SEARCH("ryegrass",E77)),"Perennial Ryegrass",
ISNUMBER(SEARCH("centipede",E77)),"Centipede Grass",
ISNUMBER(SEARCH("dense shade",E77)),"Dense Shade Mix",
ISNUMBER(SEARCH("southern gold",E77)),"Southern Gold Mix",
ISNUMBER(SEARCH("heat-tolerant blue",E77)),"Heat-Tolerant Blue Mix",
ISNUMBER(SEARCH("high traffic",E77)),"High Traffic Mix",
ISNUMBER(SEARCH("quick fix",E77)),"Quick Fix Mix",
ISNUMBER(SEARCH("starter",E77)),"Starter Fertilizer",
ISNUMBER(SEARCH("weed &amp; feed",E77)),"Weed &amp; Feed",
ISNUMBER(SEARCH("lawn food",E77)),"Lawn Food",
ISNUMBER(SEARCH("triple action",E77)),"Triple Action Fertilizer",
ISNUMBER(SEARCH("green max",E77)),"Green Max Lawn Food",
ISNUMBER(SEARCH("patchmaster",E77)),"PatchMaster Repair",
ISNUMBER(SEARCH("ez seed",E77)),"EZ Seed Repair",
ISNUMBER(SEARCH("rapid grass",E77)),"Rapid Grass",
ISNUMBER(SEARCH("thick'r lawn",E77)),"Thick'R Lawn",
ISNUMBER(SEARCH("fungicide",E77)),"Fungicide",
ISNUMBER(SEARCH("moss",E77)),"Moss Control",
ISNUMBER(SEARCH("perlite",E77)),"Perlite",
ISNUMBER(SEARCH("plant food",E77)),"Plant Food",
ISNUMBER(SEARCH("spreader",E77)),"Spreader",
ISNUMBER(SEARCH("sprayer",E77)),"Sprayer",
ISNUMBER(SEARCH("mower",E77)),"Lawn Mower",
ISNUMBER(SEARCH("sweeper",E77)),"Lawn Sweeper",
OR(ISNUMBER(SEARCH("pruner",E77)),ISNUMBER(SEARCH("trimmer",E77)),ISNUMBER(SEARCH("pole saw",E77))),"Pruning Tools",
TRUE,"Other"
)</f>
        <v>Glue Traps</v>
      </c>
      <c r="J77" s="7" t="str">
        <f t="shared" si="18"/>
        <v>Rodent Control - Glue Traps</v>
      </c>
      <c r="K77" s="1">
        <v>100</v>
      </c>
      <c r="L77" s="1">
        <v>3.6</v>
      </c>
      <c r="M77" s="1">
        <v>45</v>
      </c>
      <c r="N77" s="1" t="s">
        <v>394</v>
      </c>
      <c r="O77" s="1">
        <f>VLOOKUP(A77,[2]Sheet1!$A:$B,2,0)</f>
        <v>200</v>
      </c>
      <c r="P77" s="1">
        <f>VLOOKUP(A77,[2]Sheet1!$A:$C,3,0)</f>
        <v>100</v>
      </c>
      <c r="Q77" s="7">
        <f>VLOOKUP(A77,[2]Sheet1!$A:$D,4,0)</f>
        <v>100</v>
      </c>
      <c r="R77" s="7">
        <f>VLOOKUP(A77,[2]Sheet1!$A:$E,5,0)</f>
        <v>50</v>
      </c>
      <c r="S77" s="7">
        <f>VLOOKUP(A77,[2]Sheet1!$A:$F,6,0)</f>
        <v>100</v>
      </c>
      <c r="T77" s="7">
        <f>VLOOKUP(A77,[2]Sheet1!$A:$G,7,0)</f>
        <v>100</v>
      </c>
      <c r="U77" s="7">
        <f>VLOOKUP(A77,[2]Sheet1!$A:$H,8,0)</f>
        <v>100</v>
      </c>
      <c r="V77" s="7">
        <f>VLOOKUP(A77,[2]Sheet1!$A:$I,9,0)</f>
        <v>100</v>
      </c>
      <c r="W77" s="7">
        <f>VLOOKUP(A77,[2]Sheet1!$A:$K,10,0)</f>
        <v>100</v>
      </c>
      <c r="X77" s="7">
        <f>VLOOKUP(A77,[2]Sheet1!$A:$L,11,0)</f>
        <v>200</v>
      </c>
      <c r="Y77" s="7">
        <f>VLOOKUP(A77,[2]Sheet1!$A:$L,12,0)</f>
        <v>300</v>
      </c>
      <c r="Z77" s="7">
        <f>VLOOKUP(A77,[2]Sheet1!$A:$M,13,0)</f>
        <v>200</v>
      </c>
      <c r="AA77" s="1">
        <f t="shared" si="16"/>
        <v>1650</v>
      </c>
      <c r="AB77" s="7">
        <f t="shared" si="19"/>
        <v>138</v>
      </c>
      <c r="AC77" s="13">
        <f t="shared" si="17"/>
        <v>137.5</v>
      </c>
      <c r="AD77" s="9">
        <f t="shared" si="20"/>
        <v>28693.5</v>
      </c>
      <c r="AE77" s="9">
        <f t="shared" si="21"/>
        <v>2391.125</v>
      </c>
      <c r="AF77" s="11">
        <v>5.61</v>
      </c>
      <c r="AG77" s="11">
        <v>17.39</v>
      </c>
      <c r="AH77" s="9">
        <f t="shared" si="22"/>
        <v>2.3066666666666583E-2</v>
      </c>
      <c r="AI77" s="11">
        <f t="shared" si="23"/>
        <v>8.0733333333333032E-2</v>
      </c>
      <c r="AJ77" s="14">
        <v>0.5</v>
      </c>
      <c r="AK77" s="14">
        <v>0.5</v>
      </c>
      <c r="AL77" s="11">
        <v>5.61</v>
      </c>
      <c r="AM77" s="9">
        <f t="shared" si="24"/>
        <v>2.6084999999999998</v>
      </c>
      <c r="AN77" s="9">
        <f t="shared" si="25"/>
        <v>0.52170000000000005</v>
      </c>
      <c r="AO77" s="9">
        <f t="shared" si="26"/>
        <v>3.4780000000000002</v>
      </c>
      <c r="AP77" s="9">
        <f t="shared" si="27"/>
        <v>0.3478</v>
      </c>
      <c r="AQ77" s="9">
        <f t="shared" si="28"/>
        <v>3.4780000000000002</v>
      </c>
      <c r="AR77" s="9">
        <f t="shared" si="29"/>
        <v>4.3475000000000001</v>
      </c>
      <c r="AS77" s="11">
        <f t="shared" si="30"/>
        <v>0.23066666666666583</v>
      </c>
      <c r="AT77" s="12">
        <f t="shared" si="31"/>
        <v>-0.34900000000000081</v>
      </c>
    </row>
    <row r="78" spans="1:46" ht="16.5" x14ac:dyDescent="0.4">
      <c r="A78" s="1" t="s">
        <v>395</v>
      </c>
      <c r="B78" s="7" t="s">
        <v>42</v>
      </c>
      <c r="C78" s="7" t="s">
        <v>42</v>
      </c>
      <c r="D78" s="1" t="s">
        <v>396</v>
      </c>
      <c r="E78" s="1" t="s">
        <v>397</v>
      </c>
      <c r="F78" s="1" t="s">
        <v>398</v>
      </c>
      <c r="G78" s="7" t="str">
        <f>VLOOKUP(A78,[1]done!$A:$I,9,0)</f>
        <v>Rodent</v>
      </c>
      <c r="H78" s="7" t="str" cm="1">
        <f t="array" ref="H78">_xlfn.IFS(
OR(ISNUMBER(SEARCH("mouse",E78)),ISNUMBER(SEARCH("rat",E78)),ISNUMBER(SEARCH("mice",E78)),ISNUMBER(SEARCH("rodent",E78))),"Rodent Control",
OR(ISNUMBER(SEARCH("fly",E78)),ISNUMBER(SEARCH("gnat",E78)),ISNUMBER(SEARCH("insect",E78)),ISNUMBER(SEARCH("mosquito",E78))),"Flying Insect Control",
OR(ISNUMBER(SEARCH("roach",E78)),ISNUMBER(SEARCH("ant",E78)),ISNUMBER(SEARCH("spider",E78)),ISNUMBER(SEARCH("cricket",E78)),ISNUMBER(SEARCH("scorpion",E78)),ISNUMBER(SEARCH("centipede",E78)),ISNUMBER(SEARCH("beetle",E78))),"Crawling Insect Control",
OR(ISNUMBER(SEARCH("tree",E78)),ISNUMBER(SEARCH("lantern",E78)),ISNUMBER(SEARCH("garden",E78)),ISNUMBER(SEARCH("plant",E78))),"Garden Pest Control",
OR(ISNUMBER(SEARCH("grass seed",E78)),ISNUMBER(SEARCH("seed mix",E78))),"Grass Seed",
OR(ISNUMBER(SEARCH("lawn food",E78)),ISNUMBER(SEARCH("fertilizer",E78))),"Lawn Fertilizer",
OR(ISNUMBER(SEARCH("patch",E78)),ISNUMBER(SEARCH("repair",E78)),ISNUMBER(SEARCH("thick'r",E78)),ISNUMBER(SEARCH("thick'r lawn",E78)),ISNUMBER(SEARCH("rapid grass",E78))),"Lawn Repair",
OR(ISNUMBER(SEARCH("weed",E78)),ISNUMBER(SEARCH("crabgrass",E78))),"Weed Control",
OR(ISNUMBER(SEARCH("fungicide",E78)),ISNUMBER(SEARCH("moss",E78))),"Disease &amp; Moss Control",
OR(ISNUMBER(SEARCH("plant food",E78)),ISNUMBER(SEARCH("miracid",E78))),"Plant Nutrition",
OR(ISNUMBER(SEARCH("perlite",E78))),"Soil Amendment",
OR(ISNUMBER(SEARCH("spreader",E78)),ISNUMBER(SEARCH("sprayer",E78)),ISNUMBER(SEARCH("mower",E78)),ISNUMBER(SEARCH("sweeper",E78)),ISNUMBER(SEARCH("pruner",E78)),ISNUMBER(SEARCH("trimmer",E78)),ISNUMBER(SEARCH("pole saw",E78))),"Garden Equipment",
TRUE,"Other"
)</f>
        <v>Rodent Control</v>
      </c>
      <c r="I78" s="7" t="str" cm="1">
        <f t="array" ref="I78">_xlfn.IFS(
OR(ISNUMBER(SEARCH("glue trap",E78)),ISNUMBER(SEARCH("glue board",E78))),"Glue Traps",
OR(ISNUMBER(SEARCH("snap trap",E78)),ISNUMBER(SEARCH("power-kill",E78)),ISNUMBER(SEARCH("wide pedal",E78)),ISNUMBER(SEARCH("metal pedal",E78))),"Snap Traps",
OR(ISNUMBER(SEARCH("electronic",E78)),ISNUMBER(SEARCH("zapper",E78))),"Electronic Traps",
OR(ISNUMBER(SEARCH("live catch",E78)),ISNUMBER(SEARCH("multi-catch",E78)),ISNUMBER(SEARCH("catch &amp; hold",E78)),ISNUMBER(SEARCH("tin cat",E78))),"Live Catch Traps",
OR(ISNUMBER(SEARCH("bait",E78)),ISNUMBER(SEARCH("poison",E78))),"Bait &amp; Poison",
ISNUMBER(SEARCH("repellent",E78)),"Repellents",
OR(ISNUMBER(SEARCH("fly trap",E78)),ISNUMBER(SEARCH("fly ribbon",E78)),ISNUMBER(SEARCH("fly stick",E78)),ISNUMBER(SEARCH("window fly",E78)),ISNUMBER(SEARCH("fly magnet",E78))),"Fly Traps",
OR(ISNUMBER(SEARCH("uv",E78)),ISNUMBER(SEARCH("fly light",E78)),ISNUMBER(SEARCH("plug-in",E78))),"UV Fly Traps",
ISNUMBER(SEARCH("roach",E78)),"Roach Traps",
ISNUMBER(SEARCH("ant",E78)),"Ant Traps",
ISNUMBER(SEARCH("spider",E78)),"Spider Traps",
ISNUMBER(SEARCH("mosquito",E78)),"Mosquito Traps",
ISNUMBER(SEARCH("beetle",E78)),"Beetle Traps",
ISNUMBER(SEARCH("lantern",E78)),"Lanternfly Control",
OR(ISNUMBER(SEARCH("tree shield",E78)),ISNUMBER(SEARCH("tree banding",E78)),ISNUMBER(SEARCH("insect barrier",E78))),"Tree Barriers",
OR(ISNUMBER(SEARCH("sun &amp; shade",E78)),ISNUMBER(SEARCH("sun and shade",E78))),"Sun &amp; Shade Mix",
ISNUMBER(SEARCH("tall fescue",E78)),"Tall Fescue",
ISNUMBER(SEARCH("bermudagrass",E78)),"Bermudagrass",
ISNUMBER(SEARCH("kentucky",E78)),"Kentucky Bluegrass",
ISNUMBER(SEARCH("zoysia",E78)),"Zoysia",
ISNUMBER(SEARCH("ryegrass",E78)),"Perennial Ryegrass",
ISNUMBER(SEARCH("centipede",E78)),"Centipede Grass",
ISNUMBER(SEARCH("dense shade",E78)),"Dense Shade Mix",
ISNUMBER(SEARCH("southern gold",E78)),"Southern Gold Mix",
ISNUMBER(SEARCH("heat-tolerant blue",E78)),"Heat-Tolerant Blue Mix",
ISNUMBER(SEARCH("high traffic",E78)),"High Traffic Mix",
ISNUMBER(SEARCH("quick fix",E78)),"Quick Fix Mix",
ISNUMBER(SEARCH("starter",E78)),"Starter Fertilizer",
ISNUMBER(SEARCH("weed &amp; feed",E78)),"Weed &amp; Feed",
ISNUMBER(SEARCH("lawn food",E78)),"Lawn Food",
ISNUMBER(SEARCH("triple action",E78)),"Triple Action Fertilizer",
ISNUMBER(SEARCH("green max",E78)),"Green Max Lawn Food",
ISNUMBER(SEARCH("patchmaster",E78)),"PatchMaster Repair",
ISNUMBER(SEARCH("ez seed",E78)),"EZ Seed Repair",
ISNUMBER(SEARCH("rapid grass",E78)),"Rapid Grass",
ISNUMBER(SEARCH("thick'r lawn",E78)),"Thick'R Lawn",
ISNUMBER(SEARCH("fungicide",E78)),"Fungicide",
ISNUMBER(SEARCH("moss",E78)),"Moss Control",
ISNUMBER(SEARCH("perlite",E78)),"Perlite",
ISNUMBER(SEARCH("plant food",E78)),"Plant Food",
ISNUMBER(SEARCH("spreader",E78)),"Spreader",
ISNUMBER(SEARCH("sprayer",E78)),"Sprayer",
ISNUMBER(SEARCH("mower",E78)),"Lawn Mower",
ISNUMBER(SEARCH("sweeper",E78)),"Lawn Sweeper",
OR(ISNUMBER(SEARCH("pruner",E78)),ISNUMBER(SEARCH("trimmer",E78)),ISNUMBER(SEARCH("pole saw",E78))),"Pruning Tools",
TRUE,"Other"
)</f>
        <v>Glue Traps</v>
      </c>
      <c r="J78" s="7" t="str">
        <f t="shared" si="18"/>
        <v>Rodent Control - Glue Traps</v>
      </c>
      <c r="K78" s="1">
        <v>100</v>
      </c>
      <c r="L78" s="1">
        <v>3.9</v>
      </c>
      <c r="M78" s="1">
        <v>16</v>
      </c>
      <c r="N78" s="1" t="s">
        <v>399</v>
      </c>
      <c r="O78" s="1">
        <f>VLOOKUP(A78,[2]Sheet1!$A:$B,2,0)</f>
        <v>50</v>
      </c>
      <c r="P78" s="1">
        <f>VLOOKUP(A78,[2]Sheet1!$A:$C,3,0)</f>
        <v>50</v>
      </c>
      <c r="Q78" s="7">
        <f>VLOOKUP(A78,[2]Sheet1!$A:$D,4,0)</f>
        <v>50</v>
      </c>
      <c r="R78" s="7">
        <f>VLOOKUP(A78,[2]Sheet1!$A:$E,5,0)</f>
        <v>50</v>
      </c>
      <c r="S78" s="7">
        <f>VLOOKUP(A78,[2]Sheet1!$A:$F,6,0)</f>
        <v>50</v>
      </c>
      <c r="T78" s="7">
        <f>VLOOKUP(A78,[2]Sheet1!$A:$G,7,0)</f>
        <v>50</v>
      </c>
      <c r="U78" s="7">
        <f>VLOOKUP(A78,[2]Sheet1!$A:$H,8,0)</f>
        <v>50</v>
      </c>
      <c r="V78" s="7">
        <f>VLOOKUP(A78,[2]Sheet1!$A:$I,9,0)</f>
        <v>100</v>
      </c>
      <c r="W78" s="7">
        <f>VLOOKUP(A78,[2]Sheet1!$A:$K,10,0)</f>
        <v>100</v>
      </c>
      <c r="X78" s="7">
        <f>VLOOKUP(A78,[2]Sheet1!$A:$L,11,0)</f>
        <v>0</v>
      </c>
      <c r="Y78" s="7">
        <f>VLOOKUP(A78,[2]Sheet1!$A:$L,12,0)</f>
        <v>100</v>
      </c>
      <c r="Z78" s="7">
        <f>VLOOKUP(A78,[2]Sheet1!$A:$M,13,0)</f>
        <v>50</v>
      </c>
      <c r="AA78" s="1">
        <f t="shared" si="16"/>
        <v>700</v>
      </c>
      <c r="AB78" s="7">
        <f t="shared" si="19"/>
        <v>58</v>
      </c>
      <c r="AC78" s="13">
        <f t="shared" si="17"/>
        <v>58.333333333333336</v>
      </c>
      <c r="AD78" s="9">
        <f t="shared" si="20"/>
        <v>13992.999999999998</v>
      </c>
      <c r="AE78" s="9">
        <f t="shared" si="21"/>
        <v>1166.0833333333333</v>
      </c>
      <c r="AF78" s="11">
        <v>5.66</v>
      </c>
      <c r="AG78" s="11">
        <v>19.989999999999998</v>
      </c>
      <c r="AH78" s="9">
        <f t="shared" si="22"/>
        <v>8.9066666666666544E-2</v>
      </c>
      <c r="AI78" s="11">
        <f t="shared" si="23"/>
        <v>0.31173333333333286</v>
      </c>
      <c r="AJ78" s="14">
        <v>0.5</v>
      </c>
      <c r="AK78" s="14">
        <v>0.5</v>
      </c>
      <c r="AL78" s="11">
        <v>5.66</v>
      </c>
      <c r="AM78" s="9">
        <f t="shared" si="24"/>
        <v>2.9984999999999995</v>
      </c>
      <c r="AN78" s="9">
        <f t="shared" si="25"/>
        <v>0.5996999999999999</v>
      </c>
      <c r="AO78" s="9">
        <f t="shared" si="26"/>
        <v>3.9979999999999998</v>
      </c>
      <c r="AP78" s="9">
        <f t="shared" si="27"/>
        <v>0.39979999999999999</v>
      </c>
      <c r="AQ78" s="9">
        <f t="shared" si="28"/>
        <v>3.9979999999999998</v>
      </c>
      <c r="AR78" s="9">
        <f t="shared" si="29"/>
        <v>4.9974999999999996</v>
      </c>
      <c r="AS78" s="11">
        <f t="shared" si="30"/>
        <v>0.89066666666666539</v>
      </c>
      <c r="AT78" s="12">
        <f t="shared" si="31"/>
        <v>0.22433333333333216</v>
      </c>
    </row>
    <row r="79" spans="1:46" ht="16.5" x14ac:dyDescent="0.4">
      <c r="A79" s="1" t="s">
        <v>400</v>
      </c>
      <c r="B79" s="7" t="s">
        <v>42</v>
      </c>
      <c r="C79" s="7" t="s">
        <v>42</v>
      </c>
      <c r="D79" s="1" t="s">
        <v>258</v>
      </c>
      <c r="E79" s="1" t="s">
        <v>401</v>
      </c>
      <c r="F79" s="1" t="s">
        <v>402</v>
      </c>
      <c r="G79" s="7" t="str">
        <f>VLOOKUP(A79,[1]done!$A:$I,9,0)</f>
        <v>Mosquito/Fly</v>
      </c>
      <c r="H79" s="7" t="str" cm="1">
        <f t="array" ref="H79">_xlfn.IFS(
OR(ISNUMBER(SEARCH("mouse",E79)),ISNUMBER(SEARCH("rat",E79)),ISNUMBER(SEARCH("mice",E79)),ISNUMBER(SEARCH("rodent",E79))),"Rodent Control",
OR(ISNUMBER(SEARCH("fly",E79)),ISNUMBER(SEARCH("gnat",E79)),ISNUMBER(SEARCH("insect",E79)),ISNUMBER(SEARCH("mosquito",E79))),"Flying Insect Control",
OR(ISNUMBER(SEARCH("roach",E79)),ISNUMBER(SEARCH("ant",E79)),ISNUMBER(SEARCH("spider",E79)),ISNUMBER(SEARCH("cricket",E79)),ISNUMBER(SEARCH("scorpion",E79)),ISNUMBER(SEARCH("centipede",E79)),ISNUMBER(SEARCH("beetle",E79))),"Crawling Insect Control",
OR(ISNUMBER(SEARCH("tree",E79)),ISNUMBER(SEARCH("lantern",E79)),ISNUMBER(SEARCH("garden",E79)),ISNUMBER(SEARCH("plant",E79))),"Garden Pest Control",
OR(ISNUMBER(SEARCH("grass seed",E79)),ISNUMBER(SEARCH("seed mix",E79))),"Grass Seed",
OR(ISNUMBER(SEARCH("lawn food",E79)),ISNUMBER(SEARCH("fertilizer",E79))),"Lawn Fertilizer",
OR(ISNUMBER(SEARCH("patch",E79)),ISNUMBER(SEARCH("repair",E79)),ISNUMBER(SEARCH("thick'r",E79)),ISNUMBER(SEARCH("thick'r lawn",E79)),ISNUMBER(SEARCH("rapid grass",E79))),"Lawn Repair",
OR(ISNUMBER(SEARCH("weed",E79)),ISNUMBER(SEARCH("crabgrass",E79))),"Weed Control",
OR(ISNUMBER(SEARCH("fungicide",E79)),ISNUMBER(SEARCH("moss",E79))),"Disease &amp; Moss Control",
OR(ISNUMBER(SEARCH("plant food",E79)),ISNUMBER(SEARCH("miracid",E79))),"Plant Nutrition",
OR(ISNUMBER(SEARCH("perlite",E79))),"Soil Amendment",
OR(ISNUMBER(SEARCH("spreader",E79)),ISNUMBER(SEARCH("sprayer",E79)),ISNUMBER(SEARCH("mower",E79)),ISNUMBER(SEARCH("sweeper",E79)),ISNUMBER(SEARCH("pruner",E79)),ISNUMBER(SEARCH("trimmer",E79)),ISNUMBER(SEARCH("pole saw",E79))),"Garden Equipment",
TRUE,"Other"
)</f>
        <v>Flying Insect Control</v>
      </c>
      <c r="I79" s="7" t="str" cm="1">
        <f t="array" ref="I79">_xlfn.IFS(
OR(ISNUMBER(SEARCH("glue trap",E79)),ISNUMBER(SEARCH("glue board",E79))),"Glue Traps",
OR(ISNUMBER(SEARCH("snap trap",E79)),ISNUMBER(SEARCH("power-kill",E79)),ISNUMBER(SEARCH("wide pedal",E79)),ISNUMBER(SEARCH("metal pedal",E79))),"Snap Traps",
OR(ISNUMBER(SEARCH("electronic",E79)),ISNUMBER(SEARCH("zapper",E79))),"Electronic Traps",
OR(ISNUMBER(SEARCH("live catch",E79)),ISNUMBER(SEARCH("multi-catch",E79)),ISNUMBER(SEARCH("catch &amp; hold",E79)),ISNUMBER(SEARCH("tin cat",E79))),"Live Catch Traps",
OR(ISNUMBER(SEARCH("bait",E79)),ISNUMBER(SEARCH("poison",E79))),"Bait &amp; Poison",
ISNUMBER(SEARCH("repellent",E79)),"Repellents",
OR(ISNUMBER(SEARCH("fly trap",E79)),ISNUMBER(SEARCH("fly ribbon",E79)),ISNUMBER(SEARCH("fly stick",E79)),ISNUMBER(SEARCH("window fly",E79)),ISNUMBER(SEARCH("fly magnet",E79))),"Fly Traps",
OR(ISNUMBER(SEARCH("uv",E79)),ISNUMBER(SEARCH("fly light",E79)),ISNUMBER(SEARCH("plug-in",E79))),"UV Fly Traps",
ISNUMBER(SEARCH("roach",E79)),"Roach Traps",
ISNUMBER(SEARCH("ant",E79)),"Ant Traps",
ISNUMBER(SEARCH("spider",E79)),"Spider Traps",
ISNUMBER(SEARCH("mosquito",E79)),"Mosquito Traps",
ISNUMBER(SEARCH("beetle",E79)),"Beetle Traps",
ISNUMBER(SEARCH("lantern",E79)),"Lanternfly Control",
OR(ISNUMBER(SEARCH("tree shield",E79)),ISNUMBER(SEARCH("tree banding",E79)),ISNUMBER(SEARCH("insect barrier",E79))),"Tree Barriers",
OR(ISNUMBER(SEARCH("sun &amp; shade",E79)),ISNUMBER(SEARCH("sun and shade",E79))),"Sun &amp; Shade Mix",
ISNUMBER(SEARCH("tall fescue",E79)),"Tall Fescue",
ISNUMBER(SEARCH("bermudagrass",E79)),"Bermudagrass",
ISNUMBER(SEARCH("kentucky",E79)),"Kentucky Bluegrass",
ISNUMBER(SEARCH("zoysia",E79)),"Zoysia",
ISNUMBER(SEARCH("ryegrass",E79)),"Perennial Ryegrass",
ISNUMBER(SEARCH("centipede",E79)),"Centipede Grass",
ISNUMBER(SEARCH("dense shade",E79)),"Dense Shade Mix",
ISNUMBER(SEARCH("southern gold",E79)),"Southern Gold Mix",
ISNUMBER(SEARCH("heat-tolerant blue",E79)),"Heat-Tolerant Blue Mix",
ISNUMBER(SEARCH("high traffic",E79)),"High Traffic Mix",
ISNUMBER(SEARCH("quick fix",E79)),"Quick Fix Mix",
ISNUMBER(SEARCH("starter",E79)),"Starter Fertilizer",
ISNUMBER(SEARCH("weed &amp; feed",E79)),"Weed &amp; Feed",
ISNUMBER(SEARCH("lawn food",E79)),"Lawn Food",
ISNUMBER(SEARCH("triple action",E79)),"Triple Action Fertilizer",
ISNUMBER(SEARCH("green max",E79)),"Green Max Lawn Food",
ISNUMBER(SEARCH("patchmaster",E79)),"PatchMaster Repair",
ISNUMBER(SEARCH("ez seed",E79)),"EZ Seed Repair",
ISNUMBER(SEARCH("rapid grass",E79)),"Rapid Grass",
ISNUMBER(SEARCH("thick'r lawn",E79)),"Thick'R Lawn",
ISNUMBER(SEARCH("fungicide",E79)),"Fungicide",
ISNUMBER(SEARCH("moss",E79)),"Moss Control",
ISNUMBER(SEARCH("perlite",E79)),"Perlite",
ISNUMBER(SEARCH("plant food",E79)),"Plant Food",
ISNUMBER(SEARCH("spreader",E79)),"Spreader",
ISNUMBER(SEARCH("sprayer",E79)),"Sprayer",
ISNUMBER(SEARCH("mower",E79)),"Lawn Mower",
ISNUMBER(SEARCH("sweeper",E79)),"Lawn Sweeper",
OR(ISNUMBER(SEARCH("pruner",E79)),ISNUMBER(SEARCH("trimmer",E79)),ISNUMBER(SEARCH("pole saw",E79))),"Pruning Tools",
TRUE,"Other"
)</f>
        <v>Bait &amp; Poison</v>
      </c>
      <c r="J79" s="7" t="str">
        <f t="shared" si="18"/>
        <v>Flying Insect Control - Bait &amp; Poison</v>
      </c>
      <c r="K79" s="1">
        <v>100</v>
      </c>
      <c r="L79" s="1">
        <v>4</v>
      </c>
      <c r="M79" s="1">
        <v>5208</v>
      </c>
      <c r="N79" s="1" t="s">
        <v>403</v>
      </c>
      <c r="O79" s="1">
        <f>VLOOKUP(A79,[2]Sheet1!$A:$B,2,0)</f>
        <v>100</v>
      </c>
      <c r="P79" s="1">
        <f>VLOOKUP(A79,[2]Sheet1!$A:$C,3,0)</f>
        <v>100</v>
      </c>
      <c r="Q79" s="7">
        <f>VLOOKUP(A79,[2]Sheet1!$A:$D,4,0)</f>
        <v>100</v>
      </c>
      <c r="R79" s="7">
        <f>VLOOKUP(A79,[2]Sheet1!$A:$E,5,0)</f>
        <v>1000</v>
      </c>
      <c r="S79" s="7">
        <f>VLOOKUP(A79,[2]Sheet1!$A:$F,6,0)</f>
        <v>700</v>
      </c>
      <c r="T79" s="7">
        <f>VLOOKUP(A79,[2]Sheet1!$A:$G,7,0)</f>
        <v>500</v>
      </c>
      <c r="U79" s="7">
        <f>VLOOKUP(A79,[2]Sheet1!$A:$H,8,0)</f>
        <v>1000</v>
      </c>
      <c r="V79" s="7">
        <f>VLOOKUP(A79,[2]Sheet1!$A:$I,9,0)</f>
        <v>300</v>
      </c>
      <c r="W79" s="7">
        <f>VLOOKUP(A79,[2]Sheet1!$A:$K,10,0)</f>
        <v>100</v>
      </c>
      <c r="X79" s="7">
        <f>VLOOKUP(A79,[2]Sheet1!$A:$L,11,0)</f>
        <v>200</v>
      </c>
      <c r="Y79" s="7">
        <f>VLOOKUP(A79,[2]Sheet1!$A:$L,12,0)</f>
        <v>500</v>
      </c>
      <c r="Z79" s="7">
        <f>VLOOKUP(A79,[2]Sheet1!$A:$M,13,0)</f>
        <v>100</v>
      </c>
      <c r="AA79" s="1">
        <f t="shared" si="16"/>
        <v>4700</v>
      </c>
      <c r="AB79" s="7">
        <f t="shared" si="19"/>
        <v>392</v>
      </c>
      <c r="AC79" s="13">
        <f t="shared" si="17"/>
        <v>391.66666666666669</v>
      </c>
      <c r="AD79" s="9">
        <f t="shared" si="20"/>
        <v>140953</v>
      </c>
      <c r="AE79" s="9">
        <f t="shared" si="21"/>
        <v>11746.083333333334</v>
      </c>
      <c r="AF79" s="11">
        <v>6.31</v>
      </c>
      <c r="AG79" s="11">
        <v>29.99</v>
      </c>
      <c r="AH79" s="9">
        <f t="shared" si="22"/>
        <v>0.31240000000000007</v>
      </c>
      <c r="AI79" s="11">
        <f t="shared" si="23"/>
        <v>1.0934000000000001</v>
      </c>
      <c r="AJ79" s="14">
        <v>0.5</v>
      </c>
      <c r="AK79" s="14">
        <v>0.5</v>
      </c>
      <c r="AL79" s="11">
        <v>6.31</v>
      </c>
      <c r="AM79" s="9">
        <f t="shared" si="24"/>
        <v>4.4984999999999999</v>
      </c>
      <c r="AN79" s="9">
        <f t="shared" si="25"/>
        <v>0.89969999999999994</v>
      </c>
      <c r="AO79" s="9">
        <f t="shared" si="26"/>
        <v>5.9980000000000002</v>
      </c>
      <c r="AP79" s="9">
        <f t="shared" si="27"/>
        <v>0.5998</v>
      </c>
      <c r="AQ79" s="9">
        <f t="shared" si="28"/>
        <v>5.9980000000000002</v>
      </c>
      <c r="AR79" s="9">
        <f t="shared" si="29"/>
        <v>7.4974999999999996</v>
      </c>
      <c r="AS79" s="11">
        <f t="shared" si="30"/>
        <v>3.1240000000000006</v>
      </c>
      <c r="AT79" s="12">
        <f t="shared" si="31"/>
        <v>2.1243333333333343</v>
      </c>
    </row>
    <row r="80" spans="1:46" ht="16.5" x14ac:dyDescent="0.4">
      <c r="A80" s="1" t="s">
        <v>404</v>
      </c>
      <c r="B80" s="7" t="s">
        <v>42</v>
      </c>
      <c r="C80" s="7" t="s">
        <v>42</v>
      </c>
      <c r="D80" s="1" t="s">
        <v>405</v>
      </c>
      <c r="E80" s="1" t="s">
        <v>406</v>
      </c>
      <c r="F80" s="1" t="s">
        <v>407</v>
      </c>
      <c r="G80" s="7" t="str">
        <f>VLOOKUP(A80,[1]done!$A:$I,9,0)</f>
        <v>Mosquito/Fly</v>
      </c>
      <c r="H80" s="7" t="str" cm="1">
        <f t="array" ref="H80">_xlfn.IFS(
OR(ISNUMBER(SEARCH("mouse",E80)),ISNUMBER(SEARCH("rat",E80)),ISNUMBER(SEARCH("mice",E80)),ISNUMBER(SEARCH("rodent",E80))),"Rodent Control",
OR(ISNUMBER(SEARCH("fly",E80)),ISNUMBER(SEARCH("gnat",E80)),ISNUMBER(SEARCH("insect",E80)),ISNUMBER(SEARCH("mosquito",E80))),"Flying Insect Control",
OR(ISNUMBER(SEARCH("roach",E80)),ISNUMBER(SEARCH("ant",E80)),ISNUMBER(SEARCH("spider",E80)),ISNUMBER(SEARCH("cricket",E80)),ISNUMBER(SEARCH("scorpion",E80)),ISNUMBER(SEARCH("centipede",E80)),ISNUMBER(SEARCH("beetle",E80))),"Crawling Insect Control",
OR(ISNUMBER(SEARCH("tree",E80)),ISNUMBER(SEARCH("lantern",E80)),ISNUMBER(SEARCH("garden",E80)),ISNUMBER(SEARCH("plant",E80))),"Garden Pest Control",
OR(ISNUMBER(SEARCH("grass seed",E80)),ISNUMBER(SEARCH("seed mix",E80))),"Grass Seed",
OR(ISNUMBER(SEARCH("lawn food",E80)),ISNUMBER(SEARCH("fertilizer",E80))),"Lawn Fertilizer",
OR(ISNUMBER(SEARCH("patch",E80)),ISNUMBER(SEARCH("repair",E80)),ISNUMBER(SEARCH("thick'r",E80)),ISNUMBER(SEARCH("thick'r lawn",E80)),ISNUMBER(SEARCH("rapid grass",E80))),"Lawn Repair",
OR(ISNUMBER(SEARCH("weed",E80)),ISNUMBER(SEARCH("crabgrass",E80))),"Weed Control",
OR(ISNUMBER(SEARCH("fungicide",E80)),ISNUMBER(SEARCH("moss",E80))),"Disease &amp; Moss Control",
OR(ISNUMBER(SEARCH("plant food",E80)),ISNUMBER(SEARCH("miracid",E80))),"Plant Nutrition",
OR(ISNUMBER(SEARCH("perlite",E80))),"Soil Amendment",
OR(ISNUMBER(SEARCH("spreader",E80)),ISNUMBER(SEARCH("sprayer",E80)),ISNUMBER(SEARCH("mower",E80)),ISNUMBER(SEARCH("sweeper",E80)),ISNUMBER(SEARCH("pruner",E80)),ISNUMBER(SEARCH("trimmer",E80)),ISNUMBER(SEARCH("pole saw",E80))),"Garden Equipment",
TRUE,"Other"
)</f>
        <v>Flying Insect Control</v>
      </c>
      <c r="I80" s="7" t="str" cm="1">
        <f t="array" ref="I80">_xlfn.IFS(
OR(ISNUMBER(SEARCH("glue trap",E80)),ISNUMBER(SEARCH("glue board",E80))),"Glue Traps",
OR(ISNUMBER(SEARCH("snap trap",E80)),ISNUMBER(SEARCH("power-kill",E80)),ISNUMBER(SEARCH("wide pedal",E80)),ISNUMBER(SEARCH("metal pedal",E80))),"Snap Traps",
OR(ISNUMBER(SEARCH("electronic",E80)),ISNUMBER(SEARCH("zapper",E80))),"Electronic Traps",
OR(ISNUMBER(SEARCH("live catch",E80)),ISNUMBER(SEARCH("multi-catch",E80)),ISNUMBER(SEARCH("catch &amp; hold",E80)),ISNUMBER(SEARCH("tin cat",E80))),"Live Catch Traps",
OR(ISNUMBER(SEARCH("bait",E80)),ISNUMBER(SEARCH("poison",E80))),"Bait &amp; Poison",
ISNUMBER(SEARCH("repellent",E80)),"Repellents",
OR(ISNUMBER(SEARCH("fly trap",E80)),ISNUMBER(SEARCH("fly ribbon",E80)),ISNUMBER(SEARCH("fly stick",E80)),ISNUMBER(SEARCH("window fly",E80)),ISNUMBER(SEARCH("fly magnet",E80))),"Fly Traps",
OR(ISNUMBER(SEARCH("uv",E80)),ISNUMBER(SEARCH("fly light",E80)),ISNUMBER(SEARCH("plug-in",E80))),"UV Fly Traps",
ISNUMBER(SEARCH("roach",E80)),"Roach Traps",
ISNUMBER(SEARCH("ant",E80)),"Ant Traps",
ISNUMBER(SEARCH("spider",E80)),"Spider Traps",
ISNUMBER(SEARCH("mosquito",E80)),"Mosquito Traps",
ISNUMBER(SEARCH("beetle",E80)),"Beetle Traps",
ISNUMBER(SEARCH("lantern",E80)),"Lanternfly Control",
OR(ISNUMBER(SEARCH("tree shield",E80)),ISNUMBER(SEARCH("tree banding",E80)),ISNUMBER(SEARCH("insect barrier",E80))),"Tree Barriers",
OR(ISNUMBER(SEARCH("sun &amp; shade",E80)),ISNUMBER(SEARCH("sun and shade",E80))),"Sun &amp; Shade Mix",
ISNUMBER(SEARCH("tall fescue",E80)),"Tall Fescue",
ISNUMBER(SEARCH("bermudagrass",E80)),"Bermudagrass",
ISNUMBER(SEARCH("kentucky",E80)),"Kentucky Bluegrass",
ISNUMBER(SEARCH("zoysia",E80)),"Zoysia",
ISNUMBER(SEARCH("ryegrass",E80)),"Perennial Ryegrass",
ISNUMBER(SEARCH("centipede",E80)),"Centipede Grass",
ISNUMBER(SEARCH("dense shade",E80)),"Dense Shade Mix",
ISNUMBER(SEARCH("southern gold",E80)),"Southern Gold Mix",
ISNUMBER(SEARCH("heat-tolerant blue",E80)),"Heat-Tolerant Blue Mix",
ISNUMBER(SEARCH("high traffic",E80)),"High Traffic Mix",
ISNUMBER(SEARCH("quick fix",E80)),"Quick Fix Mix",
ISNUMBER(SEARCH("starter",E80)),"Starter Fertilizer",
ISNUMBER(SEARCH("weed &amp; feed",E80)),"Weed &amp; Feed",
ISNUMBER(SEARCH("lawn food",E80)),"Lawn Food",
ISNUMBER(SEARCH("triple action",E80)),"Triple Action Fertilizer",
ISNUMBER(SEARCH("green max",E80)),"Green Max Lawn Food",
ISNUMBER(SEARCH("patchmaster",E80)),"PatchMaster Repair",
ISNUMBER(SEARCH("ez seed",E80)),"EZ Seed Repair",
ISNUMBER(SEARCH("rapid grass",E80)),"Rapid Grass",
ISNUMBER(SEARCH("thick'r lawn",E80)),"Thick'R Lawn",
ISNUMBER(SEARCH("fungicide",E80)),"Fungicide",
ISNUMBER(SEARCH("moss",E80)),"Moss Control",
ISNUMBER(SEARCH("perlite",E80)),"Perlite",
ISNUMBER(SEARCH("plant food",E80)),"Plant Food",
ISNUMBER(SEARCH("spreader",E80)),"Spreader",
ISNUMBER(SEARCH("sprayer",E80)),"Sprayer",
ISNUMBER(SEARCH("mower",E80)),"Lawn Mower",
ISNUMBER(SEARCH("sweeper",E80)),"Lawn Sweeper",
OR(ISNUMBER(SEARCH("pruner",E80)),ISNUMBER(SEARCH("trimmer",E80)),ISNUMBER(SEARCH("pole saw",E80))),"Pruning Tools",
TRUE,"Other"
)</f>
        <v>Fly Traps</v>
      </c>
      <c r="J80" s="7" t="str">
        <f t="shared" si="18"/>
        <v>Flying Insect Control - Fly Traps</v>
      </c>
      <c r="K80" s="1">
        <v>100</v>
      </c>
      <c r="L80" s="1">
        <v>4.5</v>
      </c>
      <c r="M80" s="1">
        <v>1812</v>
      </c>
      <c r="N80" s="1" t="s">
        <v>408</v>
      </c>
      <c r="O80" s="1">
        <f>VLOOKUP(A80,[2]Sheet1!$A:$B,2,0)</f>
        <v>50</v>
      </c>
      <c r="P80" s="1">
        <f>VLOOKUP(A80,[2]Sheet1!$A:$C,3,0)</f>
        <v>50</v>
      </c>
      <c r="Q80" s="7">
        <f>VLOOKUP(A80,[2]Sheet1!$A:$D,4,0)</f>
        <v>50</v>
      </c>
      <c r="R80" s="7">
        <f>VLOOKUP(A80,[2]Sheet1!$A:$E,5,0)</f>
        <v>300</v>
      </c>
      <c r="S80" s="7">
        <f>VLOOKUP(A80,[2]Sheet1!$A:$F,6,0)</f>
        <v>200</v>
      </c>
      <c r="T80" s="7">
        <f>VLOOKUP(A80,[2]Sheet1!$A:$G,7,0)</f>
        <v>100</v>
      </c>
      <c r="U80" s="7">
        <f>VLOOKUP(A80,[2]Sheet1!$A:$H,8,0)</f>
        <v>100</v>
      </c>
      <c r="V80" s="7">
        <f>VLOOKUP(A80,[2]Sheet1!$A:$I,9,0)</f>
        <v>100</v>
      </c>
      <c r="W80" s="7">
        <f>VLOOKUP(A80,[2]Sheet1!$A:$K,10,0)</f>
        <v>100</v>
      </c>
      <c r="X80" s="7">
        <f>VLOOKUP(A80,[2]Sheet1!$A:$L,11,0)</f>
        <v>50</v>
      </c>
      <c r="Y80" s="7">
        <f>VLOOKUP(A80,[2]Sheet1!$A:$L,12,0)</f>
        <v>50</v>
      </c>
      <c r="Z80" s="7">
        <f>VLOOKUP(A80,[2]Sheet1!$A:$M,13,0)</f>
        <v>50</v>
      </c>
      <c r="AA80" s="1">
        <f t="shared" si="16"/>
        <v>1200</v>
      </c>
      <c r="AB80" s="7">
        <f t="shared" si="19"/>
        <v>100</v>
      </c>
      <c r="AC80" s="13">
        <f t="shared" si="17"/>
        <v>100</v>
      </c>
      <c r="AD80" s="9">
        <f t="shared" si="20"/>
        <v>25187.999999999996</v>
      </c>
      <c r="AE80" s="9">
        <f t="shared" si="21"/>
        <v>2099</v>
      </c>
      <c r="AF80" s="11">
        <v>4.3499999999999996</v>
      </c>
      <c r="AG80" s="11">
        <v>20.99</v>
      </c>
      <c r="AH80" s="9">
        <f t="shared" si="22"/>
        <v>0.2030666666666667</v>
      </c>
      <c r="AI80" s="11">
        <f t="shared" si="23"/>
        <v>0.71073333333333333</v>
      </c>
      <c r="AJ80" s="14">
        <v>0.5</v>
      </c>
      <c r="AK80" s="14">
        <v>0.5</v>
      </c>
      <c r="AL80" s="11">
        <v>4.3499999999999996</v>
      </c>
      <c r="AM80" s="9">
        <f t="shared" si="24"/>
        <v>3.1484999999999999</v>
      </c>
      <c r="AN80" s="9">
        <f t="shared" si="25"/>
        <v>0.62969999999999993</v>
      </c>
      <c r="AO80" s="9">
        <f t="shared" si="26"/>
        <v>4.1979999999999995</v>
      </c>
      <c r="AP80" s="9">
        <f t="shared" si="27"/>
        <v>0.41979999999999995</v>
      </c>
      <c r="AQ80" s="9">
        <f t="shared" si="28"/>
        <v>4.1979999999999995</v>
      </c>
      <c r="AR80" s="9">
        <f t="shared" si="29"/>
        <v>5.2474999999999996</v>
      </c>
      <c r="AS80" s="11">
        <f t="shared" si="30"/>
        <v>2.0306666666666668</v>
      </c>
      <c r="AT80" s="12">
        <f t="shared" si="31"/>
        <v>1.3310000000000002</v>
      </c>
    </row>
    <row r="81" spans="1:46" ht="16.5" x14ac:dyDescent="0.4">
      <c r="A81" s="1" t="s">
        <v>409</v>
      </c>
      <c r="B81" s="7" t="s">
        <v>42</v>
      </c>
      <c r="C81" s="7" t="s">
        <v>42</v>
      </c>
      <c r="D81" s="1" t="s">
        <v>410</v>
      </c>
      <c r="E81" s="1" t="s">
        <v>411</v>
      </c>
      <c r="F81" s="1" t="s">
        <v>412</v>
      </c>
      <c r="G81" s="7" t="str">
        <f>VLOOKUP(A81,[1]done!$A:$I,9,0)</f>
        <v>Other crawling insects</v>
      </c>
      <c r="H81" s="7" t="str" cm="1">
        <f t="array" ref="H81">_xlfn.IFS(
OR(ISNUMBER(SEARCH("mouse",E81)),ISNUMBER(SEARCH("rat",E81)),ISNUMBER(SEARCH("mice",E81)),ISNUMBER(SEARCH("rodent",E81))),"Rodent Control",
OR(ISNUMBER(SEARCH("fly",E81)),ISNUMBER(SEARCH("gnat",E81)),ISNUMBER(SEARCH("insect",E81)),ISNUMBER(SEARCH("mosquito",E81))),"Flying Insect Control",
OR(ISNUMBER(SEARCH("roach",E81)),ISNUMBER(SEARCH("ant",E81)),ISNUMBER(SEARCH("spider",E81)),ISNUMBER(SEARCH("cricket",E81)),ISNUMBER(SEARCH("scorpion",E81)),ISNUMBER(SEARCH("centipede",E81)),ISNUMBER(SEARCH("beetle",E81))),"Crawling Insect Control",
OR(ISNUMBER(SEARCH("tree",E81)),ISNUMBER(SEARCH("lantern",E81)),ISNUMBER(SEARCH("garden",E81)),ISNUMBER(SEARCH("plant",E81))),"Garden Pest Control",
OR(ISNUMBER(SEARCH("grass seed",E81)),ISNUMBER(SEARCH("seed mix",E81))),"Grass Seed",
OR(ISNUMBER(SEARCH("lawn food",E81)),ISNUMBER(SEARCH("fertilizer",E81))),"Lawn Fertilizer",
OR(ISNUMBER(SEARCH("patch",E81)),ISNUMBER(SEARCH("repair",E81)),ISNUMBER(SEARCH("thick'r",E81)),ISNUMBER(SEARCH("thick'r lawn",E81)),ISNUMBER(SEARCH("rapid grass",E81))),"Lawn Repair",
OR(ISNUMBER(SEARCH("weed",E81)),ISNUMBER(SEARCH("crabgrass",E81))),"Weed Control",
OR(ISNUMBER(SEARCH("fungicide",E81)),ISNUMBER(SEARCH("moss",E81))),"Disease &amp; Moss Control",
OR(ISNUMBER(SEARCH("plant food",E81)),ISNUMBER(SEARCH("miracid",E81))),"Plant Nutrition",
OR(ISNUMBER(SEARCH("perlite",E81))),"Soil Amendment",
OR(ISNUMBER(SEARCH("spreader",E81)),ISNUMBER(SEARCH("sprayer",E81)),ISNUMBER(SEARCH("mower",E81)),ISNUMBER(SEARCH("sweeper",E81)),ISNUMBER(SEARCH("pruner",E81)),ISNUMBER(SEARCH("trimmer",E81)),ISNUMBER(SEARCH("pole saw",E81))),"Garden Equipment",
TRUE,"Other"
)</f>
        <v>Flying Insect Control</v>
      </c>
      <c r="I81" s="7" t="str" cm="1">
        <f t="array" ref="I81">_xlfn.IFS(
OR(ISNUMBER(SEARCH("glue trap",E81)),ISNUMBER(SEARCH("glue board",E81))),"Glue Traps",
OR(ISNUMBER(SEARCH("snap trap",E81)),ISNUMBER(SEARCH("power-kill",E81)),ISNUMBER(SEARCH("wide pedal",E81)),ISNUMBER(SEARCH("metal pedal",E81))),"Snap Traps",
OR(ISNUMBER(SEARCH("electronic",E81)),ISNUMBER(SEARCH("zapper",E81))),"Electronic Traps",
OR(ISNUMBER(SEARCH("live catch",E81)),ISNUMBER(SEARCH("multi-catch",E81)),ISNUMBER(SEARCH("catch &amp; hold",E81)),ISNUMBER(SEARCH("tin cat",E81))),"Live Catch Traps",
OR(ISNUMBER(SEARCH("bait",E81)),ISNUMBER(SEARCH("poison",E81))),"Bait &amp; Poison",
ISNUMBER(SEARCH("repellent",E81)),"Repellents",
OR(ISNUMBER(SEARCH("fly trap",E81)),ISNUMBER(SEARCH("fly ribbon",E81)),ISNUMBER(SEARCH("fly stick",E81)),ISNUMBER(SEARCH("window fly",E81)),ISNUMBER(SEARCH("fly magnet",E81))),"Fly Traps",
OR(ISNUMBER(SEARCH("uv",E81)),ISNUMBER(SEARCH("fly light",E81)),ISNUMBER(SEARCH("plug-in",E81))),"UV Fly Traps",
ISNUMBER(SEARCH("roach",E81)),"Roach Traps",
ISNUMBER(SEARCH("ant",E81)),"Ant Traps",
ISNUMBER(SEARCH("spider",E81)),"Spider Traps",
ISNUMBER(SEARCH("mosquito",E81)),"Mosquito Traps",
ISNUMBER(SEARCH("beetle",E81)),"Beetle Traps",
ISNUMBER(SEARCH("lantern",E81)),"Lanternfly Control",
OR(ISNUMBER(SEARCH("tree shield",E81)),ISNUMBER(SEARCH("tree banding",E81)),ISNUMBER(SEARCH("insect barrier",E81))),"Tree Barriers",
OR(ISNUMBER(SEARCH("sun &amp; shade",E81)),ISNUMBER(SEARCH("sun and shade",E81))),"Sun &amp; Shade Mix",
ISNUMBER(SEARCH("tall fescue",E81)),"Tall Fescue",
ISNUMBER(SEARCH("bermudagrass",E81)),"Bermudagrass",
ISNUMBER(SEARCH("kentucky",E81)),"Kentucky Bluegrass",
ISNUMBER(SEARCH("zoysia",E81)),"Zoysia",
ISNUMBER(SEARCH("ryegrass",E81)),"Perennial Ryegrass",
ISNUMBER(SEARCH("centipede",E81)),"Centipede Grass",
ISNUMBER(SEARCH("dense shade",E81)),"Dense Shade Mix",
ISNUMBER(SEARCH("southern gold",E81)),"Southern Gold Mix",
ISNUMBER(SEARCH("heat-tolerant blue",E81)),"Heat-Tolerant Blue Mix",
ISNUMBER(SEARCH("high traffic",E81)),"High Traffic Mix",
ISNUMBER(SEARCH("quick fix",E81)),"Quick Fix Mix",
ISNUMBER(SEARCH("starter",E81)),"Starter Fertilizer",
ISNUMBER(SEARCH("weed &amp; feed",E81)),"Weed &amp; Feed",
ISNUMBER(SEARCH("lawn food",E81)),"Lawn Food",
ISNUMBER(SEARCH("triple action",E81)),"Triple Action Fertilizer",
ISNUMBER(SEARCH("green max",E81)),"Green Max Lawn Food",
ISNUMBER(SEARCH("patchmaster",E81)),"PatchMaster Repair",
ISNUMBER(SEARCH("ez seed",E81)),"EZ Seed Repair",
ISNUMBER(SEARCH("rapid grass",E81)),"Rapid Grass",
ISNUMBER(SEARCH("thick'r lawn",E81)),"Thick'R Lawn",
ISNUMBER(SEARCH("fungicide",E81)),"Fungicide",
ISNUMBER(SEARCH("moss",E81)),"Moss Control",
ISNUMBER(SEARCH("perlite",E81)),"Perlite",
ISNUMBER(SEARCH("plant food",E81)),"Plant Food",
ISNUMBER(SEARCH("spreader",E81)),"Spreader",
ISNUMBER(SEARCH("sprayer",E81)),"Sprayer",
ISNUMBER(SEARCH("mower",E81)),"Lawn Mower",
ISNUMBER(SEARCH("sweeper",E81)),"Lawn Sweeper",
OR(ISNUMBER(SEARCH("pruner",E81)),ISNUMBER(SEARCH("trimmer",E81)),ISNUMBER(SEARCH("pole saw",E81))),"Pruning Tools",
TRUE,"Other"
)</f>
        <v>Ant Traps</v>
      </c>
      <c r="J81" s="7" t="str">
        <f t="shared" si="18"/>
        <v>Flying Insect Control - Ant Traps</v>
      </c>
      <c r="K81" s="1">
        <v>100</v>
      </c>
      <c r="L81" s="1">
        <v>4.3</v>
      </c>
      <c r="M81" s="1">
        <v>240</v>
      </c>
      <c r="N81" s="1" t="s">
        <v>413</v>
      </c>
      <c r="O81" s="1">
        <f>VLOOKUP(A81,[2]Sheet1!$A:$B,2,0)</f>
        <v>0</v>
      </c>
      <c r="P81" s="1">
        <f>VLOOKUP(A81,[2]Sheet1!$A:$C,3,0)</f>
        <v>0</v>
      </c>
      <c r="Q81" s="7">
        <f>VLOOKUP(A81,[2]Sheet1!$A:$D,4,0)</f>
        <v>50</v>
      </c>
      <c r="R81" s="7">
        <f>VLOOKUP(A81,[2]Sheet1!$A:$E,5,0)</f>
        <v>100</v>
      </c>
      <c r="S81" s="7">
        <f>VLOOKUP(A81,[2]Sheet1!$A:$F,6,0)</f>
        <v>100</v>
      </c>
      <c r="T81" s="7">
        <f>VLOOKUP(A81,[2]Sheet1!$A:$G,7,0)</f>
        <v>200</v>
      </c>
      <c r="U81" s="7">
        <f>VLOOKUP(A81,[2]Sheet1!$A:$H,8,0)</f>
        <v>200</v>
      </c>
      <c r="V81" s="7">
        <f>VLOOKUP(A81,[2]Sheet1!$A:$I,9,0)</f>
        <v>100</v>
      </c>
      <c r="W81" s="7">
        <f>VLOOKUP(A81,[2]Sheet1!$A:$K,10,0)</f>
        <v>100</v>
      </c>
      <c r="X81" s="7">
        <f>VLOOKUP(A81,[2]Sheet1!$A:$L,11,0)</f>
        <v>50</v>
      </c>
      <c r="Y81" s="7">
        <f>VLOOKUP(A81,[2]Sheet1!$A:$L,12,0)</f>
        <v>50</v>
      </c>
      <c r="Z81" s="7">
        <f>VLOOKUP(A81,[2]Sheet1!$A:$M,13,0)</f>
        <v>50</v>
      </c>
      <c r="AA81" s="1">
        <f t="shared" si="16"/>
        <v>1000</v>
      </c>
      <c r="AB81" s="7">
        <f t="shared" si="19"/>
        <v>83</v>
      </c>
      <c r="AC81" s="13">
        <f t="shared" si="17"/>
        <v>83.333333333333329</v>
      </c>
      <c r="AD81" s="9">
        <f t="shared" si="20"/>
        <v>35460</v>
      </c>
      <c r="AE81" s="9">
        <f t="shared" si="21"/>
        <v>2955</v>
      </c>
      <c r="AF81" s="11">
        <v>8.0399999999999991</v>
      </c>
      <c r="AG81" s="11">
        <v>35.46</v>
      </c>
      <c r="AH81" s="9">
        <f t="shared" si="22"/>
        <v>0.34293333333333337</v>
      </c>
      <c r="AI81" s="11">
        <f t="shared" si="23"/>
        <v>1.2002666666666666</v>
      </c>
      <c r="AJ81" s="14">
        <v>0.5</v>
      </c>
      <c r="AK81" s="14">
        <v>0.5</v>
      </c>
      <c r="AL81" s="11">
        <v>8.0399999999999991</v>
      </c>
      <c r="AM81" s="9">
        <f t="shared" si="24"/>
        <v>5.319</v>
      </c>
      <c r="AN81" s="9">
        <f t="shared" si="25"/>
        <v>1.0638000000000001</v>
      </c>
      <c r="AO81" s="9">
        <f t="shared" si="26"/>
        <v>7.0920000000000005</v>
      </c>
      <c r="AP81" s="9">
        <f t="shared" si="27"/>
        <v>0.70920000000000005</v>
      </c>
      <c r="AQ81" s="9">
        <f t="shared" si="28"/>
        <v>7.0920000000000005</v>
      </c>
      <c r="AR81" s="9">
        <f t="shared" si="29"/>
        <v>8.8650000000000002</v>
      </c>
      <c r="AS81" s="11">
        <f t="shared" si="30"/>
        <v>3.4293333333333336</v>
      </c>
      <c r="AT81" s="12">
        <f t="shared" si="31"/>
        <v>2.2473333333333336</v>
      </c>
    </row>
    <row r="82" spans="1:46" ht="16.5" x14ac:dyDescent="0.4">
      <c r="A82" s="1" t="s">
        <v>414</v>
      </c>
      <c r="B82" s="7" t="s">
        <v>42</v>
      </c>
      <c r="C82" s="7" t="s">
        <v>42</v>
      </c>
      <c r="D82" s="1" t="s">
        <v>415</v>
      </c>
      <c r="E82" s="1" t="s">
        <v>416</v>
      </c>
      <c r="F82" s="1" t="s">
        <v>417</v>
      </c>
      <c r="G82" s="7" t="str">
        <f>VLOOKUP(A82,[1]done!$A:$I,9,0)</f>
        <v>Mosquito/Fly</v>
      </c>
      <c r="H82" s="7" t="str" cm="1">
        <f t="array" ref="H82">_xlfn.IFS(
OR(ISNUMBER(SEARCH("mouse",E82)),ISNUMBER(SEARCH("rat",E82)),ISNUMBER(SEARCH("mice",E82)),ISNUMBER(SEARCH("rodent",E82))),"Rodent Control",
OR(ISNUMBER(SEARCH("fly",E82)),ISNUMBER(SEARCH("gnat",E82)),ISNUMBER(SEARCH("insect",E82)),ISNUMBER(SEARCH("mosquito",E82))),"Flying Insect Control",
OR(ISNUMBER(SEARCH("roach",E82)),ISNUMBER(SEARCH("ant",E82)),ISNUMBER(SEARCH("spider",E82)),ISNUMBER(SEARCH("cricket",E82)),ISNUMBER(SEARCH("scorpion",E82)),ISNUMBER(SEARCH("centipede",E82)),ISNUMBER(SEARCH("beetle",E82))),"Crawling Insect Control",
OR(ISNUMBER(SEARCH("tree",E82)),ISNUMBER(SEARCH("lantern",E82)),ISNUMBER(SEARCH("garden",E82)),ISNUMBER(SEARCH("plant",E82))),"Garden Pest Control",
OR(ISNUMBER(SEARCH("grass seed",E82)),ISNUMBER(SEARCH("seed mix",E82))),"Grass Seed",
OR(ISNUMBER(SEARCH("lawn food",E82)),ISNUMBER(SEARCH("fertilizer",E82))),"Lawn Fertilizer",
OR(ISNUMBER(SEARCH("patch",E82)),ISNUMBER(SEARCH("repair",E82)),ISNUMBER(SEARCH("thick'r",E82)),ISNUMBER(SEARCH("thick'r lawn",E82)),ISNUMBER(SEARCH("rapid grass",E82))),"Lawn Repair",
OR(ISNUMBER(SEARCH("weed",E82)),ISNUMBER(SEARCH("crabgrass",E82))),"Weed Control",
OR(ISNUMBER(SEARCH("fungicide",E82)),ISNUMBER(SEARCH("moss",E82))),"Disease &amp; Moss Control",
OR(ISNUMBER(SEARCH("plant food",E82)),ISNUMBER(SEARCH("miracid",E82))),"Plant Nutrition",
OR(ISNUMBER(SEARCH("perlite",E82))),"Soil Amendment",
OR(ISNUMBER(SEARCH("spreader",E82)),ISNUMBER(SEARCH("sprayer",E82)),ISNUMBER(SEARCH("mower",E82)),ISNUMBER(SEARCH("sweeper",E82)),ISNUMBER(SEARCH("pruner",E82)),ISNUMBER(SEARCH("trimmer",E82)),ISNUMBER(SEARCH("pole saw",E82))),"Garden Equipment",
TRUE,"Other"
)</f>
        <v>Flying Insect Control</v>
      </c>
      <c r="I82" s="7" t="str" cm="1">
        <f t="array" ref="I82">_xlfn.IFS(
OR(ISNUMBER(SEARCH("glue trap",E82)),ISNUMBER(SEARCH("glue board",E82))),"Glue Traps",
OR(ISNUMBER(SEARCH("snap trap",E82)),ISNUMBER(SEARCH("power-kill",E82)),ISNUMBER(SEARCH("wide pedal",E82)),ISNUMBER(SEARCH("metal pedal",E82))),"Snap Traps",
OR(ISNUMBER(SEARCH("electronic",E82)),ISNUMBER(SEARCH("zapper",E82))),"Electronic Traps",
OR(ISNUMBER(SEARCH("live catch",E82)),ISNUMBER(SEARCH("multi-catch",E82)),ISNUMBER(SEARCH("catch &amp; hold",E82)),ISNUMBER(SEARCH("tin cat",E82))),"Live Catch Traps",
OR(ISNUMBER(SEARCH("bait",E82)),ISNUMBER(SEARCH("poison",E82))),"Bait &amp; Poison",
ISNUMBER(SEARCH("repellent",E82)),"Repellents",
OR(ISNUMBER(SEARCH("fly trap",E82)),ISNUMBER(SEARCH("fly ribbon",E82)),ISNUMBER(SEARCH("fly stick",E82)),ISNUMBER(SEARCH("window fly",E82)),ISNUMBER(SEARCH("fly magnet",E82))),"Fly Traps",
OR(ISNUMBER(SEARCH("uv",E82)),ISNUMBER(SEARCH("fly light",E82)),ISNUMBER(SEARCH("plug-in",E82))),"UV Fly Traps",
ISNUMBER(SEARCH("roach",E82)),"Roach Traps",
ISNUMBER(SEARCH("ant",E82)),"Ant Traps",
ISNUMBER(SEARCH("spider",E82)),"Spider Traps",
ISNUMBER(SEARCH("mosquito",E82)),"Mosquito Traps",
ISNUMBER(SEARCH("beetle",E82)),"Beetle Traps",
ISNUMBER(SEARCH("lantern",E82)),"Lanternfly Control",
OR(ISNUMBER(SEARCH("tree shield",E82)),ISNUMBER(SEARCH("tree banding",E82)),ISNUMBER(SEARCH("insect barrier",E82))),"Tree Barriers",
OR(ISNUMBER(SEARCH("sun &amp; shade",E82)),ISNUMBER(SEARCH("sun and shade",E82))),"Sun &amp; Shade Mix",
ISNUMBER(SEARCH("tall fescue",E82)),"Tall Fescue",
ISNUMBER(SEARCH("bermudagrass",E82)),"Bermudagrass",
ISNUMBER(SEARCH("kentucky",E82)),"Kentucky Bluegrass",
ISNUMBER(SEARCH("zoysia",E82)),"Zoysia",
ISNUMBER(SEARCH("ryegrass",E82)),"Perennial Ryegrass",
ISNUMBER(SEARCH("centipede",E82)),"Centipede Grass",
ISNUMBER(SEARCH("dense shade",E82)),"Dense Shade Mix",
ISNUMBER(SEARCH("southern gold",E82)),"Southern Gold Mix",
ISNUMBER(SEARCH("heat-tolerant blue",E82)),"Heat-Tolerant Blue Mix",
ISNUMBER(SEARCH("high traffic",E82)),"High Traffic Mix",
ISNUMBER(SEARCH("quick fix",E82)),"Quick Fix Mix",
ISNUMBER(SEARCH("starter",E82)),"Starter Fertilizer",
ISNUMBER(SEARCH("weed &amp; feed",E82)),"Weed &amp; Feed",
ISNUMBER(SEARCH("lawn food",E82)),"Lawn Food",
ISNUMBER(SEARCH("triple action",E82)),"Triple Action Fertilizer",
ISNUMBER(SEARCH("green max",E82)),"Green Max Lawn Food",
ISNUMBER(SEARCH("patchmaster",E82)),"PatchMaster Repair",
ISNUMBER(SEARCH("ez seed",E82)),"EZ Seed Repair",
ISNUMBER(SEARCH("rapid grass",E82)),"Rapid Grass",
ISNUMBER(SEARCH("thick'r lawn",E82)),"Thick'R Lawn",
ISNUMBER(SEARCH("fungicide",E82)),"Fungicide",
ISNUMBER(SEARCH("moss",E82)),"Moss Control",
ISNUMBER(SEARCH("perlite",E82)),"Perlite",
ISNUMBER(SEARCH("plant food",E82)),"Plant Food",
ISNUMBER(SEARCH("spreader",E82)),"Spreader",
ISNUMBER(SEARCH("sprayer",E82)),"Sprayer",
ISNUMBER(SEARCH("mower",E82)),"Lawn Mower",
ISNUMBER(SEARCH("sweeper",E82)),"Lawn Sweeper",
OR(ISNUMBER(SEARCH("pruner",E82)),ISNUMBER(SEARCH("trimmer",E82)),ISNUMBER(SEARCH("pole saw",E82))),"Pruning Tools",
TRUE,"Other"
)</f>
        <v>UV Fly Traps</v>
      </c>
      <c r="J82" s="7" t="str">
        <f t="shared" si="18"/>
        <v>Flying Insect Control - UV Fly Traps</v>
      </c>
      <c r="K82" s="1">
        <v>100</v>
      </c>
      <c r="L82" s="1">
        <v>4.5</v>
      </c>
      <c r="M82" s="1">
        <v>44</v>
      </c>
      <c r="N82" s="1" t="s">
        <v>418</v>
      </c>
      <c r="O82" s="1">
        <f>VLOOKUP(A82,[2]Sheet1!$A:$B,2,0)</f>
        <v>0</v>
      </c>
      <c r="P82" s="1">
        <f>VLOOKUP(A82,[2]Sheet1!$A:$C,3,0)</f>
        <v>0</v>
      </c>
      <c r="Q82" s="7">
        <f>VLOOKUP(A82,[2]Sheet1!$A:$D,4,0)</f>
        <v>0</v>
      </c>
      <c r="R82" s="7">
        <f>VLOOKUP(A82,[2]Sheet1!$A:$E,5,0)</f>
        <v>0</v>
      </c>
      <c r="S82" s="7">
        <f>VLOOKUP(A82,[2]Sheet1!$A:$F,6,0)</f>
        <v>50</v>
      </c>
      <c r="T82" s="7">
        <f>VLOOKUP(A82,[2]Sheet1!$A:$G,7,0)</f>
        <v>100</v>
      </c>
      <c r="U82" s="7">
        <f>VLOOKUP(A82,[2]Sheet1!$A:$H,8,0)</f>
        <v>100</v>
      </c>
      <c r="V82" s="7">
        <f>VLOOKUP(A82,[2]Sheet1!$A:$I,9,0)</f>
        <v>100</v>
      </c>
      <c r="W82" s="7">
        <f>VLOOKUP(A82,[2]Sheet1!$A:$K,10,0)</f>
        <v>100</v>
      </c>
      <c r="X82" s="7">
        <f>VLOOKUP(A82,[2]Sheet1!$A:$L,11,0)</f>
        <v>50</v>
      </c>
      <c r="Y82" s="7">
        <f>VLOOKUP(A82,[2]Sheet1!$A:$L,12,0)</f>
        <v>50</v>
      </c>
      <c r="Z82" s="7">
        <f>VLOOKUP(A82,[2]Sheet1!$A:$M,13,0)</f>
        <v>50</v>
      </c>
      <c r="AA82" s="1">
        <f t="shared" si="16"/>
        <v>600</v>
      </c>
      <c r="AB82" s="7">
        <f t="shared" si="19"/>
        <v>50</v>
      </c>
      <c r="AC82" s="13">
        <f t="shared" si="17"/>
        <v>50</v>
      </c>
      <c r="AD82" s="9">
        <f t="shared" si="20"/>
        <v>90294</v>
      </c>
      <c r="AE82" s="9">
        <f t="shared" si="21"/>
        <v>7524.5</v>
      </c>
      <c r="AF82" s="11">
        <v>9.7799999999999994</v>
      </c>
      <c r="AG82" s="11">
        <v>150.49</v>
      </c>
      <c r="AH82" s="9">
        <f t="shared" si="22"/>
        <v>3.2943999999999996</v>
      </c>
      <c r="AI82" s="11">
        <f t="shared" si="23"/>
        <v>11.530399999999998</v>
      </c>
      <c r="AJ82" s="14">
        <v>0.5</v>
      </c>
      <c r="AK82" s="14">
        <v>0.5</v>
      </c>
      <c r="AL82" s="11">
        <v>9.7799999999999994</v>
      </c>
      <c r="AM82" s="9">
        <f t="shared" si="24"/>
        <v>22.573499999999999</v>
      </c>
      <c r="AN82" s="9">
        <f t="shared" si="25"/>
        <v>4.5147000000000004</v>
      </c>
      <c r="AO82" s="9">
        <f t="shared" si="26"/>
        <v>30.098000000000003</v>
      </c>
      <c r="AP82" s="9">
        <f t="shared" si="27"/>
        <v>3.0098000000000003</v>
      </c>
      <c r="AQ82" s="9">
        <f t="shared" si="28"/>
        <v>30.098000000000003</v>
      </c>
      <c r="AR82" s="9">
        <f t="shared" si="29"/>
        <v>37.622500000000002</v>
      </c>
      <c r="AS82" s="11">
        <f t="shared" si="30"/>
        <v>32.943999999999996</v>
      </c>
      <c r="AT82" s="12">
        <f t="shared" si="31"/>
        <v>27.927666666666664</v>
      </c>
    </row>
    <row r="83" spans="1:46" ht="16.5" x14ac:dyDescent="0.4">
      <c r="A83" s="1" t="s">
        <v>419</v>
      </c>
      <c r="B83" s="7" t="s">
        <v>42</v>
      </c>
      <c r="C83" s="7" t="s">
        <v>1781</v>
      </c>
      <c r="D83" s="1" t="s">
        <v>420</v>
      </c>
      <c r="E83" s="1" t="s">
        <v>421</v>
      </c>
      <c r="F83" s="1" t="s">
        <v>422</v>
      </c>
      <c r="G83" s="7" t="str">
        <f>VLOOKUP(A83,[1]done!$A:$I,9,0)</f>
        <v>Mosquito/Fly</v>
      </c>
      <c r="H83" s="7" t="str" cm="1">
        <f t="array" ref="H83">_xlfn.IFS(
OR(ISNUMBER(SEARCH("mouse",E83)),ISNUMBER(SEARCH("rat",E83)),ISNUMBER(SEARCH("mice",E83)),ISNUMBER(SEARCH("rodent",E83))),"Rodent Control",
OR(ISNUMBER(SEARCH("fly",E83)),ISNUMBER(SEARCH("gnat",E83)),ISNUMBER(SEARCH("insect",E83)),ISNUMBER(SEARCH("mosquito",E83))),"Flying Insect Control",
OR(ISNUMBER(SEARCH("roach",E83)),ISNUMBER(SEARCH("ant",E83)),ISNUMBER(SEARCH("spider",E83)),ISNUMBER(SEARCH("cricket",E83)),ISNUMBER(SEARCH("scorpion",E83)),ISNUMBER(SEARCH("centipede",E83)),ISNUMBER(SEARCH("beetle",E83))),"Crawling Insect Control",
OR(ISNUMBER(SEARCH("tree",E83)),ISNUMBER(SEARCH("lantern",E83)),ISNUMBER(SEARCH("garden",E83)),ISNUMBER(SEARCH("plant",E83))),"Garden Pest Control",
OR(ISNUMBER(SEARCH("grass seed",E83)),ISNUMBER(SEARCH("seed mix",E83))),"Grass Seed",
OR(ISNUMBER(SEARCH("lawn food",E83)),ISNUMBER(SEARCH("fertilizer",E83))),"Lawn Fertilizer",
OR(ISNUMBER(SEARCH("patch",E83)),ISNUMBER(SEARCH("repair",E83)),ISNUMBER(SEARCH("thick'r",E83)),ISNUMBER(SEARCH("thick'r lawn",E83)),ISNUMBER(SEARCH("rapid grass",E83))),"Lawn Repair",
OR(ISNUMBER(SEARCH("weed",E83)),ISNUMBER(SEARCH("crabgrass",E83))),"Weed Control",
OR(ISNUMBER(SEARCH("fungicide",E83)),ISNUMBER(SEARCH("moss",E83))),"Disease &amp; Moss Control",
OR(ISNUMBER(SEARCH("plant food",E83)),ISNUMBER(SEARCH("miracid",E83))),"Plant Nutrition",
OR(ISNUMBER(SEARCH("perlite",E83))),"Soil Amendment",
OR(ISNUMBER(SEARCH("spreader",E83)),ISNUMBER(SEARCH("sprayer",E83)),ISNUMBER(SEARCH("mower",E83)),ISNUMBER(SEARCH("sweeper",E83)),ISNUMBER(SEARCH("pruner",E83)),ISNUMBER(SEARCH("trimmer",E83)),ISNUMBER(SEARCH("pole saw",E83))),"Garden Equipment",
TRUE,"Other"
)</f>
        <v>Flying Insect Control</v>
      </c>
      <c r="I83" s="7" t="str" cm="1">
        <f t="array" ref="I83">_xlfn.IFS(
OR(ISNUMBER(SEARCH("glue trap",E83)),ISNUMBER(SEARCH("glue board",E83))),"Glue Traps",
OR(ISNUMBER(SEARCH("snap trap",E83)),ISNUMBER(SEARCH("power-kill",E83)),ISNUMBER(SEARCH("wide pedal",E83)),ISNUMBER(SEARCH("metal pedal",E83))),"Snap Traps",
OR(ISNUMBER(SEARCH("electronic",E83)),ISNUMBER(SEARCH("zapper",E83))),"Electronic Traps",
OR(ISNUMBER(SEARCH("live catch",E83)),ISNUMBER(SEARCH("multi-catch",E83)),ISNUMBER(SEARCH("catch &amp; hold",E83)),ISNUMBER(SEARCH("tin cat",E83))),"Live Catch Traps",
OR(ISNUMBER(SEARCH("bait",E83)),ISNUMBER(SEARCH("poison",E83))),"Bait &amp; Poison",
ISNUMBER(SEARCH("repellent",E83)),"Repellents",
OR(ISNUMBER(SEARCH("fly trap",E83)),ISNUMBER(SEARCH("fly ribbon",E83)),ISNUMBER(SEARCH("fly stick",E83)),ISNUMBER(SEARCH("window fly",E83)),ISNUMBER(SEARCH("fly magnet",E83))),"Fly Traps",
OR(ISNUMBER(SEARCH("uv",E83)),ISNUMBER(SEARCH("fly light",E83)),ISNUMBER(SEARCH("plug-in",E83))),"UV Fly Traps",
ISNUMBER(SEARCH("roach",E83)),"Roach Traps",
ISNUMBER(SEARCH("ant",E83)),"Ant Traps",
ISNUMBER(SEARCH("spider",E83)),"Spider Traps",
ISNUMBER(SEARCH("mosquito",E83)),"Mosquito Traps",
ISNUMBER(SEARCH("beetle",E83)),"Beetle Traps",
ISNUMBER(SEARCH("lantern",E83)),"Lanternfly Control",
OR(ISNUMBER(SEARCH("tree shield",E83)),ISNUMBER(SEARCH("tree banding",E83)),ISNUMBER(SEARCH("insect barrier",E83))),"Tree Barriers",
OR(ISNUMBER(SEARCH("sun &amp; shade",E83)),ISNUMBER(SEARCH("sun and shade",E83))),"Sun &amp; Shade Mix",
ISNUMBER(SEARCH("tall fescue",E83)),"Tall Fescue",
ISNUMBER(SEARCH("bermudagrass",E83)),"Bermudagrass",
ISNUMBER(SEARCH("kentucky",E83)),"Kentucky Bluegrass",
ISNUMBER(SEARCH("zoysia",E83)),"Zoysia",
ISNUMBER(SEARCH("ryegrass",E83)),"Perennial Ryegrass",
ISNUMBER(SEARCH("centipede",E83)),"Centipede Grass",
ISNUMBER(SEARCH("dense shade",E83)),"Dense Shade Mix",
ISNUMBER(SEARCH("southern gold",E83)),"Southern Gold Mix",
ISNUMBER(SEARCH("heat-tolerant blue",E83)),"Heat-Tolerant Blue Mix",
ISNUMBER(SEARCH("high traffic",E83)),"High Traffic Mix",
ISNUMBER(SEARCH("quick fix",E83)),"Quick Fix Mix",
ISNUMBER(SEARCH("starter",E83)),"Starter Fertilizer",
ISNUMBER(SEARCH("weed &amp; feed",E83)),"Weed &amp; Feed",
ISNUMBER(SEARCH("lawn food",E83)),"Lawn Food",
ISNUMBER(SEARCH("triple action",E83)),"Triple Action Fertilizer",
ISNUMBER(SEARCH("green max",E83)),"Green Max Lawn Food",
ISNUMBER(SEARCH("patchmaster",E83)),"PatchMaster Repair",
ISNUMBER(SEARCH("ez seed",E83)),"EZ Seed Repair",
ISNUMBER(SEARCH("rapid grass",E83)),"Rapid Grass",
ISNUMBER(SEARCH("thick'r lawn",E83)),"Thick'R Lawn",
ISNUMBER(SEARCH("fungicide",E83)),"Fungicide",
ISNUMBER(SEARCH("moss",E83)),"Moss Control",
ISNUMBER(SEARCH("perlite",E83)),"Perlite",
ISNUMBER(SEARCH("plant food",E83)),"Plant Food",
ISNUMBER(SEARCH("spreader",E83)),"Spreader",
ISNUMBER(SEARCH("sprayer",E83)),"Sprayer",
ISNUMBER(SEARCH("mower",E83)),"Lawn Mower",
ISNUMBER(SEARCH("sweeper",E83)),"Lawn Sweeper",
OR(ISNUMBER(SEARCH("pruner",E83)),ISNUMBER(SEARCH("trimmer",E83)),ISNUMBER(SEARCH("pole saw",E83))),"Pruning Tools",
TRUE,"Other"
)</f>
        <v>UV Fly Traps</v>
      </c>
      <c r="J83" s="7" t="str">
        <f t="shared" si="18"/>
        <v>Flying Insect Control - UV Fly Traps</v>
      </c>
      <c r="K83" s="1">
        <v>100</v>
      </c>
      <c r="L83" s="1">
        <v>3.9</v>
      </c>
      <c r="M83" s="1">
        <v>26</v>
      </c>
      <c r="N83" s="1" t="s">
        <v>347</v>
      </c>
      <c r="O83" s="1">
        <f>VLOOKUP(A83,[2]Sheet1!$A:$B,2,0)</f>
        <v>0</v>
      </c>
      <c r="P83" s="1">
        <f>VLOOKUP(A83,[2]Sheet1!$A:$C,3,0)</f>
        <v>0</v>
      </c>
      <c r="Q83" s="7">
        <f>VLOOKUP(A83,[2]Sheet1!$A:$D,4,0)</f>
        <v>0</v>
      </c>
      <c r="R83" s="7">
        <f>VLOOKUP(A83,[2]Sheet1!$A:$E,5,0)</f>
        <v>50</v>
      </c>
      <c r="S83" s="7">
        <f>VLOOKUP(A83,[2]Sheet1!$A:$F,6,0)</f>
        <v>50</v>
      </c>
      <c r="T83" s="7">
        <f>VLOOKUP(A83,[2]Sheet1!$A:$G,7,0)</f>
        <v>50</v>
      </c>
      <c r="U83" s="7">
        <f>VLOOKUP(A83,[2]Sheet1!$A:$H,8,0)</f>
        <v>100</v>
      </c>
      <c r="V83" s="7">
        <f>VLOOKUP(A83,[2]Sheet1!$A:$I,9,0)</f>
        <v>100</v>
      </c>
      <c r="W83" s="7">
        <f>VLOOKUP(A83,[2]Sheet1!$A:$K,10,0)</f>
        <v>100</v>
      </c>
      <c r="X83" s="7">
        <f>VLOOKUP(A83,[2]Sheet1!$A:$L,11,0)</f>
        <v>50</v>
      </c>
      <c r="Y83" s="7">
        <f>VLOOKUP(A83,[2]Sheet1!$A:$L,12,0)</f>
        <v>50</v>
      </c>
      <c r="Z83" s="7">
        <f>VLOOKUP(A83,[2]Sheet1!$A:$M,13,0)</f>
        <v>50</v>
      </c>
      <c r="AA83" s="1">
        <f t="shared" si="16"/>
        <v>600</v>
      </c>
      <c r="AB83" s="7">
        <f t="shared" si="19"/>
        <v>50</v>
      </c>
      <c r="AC83" s="13">
        <f t="shared" si="17"/>
        <v>50</v>
      </c>
      <c r="AD83" s="9">
        <f t="shared" si="20"/>
        <v>111294</v>
      </c>
      <c r="AE83" s="9">
        <f t="shared" si="21"/>
        <v>9274.5</v>
      </c>
      <c r="AF83" s="11">
        <v>12.25</v>
      </c>
      <c r="AG83" s="11">
        <v>185.49</v>
      </c>
      <c r="AH83" s="9">
        <f t="shared" si="22"/>
        <v>4.0630666666666668</v>
      </c>
      <c r="AI83" s="11">
        <f t="shared" si="23"/>
        <v>14.220733333333332</v>
      </c>
      <c r="AJ83" s="14">
        <v>0.5</v>
      </c>
      <c r="AK83" s="14">
        <v>0.5</v>
      </c>
      <c r="AL83" s="11">
        <v>12.25</v>
      </c>
      <c r="AM83" s="9">
        <f t="shared" si="24"/>
        <v>27.823499999999999</v>
      </c>
      <c r="AN83" s="9">
        <f t="shared" si="25"/>
        <v>5.5647000000000002</v>
      </c>
      <c r="AO83" s="9">
        <f t="shared" si="26"/>
        <v>37.098000000000006</v>
      </c>
      <c r="AP83" s="9">
        <f t="shared" si="27"/>
        <v>3.7098000000000004</v>
      </c>
      <c r="AQ83" s="9">
        <f t="shared" si="28"/>
        <v>37.098000000000006</v>
      </c>
      <c r="AR83" s="9">
        <f t="shared" si="29"/>
        <v>46.372500000000002</v>
      </c>
      <c r="AS83" s="11">
        <f t="shared" si="30"/>
        <v>40.630666666666663</v>
      </c>
      <c r="AT83" s="12">
        <f t="shared" si="31"/>
        <v>34.447666666666663</v>
      </c>
    </row>
    <row r="84" spans="1:46" ht="16.5" x14ac:dyDescent="0.4">
      <c r="A84" s="1" t="s">
        <v>423</v>
      </c>
      <c r="B84" s="7" t="s">
        <v>42</v>
      </c>
      <c r="C84" s="7" t="s">
        <v>42</v>
      </c>
      <c r="D84" s="1" t="s">
        <v>424</v>
      </c>
      <c r="E84" s="1" t="s">
        <v>425</v>
      </c>
      <c r="F84" s="1" t="s">
        <v>426</v>
      </c>
      <c r="G84" s="7" t="str">
        <f>VLOOKUP(A84,[1]done!$A:$I,9,0)</f>
        <v>Other crawling insects</v>
      </c>
      <c r="H84" s="7" t="str" cm="1">
        <f t="array" ref="H84">_xlfn.IFS(
OR(ISNUMBER(SEARCH("mouse",E84)),ISNUMBER(SEARCH("rat",E84)),ISNUMBER(SEARCH("mice",E84)),ISNUMBER(SEARCH("rodent",E84))),"Rodent Control",
OR(ISNUMBER(SEARCH("fly",E84)),ISNUMBER(SEARCH("gnat",E84)),ISNUMBER(SEARCH("insect",E84)),ISNUMBER(SEARCH("mosquito",E84))),"Flying Insect Control",
OR(ISNUMBER(SEARCH("roach",E84)),ISNUMBER(SEARCH("ant",E84)),ISNUMBER(SEARCH("spider",E84)),ISNUMBER(SEARCH("cricket",E84)),ISNUMBER(SEARCH("scorpion",E84)),ISNUMBER(SEARCH("centipede",E84)),ISNUMBER(SEARCH("beetle",E84))),"Crawling Insect Control",
OR(ISNUMBER(SEARCH("tree",E84)),ISNUMBER(SEARCH("lantern",E84)),ISNUMBER(SEARCH("garden",E84)),ISNUMBER(SEARCH("plant",E84))),"Garden Pest Control",
OR(ISNUMBER(SEARCH("grass seed",E84)),ISNUMBER(SEARCH("seed mix",E84))),"Grass Seed",
OR(ISNUMBER(SEARCH("lawn food",E84)),ISNUMBER(SEARCH("fertilizer",E84))),"Lawn Fertilizer",
OR(ISNUMBER(SEARCH("patch",E84)),ISNUMBER(SEARCH("repair",E84)),ISNUMBER(SEARCH("thick'r",E84)),ISNUMBER(SEARCH("thick'r lawn",E84)),ISNUMBER(SEARCH("rapid grass",E84))),"Lawn Repair",
OR(ISNUMBER(SEARCH("weed",E84)),ISNUMBER(SEARCH("crabgrass",E84))),"Weed Control",
OR(ISNUMBER(SEARCH("fungicide",E84)),ISNUMBER(SEARCH("moss",E84))),"Disease &amp; Moss Control",
OR(ISNUMBER(SEARCH("plant food",E84)),ISNUMBER(SEARCH("miracid",E84))),"Plant Nutrition",
OR(ISNUMBER(SEARCH("perlite",E84))),"Soil Amendment",
OR(ISNUMBER(SEARCH("spreader",E84)),ISNUMBER(SEARCH("sprayer",E84)),ISNUMBER(SEARCH("mower",E84)),ISNUMBER(SEARCH("sweeper",E84)),ISNUMBER(SEARCH("pruner",E84)),ISNUMBER(SEARCH("trimmer",E84)),ISNUMBER(SEARCH("pole saw",E84))),"Garden Equipment",
TRUE,"Other"
)</f>
        <v>Crawling Insect Control</v>
      </c>
      <c r="I84" s="7" t="str" cm="1">
        <f t="array" ref="I84">_xlfn.IFS(
OR(ISNUMBER(SEARCH("glue trap",E84)),ISNUMBER(SEARCH("glue board",E84))),"Glue Traps",
OR(ISNUMBER(SEARCH("snap trap",E84)),ISNUMBER(SEARCH("power-kill",E84)),ISNUMBER(SEARCH("wide pedal",E84)),ISNUMBER(SEARCH("metal pedal",E84))),"Snap Traps",
OR(ISNUMBER(SEARCH("electronic",E84)),ISNUMBER(SEARCH("zapper",E84))),"Electronic Traps",
OR(ISNUMBER(SEARCH("live catch",E84)),ISNUMBER(SEARCH("multi-catch",E84)),ISNUMBER(SEARCH("catch &amp; hold",E84)),ISNUMBER(SEARCH("tin cat",E84))),"Live Catch Traps",
OR(ISNUMBER(SEARCH("bait",E84)),ISNUMBER(SEARCH("poison",E84))),"Bait &amp; Poison",
ISNUMBER(SEARCH("repellent",E84)),"Repellents",
OR(ISNUMBER(SEARCH("fly trap",E84)),ISNUMBER(SEARCH("fly ribbon",E84)),ISNUMBER(SEARCH("fly stick",E84)),ISNUMBER(SEARCH("window fly",E84)),ISNUMBER(SEARCH("fly magnet",E84))),"Fly Traps",
OR(ISNUMBER(SEARCH("uv",E84)),ISNUMBER(SEARCH("fly light",E84)),ISNUMBER(SEARCH("plug-in",E84))),"UV Fly Traps",
ISNUMBER(SEARCH("roach",E84)),"Roach Traps",
ISNUMBER(SEARCH("ant",E84)),"Ant Traps",
ISNUMBER(SEARCH("spider",E84)),"Spider Traps",
ISNUMBER(SEARCH("mosquito",E84)),"Mosquito Traps",
ISNUMBER(SEARCH("beetle",E84)),"Beetle Traps",
ISNUMBER(SEARCH("lantern",E84)),"Lanternfly Control",
OR(ISNUMBER(SEARCH("tree shield",E84)),ISNUMBER(SEARCH("tree banding",E84)),ISNUMBER(SEARCH("insect barrier",E84))),"Tree Barriers",
OR(ISNUMBER(SEARCH("sun &amp; shade",E84)),ISNUMBER(SEARCH("sun and shade",E84))),"Sun &amp; Shade Mix",
ISNUMBER(SEARCH("tall fescue",E84)),"Tall Fescue",
ISNUMBER(SEARCH("bermudagrass",E84)),"Bermudagrass",
ISNUMBER(SEARCH("kentucky",E84)),"Kentucky Bluegrass",
ISNUMBER(SEARCH("zoysia",E84)),"Zoysia",
ISNUMBER(SEARCH("ryegrass",E84)),"Perennial Ryegrass",
ISNUMBER(SEARCH("centipede",E84)),"Centipede Grass",
ISNUMBER(SEARCH("dense shade",E84)),"Dense Shade Mix",
ISNUMBER(SEARCH("southern gold",E84)),"Southern Gold Mix",
ISNUMBER(SEARCH("heat-tolerant blue",E84)),"Heat-Tolerant Blue Mix",
ISNUMBER(SEARCH("high traffic",E84)),"High Traffic Mix",
ISNUMBER(SEARCH("quick fix",E84)),"Quick Fix Mix",
ISNUMBER(SEARCH("starter",E84)),"Starter Fertilizer",
ISNUMBER(SEARCH("weed &amp; feed",E84)),"Weed &amp; Feed",
ISNUMBER(SEARCH("lawn food",E84)),"Lawn Food",
ISNUMBER(SEARCH("triple action",E84)),"Triple Action Fertilizer",
ISNUMBER(SEARCH("green max",E84)),"Green Max Lawn Food",
ISNUMBER(SEARCH("patchmaster",E84)),"PatchMaster Repair",
ISNUMBER(SEARCH("ez seed",E84)),"EZ Seed Repair",
ISNUMBER(SEARCH("rapid grass",E84)),"Rapid Grass",
ISNUMBER(SEARCH("thick'r lawn",E84)),"Thick'R Lawn",
ISNUMBER(SEARCH("fungicide",E84)),"Fungicide",
ISNUMBER(SEARCH("moss",E84)),"Moss Control",
ISNUMBER(SEARCH("perlite",E84)),"Perlite",
ISNUMBER(SEARCH("plant food",E84)),"Plant Food",
ISNUMBER(SEARCH("spreader",E84)),"Spreader",
ISNUMBER(SEARCH("sprayer",E84)),"Sprayer",
ISNUMBER(SEARCH("mower",E84)),"Lawn Mower",
ISNUMBER(SEARCH("sweeper",E84)),"Lawn Sweeper",
OR(ISNUMBER(SEARCH("pruner",E84)),ISNUMBER(SEARCH("trimmer",E84)),ISNUMBER(SEARCH("pole saw",E84))),"Pruning Tools",
TRUE,"Other"
)</f>
        <v>Beetle Traps</v>
      </c>
      <c r="J84" s="7" t="str">
        <f t="shared" si="18"/>
        <v>Crawling Insect Control - Beetle Traps</v>
      </c>
      <c r="K84" s="1">
        <v>100</v>
      </c>
      <c r="L84" s="1">
        <v>4.0999999999999996</v>
      </c>
      <c r="M84" s="1">
        <v>1095</v>
      </c>
      <c r="N84" s="1" t="s">
        <v>427</v>
      </c>
      <c r="O84" s="1">
        <f>VLOOKUP(A84,[2]Sheet1!$A:$B,2,0)</f>
        <v>0</v>
      </c>
      <c r="P84" s="1">
        <f>VLOOKUP(A84,[2]Sheet1!$A:$C,3,0)</f>
        <v>0</v>
      </c>
      <c r="Q84" s="7">
        <f>VLOOKUP(A84,[2]Sheet1!$A:$D,4,0)</f>
        <v>0</v>
      </c>
      <c r="R84" s="7">
        <f>VLOOKUP(A84,[2]Sheet1!$A:$E,5,0)</f>
        <v>250</v>
      </c>
      <c r="S84" s="7">
        <f>VLOOKUP(A84,[2]Sheet1!$A:$F,6,0)</f>
        <v>500</v>
      </c>
      <c r="T84" s="7">
        <f>VLOOKUP(A84,[2]Sheet1!$A:$G,7,0)</f>
        <v>2000</v>
      </c>
      <c r="U84" s="7">
        <f>VLOOKUP(A84,[2]Sheet1!$A:$H,8,0)</f>
        <v>10000</v>
      </c>
      <c r="V84" s="7">
        <f>VLOOKUP(A84,[2]Sheet1!$A:$I,9,0)</f>
        <v>1000</v>
      </c>
      <c r="W84" s="7">
        <f>VLOOKUP(A84,[2]Sheet1!$A:$K,10,0)</f>
        <v>250</v>
      </c>
      <c r="X84" s="7">
        <f>VLOOKUP(A84,[2]Sheet1!$A:$L,11,0)</f>
        <v>0</v>
      </c>
      <c r="Y84" s="7">
        <f>VLOOKUP(A84,[2]Sheet1!$A:$L,12,0)</f>
        <v>0</v>
      </c>
      <c r="Z84" s="7">
        <f>VLOOKUP(A84,[2]Sheet1!$A:$M,13,0)</f>
        <v>0</v>
      </c>
      <c r="AA84" s="1">
        <f t="shared" si="16"/>
        <v>14000</v>
      </c>
      <c r="AB84" s="7">
        <f t="shared" si="19"/>
        <v>1167</v>
      </c>
      <c r="AC84" s="13">
        <f t="shared" si="17"/>
        <v>1166.6666666666667</v>
      </c>
      <c r="AD84" s="9">
        <f t="shared" si="20"/>
        <v>489860</v>
      </c>
      <c r="AE84" s="9">
        <f t="shared" si="21"/>
        <v>40821.666666666672</v>
      </c>
      <c r="AF84" s="11">
        <v>4.76</v>
      </c>
      <c r="AG84" s="11">
        <v>34.99</v>
      </c>
      <c r="AH84" s="9">
        <f t="shared" si="22"/>
        <v>0.54906666666666659</v>
      </c>
      <c r="AI84" s="11">
        <f t="shared" si="23"/>
        <v>1.9217333333333328</v>
      </c>
      <c r="AJ84" s="14">
        <v>0.5</v>
      </c>
      <c r="AK84" s="14">
        <v>0.5</v>
      </c>
      <c r="AL84" s="11">
        <v>4.76</v>
      </c>
      <c r="AM84" s="9">
        <f t="shared" si="24"/>
        <v>5.2484999999999999</v>
      </c>
      <c r="AN84" s="9">
        <f t="shared" si="25"/>
        <v>1.0497000000000001</v>
      </c>
      <c r="AO84" s="9">
        <f t="shared" si="26"/>
        <v>6.9980000000000011</v>
      </c>
      <c r="AP84" s="9">
        <f t="shared" si="27"/>
        <v>0.69980000000000009</v>
      </c>
      <c r="AQ84" s="9">
        <f t="shared" si="28"/>
        <v>6.9980000000000011</v>
      </c>
      <c r="AR84" s="9">
        <f t="shared" si="29"/>
        <v>8.7475000000000005</v>
      </c>
      <c r="AS84" s="11">
        <f t="shared" si="30"/>
        <v>5.4906666666666659</v>
      </c>
      <c r="AT84" s="12">
        <f t="shared" si="31"/>
        <v>4.3243333333333327</v>
      </c>
    </row>
    <row r="85" spans="1:46" ht="16.5" x14ac:dyDescent="0.4">
      <c r="A85" s="1" t="s">
        <v>428</v>
      </c>
      <c r="B85" s="7" t="s">
        <v>42</v>
      </c>
      <c r="C85" s="7" t="s">
        <v>1782</v>
      </c>
      <c r="D85" s="1" t="s">
        <v>429</v>
      </c>
      <c r="E85" s="1" t="s">
        <v>430</v>
      </c>
      <c r="F85" s="1" t="s">
        <v>431</v>
      </c>
      <c r="G85" s="7" t="str">
        <f>VLOOKUP(A85,[1]done!$A:$I,9,0)</f>
        <v>Rodent</v>
      </c>
      <c r="H85" s="7" t="str" cm="1">
        <f t="array" ref="H85">_xlfn.IFS(
OR(ISNUMBER(SEARCH("mouse",E85)),ISNUMBER(SEARCH("rat",E85)),ISNUMBER(SEARCH("mice",E85)),ISNUMBER(SEARCH("rodent",E85))),"Rodent Control",
OR(ISNUMBER(SEARCH("fly",E85)),ISNUMBER(SEARCH("gnat",E85)),ISNUMBER(SEARCH("insect",E85)),ISNUMBER(SEARCH("mosquito",E85))),"Flying Insect Control",
OR(ISNUMBER(SEARCH("roach",E85)),ISNUMBER(SEARCH("ant",E85)),ISNUMBER(SEARCH("spider",E85)),ISNUMBER(SEARCH("cricket",E85)),ISNUMBER(SEARCH("scorpion",E85)),ISNUMBER(SEARCH("centipede",E85)),ISNUMBER(SEARCH("beetle",E85))),"Crawling Insect Control",
OR(ISNUMBER(SEARCH("tree",E85)),ISNUMBER(SEARCH("lantern",E85)),ISNUMBER(SEARCH("garden",E85)),ISNUMBER(SEARCH("plant",E85))),"Garden Pest Control",
OR(ISNUMBER(SEARCH("grass seed",E85)),ISNUMBER(SEARCH("seed mix",E85))),"Grass Seed",
OR(ISNUMBER(SEARCH("lawn food",E85)),ISNUMBER(SEARCH("fertilizer",E85))),"Lawn Fertilizer",
OR(ISNUMBER(SEARCH("patch",E85)),ISNUMBER(SEARCH("repair",E85)),ISNUMBER(SEARCH("thick'r",E85)),ISNUMBER(SEARCH("thick'r lawn",E85)),ISNUMBER(SEARCH("rapid grass",E85))),"Lawn Repair",
OR(ISNUMBER(SEARCH("weed",E85)),ISNUMBER(SEARCH("crabgrass",E85))),"Weed Control",
OR(ISNUMBER(SEARCH("fungicide",E85)),ISNUMBER(SEARCH("moss",E85))),"Disease &amp; Moss Control",
OR(ISNUMBER(SEARCH("plant food",E85)),ISNUMBER(SEARCH("miracid",E85))),"Plant Nutrition",
OR(ISNUMBER(SEARCH("perlite",E85))),"Soil Amendment",
OR(ISNUMBER(SEARCH("spreader",E85)),ISNUMBER(SEARCH("sprayer",E85)),ISNUMBER(SEARCH("mower",E85)),ISNUMBER(SEARCH("sweeper",E85)),ISNUMBER(SEARCH("pruner",E85)),ISNUMBER(SEARCH("trimmer",E85)),ISNUMBER(SEARCH("pole saw",E85))),"Garden Equipment",
TRUE,"Other"
)</f>
        <v>Rodent Control</v>
      </c>
      <c r="I85" s="7" t="str" cm="1">
        <f t="array" ref="I85">_xlfn.IFS(
OR(ISNUMBER(SEARCH("glue trap",E85)),ISNUMBER(SEARCH("glue board",E85))),"Glue Traps",
OR(ISNUMBER(SEARCH("snap trap",E85)),ISNUMBER(SEARCH("power-kill",E85)),ISNUMBER(SEARCH("wide pedal",E85)),ISNUMBER(SEARCH("metal pedal",E85))),"Snap Traps",
OR(ISNUMBER(SEARCH("electronic",E85)),ISNUMBER(SEARCH("zapper",E85))),"Electronic Traps",
OR(ISNUMBER(SEARCH("live catch",E85)),ISNUMBER(SEARCH("multi-catch",E85)),ISNUMBER(SEARCH("catch &amp; hold",E85)),ISNUMBER(SEARCH("tin cat",E85))),"Live Catch Traps",
OR(ISNUMBER(SEARCH("bait",E85)),ISNUMBER(SEARCH("poison",E85))),"Bait &amp; Poison",
ISNUMBER(SEARCH("repellent",E85)),"Repellents",
OR(ISNUMBER(SEARCH("fly trap",E85)),ISNUMBER(SEARCH("fly ribbon",E85)),ISNUMBER(SEARCH("fly stick",E85)),ISNUMBER(SEARCH("window fly",E85)),ISNUMBER(SEARCH("fly magnet",E85))),"Fly Traps",
OR(ISNUMBER(SEARCH("uv",E85)),ISNUMBER(SEARCH("fly light",E85)),ISNUMBER(SEARCH("plug-in",E85))),"UV Fly Traps",
ISNUMBER(SEARCH("roach",E85)),"Roach Traps",
ISNUMBER(SEARCH("ant",E85)),"Ant Traps",
ISNUMBER(SEARCH("spider",E85)),"Spider Traps",
ISNUMBER(SEARCH("mosquito",E85)),"Mosquito Traps",
ISNUMBER(SEARCH("beetle",E85)),"Beetle Traps",
ISNUMBER(SEARCH("lantern",E85)),"Lanternfly Control",
OR(ISNUMBER(SEARCH("tree shield",E85)),ISNUMBER(SEARCH("tree banding",E85)),ISNUMBER(SEARCH("insect barrier",E85))),"Tree Barriers",
OR(ISNUMBER(SEARCH("sun &amp; shade",E85)),ISNUMBER(SEARCH("sun and shade",E85))),"Sun &amp; Shade Mix",
ISNUMBER(SEARCH("tall fescue",E85)),"Tall Fescue",
ISNUMBER(SEARCH("bermudagrass",E85)),"Bermudagrass",
ISNUMBER(SEARCH("kentucky",E85)),"Kentucky Bluegrass",
ISNUMBER(SEARCH("zoysia",E85)),"Zoysia",
ISNUMBER(SEARCH("ryegrass",E85)),"Perennial Ryegrass",
ISNUMBER(SEARCH("centipede",E85)),"Centipede Grass",
ISNUMBER(SEARCH("dense shade",E85)),"Dense Shade Mix",
ISNUMBER(SEARCH("southern gold",E85)),"Southern Gold Mix",
ISNUMBER(SEARCH("heat-tolerant blue",E85)),"Heat-Tolerant Blue Mix",
ISNUMBER(SEARCH("high traffic",E85)),"High Traffic Mix",
ISNUMBER(SEARCH("quick fix",E85)),"Quick Fix Mix",
ISNUMBER(SEARCH("starter",E85)),"Starter Fertilizer",
ISNUMBER(SEARCH("weed &amp; feed",E85)),"Weed &amp; Feed",
ISNUMBER(SEARCH("lawn food",E85)),"Lawn Food",
ISNUMBER(SEARCH("triple action",E85)),"Triple Action Fertilizer",
ISNUMBER(SEARCH("green max",E85)),"Green Max Lawn Food",
ISNUMBER(SEARCH("patchmaster",E85)),"PatchMaster Repair",
ISNUMBER(SEARCH("ez seed",E85)),"EZ Seed Repair",
ISNUMBER(SEARCH("rapid grass",E85)),"Rapid Grass",
ISNUMBER(SEARCH("thick'r lawn",E85)),"Thick'R Lawn",
ISNUMBER(SEARCH("fungicide",E85)),"Fungicide",
ISNUMBER(SEARCH("moss",E85)),"Moss Control",
ISNUMBER(SEARCH("perlite",E85)),"Perlite",
ISNUMBER(SEARCH("plant food",E85)),"Plant Food",
ISNUMBER(SEARCH("spreader",E85)),"Spreader",
ISNUMBER(SEARCH("sprayer",E85)),"Sprayer",
ISNUMBER(SEARCH("mower",E85)),"Lawn Mower",
ISNUMBER(SEARCH("sweeper",E85)),"Lawn Sweeper",
OR(ISNUMBER(SEARCH("pruner",E85)),ISNUMBER(SEARCH("trimmer",E85)),ISNUMBER(SEARCH("pole saw",E85))),"Pruning Tools",
TRUE,"Other"
)</f>
        <v>Glue Traps</v>
      </c>
      <c r="J85" s="7" t="str">
        <f t="shared" si="18"/>
        <v>Rodent Control - Glue Traps</v>
      </c>
      <c r="K85" s="1">
        <v>100</v>
      </c>
      <c r="L85" s="1">
        <v>4.5999999999999996</v>
      </c>
      <c r="M85" s="1">
        <v>621</v>
      </c>
      <c r="N85" s="1"/>
      <c r="O85" s="1">
        <f>VLOOKUP(A85,[2]Sheet1!$A:$B,2,0)</f>
        <v>100</v>
      </c>
      <c r="P85" s="1">
        <f>VLOOKUP(A85,[2]Sheet1!$A:$C,3,0)</f>
        <v>50</v>
      </c>
      <c r="Q85" s="7">
        <f>VLOOKUP(A85,[2]Sheet1!$A:$D,4,0)</f>
        <v>100</v>
      </c>
      <c r="R85" s="7">
        <f>VLOOKUP(A85,[2]Sheet1!$A:$E,5,0)</f>
        <v>100</v>
      </c>
      <c r="S85" s="7">
        <f>VLOOKUP(A85,[2]Sheet1!$A:$F,6,0)</f>
        <v>100</v>
      </c>
      <c r="T85" s="7">
        <f>VLOOKUP(A85,[2]Sheet1!$A:$G,7,0)</f>
        <v>100</v>
      </c>
      <c r="U85" s="7">
        <f>VLOOKUP(A85,[2]Sheet1!$A:$H,8,0)</f>
        <v>100</v>
      </c>
      <c r="V85" s="7">
        <f>VLOOKUP(A85,[2]Sheet1!$A:$I,9,0)</f>
        <v>100</v>
      </c>
      <c r="W85" s="7">
        <f>VLOOKUP(A85,[2]Sheet1!$A:$K,10,0)</f>
        <v>100</v>
      </c>
      <c r="X85" s="7">
        <f>VLOOKUP(A85,[2]Sheet1!$A:$L,11,0)</f>
        <v>200</v>
      </c>
      <c r="Y85" s="7">
        <f>VLOOKUP(A85,[2]Sheet1!$A:$L,12,0)</f>
        <v>200</v>
      </c>
      <c r="Z85" s="7">
        <f>VLOOKUP(A85,[2]Sheet1!$A:$M,13,0)</f>
        <v>100</v>
      </c>
      <c r="AA85" s="1">
        <f t="shared" si="16"/>
        <v>1350</v>
      </c>
      <c r="AB85" s="7">
        <f t="shared" si="19"/>
        <v>113</v>
      </c>
      <c r="AC85" s="13">
        <f t="shared" si="17"/>
        <v>112.5</v>
      </c>
      <c r="AD85" s="9">
        <f t="shared" si="20"/>
        <v>45900</v>
      </c>
      <c r="AE85" s="9">
        <f t="shared" si="21"/>
        <v>3825</v>
      </c>
      <c r="AF85" s="11">
        <v>7.65</v>
      </c>
      <c r="AG85" s="11">
        <v>34</v>
      </c>
      <c r="AH85" s="9">
        <f t="shared" si="22"/>
        <v>0.32999999999999985</v>
      </c>
      <c r="AI85" s="11">
        <f t="shared" si="23"/>
        <v>1.1549999999999994</v>
      </c>
      <c r="AJ85" s="14">
        <v>0.5</v>
      </c>
      <c r="AK85" s="14">
        <v>0.5</v>
      </c>
      <c r="AL85" s="11">
        <v>7.65</v>
      </c>
      <c r="AM85" s="9">
        <f t="shared" si="24"/>
        <v>5.0999999999999996</v>
      </c>
      <c r="AN85" s="9">
        <f t="shared" si="25"/>
        <v>1.02</v>
      </c>
      <c r="AO85" s="9">
        <f t="shared" si="26"/>
        <v>6.8000000000000007</v>
      </c>
      <c r="AP85" s="9">
        <f t="shared" si="27"/>
        <v>0.68</v>
      </c>
      <c r="AQ85" s="9">
        <f t="shared" si="28"/>
        <v>6.8000000000000007</v>
      </c>
      <c r="AR85" s="9">
        <f t="shared" si="29"/>
        <v>8.5</v>
      </c>
      <c r="AS85" s="11">
        <f t="shared" si="30"/>
        <v>3.2999999999999985</v>
      </c>
      <c r="AT85" s="12">
        <f t="shared" si="31"/>
        <v>2.1666666666666656</v>
      </c>
    </row>
    <row r="86" spans="1:46" ht="16.5" x14ac:dyDescent="0.4">
      <c r="A86" s="1" t="s">
        <v>432</v>
      </c>
      <c r="B86" s="7" t="s">
        <v>42</v>
      </c>
      <c r="C86" s="7" t="s">
        <v>42</v>
      </c>
      <c r="D86" s="1" t="s">
        <v>433</v>
      </c>
      <c r="E86" s="1" t="s">
        <v>434</v>
      </c>
      <c r="F86" s="1" t="s">
        <v>435</v>
      </c>
      <c r="G86" s="7" t="str">
        <f>VLOOKUP(A86,[1]done!$A:$I,9,0)</f>
        <v>Rodent</v>
      </c>
      <c r="H86" s="7" t="str" cm="1">
        <f t="array" ref="H86">_xlfn.IFS(
OR(ISNUMBER(SEARCH("mouse",E86)),ISNUMBER(SEARCH("rat",E86)),ISNUMBER(SEARCH("mice",E86)),ISNUMBER(SEARCH("rodent",E86))),"Rodent Control",
OR(ISNUMBER(SEARCH("fly",E86)),ISNUMBER(SEARCH("gnat",E86)),ISNUMBER(SEARCH("insect",E86)),ISNUMBER(SEARCH("mosquito",E86))),"Flying Insect Control",
OR(ISNUMBER(SEARCH("roach",E86)),ISNUMBER(SEARCH("ant",E86)),ISNUMBER(SEARCH("spider",E86)),ISNUMBER(SEARCH("cricket",E86)),ISNUMBER(SEARCH("scorpion",E86)),ISNUMBER(SEARCH("centipede",E86)),ISNUMBER(SEARCH("beetle",E86))),"Crawling Insect Control",
OR(ISNUMBER(SEARCH("tree",E86)),ISNUMBER(SEARCH("lantern",E86)),ISNUMBER(SEARCH("garden",E86)),ISNUMBER(SEARCH("plant",E86))),"Garden Pest Control",
OR(ISNUMBER(SEARCH("grass seed",E86)),ISNUMBER(SEARCH("seed mix",E86))),"Grass Seed",
OR(ISNUMBER(SEARCH("lawn food",E86)),ISNUMBER(SEARCH("fertilizer",E86))),"Lawn Fertilizer",
OR(ISNUMBER(SEARCH("patch",E86)),ISNUMBER(SEARCH("repair",E86)),ISNUMBER(SEARCH("thick'r",E86)),ISNUMBER(SEARCH("thick'r lawn",E86)),ISNUMBER(SEARCH("rapid grass",E86))),"Lawn Repair",
OR(ISNUMBER(SEARCH("weed",E86)),ISNUMBER(SEARCH("crabgrass",E86))),"Weed Control",
OR(ISNUMBER(SEARCH("fungicide",E86)),ISNUMBER(SEARCH("moss",E86))),"Disease &amp; Moss Control",
OR(ISNUMBER(SEARCH("plant food",E86)),ISNUMBER(SEARCH("miracid",E86))),"Plant Nutrition",
OR(ISNUMBER(SEARCH("perlite",E86))),"Soil Amendment",
OR(ISNUMBER(SEARCH("spreader",E86)),ISNUMBER(SEARCH("sprayer",E86)),ISNUMBER(SEARCH("mower",E86)),ISNUMBER(SEARCH("sweeper",E86)),ISNUMBER(SEARCH("pruner",E86)),ISNUMBER(SEARCH("trimmer",E86)),ISNUMBER(SEARCH("pole saw",E86))),"Garden Equipment",
TRUE,"Other"
)</f>
        <v>Rodent Control</v>
      </c>
      <c r="I86" s="7" t="str" cm="1">
        <f t="array" ref="I86">_xlfn.IFS(
OR(ISNUMBER(SEARCH("glue trap",E86)),ISNUMBER(SEARCH("glue board",E86))),"Glue Traps",
OR(ISNUMBER(SEARCH("snap trap",E86)),ISNUMBER(SEARCH("power-kill",E86)),ISNUMBER(SEARCH("wide pedal",E86)),ISNUMBER(SEARCH("metal pedal",E86))),"Snap Traps",
OR(ISNUMBER(SEARCH("electronic",E86)),ISNUMBER(SEARCH("zapper",E86))),"Electronic Traps",
OR(ISNUMBER(SEARCH("live catch",E86)),ISNUMBER(SEARCH("multi-catch",E86)),ISNUMBER(SEARCH("catch &amp; hold",E86)),ISNUMBER(SEARCH("tin cat",E86))),"Live Catch Traps",
OR(ISNUMBER(SEARCH("bait",E86)),ISNUMBER(SEARCH("poison",E86))),"Bait &amp; Poison",
ISNUMBER(SEARCH("repellent",E86)),"Repellents",
OR(ISNUMBER(SEARCH("fly trap",E86)),ISNUMBER(SEARCH("fly ribbon",E86)),ISNUMBER(SEARCH("fly stick",E86)),ISNUMBER(SEARCH("window fly",E86)),ISNUMBER(SEARCH("fly magnet",E86))),"Fly Traps",
OR(ISNUMBER(SEARCH("uv",E86)),ISNUMBER(SEARCH("fly light",E86)),ISNUMBER(SEARCH("plug-in",E86))),"UV Fly Traps",
ISNUMBER(SEARCH("roach",E86)),"Roach Traps",
ISNUMBER(SEARCH("ant",E86)),"Ant Traps",
ISNUMBER(SEARCH("spider",E86)),"Spider Traps",
ISNUMBER(SEARCH("mosquito",E86)),"Mosquito Traps",
ISNUMBER(SEARCH("beetle",E86)),"Beetle Traps",
ISNUMBER(SEARCH("lantern",E86)),"Lanternfly Control",
OR(ISNUMBER(SEARCH("tree shield",E86)),ISNUMBER(SEARCH("tree banding",E86)),ISNUMBER(SEARCH("insect barrier",E86))),"Tree Barriers",
OR(ISNUMBER(SEARCH("sun &amp; shade",E86)),ISNUMBER(SEARCH("sun and shade",E86))),"Sun &amp; Shade Mix",
ISNUMBER(SEARCH("tall fescue",E86)),"Tall Fescue",
ISNUMBER(SEARCH("bermudagrass",E86)),"Bermudagrass",
ISNUMBER(SEARCH("kentucky",E86)),"Kentucky Bluegrass",
ISNUMBER(SEARCH("zoysia",E86)),"Zoysia",
ISNUMBER(SEARCH("ryegrass",E86)),"Perennial Ryegrass",
ISNUMBER(SEARCH("centipede",E86)),"Centipede Grass",
ISNUMBER(SEARCH("dense shade",E86)),"Dense Shade Mix",
ISNUMBER(SEARCH("southern gold",E86)),"Southern Gold Mix",
ISNUMBER(SEARCH("heat-tolerant blue",E86)),"Heat-Tolerant Blue Mix",
ISNUMBER(SEARCH("high traffic",E86)),"High Traffic Mix",
ISNUMBER(SEARCH("quick fix",E86)),"Quick Fix Mix",
ISNUMBER(SEARCH("starter",E86)),"Starter Fertilizer",
ISNUMBER(SEARCH("weed &amp; feed",E86)),"Weed &amp; Feed",
ISNUMBER(SEARCH("lawn food",E86)),"Lawn Food",
ISNUMBER(SEARCH("triple action",E86)),"Triple Action Fertilizer",
ISNUMBER(SEARCH("green max",E86)),"Green Max Lawn Food",
ISNUMBER(SEARCH("patchmaster",E86)),"PatchMaster Repair",
ISNUMBER(SEARCH("ez seed",E86)),"EZ Seed Repair",
ISNUMBER(SEARCH("rapid grass",E86)),"Rapid Grass",
ISNUMBER(SEARCH("thick'r lawn",E86)),"Thick'R Lawn",
ISNUMBER(SEARCH("fungicide",E86)),"Fungicide",
ISNUMBER(SEARCH("moss",E86)),"Moss Control",
ISNUMBER(SEARCH("perlite",E86)),"Perlite",
ISNUMBER(SEARCH("plant food",E86)),"Plant Food",
ISNUMBER(SEARCH("spreader",E86)),"Spreader",
ISNUMBER(SEARCH("sprayer",E86)),"Sprayer",
ISNUMBER(SEARCH("mower",E86)),"Lawn Mower",
ISNUMBER(SEARCH("sweeper",E86)),"Lawn Sweeper",
OR(ISNUMBER(SEARCH("pruner",E86)),ISNUMBER(SEARCH("trimmer",E86)),ISNUMBER(SEARCH("pole saw",E86))),"Pruning Tools",
TRUE,"Other"
)</f>
        <v>Glue Traps</v>
      </c>
      <c r="J86" s="7" t="str">
        <f t="shared" si="18"/>
        <v>Rodent Control - Glue Traps</v>
      </c>
      <c r="K86" s="1">
        <v>100</v>
      </c>
      <c r="L86" s="1">
        <v>3.5</v>
      </c>
      <c r="M86" s="1">
        <v>231</v>
      </c>
      <c r="N86" s="1"/>
      <c r="O86" s="1">
        <f>VLOOKUP(A86,[2]Sheet1!$A:$B,2,0)</f>
        <v>50</v>
      </c>
      <c r="P86" s="1">
        <f>VLOOKUP(A86,[2]Sheet1!$A:$C,3,0)</f>
        <v>50</v>
      </c>
      <c r="Q86" s="7">
        <f>VLOOKUP(A86,[2]Sheet1!$A:$D,4,0)</f>
        <v>50</v>
      </c>
      <c r="R86" s="7">
        <f>VLOOKUP(A86,[2]Sheet1!$A:$E,5,0)</f>
        <v>50</v>
      </c>
      <c r="S86" s="7">
        <f>VLOOKUP(A86,[2]Sheet1!$A:$F,6,0)</f>
        <v>50</v>
      </c>
      <c r="T86" s="7">
        <f>VLOOKUP(A86,[2]Sheet1!$A:$G,7,0)</f>
        <v>50</v>
      </c>
      <c r="U86" s="7">
        <f>VLOOKUP(A86,[2]Sheet1!$A:$H,8,0)</f>
        <v>100</v>
      </c>
      <c r="V86" s="7">
        <f>VLOOKUP(A86,[2]Sheet1!$A:$I,9,0)</f>
        <v>100</v>
      </c>
      <c r="W86" s="7">
        <f>VLOOKUP(A86,[2]Sheet1!$A:$K,10,0)</f>
        <v>100</v>
      </c>
      <c r="X86" s="7">
        <f>VLOOKUP(A86,[2]Sheet1!$A:$L,11,0)</f>
        <v>100</v>
      </c>
      <c r="Y86" s="7">
        <f>VLOOKUP(A86,[2]Sheet1!$A:$L,12,0)</f>
        <v>0</v>
      </c>
      <c r="Z86" s="7">
        <f>VLOOKUP(A86,[2]Sheet1!$A:$M,13,0)</f>
        <v>50</v>
      </c>
      <c r="AA86" s="1">
        <f t="shared" si="16"/>
        <v>750</v>
      </c>
      <c r="AB86" s="7">
        <f t="shared" si="19"/>
        <v>63</v>
      </c>
      <c r="AC86" s="13">
        <f t="shared" si="17"/>
        <v>62.5</v>
      </c>
      <c r="AD86" s="9">
        <f t="shared" si="20"/>
        <v>63735</v>
      </c>
      <c r="AE86" s="9">
        <f t="shared" si="21"/>
        <v>5311.25</v>
      </c>
      <c r="AF86" s="11">
        <v>7.57</v>
      </c>
      <c r="AG86" s="11">
        <v>84.98</v>
      </c>
      <c r="AH86" s="9">
        <f t="shared" si="22"/>
        <v>1.6947999999999999</v>
      </c>
      <c r="AI86" s="11">
        <f t="shared" si="23"/>
        <v>5.9317999999999982</v>
      </c>
      <c r="AJ86" s="14">
        <v>0.5</v>
      </c>
      <c r="AK86" s="14">
        <v>0.5</v>
      </c>
      <c r="AL86" s="11">
        <v>7.57</v>
      </c>
      <c r="AM86" s="9">
        <f t="shared" si="24"/>
        <v>12.747</v>
      </c>
      <c r="AN86" s="9">
        <f t="shared" si="25"/>
        <v>2.5493999999999999</v>
      </c>
      <c r="AO86" s="9">
        <f t="shared" si="26"/>
        <v>16.996000000000002</v>
      </c>
      <c r="AP86" s="9">
        <f t="shared" si="27"/>
        <v>1.6996000000000002</v>
      </c>
      <c r="AQ86" s="9">
        <f t="shared" si="28"/>
        <v>16.996000000000002</v>
      </c>
      <c r="AR86" s="9">
        <f t="shared" si="29"/>
        <v>21.245000000000001</v>
      </c>
      <c r="AS86" s="11">
        <f t="shared" si="30"/>
        <v>16.947999999999997</v>
      </c>
      <c r="AT86" s="12">
        <f t="shared" si="31"/>
        <v>14.115333333333332</v>
      </c>
    </row>
    <row r="87" spans="1:46" ht="16.5" x14ac:dyDescent="0.4">
      <c r="A87" s="1" t="s">
        <v>436</v>
      </c>
      <c r="B87" s="7" t="s">
        <v>42</v>
      </c>
      <c r="C87" s="7" t="s">
        <v>42</v>
      </c>
      <c r="D87" s="1" t="s">
        <v>437</v>
      </c>
      <c r="E87" s="1" t="s">
        <v>438</v>
      </c>
      <c r="F87" s="1" t="s">
        <v>439</v>
      </c>
      <c r="G87" s="7" t="str">
        <f>VLOOKUP(A87,[1]done!$A:$I,9,0)</f>
        <v>Mosquito/Fly</v>
      </c>
      <c r="H87" s="7" t="str" cm="1">
        <f t="array" ref="H87">_xlfn.IFS(
OR(ISNUMBER(SEARCH("mouse",E87)),ISNUMBER(SEARCH("rat",E87)),ISNUMBER(SEARCH("mice",E87)),ISNUMBER(SEARCH("rodent",E87))),"Rodent Control",
OR(ISNUMBER(SEARCH("fly",E87)),ISNUMBER(SEARCH("gnat",E87)),ISNUMBER(SEARCH("insect",E87)),ISNUMBER(SEARCH("mosquito",E87))),"Flying Insect Control",
OR(ISNUMBER(SEARCH("roach",E87)),ISNUMBER(SEARCH("ant",E87)),ISNUMBER(SEARCH("spider",E87)),ISNUMBER(SEARCH("cricket",E87)),ISNUMBER(SEARCH("scorpion",E87)),ISNUMBER(SEARCH("centipede",E87)),ISNUMBER(SEARCH("beetle",E87))),"Crawling Insect Control",
OR(ISNUMBER(SEARCH("tree",E87)),ISNUMBER(SEARCH("lantern",E87)),ISNUMBER(SEARCH("garden",E87)),ISNUMBER(SEARCH("plant",E87))),"Garden Pest Control",
OR(ISNUMBER(SEARCH("grass seed",E87)),ISNUMBER(SEARCH("seed mix",E87))),"Grass Seed",
OR(ISNUMBER(SEARCH("lawn food",E87)),ISNUMBER(SEARCH("fertilizer",E87))),"Lawn Fertilizer",
OR(ISNUMBER(SEARCH("patch",E87)),ISNUMBER(SEARCH("repair",E87)),ISNUMBER(SEARCH("thick'r",E87)),ISNUMBER(SEARCH("thick'r lawn",E87)),ISNUMBER(SEARCH("rapid grass",E87))),"Lawn Repair",
OR(ISNUMBER(SEARCH("weed",E87)),ISNUMBER(SEARCH("crabgrass",E87))),"Weed Control",
OR(ISNUMBER(SEARCH("fungicide",E87)),ISNUMBER(SEARCH("moss",E87))),"Disease &amp; Moss Control",
OR(ISNUMBER(SEARCH("plant food",E87)),ISNUMBER(SEARCH("miracid",E87))),"Plant Nutrition",
OR(ISNUMBER(SEARCH("perlite",E87))),"Soil Amendment",
OR(ISNUMBER(SEARCH("spreader",E87)),ISNUMBER(SEARCH("sprayer",E87)),ISNUMBER(SEARCH("mower",E87)),ISNUMBER(SEARCH("sweeper",E87)),ISNUMBER(SEARCH("pruner",E87)),ISNUMBER(SEARCH("trimmer",E87)),ISNUMBER(SEARCH("pole saw",E87))),"Garden Equipment",
TRUE,"Other"
)</f>
        <v>Flying Insect Control</v>
      </c>
      <c r="I87" s="7" t="str" cm="1">
        <f t="array" ref="I87">_xlfn.IFS(
OR(ISNUMBER(SEARCH("glue trap",E87)),ISNUMBER(SEARCH("glue board",E87))),"Glue Traps",
OR(ISNUMBER(SEARCH("snap trap",E87)),ISNUMBER(SEARCH("power-kill",E87)),ISNUMBER(SEARCH("wide pedal",E87)),ISNUMBER(SEARCH("metal pedal",E87))),"Snap Traps",
OR(ISNUMBER(SEARCH("electronic",E87)),ISNUMBER(SEARCH("zapper",E87))),"Electronic Traps",
OR(ISNUMBER(SEARCH("live catch",E87)),ISNUMBER(SEARCH("multi-catch",E87)),ISNUMBER(SEARCH("catch &amp; hold",E87)),ISNUMBER(SEARCH("tin cat",E87))),"Live Catch Traps",
OR(ISNUMBER(SEARCH("bait",E87)),ISNUMBER(SEARCH("poison",E87))),"Bait &amp; Poison",
ISNUMBER(SEARCH("repellent",E87)),"Repellents",
OR(ISNUMBER(SEARCH("fly trap",E87)),ISNUMBER(SEARCH("fly ribbon",E87)),ISNUMBER(SEARCH("fly stick",E87)),ISNUMBER(SEARCH("window fly",E87)),ISNUMBER(SEARCH("fly magnet",E87))),"Fly Traps",
OR(ISNUMBER(SEARCH("uv",E87)),ISNUMBER(SEARCH("fly light",E87)),ISNUMBER(SEARCH("plug-in",E87))),"UV Fly Traps",
ISNUMBER(SEARCH("roach",E87)),"Roach Traps",
ISNUMBER(SEARCH("ant",E87)),"Ant Traps",
ISNUMBER(SEARCH("spider",E87)),"Spider Traps",
ISNUMBER(SEARCH("mosquito",E87)),"Mosquito Traps",
ISNUMBER(SEARCH("beetle",E87)),"Beetle Traps",
ISNUMBER(SEARCH("lantern",E87)),"Lanternfly Control",
OR(ISNUMBER(SEARCH("tree shield",E87)),ISNUMBER(SEARCH("tree banding",E87)),ISNUMBER(SEARCH("insect barrier",E87))),"Tree Barriers",
OR(ISNUMBER(SEARCH("sun &amp; shade",E87)),ISNUMBER(SEARCH("sun and shade",E87))),"Sun &amp; Shade Mix",
ISNUMBER(SEARCH("tall fescue",E87)),"Tall Fescue",
ISNUMBER(SEARCH("bermudagrass",E87)),"Bermudagrass",
ISNUMBER(SEARCH("kentucky",E87)),"Kentucky Bluegrass",
ISNUMBER(SEARCH("zoysia",E87)),"Zoysia",
ISNUMBER(SEARCH("ryegrass",E87)),"Perennial Ryegrass",
ISNUMBER(SEARCH("centipede",E87)),"Centipede Grass",
ISNUMBER(SEARCH("dense shade",E87)),"Dense Shade Mix",
ISNUMBER(SEARCH("southern gold",E87)),"Southern Gold Mix",
ISNUMBER(SEARCH("heat-tolerant blue",E87)),"Heat-Tolerant Blue Mix",
ISNUMBER(SEARCH("high traffic",E87)),"High Traffic Mix",
ISNUMBER(SEARCH("quick fix",E87)),"Quick Fix Mix",
ISNUMBER(SEARCH("starter",E87)),"Starter Fertilizer",
ISNUMBER(SEARCH("weed &amp; feed",E87)),"Weed &amp; Feed",
ISNUMBER(SEARCH("lawn food",E87)),"Lawn Food",
ISNUMBER(SEARCH("triple action",E87)),"Triple Action Fertilizer",
ISNUMBER(SEARCH("green max",E87)),"Green Max Lawn Food",
ISNUMBER(SEARCH("patchmaster",E87)),"PatchMaster Repair",
ISNUMBER(SEARCH("ez seed",E87)),"EZ Seed Repair",
ISNUMBER(SEARCH("rapid grass",E87)),"Rapid Grass",
ISNUMBER(SEARCH("thick'r lawn",E87)),"Thick'R Lawn",
ISNUMBER(SEARCH("fungicide",E87)),"Fungicide",
ISNUMBER(SEARCH("moss",E87)),"Moss Control",
ISNUMBER(SEARCH("perlite",E87)),"Perlite",
ISNUMBER(SEARCH("plant food",E87)),"Plant Food",
ISNUMBER(SEARCH("spreader",E87)),"Spreader",
ISNUMBER(SEARCH("sprayer",E87)),"Sprayer",
ISNUMBER(SEARCH("mower",E87)),"Lawn Mower",
ISNUMBER(SEARCH("sweeper",E87)),"Lawn Sweeper",
OR(ISNUMBER(SEARCH("pruner",E87)),ISNUMBER(SEARCH("trimmer",E87)),ISNUMBER(SEARCH("pole saw",E87))),"Pruning Tools",
TRUE,"Other"
)</f>
        <v>Fly Traps</v>
      </c>
      <c r="J87" s="7" t="str">
        <f t="shared" si="18"/>
        <v>Flying Insect Control - Fly Traps</v>
      </c>
      <c r="K87" s="1">
        <v>100</v>
      </c>
      <c r="L87" s="1">
        <v>4.2</v>
      </c>
      <c r="M87" s="1">
        <v>62</v>
      </c>
      <c r="N87" s="1" t="s">
        <v>440</v>
      </c>
      <c r="O87" s="1">
        <f>VLOOKUP(A87,[2]Sheet1!$A:$B,2,0)</f>
        <v>0</v>
      </c>
      <c r="P87" s="1">
        <f>VLOOKUP(A87,[2]Sheet1!$A:$C,3,0)</f>
        <v>0</v>
      </c>
      <c r="Q87" s="7">
        <f>VLOOKUP(A87,[2]Sheet1!$A:$D,4,0)</f>
        <v>0</v>
      </c>
      <c r="R87" s="7">
        <f>VLOOKUP(A87,[2]Sheet1!$A:$E,5,0)</f>
        <v>50</v>
      </c>
      <c r="S87" s="7">
        <f>VLOOKUP(A87,[2]Sheet1!$A:$F,6,0)</f>
        <v>0</v>
      </c>
      <c r="T87" s="7">
        <f>VLOOKUP(A87,[2]Sheet1!$A:$G,7,0)</f>
        <v>50</v>
      </c>
      <c r="U87" s="7">
        <f>VLOOKUP(A87,[2]Sheet1!$A:$H,8,0)</f>
        <v>50</v>
      </c>
      <c r="V87" s="7">
        <f>VLOOKUP(A87,[2]Sheet1!$A:$I,9,0)</f>
        <v>50</v>
      </c>
      <c r="W87" s="7">
        <f>VLOOKUP(A87,[2]Sheet1!$A:$K,10,0)</f>
        <v>100</v>
      </c>
      <c r="X87" s="7">
        <f>VLOOKUP(A87,[2]Sheet1!$A:$L,11,0)</f>
        <v>50</v>
      </c>
      <c r="Y87" s="7">
        <f>VLOOKUP(A87,[2]Sheet1!$A:$L,12,0)</f>
        <v>50</v>
      </c>
      <c r="Z87" s="7">
        <f>VLOOKUP(A87,[2]Sheet1!$A:$M,13,0)</f>
        <v>0</v>
      </c>
      <c r="AA87" s="1">
        <f t="shared" si="16"/>
        <v>400</v>
      </c>
      <c r="AB87" s="7">
        <f t="shared" si="19"/>
        <v>33</v>
      </c>
      <c r="AC87" s="13">
        <f t="shared" si="17"/>
        <v>33.333333333333336</v>
      </c>
      <c r="AD87" s="9">
        <f t="shared" si="20"/>
        <v>56396</v>
      </c>
      <c r="AE87" s="9">
        <f t="shared" si="21"/>
        <v>4699.666666666667</v>
      </c>
      <c r="AF87" s="11">
        <v>12.25</v>
      </c>
      <c r="AG87" s="11">
        <v>140.99</v>
      </c>
      <c r="AH87" s="9">
        <f t="shared" si="22"/>
        <v>2.8764000000000003</v>
      </c>
      <c r="AI87" s="11">
        <f t="shared" si="23"/>
        <v>10.067399999999999</v>
      </c>
      <c r="AJ87" s="14">
        <v>0.5</v>
      </c>
      <c r="AK87" s="14">
        <v>0.5</v>
      </c>
      <c r="AL87" s="11">
        <v>12.25</v>
      </c>
      <c r="AM87" s="9">
        <f t="shared" si="24"/>
        <v>21.148500000000002</v>
      </c>
      <c r="AN87" s="9">
        <f t="shared" si="25"/>
        <v>4.2297000000000002</v>
      </c>
      <c r="AO87" s="9">
        <f t="shared" si="26"/>
        <v>28.198000000000004</v>
      </c>
      <c r="AP87" s="9">
        <f t="shared" si="27"/>
        <v>2.8198000000000003</v>
      </c>
      <c r="AQ87" s="9">
        <f t="shared" si="28"/>
        <v>28.198000000000004</v>
      </c>
      <c r="AR87" s="9">
        <f t="shared" si="29"/>
        <v>35.247500000000002</v>
      </c>
      <c r="AS87" s="11">
        <f t="shared" si="30"/>
        <v>28.763999999999999</v>
      </c>
      <c r="AT87" s="12">
        <f t="shared" si="31"/>
        <v>24.064333333333337</v>
      </c>
    </row>
    <row r="88" spans="1:46" ht="16.5" x14ac:dyDescent="0.4">
      <c r="A88" s="1" t="s">
        <v>441</v>
      </c>
      <c r="B88" s="7" t="s">
        <v>42</v>
      </c>
      <c r="C88" s="7" t="s">
        <v>42</v>
      </c>
      <c r="D88" s="1" t="s">
        <v>442</v>
      </c>
      <c r="E88" s="1" t="s">
        <v>443</v>
      </c>
      <c r="F88" s="1" t="s">
        <v>444</v>
      </c>
      <c r="G88" s="7" t="str">
        <f>VLOOKUP(A88,[1]done!$A:$I,9,0)</f>
        <v>Rodent</v>
      </c>
      <c r="H88" s="7" t="str" cm="1">
        <f t="array" ref="H88">_xlfn.IFS(
OR(ISNUMBER(SEARCH("mouse",E88)),ISNUMBER(SEARCH("rat",E88)),ISNUMBER(SEARCH("mice",E88)),ISNUMBER(SEARCH("rodent",E88))),"Rodent Control",
OR(ISNUMBER(SEARCH("fly",E88)),ISNUMBER(SEARCH("gnat",E88)),ISNUMBER(SEARCH("insect",E88)),ISNUMBER(SEARCH("mosquito",E88))),"Flying Insect Control",
OR(ISNUMBER(SEARCH("roach",E88)),ISNUMBER(SEARCH("ant",E88)),ISNUMBER(SEARCH("spider",E88)),ISNUMBER(SEARCH("cricket",E88)),ISNUMBER(SEARCH("scorpion",E88)),ISNUMBER(SEARCH("centipede",E88)),ISNUMBER(SEARCH("beetle",E88))),"Crawling Insect Control",
OR(ISNUMBER(SEARCH("tree",E88)),ISNUMBER(SEARCH("lantern",E88)),ISNUMBER(SEARCH("garden",E88)),ISNUMBER(SEARCH("plant",E88))),"Garden Pest Control",
OR(ISNUMBER(SEARCH("grass seed",E88)),ISNUMBER(SEARCH("seed mix",E88))),"Grass Seed",
OR(ISNUMBER(SEARCH("lawn food",E88)),ISNUMBER(SEARCH("fertilizer",E88))),"Lawn Fertilizer",
OR(ISNUMBER(SEARCH("patch",E88)),ISNUMBER(SEARCH("repair",E88)),ISNUMBER(SEARCH("thick'r",E88)),ISNUMBER(SEARCH("thick'r lawn",E88)),ISNUMBER(SEARCH("rapid grass",E88))),"Lawn Repair",
OR(ISNUMBER(SEARCH("weed",E88)),ISNUMBER(SEARCH("crabgrass",E88))),"Weed Control",
OR(ISNUMBER(SEARCH("fungicide",E88)),ISNUMBER(SEARCH("moss",E88))),"Disease &amp; Moss Control",
OR(ISNUMBER(SEARCH("plant food",E88)),ISNUMBER(SEARCH("miracid",E88))),"Plant Nutrition",
OR(ISNUMBER(SEARCH("perlite",E88))),"Soil Amendment",
OR(ISNUMBER(SEARCH("spreader",E88)),ISNUMBER(SEARCH("sprayer",E88)),ISNUMBER(SEARCH("mower",E88)),ISNUMBER(SEARCH("sweeper",E88)),ISNUMBER(SEARCH("pruner",E88)),ISNUMBER(SEARCH("trimmer",E88)),ISNUMBER(SEARCH("pole saw",E88))),"Garden Equipment",
TRUE,"Other"
)</f>
        <v>Rodent Control</v>
      </c>
      <c r="I88" s="7" t="str" cm="1">
        <f t="array" ref="I88">_xlfn.IFS(
OR(ISNUMBER(SEARCH("glue trap",E88)),ISNUMBER(SEARCH("glue board",E88))),"Glue Traps",
OR(ISNUMBER(SEARCH("snap trap",E88)),ISNUMBER(SEARCH("power-kill",E88)),ISNUMBER(SEARCH("wide pedal",E88)),ISNUMBER(SEARCH("metal pedal",E88))),"Snap Traps",
OR(ISNUMBER(SEARCH("electronic",E88)),ISNUMBER(SEARCH("zapper",E88))),"Electronic Traps",
OR(ISNUMBER(SEARCH("live catch",E88)),ISNUMBER(SEARCH("multi-catch",E88)),ISNUMBER(SEARCH("catch &amp; hold",E88)),ISNUMBER(SEARCH("tin cat",E88))),"Live Catch Traps",
OR(ISNUMBER(SEARCH("bait",E88)),ISNUMBER(SEARCH("poison",E88))),"Bait &amp; Poison",
ISNUMBER(SEARCH("repellent",E88)),"Repellents",
OR(ISNUMBER(SEARCH("fly trap",E88)),ISNUMBER(SEARCH("fly ribbon",E88)),ISNUMBER(SEARCH("fly stick",E88)),ISNUMBER(SEARCH("window fly",E88)),ISNUMBER(SEARCH("fly magnet",E88))),"Fly Traps",
OR(ISNUMBER(SEARCH("uv",E88)),ISNUMBER(SEARCH("fly light",E88)),ISNUMBER(SEARCH("plug-in",E88))),"UV Fly Traps",
ISNUMBER(SEARCH("roach",E88)),"Roach Traps",
ISNUMBER(SEARCH("ant",E88)),"Ant Traps",
ISNUMBER(SEARCH("spider",E88)),"Spider Traps",
ISNUMBER(SEARCH("mosquito",E88)),"Mosquito Traps",
ISNUMBER(SEARCH("beetle",E88)),"Beetle Traps",
ISNUMBER(SEARCH("lantern",E88)),"Lanternfly Control",
OR(ISNUMBER(SEARCH("tree shield",E88)),ISNUMBER(SEARCH("tree banding",E88)),ISNUMBER(SEARCH("insect barrier",E88))),"Tree Barriers",
OR(ISNUMBER(SEARCH("sun &amp; shade",E88)),ISNUMBER(SEARCH("sun and shade",E88))),"Sun &amp; Shade Mix",
ISNUMBER(SEARCH("tall fescue",E88)),"Tall Fescue",
ISNUMBER(SEARCH("bermudagrass",E88)),"Bermudagrass",
ISNUMBER(SEARCH("kentucky",E88)),"Kentucky Bluegrass",
ISNUMBER(SEARCH("zoysia",E88)),"Zoysia",
ISNUMBER(SEARCH("ryegrass",E88)),"Perennial Ryegrass",
ISNUMBER(SEARCH("centipede",E88)),"Centipede Grass",
ISNUMBER(SEARCH("dense shade",E88)),"Dense Shade Mix",
ISNUMBER(SEARCH("southern gold",E88)),"Southern Gold Mix",
ISNUMBER(SEARCH("heat-tolerant blue",E88)),"Heat-Tolerant Blue Mix",
ISNUMBER(SEARCH("high traffic",E88)),"High Traffic Mix",
ISNUMBER(SEARCH("quick fix",E88)),"Quick Fix Mix",
ISNUMBER(SEARCH("starter",E88)),"Starter Fertilizer",
ISNUMBER(SEARCH("weed &amp; feed",E88)),"Weed &amp; Feed",
ISNUMBER(SEARCH("lawn food",E88)),"Lawn Food",
ISNUMBER(SEARCH("triple action",E88)),"Triple Action Fertilizer",
ISNUMBER(SEARCH("green max",E88)),"Green Max Lawn Food",
ISNUMBER(SEARCH("patchmaster",E88)),"PatchMaster Repair",
ISNUMBER(SEARCH("ez seed",E88)),"EZ Seed Repair",
ISNUMBER(SEARCH("rapid grass",E88)),"Rapid Grass",
ISNUMBER(SEARCH("thick'r lawn",E88)),"Thick'R Lawn",
ISNUMBER(SEARCH("fungicide",E88)),"Fungicide",
ISNUMBER(SEARCH("moss",E88)),"Moss Control",
ISNUMBER(SEARCH("perlite",E88)),"Perlite",
ISNUMBER(SEARCH("plant food",E88)),"Plant Food",
ISNUMBER(SEARCH("spreader",E88)),"Spreader",
ISNUMBER(SEARCH("sprayer",E88)),"Sprayer",
ISNUMBER(SEARCH("mower",E88)),"Lawn Mower",
ISNUMBER(SEARCH("sweeper",E88)),"Lawn Sweeper",
OR(ISNUMBER(SEARCH("pruner",E88)),ISNUMBER(SEARCH("trimmer",E88)),ISNUMBER(SEARCH("pole saw",E88))),"Pruning Tools",
TRUE,"Other"
)</f>
        <v>Glue Traps</v>
      </c>
      <c r="J88" s="7" t="str">
        <f t="shared" si="18"/>
        <v>Rodent Control - Glue Traps</v>
      </c>
      <c r="K88" s="1">
        <v>100</v>
      </c>
      <c r="L88" s="1">
        <v>4.5999999999999996</v>
      </c>
      <c r="M88" s="1">
        <v>723</v>
      </c>
      <c r="N88" s="1"/>
      <c r="O88" s="1">
        <f>VLOOKUP(A88,[2]Sheet1!$A:$B,2,0)</f>
        <v>50</v>
      </c>
      <c r="P88" s="1">
        <f>VLOOKUP(A88,[2]Sheet1!$A:$C,3,0)</f>
        <v>50</v>
      </c>
      <c r="Q88" s="7">
        <f>VLOOKUP(A88,[2]Sheet1!$A:$D,4,0)</f>
        <v>50</v>
      </c>
      <c r="R88" s="7">
        <f>VLOOKUP(A88,[2]Sheet1!$A:$E,5,0)</f>
        <v>50</v>
      </c>
      <c r="S88" s="7">
        <f>VLOOKUP(A88,[2]Sheet1!$A:$F,6,0)</f>
        <v>50</v>
      </c>
      <c r="T88" s="7">
        <f>VLOOKUP(A88,[2]Sheet1!$A:$G,7,0)</f>
        <v>100</v>
      </c>
      <c r="U88" s="7">
        <f>VLOOKUP(A88,[2]Sheet1!$A:$H,8,0)</f>
        <v>100</v>
      </c>
      <c r="V88" s="7">
        <f>VLOOKUP(A88,[2]Sheet1!$A:$I,9,0)</f>
        <v>200</v>
      </c>
      <c r="W88" s="7">
        <f>VLOOKUP(A88,[2]Sheet1!$A:$K,10,0)</f>
        <v>100</v>
      </c>
      <c r="X88" s="7">
        <f>VLOOKUP(A88,[2]Sheet1!$A:$L,11,0)</f>
        <v>50</v>
      </c>
      <c r="Y88" s="7">
        <f>VLOOKUP(A88,[2]Sheet1!$A:$L,12,0)</f>
        <v>50</v>
      </c>
      <c r="Z88" s="7">
        <f>VLOOKUP(A88,[2]Sheet1!$A:$M,13,0)</f>
        <v>50</v>
      </c>
      <c r="AA88" s="1">
        <f t="shared" si="16"/>
        <v>900</v>
      </c>
      <c r="AB88" s="7">
        <f t="shared" si="19"/>
        <v>75</v>
      </c>
      <c r="AC88" s="13">
        <f t="shared" si="17"/>
        <v>75</v>
      </c>
      <c r="AD88" s="9">
        <f t="shared" si="20"/>
        <v>32391</v>
      </c>
      <c r="AE88" s="9">
        <f t="shared" si="21"/>
        <v>2699.25</v>
      </c>
      <c r="AF88" s="11">
        <v>7.32</v>
      </c>
      <c r="AG88" s="11">
        <v>35.99</v>
      </c>
      <c r="AH88" s="9">
        <f t="shared" si="22"/>
        <v>0.40506666666666674</v>
      </c>
      <c r="AI88" s="11">
        <f t="shared" si="23"/>
        <v>1.4177333333333335</v>
      </c>
      <c r="AJ88" s="14">
        <v>0.5</v>
      </c>
      <c r="AK88" s="14">
        <v>0.5</v>
      </c>
      <c r="AL88" s="11">
        <v>7.32</v>
      </c>
      <c r="AM88" s="9">
        <f t="shared" si="24"/>
        <v>5.3985000000000003</v>
      </c>
      <c r="AN88" s="9">
        <f t="shared" si="25"/>
        <v>1.0797000000000001</v>
      </c>
      <c r="AO88" s="9">
        <f t="shared" si="26"/>
        <v>7.1980000000000004</v>
      </c>
      <c r="AP88" s="9">
        <f t="shared" si="27"/>
        <v>0.71980000000000011</v>
      </c>
      <c r="AQ88" s="9">
        <f t="shared" si="28"/>
        <v>7.1980000000000004</v>
      </c>
      <c r="AR88" s="9">
        <f t="shared" si="29"/>
        <v>8.9975000000000005</v>
      </c>
      <c r="AS88" s="11">
        <f t="shared" si="30"/>
        <v>4.0506666666666673</v>
      </c>
      <c r="AT88" s="12">
        <f t="shared" si="31"/>
        <v>2.8510000000000004</v>
      </c>
    </row>
    <row r="89" spans="1:46" ht="16.5" x14ac:dyDescent="0.4">
      <c r="A89" s="1" t="s">
        <v>445</v>
      </c>
      <c r="B89" s="7" t="s">
        <v>42</v>
      </c>
      <c r="C89" s="7" t="s">
        <v>42</v>
      </c>
      <c r="D89" s="1" t="s">
        <v>446</v>
      </c>
      <c r="E89" s="1" t="s">
        <v>447</v>
      </c>
      <c r="F89" s="1" t="s">
        <v>448</v>
      </c>
      <c r="G89" s="7" t="str">
        <f>VLOOKUP(A89,[1]done!$A:$I,9,0)</f>
        <v>Rodent</v>
      </c>
      <c r="H89" s="7" t="str" cm="1">
        <f t="array" ref="H89">_xlfn.IFS(
OR(ISNUMBER(SEARCH("mouse",E89)),ISNUMBER(SEARCH("rat",E89)),ISNUMBER(SEARCH("mice",E89)),ISNUMBER(SEARCH("rodent",E89))),"Rodent Control",
OR(ISNUMBER(SEARCH("fly",E89)),ISNUMBER(SEARCH("gnat",E89)),ISNUMBER(SEARCH("insect",E89)),ISNUMBER(SEARCH("mosquito",E89))),"Flying Insect Control",
OR(ISNUMBER(SEARCH("roach",E89)),ISNUMBER(SEARCH("ant",E89)),ISNUMBER(SEARCH("spider",E89)),ISNUMBER(SEARCH("cricket",E89)),ISNUMBER(SEARCH("scorpion",E89)),ISNUMBER(SEARCH("centipede",E89)),ISNUMBER(SEARCH("beetle",E89))),"Crawling Insect Control",
OR(ISNUMBER(SEARCH("tree",E89)),ISNUMBER(SEARCH("lantern",E89)),ISNUMBER(SEARCH("garden",E89)),ISNUMBER(SEARCH("plant",E89))),"Garden Pest Control",
OR(ISNUMBER(SEARCH("grass seed",E89)),ISNUMBER(SEARCH("seed mix",E89))),"Grass Seed",
OR(ISNUMBER(SEARCH("lawn food",E89)),ISNUMBER(SEARCH("fertilizer",E89))),"Lawn Fertilizer",
OR(ISNUMBER(SEARCH("patch",E89)),ISNUMBER(SEARCH("repair",E89)),ISNUMBER(SEARCH("thick'r",E89)),ISNUMBER(SEARCH("thick'r lawn",E89)),ISNUMBER(SEARCH("rapid grass",E89))),"Lawn Repair",
OR(ISNUMBER(SEARCH("weed",E89)),ISNUMBER(SEARCH("crabgrass",E89))),"Weed Control",
OR(ISNUMBER(SEARCH("fungicide",E89)),ISNUMBER(SEARCH("moss",E89))),"Disease &amp; Moss Control",
OR(ISNUMBER(SEARCH("plant food",E89)),ISNUMBER(SEARCH("miracid",E89))),"Plant Nutrition",
OR(ISNUMBER(SEARCH("perlite",E89))),"Soil Amendment",
OR(ISNUMBER(SEARCH("spreader",E89)),ISNUMBER(SEARCH("sprayer",E89)),ISNUMBER(SEARCH("mower",E89)),ISNUMBER(SEARCH("sweeper",E89)),ISNUMBER(SEARCH("pruner",E89)),ISNUMBER(SEARCH("trimmer",E89)),ISNUMBER(SEARCH("pole saw",E89))),"Garden Equipment",
TRUE,"Other"
)</f>
        <v>Rodent Control</v>
      </c>
      <c r="I89" s="7" t="str" cm="1">
        <f t="array" ref="I89">_xlfn.IFS(
OR(ISNUMBER(SEARCH("glue trap",E89)),ISNUMBER(SEARCH("glue board",E89))),"Glue Traps",
OR(ISNUMBER(SEARCH("snap trap",E89)),ISNUMBER(SEARCH("power-kill",E89)),ISNUMBER(SEARCH("wide pedal",E89)),ISNUMBER(SEARCH("metal pedal",E89))),"Snap Traps",
OR(ISNUMBER(SEARCH("electronic",E89)),ISNUMBER(SEARCH("zapper",E89))),"Electronic Traps",
OR(ISNUMBER(SEARCH("live catch",E89)),ISNUMBER(SEARCH("multi-catch",E89)),ISNUMBER(SEARCH("catch &amp; hold",E89)),ISNUMBER(SEARCH("tin cat",E89))),"Live Catch Traps",
OR(ISNUMBER(SEARCH("bait",E89)),ISNUMBER(SEARCH("poison",E89))),"Bait &amp; Poison",
ISNUMBER(SEARCH("repellent",E89)),"Repellents",
OR(ISNUMBER(SEARCH("fly trap",E89)),ISNUMBER(SEARCH("fly ribbon",E89)),ISNUMBER(SEARCH("fly stick",E89)),ISNUMBER(SEARCH("window fly",E89)),ISNUMBER(SEARCH("fly magnet",E89))),"Fly Traps",
OR(ISNUMBER(SEARCH("uv",E89)),ISNUMBER(SEARCH("fly light",E89)),ISNUMBER(SEARCH("plug-in",E89))),"UV Fly Traps",
ISNUMBER(SEARCH("roach",E89)),"Roach Traps",
ISNUMBER(SEARCH("ant",E89)),"Ant Traps",
ISNUMBER(SEARCH("spider",E89)),"Spider Traps",
ISNUMBER(SEARCH("mosquito",E89)),"Mosquito Traps",
ISNUMBER(SEARCH("beetle",E89)),"Beetle Traps",
ISNUMBER(SEARCH("lantern",E89)),"Lanternfly Control",
OR(ISNUMBER(SEARCH("tree shield",E89)),ISNUMBER(SEARCH("tree banding",E89)),ISNUMBER(SEARCH("insect barrier",E89))),"Tree Barriers",
OR(ISNUMBER(SEARCH("sun &amp; shade",E89)),ISNUMBER(SEARCH("sun and shade",E89))),"Sun &amp; Shade Mix",
ISNUMBER(SEARCH("tall fescue",E89)),"Tall Fescue",
ISNUMBER(SEARCH("bermudagrass",E89)),"Bermudagrass",
ISNUMBER(SEARCH("kentucky",E89)),"Kentucky Bluegrass",
ISNUMBER(SEARCH("zoysia",E89)),"Zoysia",
ISNUMBER(SEARCH("ryegrass",E89)),"Perennial Ryegrass",
ISNUMBER(SEARCH("centipede",E89)),"Centipede Grass",
ISNUMBER(SEARCH("dense shade",E89)),"Dense Shade Mix",
ISNUMBER(SEARCH("southern gold",E89)),"Southern Gold Mix",
ISNUMBER(SEARCH("heat-tolerant blue",E89)),"Heat-Tolerant Blue Mix",
ISNUMBER(SEARCH("high traffic",E89)),"High Traffic Mix",
ISNUMBER(SEARCH("quick fix",E89)),"Quick Fix Mix",
ISNUMBER(SEARCH("starter",E89)),"Starter Fertilizer",
ISNUMBER(SEARCH("weed &amp; feed",E89)),"Weed &amp; Feed",
ISNUMBER(SEARCH("lawn food",E89)),"Lawn Food",
ISNUMBER(SEARCH("triple action",E89)),"Triple Action Fertilizer",
ISNUMBER(SEARCH("green max",E89)),"Green Max Lawn Food",
ISNUMBER(SEARCH("patchmaster",E89)),"PatchMaster Repair",
ISNUMBER(SEARCH("ez seed",E89)),"EZ Seed Repair",
ISNUMBER(SEARCH("rapid grass",E89)),"Rapid Grass",
ISNUMBER(SEARCH("thick'r lawn",E89)),"Thick'R Lawn",
ISNUMBER(SEARCH("fungicide",E89)),"Fungicide",
ISNUMBER(SEARCH("moss",E89)),"Moss Control",
ISNUMBER(SEARCH("perlite",E89)),"Perlite",
ISNUMBER(SEARCH("plant food",E89)),"Plant Food",
ISNUMBER(SEARCH("spreader",E89)),"Spreader",
ISNUMBER(SEARCH("sprayer",E89)),"Sprayer",
ISNUMBER(SEARCH("mower",E89)),"Lawn Mower",
ISNUMBER(SEARCH("sweeper",E89)),"Lawn Sweeper",
OR(ISNUMBER(SEARCH("pruner",E89)),ISNUMBER(SEARCH("trimmer",E89)),ISNUMBER(SEARCH("pole saw",E89))),"Pruning Tools",
TRUE,"Other"
)</f>
        <v>Glue Traps</v>
      </c>
      <c r="J89" s="7" t="str">
        <f t="shared" si="18"/>
        <v>Rodent Control - Glue Traps</v>
      </c>
      <c r="K89" s="1">
        <v>100</v>
      </c>
      <c r="L89" s="1">
        <v>4.5999999999999996</v>
      </c>
      <c r="M89" s="1">
        <v>430</v>
      </c>
      <c r="N89" s="1"/>
      <c r="O89" s="1">
        <f>VLOOKUP(A89,[2]Sheet1!$A:$B,2,0)</f>
        <v>0</v>
      </c>
      <c r="P89" s="1">
        <f>VLOOKUP(A89,[2]Sheet1!$A:$C,3,0)</f>
        <v>50</v>
      </c>
      <c r="Q89" s="7">
        <f>VLOOKUP(A89,[2]Sheet1!$A:$D,4,0)</f>
        <v>50</v>
      </c>
      <c r="R89" s="7">
        <f>VLOOKUP(A89,[2]Sheet1!$A:$E,5,0)</f>
        <v>50</v>
      </c>
      <c r="S89" s="7">
        <f>VLOOKUP(A89,[2]Sheet1!$A:$F,6,0)</f>
        <v>50</v>
      </c>
      <c r="T89" s="7">
        <f>VLOOKUP(A89,[2]Sheet1!$A:$G,7,0)</f>
        <v>50</v>
      </c>
      <c r="U89" s="7">
        <f>VLOOKUP(A89,[2]Sheet1!$A:$H,8,0)</f>
        <v>50</v>
      </c>
      <c r="V89" s="7">
        <f>VLOOKUP(A89,[2]Sheet1!$A:$I,9,0)</f>
        <v>50</v>
      </c>
      <c r="W89" s="7">
        <f>VLOOKUP(A89,[2]Sheet1!$A:$K,10,0)</f>
        <v>100</v>
      </c>
      <c r="X89" s="7">
        <f>VLOOKUP(A89,[2]Sheet1!$A:$L,11,0)</f>
        <v>50</v>
      </c>
      <c r="Y89" s="7">
        <f>VLOOKUP(A89,[2]Sheet1!$A:$L,12,0)</f>
        <v>50</v>
      </c>
      <c r="Z89" s="7">
        <f>VLOOKUP(A89,[2]Sheet1!$A:$M,13,0)</f>
        <v>50</v>
      </c>
      <c r="AA89" s="1">
        <f t="shared" si="16"/>
        <v>600</v>
      </c>
      <c r="AB89" s="7">
        <f t="shared" si="19"/>
        <v>50</v>
      </c>
      <c r="AC89" s="13">
        <f t="shared" si="17"/>
        <v>50</v>
      </c>
      <c r="AD89" s="9">
        <f t="shared" si="20"/>
        <v>19320</v>
      </c>
      <c r="AE89" s="9">
        <f t="shared" si="21"/>
        <v>1610.0000000000002</v>
      </c>
      <c r="AF89" s="11">
        <v>7.07</v>
      </c>
      <c r="AG89" s="11">
        <v>32.200000000000003</v>
      </c>
      <c r="AH89" s="9">
        <f t="shared" si="22"/>
        <v>0.3206666666666666</v>
      </c>
      <c r="AI89" s="11">
        <f t="shared" si="23"/>
        <v>1.122333333333333</v>
      </c>
      <c r="AJ89" s="14">
        <v>0.5</v>
      </c>
      <c r="AK89" s="14">
        <v>0.5</v>
      </c>
      <c r="AL89" s="11">
        <v>7.07</v>
      </c>
      <c r="AM89" s="9">
        <f t="shared" si="24"/>
        <v>4.83</v>
      </c>
      <c r="AN89" s="9">
        <f t="shared" si="25"/>
        <v>0.96600000000000008</v>
      </c>
      <c r="AO89" s="9">
        <f t="shared" si="26"/>
        <v>6.4400000000000013</v>
      </c>
      <c r="AP89" s="9">
        <f t="shared" si="27"/>
        <v>0.64400000000000002</v>
      </c>
      <c r="AQ89" s="9">
        <f t="shared" si="28"/>
        <v>6.4400000000000013</v>
      </c>
      <c r="AR89" s="9">
        <f t="shared" si="29"/>
        <v>8.0500000000000007</v>
      </c>
      <c r="AS89" s="11">
        <f t="shared" si="30"/>
        <v>3.2066666666666657</v>
      </c>
      <c r="AT89" s="12">
        <f t="shared" si="31"/>
        <v>2.1333333333333329</v>
      </c>
    </row>
    <row r="90" spans="1:46" ht="16.5" x14ac:dyDescent="0.4">
      <c r="A90" s="1" t="s">
        <v>449</v>
      </c>
      <c r="B90" s="7" t="s">
        <v>42</v>
      </c>
      <c r="C90" s="7" t="s">
        <v>42</v>
      </c>
      <c r="D90" s="1" t="s">
        <v>450</v>
      </c>
      <c r="E90" s="1" t="s">
        <v>451</v>
      </c>
      <c r="F90" s="1" t="s">
        <v>452</v>
      </c>
      <c r="G90" s="7" t="str">
        <f>VLOOKUP(A90,[1]done!$A:$I,9,0)</f>
        <v>Mosquito/Fly</v>
      </c>
      <c r="H90" s="7" t="str" cm="1">
        <f t="array" ref="H90">_xlfn.IFS(
OR(ISNUMBER(SEARCH("mouse",E90)),ISNUMBER(SEARCH("rat",E90)),ISNUMBER(SEARCH("mice",E90)),ISNUMBER(SEARCH("rodent",E90))),"Rodent Control",
OR(ISNUMBER(SEARCH("fly",E90)),ISNUMBER(SEARCH("gnat",E90)),ISNUMBER(SEARCH("insect",E90)),ISNUMBER(SEARCH("mosquito",E90))),"Flying Insect Control",
OR(ISNUMBER(SEARCH("roach",E90)),ISNUMBER(SEARCH("ant",E90)),ISNUMBER(SEARCH("spider",E90)),ISNUMBER(SEARCH("cricket",E90)),ISNUMBER(SEARCH("scorpion",E90)),ISNUMBER(SEARCH("centipede",E90)),ISNUMBER(SEARCH("beetle",E90))),"Crawling Insect Control",
OR(ISNUMBER(SEARCH("tree",E90)),ISNUMBER(SEARCH("lantern",E90)),ISNUMBER(SEARCH("garden",E90)),ISNUMBER(SEARCH("plant",E90))),"Garden Pest Control",
OR(ISNUMBER(SEARCH("grass seed",E90)),ISNUMBER(SEARCH("seed mix",E90))),"Grass Seed",
OR(ISNUMBER(SEARCH("lawn food",E90)),ISNUMBER(SEARCH("fertilizer",E90))),"Lawn Fertilizer",
OR(ISNUMBER(SEARCH("patch",E90)),ISNUMBER(SEARCH("repair",E90)),ISNUMBER(SEARCH("thick'r",E90)),ISNUMBER(SEARCH("thick'r lawn",E90)),ISNUMBER(SEARCH("rapid grass",E90))),"Lawn Repair",
OR(ISNUMBER(SEARCH("weed",E90)),ISNUMBER(SEARCH("crabgrass",E90))),"Weed Control",
OR(ISNUMBER(SEARCH("fungicide",E90)),ISNUMBER(SEARCH("moss",E90))),"Disease &amp; Moss Control",
OR(ISNUMBER(SEARCH("plant food",E90)),ISNUMBER(SEARCH("miracid",E90))),"Plant Nutrition",
OR(ISNUMBER(SEARCH("perlite",E90))),"Soil Amendment",
OR(ISNUMBER(SEARCH("spreader",E90)),ISNUMBER(SEARCH("sprayer",E90)),ISNUMBER(SEARCH("mower",E90)),ISNUMBER(SEARCH("sweeper",E90)),ISNUMBER(SEARCH("pruner",E90)),ISNUMBER(SEARCH("trimmer",E90)),ISNUMBER(SEARCH("pole saw",E90))),"Garden Equipment",
TRUE,"Other"
)</f>
        <v>Flying Insect Control</v>
      </c>
      <c r="I90" s="7" t="str" cm="1">
        <f t="array" ref="I90">_xlfn.IFS(
OR(ISNUMBER(SEARCH("glue trap",E90)),ISNUMBER(SEARCH("glue board",E90))),"Glue Traps",
OR(ISNUMBER(SEARCH("snap trap",E90)),ISNUMBER(SEARCH("power-kill",E90)),ISNUMBER(SEARCH("wide pedal",E90)),ISNUMBER(SEARCH("metal pedal",E90))),"Snap Traps",
OR(ISNUMBER(SEARCH("electronic",E90)),ISNUMBER(SEARCH("zapper",E90))),"Electronic Traps",
OR(ISNUMBER(SEARCH("live catch",E90)),ISNUMBER(SEARCH("multi-catch",E90)),ISNUMBER(SEARCH("catch &amp; hold",E90)),ISNUMBER(SEARCH("tin cat",E90))),"Live Catch Traps",
OR(ISNUMBER(SEARCH("bait",E90)),ISNUMBER(SEARCH("poison",E90))),"Bait &amp; Poison",
ISNUMBER(SEARCH("repellent",E90)),"Repellents",
OR(ISNUMBER(SEARCH("fly trap",E90)),ISNUMBER(SEARCH("fly ribbon",E90)),ISNUMBER(SEARCH("fly stick",E90)),ISNUMBER(SEARCH("window fly",E90)),ISNUMBER(SEARCH("fly magnet",E90))),"Fly Traps",
OR(ISNUMBER(SEARCH("uv",E90)),ISNUMBER(SEARCH("fly light",E90)),ISNUMBER(SEARCH("plug-in",E90))),"UV Fly Traps",
ISNUMBER(SEARCH("roach",E90)),"Roach Traps",
ISNUMBER(SEARCH("ant",E90)),"Ant Traps",
ISNUMBER(SEARCH("spider",E90)),"Spider Traps",
ISNUMBER(SEARCH("mosquito",E90)),"Mosquito Traps",
ISNUMBER(SEARCH("beetle",E90)),"Beetle Traps",
ISNUMBER(SEARCH("lantern",E90)),"Lanternfly Control",
OR(ISNUMBER(SEARCH("tree shield",E90)),ISNUMBER(SEARCH("tree banding",E90)),ISNUMBER(SEARCH("insect barrier",E90))),"Tree Barriers",
OR(ISNUMBER(SEARCH("sun &amp; shade",E90)),ISNUMBER(SEARCH("sun and shade",E90))),"Sun &amp; Shade Mix",
ISNUMBER(SEARCH("tall fescue",E90)),"Tall Fescue",
ISNUMBER(SEARCH("bermudagrass",E90)),"Bermudagrass",
ISNUMBER(SEARCH("kentucky",E90)),"Kentucky Bluegrass",
ISNUMBER(SEARCH("zoysia",E90)),"Zoysia",
ISNUMBER(SEARCH("ryegrass",E90)),"Perennial Ryegrass",
ISNUMBER(SEARCH("centipede",E90)),"Centipede Grass",
ISNUMBER(SEARCH("dense shade",E90)),"Dense Shade Mix",
ISNUMBER(SEARCH("southern gold",E90)),"Southern Gold Mix",
ISNUMBER(SEARCH("heat-tolerant blue",E90)),"Heat-Tolerant Blue Mix",
ISNUMBER(SEARCH("high traffic",E90)),"High Traffic Mix",
ISNUMBER(SEARCH("quick fix",E90)),"Quick Fix Mix",
ISNUMBER(SEARCH("starter",E90)),"Starter Fertilizer",
ISNUMBER(SEARCH("weed &amp; feed",E90)),"Weed &amp; Feed",
ISNUMBER(SEARCH("lawn food",E90)),"Lawn Food",
ISNUMBER(SEARCH("triple action",E90)),"Triple Action Fertilizer",
ISNUMBER(SEARCH("green max",E90)),"Green Max Lawn Food",
ISNUMBER(SEARCH("patchmaster",E90)),"PatchMaster Repair",
ISNUMBER(SEARCH("ez seed",E90)),"EZ Seed Repair",
ISNUMBER(SEARCH("rapid grass",E90)),"Rapid Grass",
ISNUMBER(SEARCH("thick'r lawn",E90)),"Thick'R Lawn",
ISNUMBER(SEARCH("fungicide",E90)),"Fungicide",
ISNUMBER(SEARCH("moss",E90)),"Moss Control",
ISNUMBER(SEARCH("perlite",E90)),"Perlite",
ISNUMBER(SEARCH("plant food",E90)),"Plant Food",
ISNUMBER(SEARCH("spreader",E90)),"Spreader",
ISNUMBER(SEARCH("sprayer",E90)),"Sprayer",
ISNUMBER(SEARCH("mower",E90)),"Lawn Mower",
ISNUMBER(SEARCH("sweeper",E90)),"Lawn Sweeper",
OR(ISNUMBER(SEARCH("pruner",E90)),ISNUMBER(SEARCH("trimmer",E90)),ISNUMBER(SEARCH("pole saw",E90))),"Pruning Tools",
TRUE,"Other"
)</f>
        <v>Fly Traps</v>
      </c>
      <c r="J90" s="7" t="str">
        <f t="shared" si="18"/>
        <v>Flying Insect Control - Fly Traps</v>
      </c>
      <c r="K90" s="1">
        <v>100</v>
      </c>
      <c r="L90" s="1">
        <v>4.5999999999999996</v>
      </c>
      <c r="M90" s="1">
        <v>63</v>
      </c>
      <c r="N90" s="1" t="s">
        <v>453</v>
      </c>
      <c r="O90" s="1">
        <f>VLOOKUP(A90,[2]Sheet1!$A:$B,2,0)</f>
        <v>0</v>
      </c>
      <c r="P90" s="1">
        <f>VLOOKUP(A90,[2]Sheet1!$A:$C,3,0)</f>
        <v>0</v>
      </c>
      <c r="Q90" s="7">
        <f>VLOOKUP(A90,[2]Sheet1!$A:$D,4,0)</f>
        <v>0</v>
      </c>
      <c r="R90" s="7">
        <f>VLOOKUP(A90,[2]Sheet1!$A:$E,5,0)</f>
        <v>50</v>
      </c>
      <c r="S90" s="7">
        <f>VLOOKUP(A90,[2]Sheet1!$A:$F,6,0)</f>
        <v>50</v>
      </c>
      <c r="T90" s="7">
        <f>VLOOKUP(A90,[2]Sheet1!$A:$G,7,0)</f>
        <v>100</v>
      </c>
      <c r="U90" s="7">
        <f>VLOOKUP(A90,[2]Sheet1!$A:$H,8,0)</f>
        <v>100</v>
      </c>
      <c r="V90" s="7">
        <f>VLOOKUP(A90,[2]Sheet1!$A:$I,9,0)</f>
        <v>100</v>
      </c>
      <c r="W90" s="7">
        <f>VLOOKUP(A90,[2]Sheet1!$A:$K,10,0)</f>
        <v>100</v>
      </c>
      <c r="X90" s="7">
        <f>VLOOKUP(A90,[2]Sheet1!$A:$L,11,0)</f>
        <v>50</v>
      </c>
      <c r="Y90" s="7">
        <f>VLOOKUP(A90,[2]Sheet1!$A:$L,12,0)</f>
        <v>50</v>
      </c>
      <c r="Z90" s="7">
        <f>VLOOKUP(A90,[2]Sheet1!$A:$M,13,0)</f>
        <v>0</v>
      </c>
      <c r="AA90" s="1">
        <f t="shared" si="16"/>
        <v>600</v>
      </c>
      <c r="AB90" s="7">
        <f t="shared" si="19"/>
        <v>50</v>
      </c>
      <c r="AC90" s="13">
        <f t="shared" si="17"/>
        <v>50</v>
      </c>
      <c r="AD90" s="9">
        <f t="shared" si="20"/>
        <v>39144</v>
      </c>
      <c r="AE90" s="9">
        <f t="shared" si="21"/>
        <v>3261.9999999999995</v>
      </c>
      <c r="AF90" s="11">
        <v>17.100000000000001</v>
      </c>
      <c r="AG90" s="11">
        <v>65.239999999999995</v>
      </c>
      <c r="AH90" s="9">
        <f t="shared" si="22"/>
        <v>0.53306666666666647</v>
      </c>
      <c r="AI90" s="11">
        <f t="shared" si="23"/>
        <v>1.8657333333333326</v>
      </c>
      <c r="AJ90" s="14">
        <v>0.5</v>
      </c>
      <c r="AK90" s="14">
        <v>0.5</v>
      </c>
      <c r="AL90" s="11">
        <v>17.100000000000001</v>
      </c>
      <c r="AM90" s="9">
        <f t="shared" si="24"/>
        <v>9.7859999999999996</v>
      </c>
      <c r="AN90" s="9">
        <f t="shared" si="25"/>
        <v>1.9571999999999998</v>
      </c>
      <c r="AO90" s="9">
        <f t="shared" si="26"/>
        <v>13.048</v>
      </c>
      <c r="AP90" s="9">
        <f t="shared" si="27"/>
        <v>1.3048</v>
      </c>
      <c r="AQ90" s="9">
        <f t="shared" si="28"/>
        <v>13.048</v>
      </c>
      <c r="AR90" s="9">
        <f t="shared" si="29"/>
        <v>16.309999999999999</v>
      </c>
      <c r="AS90" s="11">
        <f t="shared" si="30"/>
        <v>5.3306666666666649</v>
      </c>
      <c r="AT90" s="12">
        <f t="shared" si="31"/>
        <v>3.1559999999999988</v>
      </c>
    </row>
    <row r="91" spans="1:46" ht="16.5" x14ac:dyDescent="0.4">
      <c r="A91" s="1" t="s">
        <v>454</v>
      </c>
      <c r="B91" s="7" t="s">
        <v>42</v>
      </c>
      <c r="C91" s="7" t="s">
        <v>42</v>
      </c>
      <c r="D91" s="1" t="s">
        <v>455</v>
      </c>
      <c r="E91" s="1" t="s">
        <v>456</v>
      </c>
      <c r="F91" s="1" t="s">
        <v>457</v>
      </c>
      <c r="G91" s="7" t="str">
        <f>VLOOKUP(A91,[1]done!$A:$I,9,0)</f>
        <v>Other crawling insects</v>
      </c>
      <c r="H91" s="7" t="str" cm="1">
        <f t="array" ref="H91">_xlfn.IFS(
OR(ISNUMBER(SEARCH("mouse",E91)),ISNUMBER(SEARCH("rat",E91)),ISNUMBER(SEARCH("mice",E91)),ISNUMBER(SEARCH("rodent",E91))),"Rodent Control",
OR(ISNUMBER(SEARCH("fly",E91)),ISNUMBER(SEARCH("gnat",E91)),ISNUMBER(SEARCH("insect",E91)),ISNUMBER(SEARCH("mosquito",E91))),"Flying Insect Control",
OR(ISNUMBER(SEARCH("roach",E91)),ISNUMBER(SEARCH("ant",E91)),ISNUMBER(SEARCH("spider",E91)),ISNUMBER(SEARCH("cricket",E91)),ISNUMBER(SEARCH("scorpion",E91)),ISNUMBER(SEARCH("centipede",E91)),ISNUMBER(SEARCH("beetle",E91))),"Crawling Insect Control",
OR(ISNUMBER(SEARCH("tree",E91)),ISNUMBER(SEARCH("lantern",E91)),ISNUMBER(SEARCH("garden",E91)),ISNUMBER(SEARCH("plant",E91))),"Garden Pest Control",
OR(ISNUMBER(SEARCH("grass seed",E91)),ISNUMBER(SEARCH("seed mix",E91))),"Grass Seed",
OR(ISNUMBER(SEARCH("lawn food",E91)),ISNUMBER(SEARCH("fertilizer",E91))),"Lawn Fertilizer",
OR(ISNUMBER(SEARCH("patch",E91)),ISNUMBER(SEARCH("repair",E91)),ISNUMBER(SEARCH("thick'r",E91)),ISNUMBER(SEARCH("thick'r lawn",E91)),ISNUMBER(SEARCH("rapid grass",E91))),"Lawn Repair",
OR(ISNUMBER(SEARCH("weed",E91)),ISNUMBER(SEARCH("crabgrass",E91))),"Weed Control",
OR(ISNUMBER(SEARCH("fungicide",E91)),ISNUMBER(SEARCH("moss",E91))),"Disease &amp; Moss Control",
OR(ISNUMBER(SEARCH("plant food",E91)),ISNUMBER(SEARCH("miracid",E91))),"Plant Nutrition",
OR(ISNUMBER(SEARCH("perlite",E91))),"Soil Amendment",
OR(ISNUMBER(SEARCH("spreader",E91)),ISNUMBER(SEARCH("sprayer",E91)),ISNUMBER(SEARCH("mower",E91)),ISNUMBER(SEARCH("sweeper",E91)),ISNUMBER(SEARCH("pruner",E91)),ISNUMBER(SEARCH("trimmer",E91)),ISNUMBER(SEARCH("pole saw",E91))),"Garden Equipment",
TRUE,"Other"
)</f>
        <v>Flying Insect Control</v>
      </c>
      <c r="I91" s="7" t="str" cm="1">
        <f t="array" ref="I91">_xlfn.IFS(
OR(ISNUMBER(SEARCH("glue trap",E91)),ISNUMBER(SEARCH("glue board",E91))),"Glue Traps",
OR(ISNUMBER(SEARCH("snap trap",E91)),ISNUMBER(SEARCH("power-kill",E91)),ISNUMBER(SEARCH("wide pedal",E91)),ISNUMBER(SEARCH("metal pedal",E91))),"Snap Traps",
OR(ISNUMBER(SEARCH("electronic",E91)),ISNUMBER(SEARCH("zapper",E91))),"Electronic Traps",
OR(ISNUMBER(SEARCH("live catch",E91)),ISNUMBER(SEARCH("multi-catch",E91)),ISNUMBER(SEARCH("catch &amp; hold",E91)),ISNUMBER(SEARCH("tin cat",E91))),"Live Catch Traps",
OR(ISNUMBER(SEARCH("bait",E91)),ISNUMBER(SEARCH("poison",E91))),"Bait &amp; Poison",
ISNUMBER(SEARCH("repellent",E91)),"Repellents",
OR(ISNUMBER(SEARCH("fly trap",E91)),ISNUMBER(SEARCH("fly ribbon",E91)),ISNUMBER(SEARCH("fly stick",E91)),ISNUMBER(SEARCH("window fly",E91)),ISNUMBER(SEARCH("fly magnet",E91))),"Fly Traps",
OR(ISNUMBER(SEARCH("uv",E91)),ISNUMBER(SEARCH("fly light",E91)),ISNUMBER(SEARCH("plug-in",E91))),"UV Fly Traps",
ISNUMBER(SEARCH("roach",E91)),"Roach Traps",
ISNUMBER(SEARCH("ant",E91)),"Ant Traps",
ISNUMBER(SEARCH("spider",E91)),"Spider Traps",
ISNUMBER(SEARCH("mosquito",E91)),"Mosquito Traps",
ISNUMBER(SEARCH("beetle",E91)),"Beetle Traps",
ISNUMBER(SEARCH("lantern",E91)),"Lanternfly Control",
OR(ISNUMBER(SEARCH("tree shield",E91)),ISNUMBER(SEARCH("tree banding",E91)),ISNUMBER(SEARCH("insect barrier",E91))),"Tree Barriers",
OR(ISNUMBER(SEARCH("sun &amp; shade",E91)),ISNUMBER(SEARCH("sun and shade",E91))),"Sun &amp; Shade Mix",
ISNUMBER(SEARCH("tall fescue",E91)),"Tall Fescue",
ISNUMBER(SEARCH("bermudagrass",E91)),"Bermudagrass",
ISNUMBER(SEARCH("kentucky",E91)),"Kentucky Bluegrass",
ISNUMBER(SEARCH("zoysia",E91)),"Zoysia",
ISNUMBER(SEARCH("ryegrass",E91)),"Perennial Ryegrass",
ISNUMBER(SEARCH("centipede",E91)),"Centipede Grass",
ISNUMBER(SEARCH("dense shade",E91)),"Dense Shade Mix",
ISNUMBER(SEARCH("southern gold",E91)),"Southern Gold Mix",
ISNUMBER(SEARCH("heat-tolerant blue",E91)),"Heat-Tolerant Blue Mix",
ISNUMBER(SEARCH("high traffic",E91)),"High Traffic Mix",
ISNUMBER(SEARCH("quick fix",E91)),"Quick Fix Mix",
ISNUMBER(SEARCH("starter",E91)),"Starter Fertilizer",
ISNUMBER(SEARCH("weed &amp; feed",E91)),"Weed &amp; Feed",
ISNUMBER(SEARCH("lawn food",E91)),"Lawn Food",
ISNUMBER(SEARCH("triple action",E91)),"Triple Action Fertilizer",
ISNUMBER(SEARCH("green max",E91)),"Green Max Lawn Food",
ISNUMBER(SEARCH("patchmaster",E91)),"PatchMaster Repair",
ISNUMBER(SEARCH("ez seed",E91)),"EZ Seed Repair",
ISNUMBER(SEARCH("rapid grass",E91)),"Rapid Grass",
ISNUMBER(SEARCH("thick'r lawn",E91)),"Thick'R Lawn",
ISNUMBER(SEARCH("fungicide",E91)),"Fungicide",
ISNUMBER(SEARCH("moss",E91)),"Moss Control",
ISNUMBER(SEARCH("perlite",E91)),"Perlite",
ISNUMBER(SEARCH("plant food",E91)),"Plant Food",
ISNUMBER(SEARCH("spreader",E91)),"Spreader",
ISNUMBER(SEARCH("sprayer",E91)),"Sprayer",
ISNUMBER(SEARCH("mower",E91)),"Lawn Mower",
ISNUMBER(SEARCH("sweeper",E91)),"Lawn Sweeper",
OR(ISNUMBER(SEARCH("pruner",E91)),ISNUMBER(SEARCH("trimmer",E91)),ISNUMBER(SEARCH("pole saw",E91))),"Pruning Tools",
TRUE,"Other"
)</f>
        <v>Glue Traps</v>
      </c>
      <c r="J91" s="7" t="str">
        <f t="shared" si="18"/>
        <v>Flying Insect Control - Glue Traps</v>
      </c>
      <c r="K91" s="1">
        <v>50</v>
      </c>
      <c r="L91" s="1">
        <v>4.5</v>
      </c>
      <c r="M91" s="1">
        <v>3648</v>
      </c>
      <c r="N91" s="1" t="s">
        <v>458</v>
      </c>
      <c r="O91" s="1">
        <f>VLOOKUP(A91,[2]Sheet1!$A:$B,2,0)</f>
        <v>0</v>
      </c>
      <c r="P91" s="1">
        <f>VLOOKUP(A91,[2]Sheet1!$A:$C,3,0)</f>
        <v>0</v>
      </c>
      <c r="Q91" s="7">
        <f>VLOOKUP(A91,[2]Sheet1!$A:$D,4,0)</f>
        <v>0</v>
      </c>
      <c r="R91" s="7">
        <f>VLOOKUP(A91,[2]Sheet1!$A:$E,5,0)</f>
        <v>0</v>
      </c>
      <c r="S91" s="7">
        <f>VLOOKUP(A91,[2]Sheet1!$A:$F,6,0)</f>
        <v>0</v>
      </c>
      <c r="T91" s="7">
        <f>VLOOKUP(A91,[2]Sheet1!$A:$G,7,0)</f>
        <v>0</v>
      </c>
      <c r="U91" s="7">
        <f>VLOOKUP(A91,[2]Sheet1!$A:$H,8,0)</f>
        <v>0</v>
      </c>
      <c r="V91" s="7">
        <f>VLOOKUP(A91,[2]Sheet1!$A:$I,9,0)</f>
        <v>0</v>
      </c>
      <c r="W91" s="7">
        <f>VLOOKUP(A91,[2]Sheet1!$A:$K,10,0)</f>
        <v>50</v>
      </c>
      <c r="X91" s="7">
        <f>VLOOKUP(A91,[2]Sheet1!$A:$L,11,0)</f>
        <v>50</v>
      </c>
      <c r="Y91" s="7">
        <f>VLOOKUP(A91,[2]Sheet1!$A:$L,12,0)</f>
        <v>0</v>
      </c>
      <c r="Z91" s="7">
        <f>VLOOKUP(A91,[2]Sheet1!$A:$M,13,0)</f>
        <v>0</v>
      </c>
      <c r="AA91" s="1">
        <f t="shared" si="16"/>
        <v>100</v>
      </c>
      <c r="AB91" s="7">
        <f t="shared" si="19"/>
        <v>8</v>
      </c>
      <c r="AC91" s="13">
        <f t="shared" si="17"/>
        <v>8.3333333333333339</v>
      </c>
      <c r="AD91" s="9">
        <f t="shared" si="20"/>
        <v>7198.9999999999991</v>
      </c>
      <c r="AE91" s="9">
        <f t="shared" si="21"/>
        <v>599.91666666666663</v>
      </c>
      <c r="AF91" s="11">
        <v>7.65</v>
      </c>
      <c r="AG91" s="11">
        <v>71.989999999999995</v>
      </c>
      <c r="AH91" s="9">
        <f t="shared" si="22"/>
        <v>1.3430666666666666</v>
      </c>
      <c r="AI91" s="11">
        <f t="shared" si="23"/>
        <v>4.700733333333333</v>
      </c>
      <c r="AJ91" s="14">
        <v>0.5</v>
      </c>
      <c r="AK91" s="14">
        <v>0.5</v>
      </c>
      <c r="AL91" s="11">
        <v>7.65</v>
      </c>
      <c r="AM91" s="9">
        <f t="shared" si="24"/>
        <v>10.798499999999999</v>
      </c>
      <c r="AN91" s="9">
        <f t="shared" si="25"/>
        <v>2.1597</v>
      </c>
      <c r="AO91" s="9">
        <f t="shared" si="26"/>
        <v>14.398</v>
      </c>
      <c r="AP91" s="9">
        <f t="shared" si="27"/>
        <v>1.4398</v>
      </c>
      <c r="AQ91" s="9">
        <f t="shared" si="28"/>
        <v>14.398</v>
      </c>
      <c r="AR91" s="9">
        <f t="shared" si="29"/>
        <v>17.997499999999999</v>
      </c>
      <c r="AS91" s="11">
        <f t="shared" si="30"/>
        <v>13.430666666666665</v>
      </c>
      <c r="AT91" s="12">
        <f t="shared" si="31"/>
        <v>11.030999999999999</v>
      </c>
    </row>
    <row r="92" spans="1:46" ht="16.5" x14ac:dyDescent="0.4">
      <c r="A92" s="1" t="s">
        <v>459</v>
      </c>
      <c r="B92" s="7" t="s">
        <v>42</v>
      </c>
      <c r="C92" s="7" t="s">
        <v>42</v>
      </c>
      <c r="D92" s="1" t="s">
        <v>460</v>
      </c>
      <c r="E92" s="1" t="s">
        <v>461</v>
      </c>
      <c r="F92" s="1" t="s">
        <v>462</v>
      </c>
      <c r="G92" s="7" t="str">
        <f>VLOOKUP(A92,[1]done!$A:$I,9,0)</f>
        <v>Mosquito/Fly</v>
      </c>
      <c r="H92" s="7" t="str" cm="1">
        <f t="array" ref="H92">_xlfn.IFS(
OR(ISNUMBER(SEARCH("mouse",E92)),ISNUMBER(SEARCH("rat",E92)),ISNUMBER(SEARCH("mice",E92)),ISNUMBER(SEARCH("rodent",E92))),"Rodent Control",
OR(ISNUMBER(SEARCH("fly",E92)),ISNUMBER(SEARCH("gnat",E92)),ISNUMBER(SEARCH("insect",E92)),ISNUMBER(SEARCH("mosquito",E92))),"Flying Insect Control",
OR(ISNUMBER(SEARCH("roach",E92)),ISNUMBER(SEARCH("ant",E92)),ISNUMBER(SEARCH("spider",E92)),ISNUMBER(SEARCH("cricket",E92)),ISNUMBER(SEARCH("scorpion",E92)),ISNUMBER(SEARCH("centipede",E92)),ISNUMBER(SEARCH("beetle",E92))),"Crawling Insect Control",
OR(ISNUMBER(SEARCH("tree",E92)),ISNUMBER(SEARCH("lantern",E92)),ISNUMBER(SEARCH("garden",E92)),ISNUMBER(SEARCH("plant",E92))),"Garden Pest Control",
OR(ISNUMBER(SEARCH("grass seed",E92)),ISNUMBER(SEARCH("seed mix",E92))),"Grass Seed",
OR(ISNUMBER(SEARCH("lawn food",E92)),ISNUMBER(SEARCH("fertilizer",E92))),"Lawn Fertilizer",
OR(ISNUMBER(SEARCH("patch",E92)),ISNUMBER(SEARCH("repair",E92)),ISNUMBER(SEARCH("thick'r",E92)),ISNUMBER(SEARCH("thick'r lawn",E92)),ISNUMBER(SEARCH("rapid grass",E92))),"Lawn Repair",
OR(ISNUMBER(SEARCH("weed",E92)),ISNUMBER(SEARCH("crabgrass",E92))),"Weed Control",
OR(ISNUMBER(SEARCH("fungicide",E92)),ISNUMBER(SEARCH("moss",E92))),"Disease &amp; Moss Control",
OR(ISNUMBER(SEARCH("plant food",E92)),ISNUMBER(SEARCH("miracid",E92))),"Plant Nutrition",
OR(ISNUMBER(SEARCH("perlite",E92))),"Soil Amendment",
OR(ISNUMBER(SEARCH("spreader",E92)),ISNUMBER(SEARCH("sprayer",E92)),ISNUMBER(SEARCH("mower",E92)),ISNUMBER(SEARCH("sweeper",E92)),ISNUMBER(SEARCH("pruner",E92)),ISNUMBER(SEARCH("trimmer",E92)),ISNUMBER(SEARCH("pole saw",E92))),"Garden Equipment",
TRUE,"Other"
)</f>
        <v>Flying Insect Control</v>
      </c>
      <c r="I92" s="7" t="str" cm="1">
        <f t="array" ref="I92">_xlfn.IFS(
OR(ISNUMBER(SEARCH("glue trap",E92)),ISNUMBER(SEARCH("glue board",E92))),"Glue Traps",
OR(ISNUMBER(SEARCH("snap trap",E92)),ISNUMBER(SEARCH("power-kill",E92)),ISNUMBER(SEARCH("wide pedal",E92)),ISNUMBER(SEARCH("metal pedal",E92))),"Snap Traps",
OR(ISNUMBER(SEARCH("electronic",E92)),ISNUMBER(SEARCH("zapper",E92))),"Electronic Traps",
OR(ISNUMBER(SEARCH("live catch",E92)),ISNUMBER(SEARCH("multi-catch",E92)),ISNUMBER(SEARCH("catch &amp; hold",E92)),ISNUMBER(SEARCH("tin cat",E92))),"Live Catch Traps",
OR(ISNUMBER(SEARCH("bait",E92)),ISNUMBER(SEARCH("poison",E92))),"Bait &amp; Poison",
ISNUMBER(SEARCH("repellent",E92)),"Repellents",
OR(ISNUMBER(SEARCH("fly trap",E92)),ISNUMBER(SEARCH("fly ribbon",E92)),ISNUMBER(SEARCH("fly stick",E92)),ISNUMBER(SEARCH("window fly",E92)),ISNUMBER(SEARCH("fly magnet",E92))),"Fly Traps",
OR(ISNUMBER(SEARCH("uv",E92)),ISNUMBER(SEARCH("fly light",E92)),ISNUMBER(SEARCH("plug-in",E92))),"UV Fly Traps",
ISNUMBER(SEARCH("roach",E92)),"Roach Traps",
ISNUMBER(SEARCH("ant",E92)),"Ant Traps",
ISNUMBER(SEARCH("spider",E92)),"Spider Traps",
ISNUMBER(SEARCH("mosquito",E92)),"Mosquito Traps",
ISNUMBER(SEARCH("beetle",E92)),"Beetle Traps",
ISNUMBER(SEARCH("lantern",E92)),"Lanternfly Control",
OR(ISNUMBER(SEARCH("tree shield",E92)),ISNUMBER(SEARCH("tree banding",E92)),ISNUMBER(SEARCH("insect barrier",E92))),"Tree Barriers",
OR(ISNUMBER(SEARCH("sun &amp; shade",E92)),ISNUMBER(SEARCH("sun and shade",E92))),"Sun &amp; Shade Mix",
ISNUMBER(SEARCH("tall fescue",E92)),"Tall Fescue",
ISNUMBER(SEARCH("bermudagrass",E92)),"Bermudagrass",
ISNUMBER(SEARCH("kentucky",E92)),"Kentucky Bluegrass",
ISNUMBER(SEARCH("zoysia",E92)),"Zoysia",
ISNUMBER(SEARCH("ryegrass",E92)),"Perennial Ryegrass",
ISNUMBER(SEARCH("centipede",E92)),"Centipede Grass",
ISNUMBER(SEARCH("dense shade",E92)),"Dense Shade Mix",
ISNUMBER(SEARCH("southern gold",E92)),"Southern Gold Mix",
ISNUMBER(SEARCH("heat-tolerant blue",E92)),"Heat-Tolerant Blue Mix",
ISNUMBER(SEARCH("high traffic",E92)),"High Traffic Mix",
ISNUMBER(SEARCH("quick fix",E92)),"Quick Fix Mix",
ISNUMBER(SEARCH("starter",E92)),"Starter Fertilizer",
ISNUMBER(SEARCH("weed &amp; feed",E92)),"Weed &amp; Feed",
ISNUMBER(SEARCH("lawn food",E92)),"Lawn Food",
ISNUMBER(SEARCH("triple action",E92)),"Triple Action Fertilizer",
ISNUMBER(SEARCH("green max",E92)),"Green Max Lawn Food",
ISNUMBER(SEARCH("patchmaster",E92)),"PatchMaster Repair",
ISNUMBER(SEARCH("ez seed",E92)),"EZ Seed Repair",
ISNUMBER(SEARCH("rapid grass",E92)),"Rapid Grass",
ISNUMBER(SEARCH("thick'r lawn",E92)),"Thick'R Lawn",
ISNUMBER(SEARCH("fungicide",E92)),"Fungicide",
ISNUMBER(SEARCH("moss",E92)),"Moss Control",
ISNUMBER(SEARCH("perlite",E92)),"Perlite",
ISNUMBER(SEARCH("plant food",E92)),"Plant Food",
ISNUMBER(SEARCH("spreader",E92)),"Spreader",
ISNUMBER(SEARCH("sprayer",E92)),"Sprayer",
ISNUMBER(SEARCH("mower",E92)),"Lawn Mower",
ISNUMBER(SEARCH("sweeper",E92)),"Lawn Sweeper",
OR(ISNUMBER(SEARCH("pruner",E92)),ISNUMBER(SEARCH("trimmer",E92)),ISNUMBER(SEARCH("pole saw",E92))),"Pruning Tools",
TRUE,"Other"
)</f>
        <v>Bait &amp; Poison</v>
      </c>
      <c r="J92" s="7" t="str">
        <f t="shared" si="18"/>
        <v>Flying Insect Control - Bait &amp; Poison</v>
      </c>
      <c r="K92" s="1"/>
      <c r="L92" s="1">
        <v>4.4000000000000004</v>
      </c>
      <c r="M92" s="1">
        <v>270</v>
      </c>
      <c r="N92" s="1" t="s">
        <v>463</v>
      </c>
      <c r="O92" s="1">
        <f>VLOOKUP(A92,[2]Sheet1!$A:$B,2,0)</f>
        <v>0</v>
      </c>
      <c r="P92" s="1">
        <f>VLOOKUP(A92,[2]Sheet1!$A:$C,3,0)</f>
        <v>0</v>
      </c>
      <c r="Q92" s="7">
        <f>VLOOKUP(A92,[2]Sheet1!$A:$D,4,0)</f>
        <v>0</v>
      </c>
      <c r="R92" s="7">
        <f>VLOOKUP(A92,[2]Sheet1!$A:$E,5,0)</f>
        <v>50</v>
      </c>
      <c r="S92" s="7">
        <f>VLOOKUP(A92,[2]Sheet1!$A:$F,6,0)</f>
        <v>50</v>
      </c>
      <c r="T92" s="7">
        <f>VLOOKUP(A92,[2]Sheet1!$A:$G,7,0)</f>
        <v>50</v>
      </c>
      <c r="U92" s="7">
        <f>VLOOKUP(A92,[2]Sheet1!$A:$H,8,0)</f>
        <v>200</v>
      </c>
      <c r="V92" s="7">
        <f>VLOOKUP(A92,[2]Sheet1!$A:$I,9,0)</f>
        <v>100</v>
      </c>
      <c r="W92" s="7">
        <f>VLOOKUP(A92,[2]Sheet1!$A:$K,10,0)</f>
        <v>50</v>
      </c>
      <c r="X92" s="7">
        <f>VLOOKUP(A92,[2]Sheet1!$A:$L,11,0)</f>
        <v>0</v>
      </c>
      <c r="Y92" s="7">
        <f>VLOOKUP(A92,[2]Sheet1!$A:$L,12,0)</f>
        <v>0</v>
      </c>
      <c r="Z92" s="7">
        <f>VLOOKUP(A92,[2]Sheet1!$A:$M,13,0)</f>
        <v>0</v>
      </c>
      <c r="AA92" s="1">
        <f t="shared" si="16"/>
        <v>500</v>
      </c>
      <c r="AB92" s="7">
        <f t="shared" si="19"/>
        <v>42</v>
      </c>
      <c r="AC92" s="13">
        <f t="shared" si="17"/>
        <v>41.666666666666664</v>
      </c>
      <c r="AD92" s="9">
        <f t="shared" si="20"/>
        <v>5995</v>
      </c>
      <c r="AE92" s="9">
        <f t="shared" si="21"/>
        <v>499.58333333333331</v>
      </c>
      <c r="AF92" s="11">
        <v>3.86</v>
      </c>
      <c r="AG92" s="11">
        <v>11.99</v>
      </c>
      <c r="AH92" s="9">
        <f t="shared" si="22"/>
        <v>-4.2666666666666712E-3</v>
      </c>
      <c r="AI92" s="11">
        <f t="shared" si="23"/>
        <v>-1.4933333333333347E-2</v>
      </c>
      <c r="AJ92" s="14">
        <v>0.5</v>
      </c>
      <c r="AK92" s="14">
        <v>0.5</v>
      </c>
      <c r="AL92" s="11">
        <v>3.86</v>
      </c>
      <c r="AM92" s="9">
        <f t="shared" si="24"/>
        <v>1.7985</v>
      </c>
      <c r="AN92" s="9">
        <f t="shared" si="25"/>
        <v>0.35970000000000002</v>
      </c>
      <c r="AO92" s="9">
        <f t="shared" si="26"/>
        <v>2.3980000000000001</v>
      </c>
      <c r="AP92" s="9">
        <f t="shared" si="27"/>
        <v>0.23980000000000001</v>
      </c>
      <c r="AQ92" s="9">
        <f t="shared" si="28"/>
        <v>2.3980000000000001</v>
      </c>
      <c r="AR92" s="9">
        <f t="shared" si="29"/>
        <v>2.9975000000000001</v>
      </c>
      <c r="AS92" s="11">
        <f t="shared" si="30"/>
        <v>-4.2666666666666707E-2</v>
      </c>
      <c r="AT92" s="12">
        <f t="shared" si="31"/>
        <v>-0.4423333333333333</v>
      </c>
    </row>
    <row r="93" spans="1:46" ht="16.5" x14ac:dyDescent="0.4">
      <c r="A93" s="1" t="s">
        <v>464</v>
      </c>
      <c r="B93" s="7" t="s">
        <v>42</v>
      </c>
      <c r="C93" s="7" t="s">
        <v>42</v>
      </c>
      <c r="D93" s="1" t="s">
        <v>465</v>
      </c>
      <c r="E93" s="1" t="s">
        <v>466</v>
      </c>
      <c r="F93" s="1" t="s">
        <v>467</v>
      </c>
      <c r="G93" s="7" t="str">
        <f>VLOOKUP(A93,[1]done!$A:$I,9,0)</f>
        <v>Mosquito/Fly</v>
      </c>
      <c r="H93" s="7" t="str" cm="1">
        <f t="array" ref="H93">_xlfn.IFS(
OR(ISNUMBER(SEARCH("mouse",E93)),ISNUMBER(SEARCH("rat",E93)),ISNUMBER(SEARCH("mice",E93)),ISNUMBER(SEARCH("rodent",E93))),"Rodent Control",
OR(ISNUMBER(SEARCH("fly",E93)),ISNUMBER(SEARCH("gnat",E93)),ISNUMBER(SEARCH("insect",E93)),ISNUMBER(SEARCH("mosquito",E93))),"Flying Insect Control",
OR(ISNUMBER(SEARCH("roach",E93)),ISNUMBER(SEARCH("ant",E93)),ISNUMBER(SEARCH("spider",E93)),ISNUMBER(SEARCH("cricket",E93)),ISNUMBER(SEARCH("scorpion",E93)),ISNUMBER(SEARCH("centipede",E93)),ISNUMBER(SEARCH("beetle",E93))),"Crawling Insect Control",
OR(ISNUMBER(SEARCH("tree",E93)),ISNUMBER(SEARCH("lantern",E93)),ISNUMBER(SEARCH("garden",E93)),ISNUMBER(SEARCH("plant",E93))),"Garden Pest Control",
OR(ISNUMBER(SEARCH("grass seed",E93)),ISNUMBER(SEARCH("seed mix",E93))),"Grass Seed",
OR(ISNUMBER(SEARCH("lawn food",E93)),ISNUMBER(SEARCH("fertilizer",E93))),"Lawn Fertilizer",
OR(ISNUMBER(SEARCH("patch",E93)),ISNUMBER(SEARCH("repair",E93)),ISNUMBER(SEARCH("thick'r",E93)),ISNUMBER(SEARCH("thick'r lawn",E93)),ISNUMBER(SEARCH("rapid grass",E93))),"Lawn Repair",
OR(ISNUMBER(SEARCH("weed",E93)),ISNUMBER(SEARCH("crabgrass",E93))),"Weed Control",
OR(ISNUMBER(SEARCH("fungicide",E93)),ISNUMBER(SEARCH("moss",E93))),"Disease &amp; Moss Control",
OR(ISNUMBER(SEARCH("plant food",E93)),ISNUMBER(SEARCH("miracid",E93))),"Plant Nutrition",
OR(ISNUMBER(SEARCH("perlite",E93))),"Soil Amendment",
OR(ISNUMBER(SEARCH("spreader",E93)),ISNUMBER(SEARCH("sprayer",E93)),ISNUMBER(SEARCH("mower",E93)),ISNUMBER(SEARCH("sweeper",E93)),ISNUMBER(SEARCH("pruner",E93)),ISNUMBER(SEARCH("trimmer",E93)),ISNUMBER(SEARCH("pole saw",E93))),"Garden Equipment",
TRUE,"Other"
)</f>
        <v>Flying Insect Control</v>
      </c>
      <c r="I93" s="7" t="str" cm="1">
        <f t="array" ref="I93">_xlfn.IFS(
OR(ISNUMBER(SEARCH("glue trap",E93)),ISNUMBER(SEARCH("glue board",E93))),"Glue Traps",
OR(ISNUMBER(SEARCH("snap trap",E93)),ISNUMBER(SEARCH("power-kill",E93)),ISNUMBER(SEARCH("wide pedal",E93)),ISNUMBER(SEARCH("metal pedal",E93))),"Snap Traps",
OR(ISNUMBER(SEARCH("electronic",E93)),ISNUMBER(SEARCH("zapper",E93))),"Electronic Traps",
OR(ISNUMBER(SEARCH("live catch",E93)),ISNUMBER(SEARCH("multi-catch",E93)),ISNUMBER(SEARCH("catch &amp; hold",E93)),ISNUMBER(SEARCH("tin cat",E93))),"Live Catch Traps",
OR(ISNUMBER(SEARCH("bait",E93)),ISNUMBER(SEARCH("poison",E93))),"Bait &amp; Poison",
ISNUMBER(SEARCH("repellent",E93)),"Repellents",
OR(ISNUMBER(SEARCH("fly trap",E93)),ISNUMBER(SEARCH("fly ribbon",E93)),ISNUMBER(SEARCH("fly stick",E93)),ISNUMBER(SEARCH("window fly",E93)),ISNUMBER(SEARCH("fly magnet",E93))),"Fly Traps",
OR(ISNUMBER(SEARCH("uv",E93)),ISNUMBER(SEARCH("fly light",E93)),ISNUMBER(SEARCH("plug-in",E93))),"UV Fly Traps",
ISNUMBER(SEARCH("roach",E93)),"Roach Traps",
ISNUMBER(SEARCH("ant",E93)),"Ant Traps",
ISNUMBER(SEARCH("spider",E93)),"Spider Traps",
ISNUMBER(SEARCH("mosquito",E93)),"Mosquito Traps",
ISNUMBER(SEARCH("beetle",E93)),"Beetle Traps",
ISNUMBER(SEARCH("lantern",E93)),"Lanternfly Control",
OR(ISNUMBER(SEARCH("tree shield",E93)),ISNUMBER(SEARCH("tree banding",E93)),ISNUMBER(SEARCH("insect barrier",E93))),"Tree Barriers",
OR(ISNUMBER(SEARCH("sun &amp; shade",E93)),ISNUMBER(SEARCH("sun and shade",E93))),"Sun &amp; Shade Mix",
ISNUMBER(SEARCH("tall fescue",E93)),"Tall Fescue",
ISNUMBER(SEARCH("bermudagrass",E93)),"Bermudagrass",
ISNUMBER(SEARCH("kentucky",E93)),"Kentucky Bluegrass",
ISNUMBER(SEARCH("zoysia",E93)),"Zoysia",
ISNUMBER(SEARCH("ryegrass",E93)),"Perennial Ryegrass",
ISNUMBER(SEARCH("centipede",E93)),"Centipede Grass",
ISNUMBER(SEARCH("dense shade",E93)),"Dense Shade Mix",
ISNUMBER(SEARCH("southern gold",E93)),"Southern Gold Mix",
ISNUMBER(SEARCH("heat-tolerant blue",E93)),"Heat-Tolerant Blue Mix",
ISNUMBER(SEARCH("high traffic",E93)),"High Traffic Mix",
ISNUMBER(SEARCH("quick fix",E93)),"Quick Fix Mix",
ISNUMBER(SEARCH("starter",E93)),"Starter Fertilizer",
ISNUMBER(SEARCH("weed &amp; feed",E93)),"Weed &amp; Feed",
ISNUMBER(SEARCH("lawn food",E93)),"Lawn Food",
ISNUMBER(SEARCH("triple action",E93)),"Triple Action Fertilizer",
ISNUMBER(SEARCH("green max",E93)),"Green Max Lawn Food",
ISNUMBER(SEARCH("patchmaster",E93)),"PatchMaster Repair",
ISNUMBER(SEARCH("ez seed",E93)),"EZ Seed Repair",
ISNUMBER(SEARCH("rapid grass",E93)),"Rapid Grass",
ISNUMBER(SEARCH("thick'r lawn",E93)),"Thick'R Lawn",
ISNUMBER(SEARCH("fungicide",E93)),"Fungicide",
ISNUMBER(SEARCH("moss",E93)),"Moss Control",
ISNUMBER(SEARCH("perlite",E93)),"Perlite",
ISNUMBER(SEARCH("plant food",E93)),"Plant Food",
ISNUMBER(SEARCH("spreader",E93)),"Spreader",
ISNUMBER(SEARCH("sprayer",E93)),"Sprayer",
ISNUMBER(SEARCH("mower",E93)),"Lawn Mower",
ISNUMBER(SEARCH("sweeper",E93)),"Lawn Sweeper",
OR(ISNUMBER(SEARCH("pruner",E93)),ISNUMBER(SEARCH("trimmer",E93)),ISNUMBER(SEARCH("pole saw",E93))),"Pruning Tools",
TRUE,"Other"
)</f>
        <v>Bait &amp; Poison</v>
      </c>
      <c r="J93" s="7" t="str">
        <f t="shared" si="18"/>
        <v>Flying Insect Control - Bait &amp; Poison</v>
      </c>
      <c r="K93" s="1">
        <v>50</v>
      </c>
      <c r="L93" s="1">
        <v>4.0999999999999996</v>
      </c>
      <c r="M93" s="1">
        <v>147</v>
      </c>
      <c r="N93" s="1" t="s">
        <v>468</v>
      </c>
      <c r="O93" s="1">
        <f>VLOOKUP(A93,[2]Sheet1!$A:$B,2,0)</f>
        <v>0</v>
      </c>
      <c r="P93" s="1">
        <f>VLOOKUP(A93,[2]Sheet1!$A:$C,3,0)</f>
        <v>0</v>
      </c>
      <c r="Q93" s="7">
        <f>VLOOKUP(A93,[2]Sheet1!$A:$D,4,0)</f>
        <v>0</v>
      </c>
      <c r="R93" s="7">
        <f>VLOOKUP(A93,[2]Sheet1!$A:$E,5,0)</f>
        <v>100</v>
      </c>
      <c r="S93" s="7">
        <f>VLOOKUP(A93,[2]Sheet1!$A:$F,6,0)</f>
        <v>60</v>
      </c>
      <c r="T93" s="7">
        <f>VLOOKUP(A93,[2]Sheet1!$A:$G,7,0)</f>
        <v>100</v>
      </c>
      <c r="U93" s="7">
        <f>VLOOKUP(A93,[2]Sheet1!$A:$H,8,0)</f>
        <v>800</v>
      </c>
      <c r="V93" s="7">
        <f>VLOOKUP(A93,[2]Sheet1!$A:$I,9,0)</f>
        <v>200</v>
      </c>
      <c r="W93" s="7">
        <f>VLOOKUP(A93,[2]Sheet1!$A:$K,10,0)</f>
        <v>60</v>
      </c>
      <c r="X93" s="7">
        <f>VLOOKUP(A93,[2]Sheet1!$A:$L,11,0)</f>
        <v>60</v>
      </c>
      <c r="Y93" s="7">
        <f>VLOOKUP(A93,[2]Sheet1!$A:$L,12,0)</f>
        <v>60</v>
      </c>
      <c r="Z93" s="7">
        <f>VLOOKUP(A93,[2]Sheet1!$A:$M,13,0)</f>
        <v>0</v>
      </c>
      <c r="AA93" s="1">
        <f t="shared" si="16"/>
        <v>1440</v>
      </c>
      <c r="AB93" s="7">
        <f t="shared" si="19"/>
        <v>120</v>
      </c>
      <c r="AC93" s="13">
        <f t="shared" si="17"/>
        <v>120</v>
      </c>
      <c r="AD93" s="9">
        <f t="shared" si="20"/>
        <v>24465.599999999999</v>
      </c>
      <c r="AE93" s="9">
        <f t="shared" si="21"/>
        <v>2038.7999999999997</v>
      </c>
      <c r="AF93" s="11">
        <v>6.13</v>
      </c>
      <c r="AG93" s="11">
        <v>16.989999999999998</v>
      </c>
      <c r="AH93" s="9">
        <f t="shared" si="22"/>
        <v>-2.2266666666666702E-2</v>
      </c>
      <c r="AI93" s="11">
        <f t="shared" si="23"/>
        <v>-7.7933333333333452E-2</v>
      </c>
      <c r="AJ93" s="14">
        <v>0.5</v>
      </c>
      <c r="AK93" s="14">
        <v>0.5</v>
      </c>
      <c r="AL93" s="11">
        <v>6.13</v>
      </c>
      <c r="AM93" s="9">
        <f t="shared" si="24"/>
        <v>2.5484999999999998</v>
      </c>
      <c r="AN93" s="9">
        <f t="shared" si="25"/>
        <v>0.50969999999999993</v>
      </c>
      <c r="AO93" s="9">
        <f t="shared" si="26"/>
        <v>3.3979999999999997</v>
      </c>
      <c r="AP93" s="9">
        <f t="shared" si="27"/>
        <v>0.33979999999999999</v>
      </c>
      <c r="AQ93" s="9">
        <f t="shared" si="28"/>
        <v>3.3979999999999997</v>
      </c>
      <c r="AR93" s="9">
        <f t="shared" si="29"/>
        <v>4.2474999999999996</v>
      </c>
      <c r="AS93" s="11">
        <f t="shared" si="30"/>
        <v>-0.22266666666666701</v>
      </c>
      <c r="AT93" s="12">
        <f t="shared" si="31"/>
        <v>-0.78900000000000026</v>
      </c>
    </row>
    <row r="94" spans="1:46" ht="16.5" x14ac:dyDescent="0.4">
      <c r="A94" s="1" t="s">
        <v>469</v>
      </c>
      <c r="B94" s="7" t="s">
        <v>42</v>
      </c>
      <c r="C94" s="7" t="s">
        <v>42</v>
      </c>
      <c r="D94" s="1" t="s">
        <v>465</v>
      </c>
      <c r="E94" s="1" t="s">
        <v>470</v>
      </c>
      <c r="F94" s="1" t="s">
        <v>471</v>
      </c>
      <c r="G94" s="7" t="str">
        <f>VLOOKUP(A94,[1]done!$A:$I,9,0)</f>
        <v>Mosquito/Fly</v>
      </c>
      <c r="H94" s="7" t="str" cm="1">
        <f t="array" ref="H94">_xlfn.IFS(
OR(ISNUMBER(SEARCH("mouse",E94)),ISNUMBER(SEARCH("rat",E94)),ISNUMBER(SEARCH("mice",E94)),ISNUMBER(SEARCH("rodent",E94))),"Rodent Control",
OR(ISNUMBER(SEARCH("fly",E94)),ISNUMBER(SEARCH("gnat",E94)),ISNUMBER(SEARCH("insect",E94)),ISNUMBER(SEARCH("mosquito",E94))),"Flying Insect Control",
OR(ISNUMBER(SEARCH("roach",E94)),ISNUMBER(SEARCH("ant",E94)),ISNUMBER(SEARCH("spider",E94)),ISNUMBER(SEARCH("cricket",E94)),ISNUMBER(SEARCH("scorpion",E94)),ISNUMBER(SEARCH("centipede",E94)),ISNUMBER(SEARCH("beetle",E94))),"Crawling Insect Control",
OR(ISNUMBER(SEARCH("tree",E94)),ISNUMBER(SEARCH("lantern",E94)),ISNUMBER(SEARCH("garden",E94)),ISNUMBER(SEARCH("plant",E94))),"Garden Pest Control",
OR(ISNUMBER(SEARCH("grass seed",E94)),ISNUMBER(SEARCH("seed mix",E94))),"Grass Seed",
OR(ISNUMBER(SEARCH("lawn food",E94)),ISNUMBER(SEARCH("fertilizer",E94))),"Lawn Fertilizer",
OR(ISNUMBER(SEARCH("patch",E94)),ISNUMBER(SEARCH("repair",E94)),ISNUMBER(SEARCH("thick'r",E94)),ISNUMBER(SEARCH("thick'r lawn",E94)),ISNUMBER(SEARCH("rapid grass",E94))),"Lawn Repair",
OR(ISNUMBER(SEARCH("weed",E94)),ISNUMBER(SEARCH("crabgrass",E94))),"Weed Control",
OR(ISNUMBER(SEARCH("fungicide",E94)),ISNUMBER(SEARCH("moss",E94))),"Disease &amp; Moss Control",
OR(ISNUMBER(SEARCH("plant food",E94)),ISNUMBER(SEARCH("miracid",E94))),"Plant Nutrition",
OR(ISNUMBER(SEARCH("perlite",E94))),"Soil Amendment",
OR(ISNUMBER(SEARCH("spreader",E94)),ISNUMBER(SEARCH("sprayer",E94)),ISNUMBER(SEARCH("mower",E94)),ISNUMBER(SEARCH("sweeper",E94)),ISNUMBER(SEARCH("pruner",E94)),ISNUMBER(SEARCH("trimmer",E94)),ISNUMBER(SEARCH("pole saw",E94))),"Garden Equipment",
TRUE,"Other"
)</f>
        <v>Flying Insect Control</v>
      </c>
      <c r="I94" s="7" t="str" cm="1">
        <f t="array" ref="I94">_xlfn.IFS(
OR(ISNUMBER(SEARCH("glue trap",E94)),ISNUMBER(SEARCH("glue board",E94))),"Glue Traps",
OR(ISNUMBER(SEARCH("snap trap",E94)),ISNUMBER(SEARCH("power-kill",E94)),ISNUMBER(SEARCH("wide pedal",E94)),ISNUMBER(SEARCH("metal pedal",E94))),"Snap Traps",
OR(ISNUMBER(SEARCH("electronic",E94)),ISNUMBER(SEARCH("zapper",E94))),"Electronic Traps",
OR(ISNUMBER(SEARCH("live catch",E94)),ISNUMBER(SEARCH("multi-catch",E94)),ISNUMBER(SEARCH("catch &amp; hold",E94)),ISNUMBER(SEARCH("tin cat",E94))),"Live Catch Traps",
OR(ISNUMBER(SEARCH("bait",E94)),ISNUMBER(SEARCH("poison",E94))),"Bait &amp; Poison",
ISNUMBER(SEARCH("repellent",E94)),"Repellents",
OR(ISNUMBER(SEARCH("fly trap",E94)),ISNUMBER(SEARCH("fly ribbon",E94)),ISNUMBER(SEARCH("fly stick",E94)),ISNUMBER(SEARCH("window fly",E94)),ISNUMBER(SEARCH("fly magnet",E94))),"Fly Traps",
OR(ISNUMBER(SEARCH("uv",E94)),ISNUMBER(SEARCH("fly light",E94)),ISNUMBER(SEARCH("plug-in",E94))),"UV Fly Traps",
ISNUMBER(SEARCH("roach",E94)),"Roach Traps",
ISNUMBER(SEARCH("ant",E94)),"Ant Traps",
ISNUMBER(SEARCH("spider",E94)),"Spider Traps",
ISNUMBER(SEARCH("mosquito",E94)),"Mosquito Traps",
ISNUMBER(SEARCH("beetle",E94)),"Beetle Traps",
ISNUMBER(SEARCH("lantern",E94)),"Lanternfly Control",
OR(ISNUMBER(SEARCH("tree shield",E94)),ISNUMBER(SEARCH("tree banding",E94)),ISNUMBER(SEARCH("insect barrier",E94))),"Tree Barriers",
OR(ISNUMBER(SEARCH("sun &amp; shade",E94)),ISNUMBER(SEARCH("sun and shade",E94))),"Sun &amp; Shade Mix",
ISNUMBER(SEARCH("tall fescue",E94)),"Tall Fescue",
ISNUMBER(SEARCH("bermudagrass",E94)),"Bermudagrass",
ISNUMBER(SEARCH("kentucky",E94)),"Kentucky Bluegrass",
ISNUMBER(SEARCH("zoysia",E94)),"Zoysia",
ISNUMBER(SEARCH("ryegrass",E94)),"Perennial Ryegrass",
ISNUMBER(SEARCH("centipede",E94)),"Centipede Grass",
ISNUMBER(SEARCH("dense shade",E94)),"Dense Shade Mix",
ISNUMBER(SEARCH("southern gold",E94)),"Southern Gold Mix",
ISNUMBER(SEARCH("heat-tolerant blue",E94)),"Heat-Tolerant Blue Mix",
ISNUMBER(SEARCH("high traffic",E94)),"High Traffic Mix",
ISNUMBER(SEARCH("quick fix",E94)),"Quick Fix Mix",
ISNUMBER(SEARCH("starter",E94)),"Starter Fertilizer",
ISNUMBER(SEARCH("weed &amp; feed",E94)),"Weed &amp; Feed",
ISNUMBER(SEARCH("lawn food",E94)),"Lawn Food",
ISNUMBER(SEARCH("triple action",E94)),"Triple Action Fertilizer",
ISNUMBER(SEARCH("green max",E94)),"Green Max Lawn Food",
ISNUMBER(SEARCH("patchmaster",E94)),"PatchMaster Repair",
ISNUMBER(SEARCH("ez seed",E94)),"EZ Seed Repair",
ISNUMBER(SEARCH("rapid grass",E94)),"Rapid Grass",
ISNUMBER(SEARCH("thick'r lawn",E94)),"Thick'R Lawn",
ISNUMBER(SEARCH("fungicide",E94)),"Fungicide",
ISNUMBER(SEARCH("moss",E94)),"Moss Control",
ISNUMBER(SEARCH("perlite",E94)),"Perlite",
ISNUMBER(SEARCH("plant food",E94)),"Plant Food",
ISNUMBER(SEARCH("spreader",E94)),"Spreader",
ISNUMBER(SEARCH("sprayer",E94)),"Sprayer",
ISNUMBER(SEARCH("mower",E94)),"Lawn Mower",
ISNUMBER(SEARCH("sweeper",E94)),"Lawn Sweeper",
OR(ISNUMBER(SEARCH("pruner",E94)),ISNUMBER(SEARCH("trimmer",E94)),ISNUMBER(SEARCH("pole saw",E94))),"Pruning Tools",
TRUE,"Other"
)</f>
        <v>Bait &amp; Poison</v>
      </c>
      <c r="J94" s="7" t="str">
        <f t="shared" si="18"/>
        <v>Flying Insect Control - Bait &amp; Poison</v>
      </c>
      <c r="K94" s="1"/>
      <c r="L94" s="1">
        <v>3.9</v>
      </c>
      <c r="M94" s="1">
        <v>99</v>
      </c>
      <c r="N94" s="1" t="s">
        <v>472</v>
      </c>
      <c r="O94" s="1">
        <f>VLOOKUP(A94,[2]Sheet1!$A:$B,2,0)</f>
        <v>0</v>
      </c>
      <c r="P94" s="1">
        <f>VLOOKUP(A94,[2]Sheet1!$A:$C,3,0)</f>
        <v>0</v>
      </c>
      <c r="Q94" s="7">
        <f>VLOOKUP(A94,[2]Sheet1!$A:$D,4,0)</f>
        <v>0</v>
      </c>
      <c r="R94" s="7">
        <f>VLOOKUP(A94,[2]Sheet1!$A:$E,5,0)</f>
        <v>100</v>
      </c>
      <c r="S94" s="7">
        <f>VLOOKUP(A94,[2]Sheet1!$A:$F,6,0)</f>
        <v>100</v>
      </c>
      <c r="T94" s="7">
        <f>VLOOKUP(A94,[2]Sheet1!$A:$G,7,0)</f>
        <v>100</v>
      </c>
      <c r="U94" s="7">
        <f>VLOOKUP(A94,[2]Sheet1!$A:$H,8,0)</f>
        <v>400</v>
      </c>
      <c r="V94" s="7">
        <f>VLOOKUP(A94,[2]Sheet1!$A:$I,9,0)</f>
        <v>100</v>
      </c>
      <c r="W94" s="7">
        <f>VLOOKUP(A94,[2]Sheet1!$A:$K,10,0)</f>
        <v>60</v>
      </c>
      <c r="X94" s="7">
        <f>VLOOKUP(A94,[2]Sheet1!$A:$L,11,0)</f>
        <v>60</v>
      </c>
      <c r="Y94" s="7">
        <f>VLOOKUP(A94,[2]Sheet1!$A:$L,12,0)</f>
        <v>60</v>
      </c>
      <c r="Z94" s="7">
        <f>VLOOKUP(A94,[2]Sheet1!$A:$M,13,0)</f>
        <v>0</v>
      </c>
      <c r="AA94" s="1">
        <f t="shared" si="16"/>
        <v>980</v>
      </c>
      <c r="AB94" s="7">
        <f t="shared" si="19"/>
        <v>82</v>
      </c>
      <c r="AC94" s="13">
        <f t="shared" si="17"/>
        <v>81.666666666666671</v>
      </c>
      <c r="AD94" s="9">
        <f t="shared" si="20"/>
        <v>21550.199999999997</v>
      </c>
      <c r="AE94" s="9">
        <f t="shared" si="21"/>
        <v>1795.85</v>
      </c>
      <c r="AF94" s="11">
        <v>7.3</v>
      </c>
      <c r="AG94" s="11">
        <v>21.99</v>
      </c>
      <c r="AH94" s="9">
        <f t="shared" si="22"/>
        <v>3.306666666666664E-2</v>
      </c>
      <c r="AI94" s="11">
        <f t="shared" si="23"/>
        <v>0.11573333333333323</v>
      </c>
      <c r="AJ94" s="14">
        <v>0.5</v>
      </c>
      <c r="AK94" s="14">
        <v>0.5</v>
      </c>
      <c r="AL94" s="11">
        <v>7.3</v>
      </c>
      <c r="AM94" s="9">
        <f t="shared" si="24"/>
        <v>3.2984999999999998</v>
      </c>
      <c r="AN94" s="9">
        <f t="shared" si="25"/>
        <v>0.65969999999999995</v>
      </c>
      <c r="AO94" s="9">
        <f t="shared" si="26"/>
        <v>4.3979999999999997</v>
      </c>
      <c r="AP94" s="9">
        <f t="shared" si="27"/>
        <v>0.43979999999999997</v>
      </c>
      <c r="AQ94" s="9">
        <f t="shared" si="28"/>
        <v>4.3979999999999997</v>
      </c>
      <c r="AR94" s="9">
        <f t="shared" si="29"/>
        <v>5.4974999999999996</v>
      </c>
      <c r="AS94" s="11">
        <f t="shared" si="30"/>
        <v>0.33066666666666639</v>
      </c>
      <c r="AT94" s="12">
        <f t="shared" si="31"/>
        <v>-0.4023333333333336</v>
      </c>
    </row>
    <row r="95" spans="1:46" ht="16.5" x14ac:dyDescent="0.4">
      <c r="A95" s="1" t="s">
        <v>473</v>
      </c>
      <c r="B95" s="7" t="s">
        <v>42</v>
      </c>
      <c r="C95" s="7" t="s">
        <v>42</v>
      </c>
      <c r="D95" s="1" t="s">
        <v>465</v>
      </c>
      <c r="E95" s="1" t="s">
        <v>474</v>
      </c>
      <c r="F95" s="1" t="s">
        <v>475</v>
      </c>
      <c r="G95" s="7" t="str">
        <f>VLOOKUP(A95,[1]done!$A:$I,9,0)</f>
        <v>Mosquito/Fly</v>
      </c>
      <c r="H95" s="7" t="str" cm="1">
        <f t="array" ref="H95">_xlfn.IFS(
OR(ISNUMBER(SEARCH("mouse",E95)),ISNUMBER(SEARCH("rat",E95)),ISNUMBER(SEARCH("mice",E95)),ISNUMBER(SEARCH("rodent",E95))),"Rodent Control",
OR(ISNUMBER(SEARCH("fly",E95)),ISNUMBER(SEARCH("gnat",E95)),ISNUMBER(SEARCH("insect",E95)),ISNUMBER(SEARCH("mosquito",E95))),"Flying Insect Control",
OR(ISNUMBER(SEARCH("roach",E95)),ISNUMBER(SEARCH("ant",E95)),ISNUMBER(SEARCH("spider",E95)),ISNUMBER(SEARCH("cricket",E95)),ISNUMBER(SEARCH("scorpion",E95)),ISNUMBER(SEARCH("centipede",E95)),ISNUMBER(SEARCH("beetle",E95))),"Crawling Insect Control",
OR(ISNUMBER(SEARCH("tree",E95)),ISNUMBER(SEARCH("lantern",E95)),ISNUMBER(SEARCH("garden",E95)),ISNUMBER(SEARCH("plant",E95))),"Garden Pest Control",
OR(ISNUMBER(SEARCH("grass seed",E95)),ISNUMBER(SEARCH("seed mix",E95))),"Grass Seed",
OR(ISNUMBER(SEARCH("lawn food",E95)),ISNUMBER(SEARCH("fertilizer",E95))),"Lawn Fertilizer",
OR(ISNUMBER(SEARCH("patch",E95)),ISNUMBER(SEARCH("repair",E95)),ISNUMBER(SEARCH("thick'r",E95)),ISNUMBER(SEARCH("thick'r lawn",E95)),ISNUMBER(SEARCH("rapid grass",E95))),"Lawn Repair",
OR(ISNUMBER(SEARCH("weed",E95)),ISNUMBER(SEARCH("crabgrass",E95))),"Weed Control",
OR(ISNUMBER(SEARCH("fungicide",E95)),ISNUMBER(SEARCH("moss",E95))),"Disease &amp; Moss Control",
OR(ISNUMBER(SEARCH("plant food",E95)),ISNUMBER(SEARCH("miracid",E95))),"Plant Nutrition",
OR(ISNUMBER(SEARCH("perlite",E95))),"Soil Amendment",
OR(ISNUMBER(SEARCH("spreader",E95)),ISNUMBER(SEARCH("sprayer",E95)),ISNUMBER(SEARCH("mower",E95)),ISNUMBER(SEARCH("sweeper",E95)),ISNUMBER(SEARCH("pruner",E95)),ISNUMBER(SEARCH("trimmer",E95)),ISNUMBER(SEARCH("pole saw",E95))),"Garden Equipment",
TRUE,"Other"
)</f>
        <v>Flying Insect Control</v>
      </c>
      <c r="I95" s="7" t="str" cm="1">
        <f t="array" ref="I95">_xlfn.IFS(
OR(ISNUMBER(SEARCH("glue trap",E95)),ISNUMBER(SEARCH("glue board",E95))),"Glue Traps",
OR(ISNUMBER(SEARCH("snap trap",E95)),ISNUMBER(SEARCH("power-kill",E95)),ISNUMBER(SEARCH("wide pedal",E95)),ISNUMBER(SEARCH("metal pedal",E95))),"Snap Traps",
OR(ISNUMBER(SEARCH("electronic",E95)),ISNUMBER(SEARCH("zapper",E95))),"Electronic Traps",
OR(ISNUMBER(SEARCH("live catch",E95)),ISNUMBER(SEARCH("multi-catch",E95)),ISNUMBER(SEARCH("catch &amp; hold",E95)),ISNUMBER(SEARCH("tin cat",E95))),"Live Catch Traps",
OR(ISNUMBER(SEARCH("bait",E95)),ISNUMBER(SEARCH("poison",E95))),"Bait &amp; Poison",
ISNUMBER(SEARCH("repellent",E95)),"Repellents",
OR(ISNUMBER(SEARCH("fly trap",E95)),ISNUMBER(SEARCH("fly ribbon",E95)),ISNUMBER(SEARCH("fly stick",E95)),ISNUMBER(SEARCH("window fly",E95)),ISNUMBER(SEARCH("fly magnet",E95))),"Fly Traps",
OR(ISNUMBER(SEARCH("uv",E95)),ISNUMBER(SEARCH("fly light",E95)),ISNUMBER(SEARCH("plug-in",E95))),"UV Fly Traps",
ISNUMBER(SEARCH("roach",E95)),"Roach Traps",
ISNUMBER(SEARCH("ant",E95)),"Ant Traps",
ISNUMBER(SEARCH("spider",E95)),"Spider Traps",
ISNUMBER(SEARCH("mosquito",E95)),"Mosquito Traps",
ISNUMBER(SEARCH("beetle",E95)),"Beetle Traps",
ISNUMBER(SEARCH("lantern",E95)),"Lanternfly Control",
OR(ISNUMBER(SEARCH("tree shield",E95)),ISNUMBER(SEARCH("tree banding",E95)),ISNUMBER(SEARCH("insect barrier",E95))),"Tree Barriers",
OR(ISNUMBER(SEARCH("sun &amp; shade",E95)),ISNUMBER(SEARCH("sun and shade",E95))),"Sun &amp; Shade Mix",
ISNUMBER(SEARCH("tall fescue",E95)),"Tall Fescue",
ISNUMBER(SEARCH("bermudagrass",E95)),"Bermudagrass",
ISNUMBER(SEARCH("kentucky",E95)),"Kentucky Bluegrass",
ISNUMBER(SEARCH("zoysia",E95)),"Zoysia",
ISNUMBER(SEARCH("ryegrass",E95)),"Perennial Ryegrass",
ISNUMBER(SEARCH("centipede",E95)),"Centipede Grass",
ISNUMBER(SEARCH("dense shade",E95)),"Dense Shade Mix",
ISNUMBER(SEARCH("southern gold",E95)),"Southern Gold Mix",
ISNUMBER(SEARCH("heat-tolerant blue",E95)),"Heat-Tolerant Blue Mix",
ISNUMBER(SEARCH("high traffic",E95)),"High Traffic Mix",
ISNUMBER(SEARCH("quick fix",E95)),"Quick Fix Mix",
ISNUMBER(SEARCH("starter",E95)),"Starter Fertilizer",
ISNUMBER(SEARCH("weed &amp; feed",E95)),"Weed &amp; Feed",
ISNUMBER(SEARCH("lawn food",E95)),"Lawn Food",
ISNUMBER(SEARCH("triple action",E95)),"Triple Action Fertilizer",
ISNUMBER(SEARCH("green max",E95)),"Green Max Lawn Food",
ISNUMBER(SEARCH("patchmaster",E95)),"PatchMaster Repair",
ISNUMBER(SEARCH("ez seed",E95)),"EZ Seed Repair",
ISNUMBER(SEARCH("rapid grass",E95)),"Rapid Grass",
ISNUMBER(SEARCH("thick'r lawn",E95)),"Thick'R Lawn",
ISNUMBER(SEARCH("fungicide",E95)),"Fungicide",
ISNUMBER(SEARCH("moss",E95)),"Moss Control",
ISNUMBER(SEARCH("perlite",E95)),"Perlite",
ISNUMBER(SEARCH("plant food",E95)),"Plant Food",
ISNUMBER(SEARCH("spreader",E95)),"Spreader",
ISNUMBER(SEARCH("sprayer",E95)),"Sprayer",
ISNUMBER(SEARCH("mower",E95)),"Lawn Mower",
ISNUMBER(SEARCH("sweeper",E95)),"Lawn Sweeper",
OR(ISNUMBER(SEARCH("pruner",E95)),ISNUMBER(SEARCH("trimmer",E95)),ISNUMBER(SEARCH("pole saw",E95))),"Pruning Tools",
TRUE,"Other"
)</f>
        <v>Bait &amp; Poison</v>
      </c>
      <c r="J95" s="7" t="str">
        <f t="shared" si="18"/>
        <v>Flying Insect Control - Bait &amp; Poison</v>
      </c>
      <c r="K95" s="1">
        <v>50</v>
      </c>
      <c r="L95" s="1">
        <v>4</v>
      </c>
      <c r="M95" s="1">
        <v>916</v>
      </c>
      <c r="N95" s="1" t="s">
        <v>476</v>
      </c>
      <c r="O95" s="1">
        <f>VLOOKUP(A95,[2]Sheet1!$A:$B,2,0)</f>
        <v>0</v>
      </c>
      <c r="P95" s="1">
        <f>VLOOKUP(A95,[2]Sheet1!$A:$C,3,0)</f>
        <v>0</v>
      </c>
      <c r="Q95" s="7">
        <f>VLOOKUP(A95,[2]Sheet1!$A:$D,4,0)</f>
        <v>0</v>
      </c>
      <c r="R95" s="7">
        <f>VLOOKUP(A95,[2]Sheet1!$A:$E,5,0)</f>
        <v>100</v>
      </c>
      <c r="S95" s="7">
        <f>VLOOKUP(A95,[2]Sheet1!$A:$F,6,0)</f>
        <v>100</v>
      </c>
      <c r="T95" s="7">
        <f>VLOOKUP(A95,[2]Sheet1!$A:$G,7,0)</f>
        <v>100</v>
      </c>
      <c r="U95" s="7">
        <f>VLOOKUP(A95,[2]Sheet1!$A:$H,8,0)</f>
        <v>300</v>
      </c>
      <c r="V95" s="7">
        <f>VLOOKUP(A95,[2]Sheet1!$A:$I,9,0)</f>
        <v>100</v>
      </c>
      <c r="W95" s="7">
        <f>VLOOKUP(A95,[2]Sheet1!$A:$K,10,0)</f>
        <v>60</v>
      </c>
      <c r="X95" s="7">
        <f>VLOOKUP(A95,[2]Sheet1!$A:$L,11,0)</f>
        <v>60</v>
      </c>
      <c r="Y95" s="7">
        <f>VLOOKUP(A95,[2]Sheet1!$A:$L,12,0)</f>
        <v>60</v>
      </c>
      <c r="Z95" s="7">
        <f>VLOOKUP(A95,[2]Sheet1!$A:$M,13,0)</f>
        <v>0</v>
      </c>
      <c r="AA95" s="1">
        <f t="shared" si="16"/>
        <v>880</v>
      </c>
      <c r="AB95" s="7">
        <f t="shared" si="19"/>
        <v>73</v>
      </c>
      <c r="AC95" s="13">
        <f t="shared" si="17"/>
        <v>73.333333333333329</v>
      </c>
      <c r="AD95" s="9">
        <f t="shared" si="20"/>
        <v>29911.200000000001</v>
      </c>
      <c r="AE95" s="9">
        <f t="shared" si="21"/>
        <v>2492.6</v>
      </c>
      <c r="AF95" s="11">
        <v>8.06</v>
      </c>
      <c r="AG95" s="11">
        <v>33.99</v>
      </c>
      <c r="AH95" s="9">
        <f t="shared" si="22"/>
        <v>0.30240000000000006</v>
      </c>
      <c r="AI95" s="11">
        <f t="shared" si="23"/>
        <v>1.0584</v>
      </c>
      <c r="AJ95" s="14">
        <v>0.5</v>
      </c>
      <c r="AK95" s="14">
        <v>0.5</v>
      </c>
      <c r="AL95" s="11">
        <v>8.06</v>
      </c>
      <c r="AM95" s="9">
        <f t="shared" si="24"/>
        <v>5.0985000000000005</v>
      </c>
      <c r="AN95" s="9">
        <f t="shared" si="25"/>
        <v>1.0197000000000001</v>
      </c>
      <c r="AO95" s="9">
        <f t="shared" si="26"/>
        <v>6.7980000000000009</v>
      </c>
      <c r="AP95" s="9">
        <f t="shared" si="27"/>
        <v>0.67980000000000007</v>
      </c>
      <c r="AQ95" s="9">
        <f t="shared" si="28"/>
        <v>6.7980000000000009</v>
      </c>
      <c r="AR95" s="9">
        <f t="shared" si="29"/>
        <v>8.4975000000000005</v>
      </c>
      <c r="AS95" s="11">
        <f t="shared" si="30"/>
        <v>3.0240000000000005</v>
      </c>
      <c r="AT95" s="12">
        <f t="shared" si="31"/>
        <v>1.8910000000000007</v>
      </c>
    </row>
    <row r="96" spans="1:46" ht="16.5" x14ac:dyDescent="0.4">
      <c r="A96" s="1" t="s">
        <v>477</v>
      </c>
      <c r="B96" s="7" t="s">
        <v>42</v>
      </c>
      <c r="C96" s="7" t="s">
        <v>42</v>
      </c>
      <c r="D96" s="1" t="s">
        <v>465</v>
      </c>
      <c r="E96" s="1" t="s">
        <v>478</v>
      </c>
      <c r="F96" s="1" t="s">
        <v>479</v>
      </c>
      <c r="G96" s="7" t="str">
        <f>VLOOKUP(A96,[1]done!$A:$I,9,0)</f>
        <v>Mosquito/Fly</v>
      </c>
      <c r="H96" s="7" t="str" cm="1">
        <f t="array" ref="H96">_xlfn.IFS(
OR(ISNUMBER(SEARCH("mouse",E96)),ISNUMBER(SEARCH("rat",E96)),ISNUMBER(SEARCH("mice",E96)),ISNUMBER(SEARCH("rodent",E96))),"Rodent Control",
OR(ISNUMBER(SEARCH("fly",E96)),ISNUMBER(SEARCH("gnat",E96)),ISNUMBER(SEARCH("insect",E96)),ISNUMBER(SEARCH("mosquito",E96))),"Flying Insect Control",
OR(ISNUMBER(SEARCH("roach",E96)),ISNUMBER(SEARCH("ant",E96)),ISNUMBER(SEARCH("spider",E96)),ISNUMBER(SEARCH("cricket",E96)),ISNUMBER(SEARCH("scorpion",E96)),ISNUMBER(SEARCH("centipede",E96)),ISNUMBER(SEARCH("beetle",E96))),"Crawling Insect Control",
OR(ISNUMBER(SEARCH("tree",E96)),ISNUMBER(SEARCH("lantern",E96)),ISNUMBER(SEARCH("garden",E96)),ISNUMBER(SEARCH("plant",E96))),"Garden Pest Control",
OR(ISNUMBER(SEARCH("grass seed",E96)),ISNUMBER(SEARCH("seed mix",E96))),"Grass Seed",
OR(ISNUMBER(SEARCH("lawn food",E96)),ISNUMBER(SEARCH("fertilizer",E96))),"Lawn Fertilizer",
OR(ISNUMBER(SEARCH("patch",E96)),ISNUMBER(SEARCH("repair",E96)),ISNUMBER(SEARCH("thick'r",E96)),ISNUMBER(SEARCH("thick'r lawn",E96)),ISNUMBER(SEARCH("rapid grass",E96))),"Lawn Repair",
OR(ISNUMBER(SEARCH("weed",E96)),ISNUMBER(SEARCH("crabgrass",E96))),"Weed Control",
OR(ISNUMBER(SEARCH("fungicide",E96)),ISNUMBER(SEARCH("moss",E96))),"Disease &amp; Moss Control",
OR(ISNUMBER(SEARCH("plant food",E96)),ISNUMBER(SEARCH("miracid",E96))),"Plant Nutrition",
OR(ISNUMBER(SEARCH("perlite",E96))),"Soil Amendment",
OR(ISNUMBER(SEARCH("spreader",E96)),ISNUMBER(SEARCH("sprayer",E96)),ISNUMBER(SEARCH("mower",E96)),ISNUMBER(SEARCH("sweeper",E96)),ISNUMBER(SEARCH("pruner",E96)),ISNUMBER(SEARCH("trimmer",E96)),ISNUMBER(SEARCH("pole saw",E96))),"Garden Equipment",
TRUE,"Other"
)</f>
        <v>Flying Insect Control</v>
      </c>
      <c r="I96" s="7" t="str" cm="1">
        <f t="array" ref="I96">_xlfn.IFS(
OR(ISNUMBER(SEARCH("glue trap",E96)),ISNUMBER(SEARCH("glue board",E96))),"Glue Traps",
OR(ISNUMBER(SEARCH("snap trap",E96)),ISNUMBER(SEARCH("power-kill",E96)),ISNUMBER(SEARCH("wide pedal",E96)),ISNUMBER(SEARCH("metal pedal",E96))),"Snap Traps",
OR(ISNUMBER(SEARCH("electronic",E96)),ISNUMBER(SEARCH("zapper",E96))),"Electronic Traps",
OR(ISNUMBER(SEARCH("live catch",E96)),ISNUMBER(SEARCH("multi-catch",E96)),ISNUMBER(SEARCH("catch &amp; hold",E96)),ISNUMBER(SEARCH("tin cat",E96))),"Live Catch Traps",
OR(ISNUMBER(SEARCH("bait",E96)),ISNUMBER(SEARCH("poison",E96))),"Bait &amp; Poison",
ISNUMBER(SEARCH("repellent",E96)),"Repellents",
OR(ISNUMBER(SEARCH("fly trap",E96)),ISNUMBER(SEARCH("fly ribbon",E96)),ISNUMBER(SEARCH("fly stick",E96)),ISNUMBER(SEARCH("window fly",E96)),ISNUMBER(SEARCH("fly magnet",E96))),"Fly Traps",
OR(ISNUMBER(SEARCH("uv",E96)),ISNUMBER(SEARCH("fly light",E96)),ISNUMBER(SEARCH("plug-in",E96))),"UV Fly Traps",
ISNUMBER(SEARCH("roach",E96)),"Roach Traps",
ISNUMBER(SEARCH("ant",E96)),"Ant Traps",
ISNUMBER(SEARCH("spider",E96)),"Spider Traps",
ISNUMBER(SEARCH("mosquito",E96)),"Mosquito Traps",
ISNUMBER(SEARCH("beetle",E96)),"Beetle Traps",
ISNUMBER(SEARCH("lantern",E96)),"Lanternfly Control",
OR(ISNUMBER(SEARCH("tree shield",E96)),ISNUMBER(SEARCH("tree banding",E96)),ISNUMBER(SEARCH("insect barrier",E96))),"Tree Barriers",
OR(ISNUMBER(SEARCH("sun &amp; shade",E96)),ISNUMBER(SEARCH("sun and shade",E96))),"Sun &amp; Shade Mix",
ISNUMBER(SEARCH("tall fescue",E96)),"Tall Fescue",
ISNUMBER(SEARCH("bermudagrass",E96)),"Bermudagrass",
ISNUMBER(SEARCH("kentucky",E96)),"Kentucky Bluegrass",
ISNUMBER(SEARCH("zoysia",E96)),"Zoysia",
ISNUMBER(SEARCH("ryegrass",E96)),"Perennial Ryegrass",
ISNUMBER(SEARCH("centipede",E96)),"Centipede Grass",
ISNUMBER(SEARCH("dense shade",E96)),"Dense Shade Mix",
ISNUMBER(SEARCH("southern gold",E96)),"Southern Gold Mix",
ISNUMBER(SEARCH("heat-tolerant blue",E96)),"Heat-Tolerant Blue Mix",
ISNUMBER(SEARCH("high traffic",E96)),"High Traffic Mix",
ISNUMBER(SEARCH("quick fix",E96)),"Quick Fix Mix",
ISNUMBER(SEARCH("starter",E96)),"Starter Fertilizer",
ISNUMBER(SEARCH("weed &amp; feed",E96)),"Weed &amp; Feed",
ISNUMBER(SEARCH("lawn food",E96)),"Lawn Food",
ISNUMBER(SEARCH("triple action",E96)),"Triple Action Fertilizer",
ISNUMBER(SEARCH("green max",E96)),"Green Max Lawn Food",
ISNUMBER(SEARCH("patchmaster",E96)),"PatchMaster Repair",
ISNUMBER(SEARCH("ez seed",E96)),"EZ Seed Repair",
ISNUMBER(SEARCH("rapid grass",E96)),"Rapid Grass",
ISNUMBER(SEARCH("thick'r lawn",E96)),"Thick'R Lawn",
ISNUMBER(SEARCH("fungicide",E96)),"Fungicide",
ISNUMBER(SEARCH("moss",E96)),"Moss Control",
ISNUMBER(SEARCH("perlite",E96)),"Perlite",
ISNUMBER(SEARCH("plant food",E96)),"Plant Food",
ISNUMBER(SEARCH("spreader",E96)),"Spreader",
ISNUMBER(SEARCH("sprayer",E96)),"Sprayer",
ISNUMBER(SEARCH("mower",E96)),"Lawn Mower",
ISNUMBER(SEARCH("sweeper",E96)),"Lawn Sweeper",
OR(ISNUMBER(SEARCH("pruner",E96)),ISNUMBER(SEARCH("trimmer",E96)),ISNUMBER(SEARCH("pole saw",E96))),"Pruning Tools",
TRUE,"Other"
)</f>
        <v>Bait &amp; Poison</v>
      </c>
      <c r="J96" s="7" t="str">
        <f t="shared" si="18"/>
        <v>Flying Insect Control - Bait &amp; Poison</v>
      </c>
      <c r="K96" s="1">
        <v>50</v>
      </c>
      <c r="L96" s="1">
        <v>4</v>
      </c>
      <c r="M96" s="1">
        <v>819</v>
      </c>
      <c r="N96" s="1" t="s">
        <v>480</v>
      </c>
      <c r="O96" s="1">
        <f>VLOOKUP(A96,[2]Sheet1!$A:$B,2,0)</f>
        <v>0</v>
      </c>
      <c r="P96" s="1">
        <f>VLOOKUP(A96,[2]Sheet1!$A:$C,3,0)</f>
        <v>0</v>
      </c>
      <c r="Q96" s="7">
        <f>VLOOKUP(A96,[2]Sheet1!$A:$D,4,0)</f>
        <v>50</v>
      </c>
      <c r="R96" s="7">
        <f>VLOOKUP(A96,[2]Sheet1!$A:$E,5,0)</f>
        <v>100</v>
      </c>
      <c r="S96" s="7">
        <f>VLOOKUP(A96,[2]Sheet1!$A:$F,6,0)</f>
        <v>50</v>
      </c>
      <c r="T96" s="7">
        <f>VLOOKUP(A96,[2]Sheet1!$A:$G,7,0)</f>
        <v>100</v>
      </c>
      <c r="U96" s="7">
        <f>VLOOKUP(A96,[2]Sheet1!$A:$H,8,0)</f>
        <v>700</v>
      </c>
      <c r="V96" s="7">
        <f>VLOOKUP(A96,[2]Sheet1!$A:$I,9,0)</f>
        <v>100</v>
      </c>
      <c r="W96" s="7">
        <f>VLOOKUP(A96,[2]Sheet1!$A:$K,10,0)</f>
        <v>100</v>
      </c>
      <c r="X96" s="7">
        <f>VLOOKUP(A96,[2]Sheet1!$A:$L,11,0)</f>
        <v>200</v>
      </c>
      <c r="Y96" s="7">
        <f>VLOOKUP(A96,[2]Sheet1!$A:$L,12,0)</f>
        <v>50</v>
      </c>
      <c r="Z96" s="7">
        <f>VLOOKUP(A96,[2]Sheet1!$A:$M,13,0)</f>
        <v>50</v>
      </c>
      <c r="AA96" s="1">
        <f t="shared" si="16"/>
        <v>1500</v>
      </c>
      <c r="AB96" s="7">
        <f t="shared" si="19"/>
        <v>125</v>
      </c>
      <c r="AC96" s="13">
        <f t="shared" si="17"/>
        <v>125</v>
      </c>
      <c r="AD96" s="9">
        <f t="shared" si="20"/>
        <v>14985</v>
      </c>
      <c r="AE96" s="9">
        <f t="shared" si="21"/>
        <v>1248.75</v>
      </c>
      <c r="AF96" s="11">
        <v>3.91</v>
      </c>
      <c r="AG96" s="11">
        <v>9.99</v>
      </c>
      <c r="AH96" s="9">
        <f t="shared" si="22"/>
        <v>-6.0933333333333374E-2</v>
      </c>
      <c r="AI96" s="11">
        <f t="shared" si="23"/>
        <v>-0.2132666666666668</v>
      </c>
      <c r="AJ96" s="14">
        <v>0.5</v>
      </c>
      <c r="AK96" s="14">
        <v>0.5</v>
      </c>
      <c r="AL96" s="11">
        <v>3.91</v>
      </c>
      <c r="AM96" s="9">
        <f t="shared" si="24"/>
        <v>1.4984999999999999</v>
      </c>
      <c r="AN96" s="9">
        <f t="shared" si="25"/>
        <v>0.29970000000000002</v>
      </c>
      <c r="AO96" s="9">
        <f t="shared" si="26"/>
        <v>1.9980000000000002</v>
      </c>
      <c r="AP96" s="9">
        <f t="shared" si="27"/>
        <v>0.19980000000000001</v>
      </c>
      <c r="AQ96" s="9">
        <f t="shared" si="28"/>
        <v>1.9980000000000002</v>
      </c>
      <c r="AR96" s="9">
        <f t="shared" si="29"/>
        <v>2.4975000000000001</v>
      </c>
      <c r="AS96" s="11">
        <f t="shared" si="30"/>
        <v>-0.60933333333333373</v>
      </c>
      <c r="AT96" s="12">
        <f t="shared" si="31"/>
        <v>-0.94233333333333358</v>
      </c>
    </row>
    <row r="97" spans="1:46" ht="16.5" x14ac:dyDescent="0.4">
      <c r="A97" s="1" t="s">
        <v>481</v>
      </c>
      <c r="B97" s="7" t="s">
        <v>42</v>
      </c>
      <c r="C97" s="7" t="s">
        <v>42</v>
      </c>
      <c r="D97" s="1" t="s">
        <v>482</v>
      </c>
      <c r="E97" s="1" t="s">
        <v>483</v>
      </c>
      <c r="F97" s="1" t="s">
        <v>484</v>
      </c>
      <c r="G97" s="7" t="str">
        <f>VLOOKUP(A97,[1]done!$A:$I,9,0)</f>
        <v>Mosquito/Fly</v>
      </c>
      <c r="H97" s="7" t="str" cm="1">
        <f t="array" ref="H97">_xlfn.IFS(
OR(ISNUMBER(SEARCH("mouse",E97)),ISNUMBER(SEARCH("rat",E97)),ISNUMBER(SEARCH("mice",E97)),ISNUMBER(SEARCH("rodent",E97))),"Rodent Control",
OR(ISNUMBER(SEARCH("fly",E97)),ISNUMBER(SEARCH("gnat",E97)),ISNUMBER(SEARCH("insect",E97)),ISNUMBER(SEARCH("mosquito",E97))),"Flying Insect Control",
OR(ISNUMBER(SEARCH("roach",E97)),ISNUMBER(SEARCH("ant",E97)),ISNUMBER(SEARCH("spider",E97)),ISNUMBER(SEARCH("cricket",E97)),ISNUMBER(SEARCH("scorpion",E97)),ISNUMBER(SEARCH("centipede",E97)),ISNUMBER(SEARCH("beetle",E97))),"Crawling Insect Control",
OR(ISNUMBER(SEARCH("tree",E97)),ISNUMBER(SEARCH("lantern",E97)),ISNUMBER(SEARCH("garden",E97)),ISNUMBER(SEARCH("plant",E97))),"Garden Pest Control",
OR(ISNUMBER(SEARCH("grass seed",E97)),ISNUMBER(SEARCH("seed mix",E97))),"Grass Seed",
OR(ISNUMBER(SEARCH("lawn food",E97)),ISNUMBER(SEARCH("fertilizer",E97))),"Lawn Fertilizer",
OR(ISNUMBER(SEARCH("patch",E97)),ISNUMBER(SEARCH("repair",E97)),ISNUMBER(SEARCH("thick'r",E97)),ISNUMBER(SEARCH("thick'r lawn",E97)),ISNUMBER(SEARCH("rapid grass",E97))),"Lawn Repair",
OR(ISNUMBER(SEARCH("weed",E97)),ISNUMBER(SEARCH("crabgrass",E97))),"Weed Control",
OR(ISNUMBER(SEARCH("fungicide",E97)),ISNUMBER(SEARCH("moss",E97))),"Disease &amp; Moss Control",
OR(ISNUMBER(SEARCH("plant food",E97)),ISNUMBER(SEARCH("miracid",E97))),"Plant Nutrition",
OR(ISNUMBER(SEARCH("perlite",E97))),"Soil Amendment",
OR(ISNUMBER(SEARCH("spreader",E97)),ISNUMBER(SEARCH("sprayer",E97)),ISNUMBER(SEARCH("mower",E97)),ISNUMBER(SEARCH("sweeper",E97)),ISNUMBER(SEARCH("pruner",E97)),ISNUMBER(SEARCH("trimmer",E97)),ISNUMBER(SEARCH("pole saw",E97))),"Garden Equipment",
TRUE,"Other"
)</f>
        <v>Flying Insect Control</v>
      </c>
      <c r="I97" s="7" t="str" cm="1">
        <f t="array" ref="I97">_xlfn.IFS(
OR(ISNUMBER(SEARCH("glue trap",E97)),ISNUMBER(SEARCH("glue board",E97))),"Glue Traps",
OR(ISNUMBER(SEARCH("snap trap",E97)),ISNUMBER(SEARCH("power-kill",E97)),ISNUMBER(SEARCH("wide pedal",E97)),ISNUMBER(SEARCH("metal pedal",E97))),"Snap Traps",
OR(ISNUMBER(SEARCH("electronic",E97)),ISNUMBER(SEARCH("zapper",E97))),"Electronic Traps",
OR(ISNUMBER(SEARCH("live catch",E97)),ISNUMBER(SEARCH("multi-catch",E97)),ISNUMBER(SEARCH("catch &amp; hold",E97)),ISNUMBER(SEARCH("tin cat",E97))),"Live Catch Traps",
OR(ISNUMBER(SEARCH("bait",E97)),ISNUMBER(SEARCH("poison",E97))),"Bait &amp; Poison",
ISNUMBER(SEARCH("repellent",E97)),"Repellents",
OR(ISNUMBER(SEARCH("fly trap",E97)),ISNUMBER(SEARCH("fly ribbon",E97)),ISNUMBER(SEARCH("fly stick",E97)),ISNUMBER(SEARCH("window fly",E97)),ISNUMBER(SEARCH("fly magnet",E97))),"Fly Traps",
OR(ISNUMBER(SEARCH("uv",E97)),ISNUMBER(SEARCH("fly light",E97)),ISNUMBER(SEARCH("plug-in",E97))),"UV Fly Traps",
ISNUMBER(SEARCH("roach",E97)),"Roach Traps",
ISNUMBER(SEARCH("ant",E97)),"Ant Traps",
ISNUMBER(SEARCH("spider",E97)),"Spider Traps",
ISNUMBER(SEARCH("mosquito",E97)),"Mosquito Traps",
ISNUMBER(SEARCH("beetle",E97)),"Beetle Traps",
ISNUMBER(SEARCH("lantern",E97)),"Lanternfly Control",
OR(ISNUMBER(SEARCH("tree shield",E97)),ISNUMBER(SEARCH("tree banding",E97)),ISNUMBER(SEARCH("insect barrier",E97))),"Tree Barriers",
OR(ISNUMBER(SEARCH("sun &amp; shade",E97)),ISNUMBER(SEARCH("sun and shade",E97))),"Sun &amp; Shade Mix",
ISNUMBER(SEARCH("tall fescue",E97)),"Tall Fescue",
ISNUMBER(SEARCH("bermudagrass",E97)),"Bermudagrass",
ISNUMBER(SEARCH("kentucky",E97)),"Kentucky Bluegrass",
ISNUMBER(SEARCH("zoysia",E97)),"Zoysia",
ISNUMBER(SEARCH("ryegrass",E97)),"Perennial Ryegrass",
ISNUMBER(SEARCH("centipede",E97)),"Centipede Grass",
ISNUMBER(SEARCH("dense shade",E97)),"Dense Shade Mix",
ISNUMBER(SEARCH("southern gold",E97)),"Southern Gold Mix",
ISNUMBER(SEARCH("heat-tolerant blue",E97)),"Heat-Tolerant Blue Mix",
ISNUMBER(SEARCH("high traffic",E97)),"High Traffic Mix",
ISNUMBER(SEARCH("quick fix",E97)),"Quick Fix Mix",
ISNUMBER(SEARCH("starter",E97)),"Starter Fertilizer",
ISNUMBER(SEARCH("weed &amp; feed",E97)),"Weed &amp; Feed",
ISNUMBER(SEARCH("lawn food",E97)),"Lawn Food",
ISNUMBER(SEARCH("triple action",E97)),"Triple Action Fertilizer",
ISNUMBER(SEARCH("green max",E97)),"Green Max Lawn Food",
ISNUMBER(SEARCH("patchmaster",E97)),"PatchMaster Repair",
ISNUMBER(SEARCH("ez seed",E97)),"EZ Seed Repair",
ISNUMBER(SEARCH("rapid grass",E97)),"Rapid Grass",
ISNUMBER(SEARCH("thick'r lawn",E97)),"Thick'R Lawn",
ISNUMBER(SEARCH("fungicide",E97)),"Fungicide",
ISNUMBER(SEARCH("moss",E97)),"Moss Control",
ISNUMBER(SEARCH("perlite",E97)),"Perlite",
ISNUMBER(SEARCH("plant food",E97)),"Plant Food",
ISNUMBER(SEARCH("spreader",E97)),"Spreader",
ISNUMBER(SEARCH("sprayer",E97)),"Sprayer",
ISNUMBER(SEARCH("mower",E97)),"Lawn Mower",
ISNUMBER(SEARCH("sweeper",E97)),"Lawn Sweeper",
OR(ISNUMBER(SEARCH("pruner",E97)),ISNUMBER(SEARCH("trimmer",E97)),ISNUMBER(SEARCH("pole saw",E97))),"Pruning Tools",
TRUE,"Other"
)</f>
        <v>Glue Traps</v>
      </c>
      <c r="J97" s="7" t="str">
        <f t="shared" si="18"/>
        <v>Flying Insect Control - Glue Traps</v>
      </c>
      <c r="K97" s="1">
        <v>50</v>
      </c>
      <c r="L97" s="1">
        <v>4.5999999999999996</v>
      </c>
      <c r="M97" s="1">
        <v>14</v>
      </c>
      <c r="N97" s="1" t="s">
        <v>352</v>
      </c>
      <c r="O97" s="1">
        <f>VLOOKUP(A97,[2]Sheet1!$A:$B,2,0)</f>
        <v>0</v>
      </c>
      <c r="P97" s="1">
        <f>VLOOKUP(A97,[2]Sheet1!$A:$C,3,0)</f>
        <v>0</v>
      </c>
      <c r="Q97" s="7">
        <f>VLOOKUP(A97,[2]Sheet1!$A:$D,4,0)</f>
        <v>0</v>
      </c>
      <c r="R97" s="7">
        <f>VLOOKUP(A97,[2]Sheet1!$A:$E,5,0)</f>
        <v>0</v>
      </c>
      <c r="S97" s="7">
        <f>VLOOKUP(A97,[2]Sheet1!$A:$F,6,0)</f>
        <v>50</v>
      </c>
      <c r="T97" s="7">
        <f>VLOOKUP(A97,[2]Sheet1!$A:$G,7,0)</f>
        <v>50</v>
      </c>
      <c r="U97" s="7">
        <f>VLOOKUP(A97,[2]Sheet1!$A:$H,8,0)</f>
        <v>100</v>
      </c>
      <c r="V97" s="7">
        <f>VLOOKUP(A97,[2]Sheet1!$A:$I,9,0)</f>
        <v>100</v>
      </c>
      <c r="W97" s="7">
        <f>VLOOKUP(A97,[2]Sheet1!$A:$K,10,0)</f>
        <v>50</v>
      </c>
      <c r="X97" s="7">
        <f>VLOOKUP(A97,[2]Sheet1!$A:$L,11,0)</f>
        <v>50</v>
      </c>
      <c r="Y97" s="7">
        <f>VLOOKUP(A97,[2]Sheet1!$A:$L,12,0)</f>
        <v>50</v>
      </c>
      <c r="Z97" s="7">
        <f>VLOOKUP(A97,[2]Sheet1!$A:$M,13,0)</f>
        <v>0</v>
      </c>
      <c r="AA97" s="1">
        <f t="shared" si="16"/>
        <v>450</v>
      </c>
      <c r="AB97" s="7">
        <f t="shared" si="19"/>
        <v>38</v>
      </c>
      <c r="AC97" s="13">
        <f t="shared" si="17"/>
        <v>37.5</v>
      </c>
      <c r="AD97" s="9">
        <f t="shared" si="20"/>
        <v>15745.5</v>
      </c>
      <c r="AE97" s="9">
        <f t="shared" si="21"/>
        <v>1312.125</v>
      </c>
      <c r="AF97" s="11">
        <v>6.13</v>
      </c>
      <c r="AG97" s="11">
        <v>34.99</v>
      </c>
      <c r="AH97" s="9">
        <f t="shared" si="22"/>
        <v>0.45773333333333333</v>
      </c>
      <c r="AI97" s="11">
        <f t="shared" si="23"/>
        <v>1.6020666666666663</v>
      </c>
      <c r="AJ97" s="14">
        <v>0.5</v>
      </c>
      <c r="AK97" s="14">
        <v>0.5</v>
      </c>
      <c r="AL97" s="11">
        <v>6.13</v>
      </c>
      <c r="AM97" s="9">
        <f t="shared" si="24"/>
        <v>5.2484999999999999</v>
      </c>
      <c r="AN97" s="9">
        <f t="shared" si="25"/>
        <v>1.0497000000000001</v>
      </c>
      <c r="AO97" s="9">
        <f t="shared" si="26"/>
        <v>6.9980000000000011</v>
      </c>
      <c r="AP97" s="9">
        <f t="shared" si="27"/>
        <v>0.69980000000000009</v>
      </c>
      <c r="AQ97" s="9">
        <f t="shared" si="28"/>
        <v>6.9980000000000011</v>
      </c>
      <c r="AR97" s="9">
        <f t="shared" si="29"/>
        <v>8.7475000000000005</v>
      </c>
      <c r="AS97" s="11">
        <f t="shared" si="30"/>
        <v>4.5773333333333328</v>
      </c>
      <c r="AT97" s="12">
        <f t="shared" si="31"/>
        <v>3.411</v>
      </c>
    </row>
    <row r="98" spans="1:46" ht="16.5" x14ac:dyDescent="0.4">
      <c r="A98" s="1" t="s">
        <v>485</v>
      </c>
      <c r="B98" s="7" t="s">
        <v>42</v>
      </c>
      <c r="C98" s="7" t="s">
        <v>42</v>
      </c>
      <c r="D98" s="1" t="s">
        <v>486</v>
      </c>
      <c r="E98" s="1" t="s">
        <v>487</v>
      </c>
      <c r="F98" s="1" t="s">
        <v>488</v>
      </c>
      <c r="G98" s="7" t="str">
        <f>VLOOKUP(A98,[1]done!$A:$I,9,0)</f>
        <v>Mosquito/Fly</v>
      </c>
      <c r="H98" s="7" t="str" cm="1">
        <f t="array" ref="H98">_xlfn.IFS(
OR(ISNUMBER(SEARCH("mouse",E98)),ISNUMBER(SEARCH("rat",E98)),ISNUMBER(SEARCH("mice",E98)),ISNUMBER(SEARCH("rodent",E98))),"Rodent Control",
OR(ISNUMBER(SEARCH("fly",E98)),ISNUMBER(SEARCH("gnat",E98)),ISNUMBER(SEARCH("insect",E98)),ISNUMBER(SEARCH("mosquito",E98))),"Flying Insect Control",
OR(ISNUMBER(SEARCH("roach",E98)),ISNUMBER(SEARCH("ant",E98)),ISNUMBER(SEARCH("spider",E98)),ISNUMBER(SEARCH("cricket",E98)),ISNUMBER(SEARCH("scorpion",E98)),ISNUMBER(SEARCH("centipede",E98)),ISNUMBER(SEARCH("beetle",E98))),"Crawling Insect Control",
OR(ISNUMBER(SEARCH("tree",E98)),ISNUMBER(SEARCH("lantern",E98)),ISNUMBER(SEARCH("garden",E98)),ISNUMBER(SEARCH("plant",E98))),"Garden Pest Control",
OR(ISNUMBER(SEARCH("grass seed",E98)),ISNUMBER(SEARCH("seed mix",E98))),"Grass Seed",
OR(ISNUMBER(SEARCH("lawn food",E98)),ISNUMBER(SEARCH("fertilizer",E98))),"Lawn Fertilizer",
OR(ISNUMBER(SEARCH("patch",E98)),ISNUMBER(SEARCH("repair",E98)),ISNUMBER(SEARCH("thick'r",E98)),ISNUMBER(SEARCH("thick'r lawn",E98)),ISNUMBER(SEARCH("rapid grass",E98))),"Lawn Repair",
OR(ISNUMBER(SEARCH("weed",E98)),ISNUMBER(SEARCH("crabgrass",E98))),"Weed Control",
OR(ISNUMBER(SEARCH("fungicide",E98)),ISNUMBER(SEARCH("moss",E98))),"Disease &amp; Moss Control",
OR(ISNUMBER(SEARCH("plant food",E98)),ISNUMBER(SEARCH("miracid",E98))),"Plant Nutrition",
OR(ISNUMBER(SEARCH("perlite",E98))),"Soil Amendment",
OR(ISNUMBER(SEARCH("spreader",E98)),ISNUMBER(SEARCH("sprayer",E98)),ISNUMBER(SEARCH("mower",E98)),ISNUMBER(SEARCH("sweeper",E98)),ISNUMBER(SEARCH("pruner",E98)),ISNUMBER(SEARCH("trimmer",E98)),ISNUMBER(SEARCH("pole saw",E98))),"Garden Equipment",
TRUE,"Other"
)</f>
        <v>Flying Insect Control</v>
      </c>
      <c r="I98" s="7" t="str" cm="1">
        <f t="array" ref="I98">_xlfn.IFS(
OR(ISNUMBER(SEARCH("glue trap",E98)),ISNUMBER(SEARCH("glue board",E98))),"Glue Traps",
OR(ISNUMBER(SEARCH("snap trap",E98)),ISNUMBER(SEARCH("power-kill",E98)),ISNUMBER(SEARCH("wide pedal",E98)),ISNUMBER(SEARCH("metal pedal",E98))),"Snap Traps",
OR(ISNUMBER(SEARCH("electronic",E98)),ISNUMBER(SEARCH("zapper",E98))),"Electronic Traps",
OR(ISNUMBER(SEARCH("live catch",E98)),ISNUMBER(SEARCH("multi-catch",E98)),ISNUMBER(SEARCH("catch &amp; hold",E98)),ISNUMBER(SEARCH("tin cat",E98))),"Live Catch Traps",
OR(ISNUMBER(SEARCH("bait",E98)),ISNUMBER(SEARCH("poison",E98))),"Bait &amp; Poison",
ISNUMBER(SEARCH("repellent",E98)),"Repellents",
OR(ISNUMBER(SEARCH("fly trap",E98)),ISNUMBER(SEARCH("fly ribbon",E98)),ISNUMBER(SEARCH("fly stick",E98)),ISNUMBER(SEARCH("window fly",E98)),ISNUMBER(SEARCH("fly magnet",E98))),"Fly Traps",
OR(ISNUMBER(SEARCH("uv",E98)),ISNUMBER(SEARCH("fly light",E98)),ISNUMBER(SEARCH("plug-in",E98))),"UV Fly Traps",
ISNUMBER(SEARCH("roach",E98)),"Roach Traps",
ISNUMBER(SEARCH("ant",E98)),"Ant Traps",
ISNUMBER(SEARCH("spider",E98)),"Spider Traps",
ISNUMBER(SEARCH("mosquito",E98)),"Mosquito Traps",
ISNUMBER(SEARCH("beetle",E98)),"Beetle Traps",
ISNUMBER(SEARCH("lantern",E98)),"Lanternfly Control",
OR(ISNUMBER(SEARCH("tree shield",E98)),ISNUMBER(SEARCH("tree banding",E98)),ISNUMBER(SEARCH("insect barrier",E98))),"Tree Barriers",
OR(ISNUMBER(SEARCH("sun &amp; shade",E98)),ISNUMBER(SEARCH("sun and shade",E98))),"Sun &amp; Shade Mix",
ISNUMBER(SEARCH("tall fescue",E98)),"Tall Fescue",
ISNUMBER(SEARCH("bermudagrass",E98)),"Bermudagrass",
ISNUMBER(SEARCH("kentucky",E98)),"Kentucky Bluegrass",
ISNUMBER(SEARCH("zoysia",E98)),"Zoysia",
ISNUMBER(SEARCH("ryegrass",E98)),"Perennial Ryegrass",
ISNUMBER(SEARCH("centipede",E98)),"Centipede Grass",
ISNUMBER(SEARCH("dense shade",E98)),"Dense Shade Mix",
ISNUMBER(SEARCH("southern gold",E98)),"Southern Gold Mix",
ISNUMBER(SEARCH("heat-tolerant blue",E98)),"Heat-Tolerant Blue Mix",
ISNUMBER(SEARCH("high traffic",E98)),"High Traffic Mix",
ISNUMBER(SEARCH("quick fix",E98)),"Quick Fix Mix",
ISNUMBER(SEARCH("starter",E98)),"Starter Fertilizer",
ISNUMBER(SEARCH("weed &amp; feed",E98)),"Weed &amp; Feed",
ISNUMBER(SEARCH("lawn food",E98)),"Lawn Food",
ISNUMBER(SEARCH("triple action",E98)),"Triple Action Fertilizer",
ISNUMBER(SEARCH("green max",E98)),"Green Max Lawn Food",
ISNUMBER(SEARCH("patchmaster",E98)),"PatchMaster Repair",
ISNUMBER(SEARCH("ez seed",E98)),"EZ Seed Repair",
ISNUMBER(SEARCH("rapid grass",E98)),"Rapid Grass",
ISNUMBER(SEARCH("thick'r lawn",E98)),"Thick'R Lawn",
ISNUMBER(SEARCH("fungicide",E98)),"Fungicide",
ISNUMBER(SEARCH("moss",E98)),"Moss Control",
ISNUMBER(SEARCH("perlite",E98)),"Perlite",
ISNUMBER(SEARCH("plant food",E98)),"Plant Food",
ISNUMBER(SEARCH("spreader",E98)),"Spreader",
ISNUMBER(SEARCH("sprayer",E98)),"Sprayer",
ISNUMBER(SEARCH("mower",E98)),"Lawn Mower",
ISNUMBER(SEARCH("sweeper",E98)),"Lawn Sweeper",
OR(ISNUMBER(SEARCH("pruner",E98)),ISNUMBER(SEARCH("trimmer",E98)),ISNUMBER(SEARCH("pole saw",E98))),"Pruning Tools",
TRUE,"Other"
)</f>
        <v>Fly Traps</v>
      </c>
      <c r="J98" s="7" t="str">
        <f t="shared" si="18"/>
        <v>Flying Insect Control - Fly Traps</v>
      </c>
      <c r="K98" s="1"/>
      <c r="L98" s="1">
        <v>4.0999999999999996</v>
      </c>
      <c r="M98" s="1">
        <v>61</v>
      </c>
      <c r="N98" s="1" t="s">
        <v>440</v>
      </c>
      <c r="O98" s="1">
        <f>VLOOKUP(A98,[2]Sheet1!$A:$B,2,0)</f>
        <v>0</v>
      </c>
      <c r="P98" s="1">
        <f>VLOOKUP(A98,[2]Sheet1!$A:$C,3,0)</f>
        <v>0</v>
      </c>
      <c r="Q98" s="7">
        <f>VLOOKUP(A98,[2]Sheet1!$A:$D,4,0)</f>
        <v>0</v>
      </c>
      <c r="R98" s="7">
        <f>VLOOKUP(A98,[2]Sheet1!$A:$E,5,0)</f>
        <v>0</v>
      </c>
      <c r="S98" s="7">
        <f>VLOOKUP(A98,[2]Sheet1!$A:$F,6,0)</f>
        <v>0</v>
      </c>
      <c r="T98" s="7">
        <f>VLOOKUP(A98,[2]Sheet1!$A:$G,7,0)</f>
        <v>50</v>
      </c>
      <c r="U98" s="7">
        <f>VLOOKUP(A98,[2]Sheet1!$A:$H,8,0)</f>
        <v>50</v>
      </c>
      <c r="V98" s="7">
        <f>VLOOKUP(A98,[2]Sheet1!$A:$I,9,0)</f>
        <v>50</v>
      </c>
      <c r="W98" s="7">
        <f>VLOOKUP(A98,[2]Sheet1!$A:$K,10,0)</f>
        <v>50</v>
      </c>
      <c r="X98" s="7">
        <f>VLOOKUP(A98,[2]Sheet1!$A:$L,11,0)</f>
        <v>50</v>
      </c>
      <c r="Y98" s="7">
        <f>VLOOKUP(A98,[2]Sheet1!$A:$L,12,0)</f>
        <v>50</v>
      </c>
      <c r="Z98" s="7">
        <f>VLOOKUP(A98,[2]Sheet1!$A:$M,13,0)</f>
        <v>0</v>
      </c>
      <c r="AA98" s="1">
        <f t="shared" si="16"/>
        <v>300</v>
      </c>
      <c r="AB98" s="7">
        <f t="shared" si="19"/>
        <v>25</v>
      </c>
      <c r="AC98" s="13">
        <f t="shared" si="17"/>
        <v>25</v>
      </c>
      <c r="AD98" s="9">
        <f t="shared" si="20"/>
        <v>40047</v>
      </c>
      <c r="AE98" s="9">
        <f t="shared" si="21"/>
        <v>3337.25</v>
      </c>
      <c r="AF98" s="11">
        <v>12.64</v>
      </c>
      <c r="AG98" s="11">
        <v>133.49</v>
      </c>
      <c r="AH98" s="9">
        <f t="shared" si="22"/>
        <v>2.6504000000000003</v>
      </c>
      <c r="AI98" s="11">
        <f t="shared" si="23"/>
        <v>9.2764000000000006</v>
      </c>
      <c r="AJ98" s="14">
        <v>0.5</v>
      </c>
      <c r="AK98" s="14">
        <v>0.5</v>
      </c>
      <c r="AL98" s="11">
        <v>12.64</v>
      </c>
      <c r="AM98" s="9">
        <f t="shared" si="24"/>
        <v>20.023500000000002</v>
      </c>
      <c r="AN98" s="9">
        <f t="shared" si="25"/>
        <v>4.0046999999999997</v>
      </c>
      <c r="AO98" s="9">
        <f t="shared" si="26"/>
        <v>26.698000000000004</v>
      </c>
      <c r="AP98" s="9">
        <f t="shared" si="27"/>
        <v>2.6698000000000004</v>
      </c>
      <c r="AQ98" s="9">
        <f t="shared" si="28"/>
        <v>26.698000000000004</v>
      </c>
      <c r="AR98" s="9">
        <f t="shared" si="29"/>
        <v>33.372500000000002</v>
      </c>
      <c r="AS98" s="11">
        <f t="shared" si="30"/>
        <v>26.504000000000001</v>
      </c>
      <c r="AT98" s="12">
        <f t="shared" si="31"/>
        <v>22.054333333333336</v>
      </c>
    </row>
    <row r="99" spans="1:46" ht="16.5" x14ac:dyDescent="0.4">
      <c r="A99" s="1" t="s">
        <v>489</v>
      </c>
      <c r="B99" s="7" t="s">
        <v>42</v>
      </c>
      <c r="C99" s="7" t="s">
        <v>42</v>
      </c>
      <c r="D99" s="1" t="s">
        <v>490</v>
      </c>
      <c r="E99" s="1" t="s">
        <v>491</v>
      </c>
      <c r="F99" s="1" t="s">
        <v>492</v>
      </c>
      <c r="G99" s="7" t="str">
        <f>VLOOKUP(A99,[1]done!$A:$I,9,0)</f>
        <v>Other crawling insects</v>
      </c>
      <c r="H99" s="7" t="str" cm="1">
        <f t="array" ref="H99">_xlfn.IFS(
OR(ISNUMBER(SEARCH("mouse",E99)),ISNUMBER(SEARCH("rat",E99)),ISNUMBER(SEARCH("mice",E99)),ISNUMBER(SEARCH("rodent",E99))),"Rodent Control",
OR(ISNUMBER(SEARCH("fly",E99)),ISNUMBER(SEARCH("gnat",E99)),ISNUMBER(SEARCH("insect",E99)),ISNUMBER(SEARCH("mosquito",E99))),"Flying Insect Control",
OR(ISNUMBER(SEARCH("roach",E99)),ISNUMBER(SEARCH("ant",E99)),ISNUMBER(SEARCH("spider",E99)),ISNUMBER(SEARCH("cricket",E99)),ISNUMBER(SEARCH("scorpion",E99)),ISNUMBER(SEARCH("centipede",E99)),ISNUMBER(SEARCH("beetle",E99))),"Crawling Insect Control",
OR(ISNUMBER(SEARCH("tree",E99)),ISNUMBER(SEARCH("lantern",E99)),ISNUMBER(SEARCH("garden",E99)),ISNUMBER(SEARCH("plant",E99))),"Garden Pest Control",
OR(ISNUMBER(SEARCH("grass seed",E99)),ISNUMBER(SEARCH("seed mix",E99))),"Grass Seed",
OR(ISNUMBER(SEARCH("lawn food",E99)),ISNUMBER(SEARCH("fertilizer",E99))),"Lawn Fertilizer",
OR(ISNUMBER(SEARCH("patch",E99)),ISNUMBER(SEARCH("repair",E99)),ISNUMBER(SEARCH("thick'r",E99)),ISNUMBER(SEARCH("thick'r lawn",E99)),ISNUMBER(SEARCH("rapid grass",E99))),"Lawn Repair",
OR(ISNUMBER(SEARCH("weed",E99)),ISNUMBER(SEARCH("crabgrass",E99))),"Weed Control",
OR(ISNUMBER(SEARCH("fungicide",E99)),ISNUMBER(SEARCH("moss",E99))),"Disease &amp; Moss Control",
OR(ISNUMBER(SEARCH("plant food",E99)),ISNUMBER(SEARCH("miracid",E99))),"Plant Nutrition",
OR(ISNUMBER(SEARCH("perlite",E99))),"Soil Amendment",
OR(ISNUMBER(SEARCH("spreader",E99)),ISNUMBER(SEARCH("sprayer",E99)),ISNUMBER(SEARCH("mower",E99)),ISNUMBER(SEARCH("sweeper",E99)),ISNUMBER(SEARCH("pruner",E99)),ISNUMBER(SEARCH("trimmer",E99)),ISNUMBER(SEARCH("pole saw",E99))),"Garden Equipment",
TRUE,"Other"
)</f>
        <v>Flying Insect Control</v>
      </c>
      <c r="I99" s="7" t="str" cm="1">
        <f t="array" ref="I99">_xlfn.IFS(
OR(ISNUMBER(SEARCH("glue trap",E99)),ISNUMBER(SEARCH("glue board",E99))),"Glue Traps",
OR(ISNUMBER(SEARCH("snap trap",E99)),ISNUMBER(SEARCH("power-kill",E99)),ISNUMBER(SEARCH("wide pedal",E99)),ISNUMBER(SEARCH("metal pedal",E99))),"Snap Traps",
OR(ISNUMBER(SEARCH("electronic",E99)),ISNUMBER(SEARCH("zapper",E99))),"Electronic Traps",
OR(ISNUMBER(SEARCH("live catch",E99)),ISNUMBER(SEARCH("multi-catch",E99)),ISNUMBER(SEARCH("catch &amp; hold",E99)),ISNUMBER(SEARCH("tin cat",E99))),"Live Catch Traps",
OR(ISNUMBER(SEARCH("bait",E99)),ISNUMBER(SEARCH("poison",E99))),"Bait &amp; Poison",
ISNUMBER(SEARCH("repellent",E99)),"Repellents",
OR(ISNUMBER(SEARCH("fly trap",E99)),ISNUMBER(SEARCH("fly ribbon",E99)),ISNUMBER(SEARCH("fly stick",E99)),ISNUMBER(SEARCH("window fly",E99)),ISNUMBER(SEARCH("fly magnet",E99))),"Fly Traps",
OR(ISNUMBER(SEARCH("uv",E99)),ISNUMBER(SEARCH("fly light",E99)),ISNUMBER(SEARCH("plug-in",E99))),"UV Fly Traps",
ISNUMBER(SEARCH("roach",E99)),"Roach Traps",
ISNUMBER(SEARCH("ant",E99)),"Ant Traps",
ISNUMBER(SEARCH("spider",E99)),"Spider Traps",
ISNUMBER(SEARCH("mosquito",E99)),"Mosquito Traps",
ISNUMBER(SEARCH("beetle",E99)),"Beetle Traps",
ISNUMBER(SEARCH("lantern",E99)),"Lanternfly Control",
OR(ISNUMBER(SEARCH("tree shield",E99)),ISNUMBER(SEARCH("tree banding",E99)),ISNUMBER(SEARCH("insect barrier",E99))),"Tree Barriers",
OR(ISNUMBER(SEARCH("sun &amp; shade",E99)),ISNUMBER(SEARCH("sun and shade",E99))),"Sun &amp; Shade Mix",
ISNUMBER(SEARCH("tall fescue",E99)),"Tall Fescue",
ISNUMBER(SEARCH("bermudagrass",E99)),"Bermudagrass",
ISNUMBER(SEARCH("kentucky",E99)),"Kentucky Bluegrass",
ISNUMBER(SEARCH("zoysia",E99)),"Zoysia",
ISNUMBER(SEARCH("ryegrass",E99)),"Perennial Ryegrass",
ISNUMBER(SEARCH("centipede",E99)),"Centipede Grass",
ISNUMBER(SEARCH("dense shade",E99)),"Dense Shade Mix",
ISNUMBER(SEARCH("southern gold",E99)),"Southern Gold Mix",
ISNUMBER(SEARCH("heat-tolerant blue",E99)),"Heat-Tolerant Blue Mix",
ISNUMBER(SEARCH("high traffic",E99)),"High Traffic Mix",
ISNUMBER(SEARCH("quick fix",E99)),"Quick Fix Mix",
ISNUMBER(SEARCH("starter",E99)),"Starter Fertilizer",
ISNUMBER(SEARCH("weed &amp; feed",E99)),"Weed &amp; Feed",
ISNUMBER(SEARCH("lawn food",E99)),"Lawn Food",
ISNUMBER(SEARCH("triple action",E99)),"Triple Action Fertilizer",
ISNUMBER(SEARCH("green max",E99)),"Green Max Lawn Food",
ISNUMBER(SEARCH("patchmaster",E99)),"PatchMaster Repair",
ISNUMBER(SEARCH("ez seed",E99)),"EZ Seed Repair",
ISNUMBER(SEARCH("rapid grass",E99)),"Rapid Grass",
ISNUMBER(SEARCH("thick'r lawn",E99)),"Thick'R Lawn",
ISNUMBER(SEARCH("fungicide",E99)),"Fungicide",
ISNUMBER(SEARCH("moss",E99)),"Moss Control",
ISNUMBER(SEARCH("perlite",E99)),"Perlite",
ISNUMBER(SEARCH("plant food",E99)),"Plant Food",
ISNUMBER(SEARCH("spreader",E99)),"Spreader",
ISNUMBER(SEARCH("sprayer",E99)),"Sprayer",
ISNUMBER(SEARCH("mower",E99)),"Lawn Mower",
ISNUMBER(SEARCH("sweeper",E99)),"Lawn Sweeper",
OR(ISNUMBER(SEARCH("pruner",E99)),ISNUMBER(SEARCH("trimmer",E99)),ISNUMBER(SEARCH("pole saw",E99))),"Pruning Tools",
TRUE,"Other"
)</f>
        <v>Glue Traps</v>
      </c>
      <c r="J99" s="7" t="str">
        <f t="shared" si="18"/>
        <v>Flying Insect Control - Glue Traps</v>
      </c>
      <c r="K99" s="1">
        <v>50</v>
      </c>
      <c r="L99" s="1">
        <v>4.5</v>
      </c>
      <c r="M99" s="1">
        <v>440</v>
      </c>
      <c r="N99" s="1" t="s">
        <v>493</v>
      </c>
      <c r="O99" s="1">
        <f>VLOOKUP(A99,[2]Sheet1!$A:$B,2,0)</f>
        <v>0</v>
      </c>
      <c r="P99" s="1">
        <f>VLOOKUP(A99,[2]Sheet1!$A:$C,3,0)</f>
        <v>0</v>
      </c>
      <c r="Q99" s="7">
        <f>VLOOKUP(A99,[2]Sheet1!$A:$D,4,0)</f>
        <v>0</v>
      </c>
      <c r="R99" s="7">
        <f>VLOOKUP(A99,[2]Sheet1!$A:$E,5,0)</f>
        <v>50</v>
      </c>
      <c r="S99" s="7">
        <f>VLOOKUP(A99,[2]Sheet1!$A:$F,6,0)</f>
        <v>50</v>
      </c>
      <c r="T99" s="7">
        <f>VLOOKUP(A99,[2]Sheet1!$A:$G,7,0)</f>
        <v>100</v>
      </c>
      <c r="U99" s="7">
        <f>VLOOKUP(A99,[2]Sheet1!$A:$H,8,0)</f>
        <v>100</v>
      </c>
      <c r="V99" s="7">
        <f>VLOOKUP(A99,[2]Sheet1!$A:$I,9,0)</f>
        <v>100</v>
      </c>
      <c r="W99" s="7">
        <f>VLOOKUP(A99,[2]Sheet1!$A:$K,10,0)</f>
        <v>50</v>
      </c>
      <c r="X99" s="7">
        <f>VLOOKUP(A99,[2]Sheet1!$A:$L,11,0)</f>
        <v>50</v>
      </c>
      <c r="Y99" s="7">
        <f>VLOOKUP(A99,[2]Sheet1!$A:$L,12,0)</f>
        <v>50</v>
      </c>
      <c r="Z99" s="7">
        <f>VLOOKUP(A99,[2]Sheet1!$A:$M,13,0)</f>
        <v>50</v>
      </c>
      <c r="AA99" s="1">
        <f t="shared" si="16"/>
        <v>600</v>
      </c>
      <c r="AB99" s="7">
        <f t="shared" si="19"/>
        <v>50</v>
      </c>
      <c r="AC99" s="13">
        <f t="shared" si="17"/>
        <v>50</v>
      </c>
      <c r="AD99" s="9">
        <f t="shared" si="20"/>
        <v>16788</v>
      </c>
      <c r="AE99" s="9">
        <f t="shared" si="21"/>
        <v>1399</v>
      </c>
      <c r="AF99" s="11">
        <v>5.76</v>
      </c>
      <c r="AG99" s="11">
        <v>27.98</v>
      </c>
      <c r="AH99" s="9">
        <f t="shared" si="22"/>
        <v>0.29546666666666671</v>
      </c>
      <c r="AI99" s="11">
        <f t="shared" si="23"/>
        <v>1.0341333333333333</v>
      </c>
      <c r="AJ99" s="14">
        <v>0.5</v>
      </c>
      <c r="AK99" s="14">
        <v>0.5</v>
      </c>
      <c r="AL99" s="11">
        <v>5.76</v>
      </c>
      <c r="AM99" s="9">
        <f t="shared" si="24"/>
        <v>4.1970000000000001</v>
      </c>
      <c r="AN99" s="9">
        <f t="shared" si="25"/>
        <v>0.83940000000000003</v>
      </c>
      <c r="AO99" s="9">
        <f t="shared" si="26"/>
        <v>5.5960000000000001</v>
      </c>
      <c r="AP99" s="9">
        <f t="shared" si="27"/>
        <v>0.55959999999999999</v>
      </c>
      <c r="AQ99" s="9">
        <f t="shared" si="28"/>
        <v>5.5960000000000001</v>
      </c>
      <c r="AR99" s="9">
        <f t="shared" si="29"/>
        <v>6.9950000000000001</v>
      </c>
      <c r="AS99" s="11">
        <f t="shared" si="30"/>
        <v>2.9546666666666668</v>
      </c>
      <c r="AT99" s="12">
        <f t="shared" si="31"/>
        <v>2.0220000000000002</v>
      </c>
    </row>
    <row r="100" spans="1:46" ht="16.5" x14ac:dyDescent="0.4">
      <c r="A100" s="1" t="s">
        <v>494</v>
      </c>
      <c r="B100" s="7" t="s">
        <v>42</v>
      </c>
      <c r="C100" s="7" t="s">
        <v>42</v>
      </c>
      <c r="D100" s="1" t="s">
        <v>495</v>
      </c>
      <c r="E100" s="1" t="s">
        <v>496</v>
      </c>
      <c r="F100" s="1" t="s">
        <v>497</v>
      </c>
      <c r="G100" s="7" t="str">
        <f>VLOOKUP(A100,[1]done!$A:$I,9,0)</f>
        <v>All Other products</v>
      </c>
      <c r="H100" s="7" t="str" cm="1">
        <f t="array" ref="H100">_xlfn.IFS(
OR(ISNUMBER(SEARCH("mouse",E100)),ISNUMBER(SEARCH("rat",E100)),ISNUMBER(SEARCH("mice",E100)),ISNUMBER(SEARCH("rodent",E100))),"Rodent Control",
OR(ISNUMBER(SEARCH("fly",E100)),ISNUMBER(SEARCH("gnat",E100)),ISNUMBER(SEARCH("insect",E100)),ISNUMBER(SEARCH("mosquito",E100))),"Flying Insect Control",
OR(ISNUMBER(SEARCH("roach",E100)),ISNUMBER(SEARCH("ant",E100)),ISNUMBER(SEARCH("spider",E100)),ISNUMBER(SEARCH("cricket",E100)),ISNUMBER(SEARCH("scorpion",E100)),ISNUMBER(SEARCH("centipede",E100)),ISNUMBER(SEARCH("beetle",E100))),"Crawling Insect Control",
OR(ISNUMBER(SEARCH("tree",E100)),ISNUMBER(SEARCH("lantern",E100)),ISNUMBER(SEARCH("garden",E100)),ISNUMBER(SEARCH("plant",E100))),"Garden Pest Control",
OR(ISNUMBER(SEARCH("grass seed",E100)),ISNUMBER(SEARCH("seed mix",E100))),"Grass Seed",
OR(ISNUMBER(SEARCH("lawn food",E100)),ISNUMBER(SEARCH("fertilizer",E100))),"Lawn Fertilizer",
OR(ISNUMBER(SEARCH("patch",E100)),ISNUMBER(SEARCH("repair",E100)),ISNUMBER(SEARCH("thick'r",E100)),ISNUMBER(SEARCH("thick'r lawn",E100)),ISNUMBER(SEARCH("rapid grass",E100))),"Lawn Repair",
OR(ISNUMBER(SEARCH("weed",E100)),ISNUMBER(SEARCH("crabgrass",E100))),"Weed Control",
OR(ISNUMBER(SEARCH("fungicide",E100)),ISNUMBER(SEARCH("moss",E100))),"Disease &amp; Moss Control",
OR(ISNUMBER(SEARCH("plant food",E100)),ISNUMBER(SEARCH("miracid",E100))),"Plant Nutrition",
OR(ISNUMBER(SEARCH("perlite",E100))),"Soil Amendment",
OR(ISNUMBER(SEARCH("spreader",E100)),ISNUMBER(SEARCH("sprayer",E100)),ISNUMBER(SEARCH("mower",E100)),ISNUMBER(SEARCH("sweeper",E100)),ISNUMBER(SEARCH("pruner",E100)),ISNUMBER(SEARCH("trimmer",E100)),ISNUMBER(SEARCH("pole saw",E100))),"Garden Equipment",
TRUE,"Other"
)</f>
        <v>Flying Insect Control</v>
      </c>
      <c r="I100" s="7" t="str" cm="1">
        <f t="array" ref="I100">_xlfn.IFS(
OR(ISNUMBER(SEARCH("glue trap",E100)),ISNUMBER(SEARCH("glue board",E100))),"Glue Traps",
OR(ISNUMBER(SEARCH("snap trap",E100)),ISNUMBER(SEARCH("power-kill",E100)),ISNUMBER(SEARCH("wide pedal",E100)),ISNUMBER(SEARCH("metal pedal",E100))),"Snap Traps",
OR(ISNUMBER(SEARCH("electronic",E100)),ISNUMBER(SEARCH("zapper",E100))),"Electronic Traps",
OR(ISNUMBER(SEARCH("live catch",E100)),ISNUMBER(SEARCH("multi-catch",E100)),ISNUMBER(SEARCH("catch &amp; hold",E100)),ISNUMBER(SEARCH("tin cat",E100))),"Live Catch Traps",
OR(ISNUMBER(SEARCH("bait",E100)),ISNUMBER(SEARCH("poison",E100))),"Bait &amp; Poison",
ISNUMBER(SEARCH("repellent",E100)),"Repellents",
OR(ISNUMBER(SEARCH("fly trap",E100)),ISNUMBER(SEARCH("fly ribbon",E100)),ISNUMBER(SEARCH("fly stick",E100)),ISNUMBER(SEARCH("window fly",E100)),ISNUMBER(SEARCH("fly magnet",E100))),"Fly Traps",
OR(ISNUMBER(SEARCH("uv",E100)),ISNUMBER(SEARCH("fly light",E100)),ISNUMBER(SEARCH("plug-in",E100))),"UV Fly Traps",
ISNUMBER(SEARCH("roach",E100)),"Roach Traps",
ISNUMBER(SEARCH("ant",E100)),"Ant Traps",
ISNUMBER(SEARCH("spider",E100)),"Spider Traps",
ISNUMBER(SEARCH("mosquito",E100)),"Mosquito Traps",
ISNUMBER(SEARCH("beetle",E100)),"Beetle Traps",
ISNUMBER(SEARCH("lantern",E100)),"Lanternfly Control",
OR(ISNUMBER(SEARCH("tree shield",E100)),ISNUMBER(SEARCH("tree banding",E100)),ISNUMBER(SEARCH("insect barrier",E100))),"Tree Barriers",
OR(ISNUMBER(SEARCH("sun &amp; shade",E100)),ISNUMBER(SEARCH("sun and shade",E100))),"Sun &amp; Shade Mix",
ISNUMBER(SEARCH("tall fescue",E100)),"Tall Fescue",
ISNUMBER(SEARCH("bermudagrass",E100)),"Bermudagrass",
ISNUMBER(SEARCH("kentucky",E100)),"Kentucky Bluegrass",
ISNUMBER(SEARCH("zoysia",E100)),"Zoysia",
ISNUMBER(SEARCH("ryegrass",E100)),"Perennial Ryegrass",
ISNUMBER(SEARCH("centipede",E100)),"Centipede Grass",
ISNUMBER(SEARCH("dense shade",E100)),"Dense Shade Mix",
ISNUMBER(SEARCH("southern gold",E100)),"Southern Gold Mix",
ISNUMBER(SEARCH("heat-tolerant blue",E100)),"Heat-Tolerant Blue Mix",
ISNUMBER(SEARCH("high traffic",E100)),"High Traffic Mix",
ISNUMBER(SEARCH("quick fix",E100)),"Quick Fix Mix",
ISNUMBER(SEARCH("starter",E100)),"Starter Fertilizer",
ISNUMBER(SEARCH("weed &amp; feed",E100)),"Weed &amp; Feed",
ISNUMBER(SEARCH("lawn food",E100)),"Lawn Food",
ISNUMBER(SEARCH("triple action",E100)),"Triple Action Fertilizer",
ISNUMBER(SEARCH("green max",E100)),"Green Max Lawn Food",
ISNUMBER(SEARCH("patchmaster",E100)),"PatchMaster Repair",
ISNUMBER(SEARCH("ez seed",E100)),"EZ Seed Repair",
ISNUMBER(SEARCH("rapid grass",E100)),"Rapid Grass",
ISNUMBER(SEARCH("thick'r lawn",E100)),"Thick'R Lawn",
ISNUMBER(SEARCH("fungicide",E100)),"Fungicide",
ISNUMBER(SEARCH("moss",E100)),"Moss Control",
ISNUMBER(SEARCH("perlite",E100)),"Perlite",
ISNUMBER(SEARCH("plant food",E100)),"Plant Food",
ISNUMBER(SEARCH("spreader",E100)),"Spreader",
ISNUMBER(SEARCH("sprayer",E100)),"Sprayer",
ISNUMBER(SEARCH("mower",E100)),"Lawn Mower",
ISNUMBER(SEARCH("sweeper",E100)),"Lawn Sweeper",
OR(ISNUMBER(SEARCH("pruner",E100)),ISNUMBER(SEARCH("trimmer",E100)),ISNUMBER(SEARCH("pole saw",E100))),"Pruning Tools",
TRUE,"Other"
)</f>
        <v>Other</v>
      </c>
      <c r="J100" s="7" t="str">
        <f t="shared" si="18"/>
        <v>Flying Insect Control - Other</v>
      </c>
      <c r="K100" s="1">
        <v>50</v>
      </c>
      <c r="L100" s="1">
        <v>4.5999999999999996</v>
      </c>
      <c r="M100" s="1">
        <v>87</v>
      </c>
      <c r="N100" s="1" t="s">
        <v>493</v>
      </c>
      <c r="O100" s="1">
        <f>VLOOKUP(A100,[2]Sheet1!$A:$B,2,0)</f>
        <v>0</v>
      </c>
      <c r="P100" s="1">
        <f>VLOOKUP(A100,[2]Sheet1!$A:$C,3,0)</f>
        <v>0</v>
      </c>
      <c r="Q100" s="7">
        <f>VLOOKUP(A100,[2]Sheet1!$A:$D,4,0)</f>
        <v>0</v>
      </c>
      <c r="R100" s="7">
        <f>VLOOKUP(A100,[2]Sheet1!$A:$E,5,0)</f>
        <v>0</v>
      </c>
      <c r="S100" s="7">
        <f>VLOOKUP(A100,[2]Sheet1!$A:$F,6,0)</f>
        <v>0</v>
      </c>
      <c r="T100" s="7">
        <f>VLOOKUP(A100,[2]Sheet1!$A:$G,7,0)</f>
        <v>0</v>
      </c>
      <c r="U100" s="7">
        <f>VLOOKUP(A100,[2]Sheet1!$A:$H,8,0)</f>
        <v>50</v>
      </c>
      <c r="V100" s="7">
        <f>VLOOKUP(A100,[2]Sheet1!$A:$I,9,0)</f>
        <v>50</v>
      </c>
      <c r="W100" s="7">
        <f>VLOOKUP(A100,[2]Sheet1!$A:$K,10,0)</f>
        <v>50</v>
      </c>
      <c r="X100" s="7">
        <f>VLOOKUP(A100,[2]Sheet1!$A:$L,11,0)</f>
        <v>0</v>
      </c>
      <c r="Y100" s="7">
        <f>VLOOKUP(A100,[2]Sheet1!$A:$L,12,0)</f>
        <v>0</v>
      </c>
      <c r="Z100" s="7">
        <f>VLOOKUP(A100,[2]Sheet1!$A:$M,13,0)</f>
        <v>0</v>
      </c>
      <c r="AA100" s="1">
        <f t="shared" si="16"/>
        <v>150</v>
      </c>
      <c r="AB100" s="7">
        <f t="shared" si="19"/>
        <v>13</v>
      </c>
      <c r="AC100" s="13">
        <f t="shared" si="17"/>
        <v>12.5</v>
      </c>
      <c r="AD100" s="9">
        <f t="shared" si="20"/>
        <v>4198.5</v>
      </c>
      <c r="AE100" s="9">
        <f t="shared" si="21"/>
        <v>349.875</v>
      </c>
      <c r="AF100" s="11">
        <v>5.22</v>
      </c>
      <c r="AG100" s="11">
        <v>27.99</v>
      </c>
      <c r="AH100" s="9">
        <f t="shared" si="22"/>
        <v>0.33173333333333321</v>
      </c>
      <c r="AI100" s="11">
        <f t="shared" si="23"/>
        <v>1.1610666666666662</v>
      </c>
      <c r="AJ100" s="14">
        <v>0.5</v>
      </c>
      <c r="AK100" s="14">
        <v>0.5</v>
      </c>
      <c r="AL100" s="11">
        <v>5.22</v>
      </c>
      <c r="AM100" s="9">
        <f t="shared" si="24"/>
        <v>4.1984999999999992</v>
      </c>
      <c r="AN100" s="9">
        <f t="shared" si="25"/>
        <v>0.83969999999999989</v>
      </c>
      <c r="AO100" s="9">
        <f t="shared" si="26"/>
        <v>5.5979999999999999</v>
      </c>
      <c r="AP100" s="9">
        <f t="shared" si="27"/>
        <v>0.55979999999999996</v>
      </c>
      <c r="AQ100" s="9">
        <f t="shared" si="28"/>
        <v>5.5979999999999999</v>
      </c>
      <c r="AR100" s="9">
        <f t="shared" si="29"/>
        <v>6.9974999999999996</v>
      </c>
      <c r="AS100" s="11">
        <f t="shared" si="30"/>
        <v>3.3173333333333321</v>
      </c>
      <c r="AT100" s="12">
        <f t="shared" si="31"/>
        <v>2.3843333333333323</v>
      </c>
    </row>
    <row r="101" spans="1:46" ht="16.5" x14ac:dyDescent="0.4">
      <c r="A101" s="1" t="s">
        <v>498</v>
      </c>
      <c r="B101" s="7" t="s">
        <v>42</v>
      </c>
      <c r="C101" s="7" t="s">
        <v>42</v>
      </c>
      <c r="D101" s="1" t="s">
        <v>499</v>
      </c>
      <c r="E101" s="1" t="s">
        <v>500</v>
      </c>
      <c r="F101" s="1" t="s">
        <v>501</v>
      </c>
      <c r="G101" s="7" t="str">
        <f>VLOOKUP(A101,[1]done!$A:$I,9,0)</f>
        <v>Mosquito/Fly</v>
      </c>
      <c r="H101" s="7" t="str" cm="1">
        <f t="array" ref="H101">_xlfn.IFS(
OR(ISNUMBER(SEARCH("mouse",E101)),ISNUMBER(SEARCH("rat",E101)),ISNUMBER(SEARCH("mice",E101)),ISNUMBER(SEARCH("rodent",E101))),"Rodent Control",
OR(ISNUMBER(SEARCH("fly",E101)),ISNUMBER(SEARCH("gnat",E101)),ISNUMBER(SEARCH("insect",E101)),ISNUMBER(SEARCH("mosquito",E101))),"Flying Insect Control",
OR(ISNUMBER(SEARCH("roach",E101)),ISNUMBER(SEARCH("ant",E101)),ISNUMBER(SEARCH("spider",E101)),ISNUMBER(SEARCH("cricket",E101)),ISNUMBER(SEARCH("scorpion",E101)),ISNUMBER(SEARCH("centipede",E101)),ISNUMBER(SEARCH("beetle",E101))),"Crawling Insect Control",
OR(ISNUMBER(SEARCH("tree",E101)),ISNUMBER(SEARCH("lantern",E101)),ISNUMBER(SEARCH("garden",E101)),ISNUMBER(SEARCH("plant",E101))),"Garden Pest Control",
OR(ISNUMBER(SEARCH("grass seed",E101)),ISNUMBER(SEARCH("seed mix",E101))),"Grass Seed",
OR(ISNUMBER(SEARCH("lawn food",E101)),ISNUMBER(SEARCH("fertilizer",E101))),"Lawn Fertilizer",
OR(ISNUMBER(SEARCH("patch",E101)),ISNUMBER(SEARCH("repair",E101)),ISNUMBER(SEARCH("thick'r",E101)),ISNUMBER(SEARCH("thick'r lawn",E101)),ISNUMBER(SEARCH("rapid grass",E101))),"Lawn Repair",
OR(ISNUMBER(SEARCH("weed",E101)),ISNUMBER(SEARCH("crabgrass",E101))),"Weed Control",
OR(ISNUMBER(SEARCH("fungicide",E101)),ISNUMBER(SEARCH("moss",E101))),"Disease &amp; Moss Control",
OR(ISNUMBER(SEARCH("plant food",E101)),ISNUMBER(SEARCH("miracid",E101))),"Plant Nutrition",
OR(ISNUMBER(SEARCH("perlite",E101))),"Soil Amendment",
OR(ISNUMBER(SEARCH("spreader",E101)),ISNUMBER(SEARCH("sprayer",E101)),ISNUMBER(SEARCH("mower",E101)),ISNUMBER(SEARCH("sweeper",E101)),ISNUMBER(SEARCH("pruner",E101)),ISNUMBER(SEARCH("trimmer",E101)),ISNUMBER(SEARCH("pole saw",E101))),"Garden Equipment",
TRUE,"Other"
)</f>
        <v>Flying Insect Control</v>
      </c>
      <c r="I101" s="7" t="str" cm="1">
        <f t="array" ref="I101">_xlfn.IFS(
OR(ISNUMBER(SEARCH("glue trap",E101)),ISNUMBER(SEARCH("glue board",E101))),"Glue Traps",
OR(ISNUMBER(SEARCH("snap trap",E101)),ISNUMBER(SEARCH("power-kill",E101)),ISNUMBER(SEARCH("wide pedal",E101)),ISNUMBER(SEARCH("metal pedal",E101))),"Snap Traps",
OR(ISNUMBER(SEARCH("electronic",E101)),ISNUMBER(SEARCH("zapper",E101))),"Electronic Traps",
OR(ISNUMBER(SEARCH("live catch",E101)),ISNUMBER(SEARCH("multi-catch",E101)),ISNUMBER(SEARCH("catch &amp; hold",E101)),ISNUMBER(SEARCH("tin cat",E101))),"Live Catch Traps",
OR(ISNUMBER(SEARCH("bait",E101)),ISNUMBER(SEARCH("poison",E101))),"Bait &amp; Poison",
ISNUMBER(SEARCH("repellent",E101)),"Repellents",
OR(ISNUMBER(SEARCH("fly trap",E101)),ISNUMBER(SEARCH("fly ribbon",E101)),ISNUMBER(SEARCH("fly stick",E101)),ISNUMBER(SEARCH("window fly",E101)),ISNUMBER(SEARCH("fly magnet",E101))),"Fly Traps",
OR(ISNUMBER(SEARCH("uv",E101)),ISNUMBER(SEARCH("fly light",E101)),ISNUMBER(SEARCH("plug-in",E101))),"UV Fly Traps",
ISNUMBER(SEARCH("roach",E101)),"Roach Traps",
ISNUMBER(SEARCH("ant",E101)),"Ant Traps",
ISNUMBER(SEARCH("spider",E101)),"Spider Traps",
ISNUMBER(SEARCH("mosquito",E101)),"Mosquito Traps",
ISNUMBER(SEARCH("beetle",E101)),"Beetle Traps",
ISNUMBER(SEARCH("lantern",E101)),"Lanternfly Control",
OR(ISNUMBER(SEARCH("tree shield",E101)),ISNUMBER(SEARCH("tree banding",E101)),ISNUMBER(SEARCH("insect barrier",E101))),"Tree Barriers",
OR(ISNUMBER(SEARCH("sun &amp; shade",E101)),ISNUMBER(SEARCH("sun and shade",E101))),"Sun &amp; Shade Mix",
ISNUMBER(SEARCH("tall fescue",E101)),"Tall Fescue",
ISNUMBER(SEARCH("bermudagrass",E101)),"Bermudagrass",
ISNUMBER(SEARCH("kentucky",E101)),"Kentucky Bluegrass",
ISNUMBER(SEARCH("zoysia",E101)),"Zoysia",
ISNUMBER(SEARCH("ryegrass",E101)),"Perennial Ryegrass",
ISNUMBER(SEARCH("centipede",E101)),"Centipede Grass",
ISNUMBER(SEARCH("dense shade",E101)),"Dense Shade Mix",
ISNUMBER(SEARCH("southern gold",E101)),"Southern Gold Mix",
ISNUMBER(SEARCH("heat-tolerant blue",E101)),"Heat-Tolerant Blue Mix",
ISNUMBER(SEARCH("high traffic",E101)),"High Traffic Mix",
ISNUMBER(SEARCH("quick fix",E101)),"Quick Fix Mix",
ISNUMBER(SEARCH("starter",E101)),"Starter Fertilizer",
ISNUMBER(SEARCH("weed &amp; feed",E101)),"Weed &amp; Feed",
ISNUMBER(SEARCH("lawn food",E101)),"Lawn Food",
ISNUMBER(SEARCH("triple action",E101)),"Triple Action Fertilizer",
ISNUMBER(SEARCH("green max",E101)),"Green Max Lawn Food",
ISNUMBER(SEARCH("patchmaster",E101)),"PatchMaster Repair",
ISNUMBER(SEARCH("ez seed",E101)),"EZ Seed Repair",
ISNUMBER(SEARCH("rapid grass",E101)),"Rapid Grass",
ISNUMBER(SEARCH("thick'r lawn",E101)),"Thick'R Lawn",
ISNUMBER(SEARCH("fungicide",E101)),"Fungicide",
ISNUMBER(SEARCH("moss",E101)),"Moss Control",
ISNUMBER(SEARCH("perlite",E101)),"Perlite",
ISNUMBER(SEARCH("plant food",E101)),"Plant Food",
ISNUMBER(SEARCH("spreader",E101)),"Spreader",
ISNUMBER(SEARCH("sprayer",E101)),"Sprayer",
ISNUMBER(SEARCH("mower",E101)),"Lawn Mower",
ISNUMBER(SEARCH("sweeper",E101)),"Lawn Sweeper",
OR(ISNUMBER(SEARCH("pruner",E101)),ISNUMBER(SEARCH("trimmer",E101)),ISNUMBER(SEARCH("pole saw",E101))),"Pruning Tools",
TRUE,"Other"
)</f>
        <v>Glue Traps</v>
      </c>
      <c r="J101" s="7" t="str">
        <f t="shared" si="18"/>
        <v>Flying Insect Control - Glue Traps</v>
      </c>
      <c r="K101" s="1">
        <v>50</v>
      </c>
      <c r="L101" s="1">
        <v>4.7</v>
      </c>
      <c r="M101" s="1">
        <v>14</v>
      </c>
      <c r="N101" s="1" t="s">
        <v>502</v>
      </c>
      <c r="O101" s="1">
        <f>VLOOKUP(A101,[2]Sheet1!$A:$B,2,0)</f>
        <v>0</v>
      </c>
      <c r="P101" s="1">
        <f>VLOOKUP(A101,[2]Sheet1!$A:$C,3,0)</f>
        <v>0</v>
      </c>
      <c r="Q101" s="7">
        <f>VLOOKUP(A101,[2]Sheet1!$A:$D,4,0)</f>
        <v>0</v>
      </c>
      <c r="R101" s="7">
        <f>VLOOKUP(A101,[2]Sheet1!$A:$E,5,0)</f>
        <v>0</v>
      </c>
      <c r="S101" s="7">
        <f>VLOOKUP(A101,[2]Sheet1!$A:$F,6,0)</f>
        <v>0</v>
      </c>
      <c r="T101" s="7">
        <f>VLOOKUP(A101,[2]Sheet1!$A:$G,7,0)</f>
        <v>0</v>
      </c>
      <c r="U101" s="7">
        <f>VLOOKUP(A101,[2]Sheet1!$A:$H,8,0)</f>
        <v>50</v>
      </c>
      <c r="V101" s="7">
        <f>VLOOKUP(A101,[2]Sheet1!$A:$I,9,0)</f>
        <v>50</v>
      </c>
      <c r="W101" s="7">
        <f>VLOOKUP(A101,[2]Sheet1!$A:$K,10,0)</f>
        <v>50</v>
      </c>
      <c r="X101" s="7">
        <f>VLOOKUP(A101,[2]Sheet1!$A:$L,11,0)</f>
        <v>0</v>
      </c>
      <c r="Y101" s="7">
        <f>VLOOKUP(A101,[2]Sheet1!$A:$L,12,0)</f>
        <v>0</v>
      </c>
      <c r="Z101" s="7">
        <f>VLOOKUP(A101,[2]Sheet1!$A:$M,13,0)</f>
        <v>0</v>
      </c>
      <c r="AA101" s="1">
        <f t="shared" si="16"/>
        <v>150</v>
      </c>
      <c r="AB101" s="7">
        <f t="shared" si="19"/>
        <v>13</v>
      </c>
      <c r="AC101" s="13">
        <f t="shared" si="17"/>
        <v>12.5</v>
      </c>
      <c r="AD101" s="9">
        <f t="shared" si="20"/>
        <v>1573.5</v>
      </c>
      <c r="AE101" s="9">
        <f t="shared" si="21"/>
        <v>131.125</v>
      </c>
      <c r="AF101" s="11">
        <v>4.76</v>
      </c>
      <c r="AG101" s="11">
        <v>10.49</v>
      </c>
      <c r="AH101" s="9">
        <f t="shared" si="22"/>
        <v>-0.10426666666666672</v>
      </c>
      <c r="AI101" s="11">
        <f t="shared" si="23"/>
        <v>-0.36493333333333344</v>
      </c>
      <c r="AJ101" s="14">
        <v>0.5</v>
      </c>
      <c r="AK101" s="14">
        <v>0.5</v>
      </c>
      <c r="AL101" s="11">
        <v>4.76</v>
      </c>
      <c r="AM101" s="9">
        <f t="shared" si="24"/>
        <v>1.5734999999999999</v>
      </c>
      <c r="AN101" s="9">
        <f t="shared" si="25"/>
        <v>0.31469999999999998</v>
      </c>
      <c r="AO101" s="9">
        <f t="shared" si="26"/>
        <v>2.0980000000000003</v>
      </c>
      <c r="AP101" s="9">
        <f t="shared" si="27"/>
        <v>0.20980000000000001</v>
      </c>
      <c r="AQ101" s="9">
        <f t="shared" si="28"/>
        <v>2.0980000000000003</v>
      </c>
      <c r="AR101" s="9">
        <f t="shared" si="29"/>
        <v>2.6225000000000001</v>
      </c>
      <c r="AS101" s="11">
        <f t="shared" si="30"/>
        <v>-1.0426666666666671</v>
      </c>
      <c r="AT101" s="12">
        <f t="shared" si="31"/>
        <v>-1.3923333333333334</v>
      </c>
    </row>
    <row r="102" spans="1:46" ht="16.5" x14ac:dyDescent="0.4">
      <c r="A102" s="1" t="s">
        <v>503</v>
      </c>
      <c r="B102" s="7" t="s">
        <v>42</v>
      </c>
      <c r="C102" s="7" t="s">
        <v>1783</v>
      </c>
      <c r="D102" s="1" t="s">
        <v>504</v>
      </c>
      <c r="E102" s="1" t="s">
        <v>505</v>
      </c>
      <c r="F102" s="1" t="s">
        <v>506</v>
      </c>
      <c r="G102" s="7" t="str">
        <f>VLOOKUP(A102,[1]done!$A:$I,9,0)</f>
        <v>Rodent</v>
      </c>
      <c r="H102" s="7" t="str" cm="1">
        <f t="array" ref="H102">_xlfn.IFS(
OR(ISNUMBER(SEARCH("mouse",E102)),ISNUMBER(SEARCH("rat",E102)),ISNUMBER(SEARCH("mice",E102)),ISNUMBER(SEARCH("rodent",E102))),"Rodent Control",
OR(ISNUMBER(SEARCH("fly",E102)),ISNUMBER(SEARCH("gnat",E102)),ISNUMBER(SEARCH("insect",E102)),ISNUMBER(SEARCH("mosquito",E102))),"Flying Insect Control",
OR(ISNUMBER(SEARCH("roach",E102)),ISNUMBER(SEARCH("ant",E102)),ISNUMBER(SEARCH("spider",E102)),ISNUMBER(SEARCH("cricket",E102)),ISNUMBER(SEARCH("scorpion",E102)),ISNUMBER(SEARCH("centipede",E102)),ISNUMBER(SEARCH("beetle",E102))),"Crawling Insect Control",
OR(ISNUMBER(SEARCH("tree",E102)),ISNUMBER(SEARCH("lantern",E102)),ISNUMBER(SEARCH("garden",E102)),ISNUMBER(SEARCH("plant",E102))),"Garden Pest Control",
OR(ISNUMBER(SEARCH("grass seed",E102)),ISNUMBER(SEARCH("seed mix",E102))),"Grass Seed",
OR(ISNUMBER(SEARCH("lawn food",E102)),ISNUMBER(SEARCH("fertilizer",E102))),"Lawn Fertilizer",
OR(ISNUMBER(SEARCH("patch",E102)),ISNUMBER(SEARCH("repair",E102)),ISNUMBER(SEARCH("thick'r",E102)),ISNUMBER(SEARCH("thick'r lawn",E102)),ISNUMBER(SEARCH("rapid grass",E102))),"Lawn Repair",
OR(ISNUMBER(SEARCH("weed",E102)),ISNUMBER(SEARCH("crabgrass",E102))),"Weed Control",
OR(ISNUMBER(SEARCH("fungicide",E102)),ISNUMBER(SEARCH("moss",E102))),"Disease &amp; Moss Control",
OR(ISNUMBER(SEARCH("plant food",E102)),ISNUMBER(SEARCH("miracid",E102))),"Plant Nutrition",
OR(ISNUMBER(SEARCH("perlite",E102))),"Soil Amendment",
OR(ISNUMBER(SEARCH("spreader",E102)),ISNUMBER(SEARCH("sprayer",E102)),ISNUMBER(SEARCH("mower",E102)),ISNUMBER(SEARCH("sweeper",E102)),ISNUMBER(SEARCH("pruner",E102)),ISNUMBER(SEARCH("trimmer",E102)),ISNUMBER(SEARCH("pole saw",E102))),"Garden Equipment",
TRUE,"Other"
)</f>
        <v>Rodent Control</v>
      </c>
      <c r="I102" s="7" t="str" cm="1">
        <f t="array" ref="I102">_xlfn.IFS(
OR(ISNUMBER(SEARCH("glue trap",E102)),ISNUMBER(SEARCH("glue board",E102))),"Glue Traps",
OR(ISNUMBER(SEARCH("snap trap",E102)),ISNUMBER(SEARCH("power-kill",E102)),ISNUMBER(SEARCH("wide pedal",E102)),ISNUMBER(SEARCH("metal pedal",E102))),"Snap Traps",
OR(ISNUMBER(SEARCH("electronic",E102)),ISNUMBER(SEARCH("zapper",E102))),"Electronic Traps",
OR(ISNUMBER(SEARCH("live catch",E102)),ISNUMBER(SEARCH("multi-catch",E102)),ISNUMBER(SEARCH("catch &amp; hold",E102)),ISNUMBER(SEARCH("tin cat",E102))),"Live Catch Traps",
OR(ISNUMBER(SEARCH("bait",E102)),ISNUMBER(SEARCH("poison",E102))),"Bait &amp; Poison",
ISNUMBER(SEARCH("repellent",E102)),"Repellents",
OR(ISNUMBER(SEARCH("fly trap",E102)),ISNUMBER(SEARCH("fly ribbon",E102)),ISNUMBER(SEARCH("fly stick",E102)),ISNUMBER(SEARCH("window fly",E102)),ISNUMBER(SEARCH("fly magnet",E102))),"Fly Traps",
OR(ISNUMBER(SEARCH("uv",E102)),ISNUMBER(SEARCH("fly light",E102)),ISNUMBER(SEARCH("plug-in",E102))),"UV Fly Traps",
ISNUMBER(SEARCH("roach",E102)),"Roach Traps",
ISNUMBER(SEARCH("ant",E102)),"Ant Traps",
ISNUMBER(SEARCH("spider",E102)),"Spider Traps",
ISNUMBER(SEARCH("mosquito",E102)),"Mosquito Traps",
ISNUMBER(SEARCH("beetle",E102)),"Beetle Traps",
ISNUMBER(SEARCH("lantern",E102)),"Lanternfly Control",
OR(ISNUMBER(SEARCH("tree shield",E102)),ISNUMBER(SEARCH("tree banding",E102)),ISNUMBER(SEARCH("insect barrier",E102))),"Tree Barriers",
OR(ISNUMBER(SEARCH("sun &amp; shade",E102)),ISNUMBER(SEARCH("sun and shade",E102))),"Sun &amp; Shade Mix",
ISNUMBER(SEARCH("tall fescue",E102)),"Tall Fescue",
ISNUMBER(SEARCH("bermudagrass",E102)),"Bermudagrass",
ISNUMBER(SEARCH("kentucky",E102)),"Kentucky Bluegrass",
ISNUMBER(SEARCH("zoysia",E102)),"Zoysia",
ISNUMBER(SEARCH("ryegrass",E102)),"Perennial Ryegrass",
ISNUMBER(SEARCH("centipede",E102)),"Centipede Grass",
ISNUMBER(SEARCH("dense shade",E102)),"Dense Shade Mix",
ISNUMBER(SEARCH("southern gold",E102)),"Southern Gold Mix",
ISNUMBER(SEARCH("heat-tolerant blue",E102)),"Heat-Tolerant Blue Mix",
ISNUMBER(SEARCH("high traffic",E102)),"High Traffic Mix",
ISNUMBER(SEARCH("quick fix",E102)),"Quick Fix Mix",
ISNUMBER(SEARCH("starter",E102)),"Starter Fertilizer",
ISNUMBER(SEARCH("weed &amp; feed",E102)),"Weed &amp; Feed",
ISNUMBER(SEARCH("lawn food",E102)),"Lawn Food",
ISNUMBER(SEARCH("triple action",E102)),"Triple Action Fertilizer",
ISNUMBER(SEARCH("green max",E102)),"Green Max Lawn Food",
ISNUMBER(SEARCH("patchmaster",E102)),"PatchMaster Repair",
ISNUMBER(SEARCH("ez seed",E102)),"EZ Seed Repair",
ISNUMBER(SEARCH("rapid grass",E102)),"Rapid Grass",
ISNUMBER(SEARCH("thick'r lawn",E102)),"Thick'R Lawn",
ISNUMBER(SEARCH("fungicide",E102)),"Fungicide",
ISNUMBER(SEARCH("moss",E102)),"Moss Control",
ISNUMBER(SEARCH("perlite",E102)),"Perlite",
ISNUMBER(SEARCH("plant food",E102)),"Plant Food",
ISNUMBER(SEARCH("spreader",E102)),"Spreader",
ISNUMBER(SEARCH("sprayer",E102)),"Sprayer",
ISNUMBER(SEARCH("mower",E102)),"Lawn Mower",
ISNUMBER(SEARCH("sweeper",E102)),"Lawn Sweeper",
OR(ISNUMBER(SEARCH("pruner",E102)),ISNUMBER(SEARCH("trimmer",E102)),ISNUMBER(SEARCH("pole saw",E102))),"Pruning Tools",
TRUE,"Other"
)</f>
        <v>Glue Traps</v>
      </c>
      <c r="J102" s="7" t="str">
        <f t="shared" si="18"/>
        <v>Rodent Control - Glue Traps</v>
      </c>
      <c r="K102" s="1">
        <v>50</v>
      </c>
      <c r="L102" s="1">
        <v>4.4000000000000004</v>
      </c>
      <c r="M102" s="1">
        <v>150</v>
      </c>
      <c r="N102" s="1"/>
      <c r="O102" s="1">
        <f>VLOOKUP(A102,[2]Sheet1!$A:$B,2,0)</f>
        <v>0</v>
      </c>
      <c r="P102" s="1">
        <f>VLOOKUP(A102,[2]Sheet1!$A:$C,3,0)</f>
        <v>0</v>
      </c>
      <c r="Q102" s="7">
        <f>VLOOKUP(A102,[2]Sheet1!$A:$D,4,0)</f>
        <v>0</v>
      </c>
      <c r="R102" s="7">
        <f>VLOOKUP(A102,[2]Sheet1!$A:$E,5,0)</f>
        <v>0</v>
      </c>
      <c r="S102" s="7">
        <f>VLOOKUP(A102,[2]Sheet1!$A:$F,6,0)</f>
        <v>0</v>
      </c>
      <c r="T102" s="7">
        <f>VLOOKUP(A102,[2]Sheet1!$A:$G,7,0)</f>
        <v>0</v>
      </c>
      <c r="U102" s="7">
        <f>VLOOKUP(A102,[2]Sheet1!$A:$H,8,0)</f>
        <v>0</v>
      </c>
      <c r="V102" s="7">
        <f>VLOOKUP(A102,[2]Sheet1!$A:$I,9,0)</f>
        <v>50</v>
      </c>
      <c r="W102" s="7">
        <f>VLOOKUP(A102,[2]Sheet1!$A:$K,10,0)</f>
        <v>50</v>
      </c>
      <c r="X102" s="7">
        <f>VLOOKUP(A102,[2]Sheet1!$A:$L,11,0)</f>
        <v>50</v>
      </c>
      <c r="Y102" s="7">
        <f>VLOOKUP(A102,[2]Sheet1!$A:$L,12,0)</f>
        <v>50</v>
      </c>
      <c r="Z102" s="7">
        <f>VLOOKUP(A102,[2]Sheet1!$A:$M,13,0)</f>
        <v>50</v>
      </c>
      <c r="AA102" s="1">
        <f t="shared" si="16"/>
        <v>250</v>
      </c>
      <c r="AB102" s="7">
        <f t="shared" si="19"/>
        <v>21</v>
      </c>
      <c r="AC102" s="13">
        <f t="shared" si="17"/>
        <v>20.833333333333332</v>
      </c>
      <c r="AD102" s="9">
        <f t="shared" si="20"/>
        <v>8772.5</v>
      </c>
      <c r="AE102" s="9">
        <f t="shared" si="21"/>
        <v>731.04166666666674</v>
      </c>
      <c r="AF102" s="11">
        <v>7.32</v>
      </c>
      <c r="AG102" s="11">
        <v>35.090000000000003</v>
      </c>
      <c r="AH102" s="9">
        <f t="shared" si="22"/>
        <v>0.38106666666666678</v>
      </c>
      <c r="AI102" s="11">
        <f t="shared" si="23"/>
        <v>1.3337333333333337</v>
      </c>
      <c r="AJ102" s="14">
        <v>0.5</v>
      </c>
      <c r="AK102" s="14">
        <v>0.5</v>
      </c>
      <c r="AL102" s="11">
        <v>7.32</v>
      </c>
      <c r="AM102" s="9">
        <f t="shared" si="24"/>
        <v>5.2635000000000005</v>
      </c>
      <c r="AN102" s="9">
        <f t="shared" si="25"/>
        <v>1.0527</v>
      </c>
      <c r="AO102" s="9">
        <f t="shared" si="26"/>
        <v>7.0180000000000007</v>
      </c>
      <c r="AP102" s="9">
        <f t="shared" si="27"/>
        <v>0.70180000000000009</v>
      </c>
      <c r="AQ102" s="9">
        <f t="shared" si="28"/>
        <v>7.0180000000000007</v>
      </c>
      <c r="AR102" s="9">
        <f t="shared" si="29"/>
        <v>8.7725000000000009</v>
      </c>
      <c r="AS102" s="11">
        <f t="shared" si="30"/>
        <v>3.8106666666666675</v>
      </c>
      <c r="AT102" s="12">
        <f t="shared" si="31"/>
        <v>2.6410000000000005</v>
      </c>
    </row>
    <row r="103" spans="1:46" ht="16.5" x14ac:dyDescent="0.4">
      <c r="A103" s="1" t="s">
        <v>507</v>
      </c>
      <c r="B103" s="7" t="s">
        <v>42</v>
      </c>
      <c r="C103" s="7" t="s">
        <v>42</v>
      </c>
      <c r="D103" s="1" t="s">
        <v>508</v>
      </c>
      <c r="E103" s="1" t="s">
        <v>509</v>
      </c>
      <c r="F103" s="1" t="s">
        <v>510</v>
      </c>
      <c r="G103" s="7" t="str">
        <f>VLOOKUP(A103,[1]done!$A:$I,9,0)</f>
        <v>Mosquito/Fly</v>
      </c>
      <c r="H103" s="7" t="str" cm="1">
        <f t="array" ref="H103">_xlfn.IFS(
OR(ISNUMBER(SEARCH("mouse",E103)),ISNUMBER(SEARCH("rat",E103)),ISNUMBER(SEARCH("mice",E103)),ISNUMBER(SEARCH("rodent",E103))),"Rodent Control",
OR(ISNUMBER(SEARCH("fly",E103)),ISNUMBER(SEARCH("gnat",E103)),ISNUMBER(SEARCH("insect",E103)),ISNUMBER(SEARCH("mosquito",E103))),"Flying Insect Control",
OR(ISNUMBER(SEARCH("roach",E103)),ISNUMBER(SEARCH("ant",E103)),ISNUMBER(SEARCH("spider",E103)),ISNUMBER(SEARCH("cricket",E103)),ISNUMBER(SEARCH("scorpion",E103)),ISNUMBER(SEARCH("centipede",E103)),ISNUMBER(SEARCH("beetle",E103))),"Crawling Insect Control",
OR(ISNUMBER(SEARCH("tree",E103)),ISNUMBER(SEARCH("lantern",E103)),ISNUMBER(SEARCH("garden",E103)),ISNUMBER(SEARCH("plant",E103))),"Garden Pest Control",
OR(ISNUMBER(SEARCH("grass seed",E103)),ISNUMBER(SEARCH("seed mix",E103))),"Grass Seed",
OR(ISNUMBER(SEARCH("lawn food",E103)),ISNUMBER(SEARCH("fertilizer",E103))),"Lawn Fertilizer",
OR(ISNUMBER(SEARCH("patch",E103)),ISNUMBER(SEARCH("repair",E103)),ISNUMBER(SEARCH("thick'r",E103)),ISNUMBER(SEARCH("thick'r lawn",E103)),ISNUMBER(SEARCH("rapid grass",E103))),"Lawn Repair",
OR(ISNUMBER(SEARCH("weed",E103)),ISNUMBER(SEARCH("crabgrass",E103))),"Weed Control",
OR(ISNUMBER(SEARCH("fungicide",E103)),ISNUMBER(SEARCH("moss",E103))),"Disease &amp; Moss Control",
OR(ISNUMBER(SEARCH("plant food",E103)),ISNUMBER(SEARCH("miracid",E103))),"Plant Nutrition",
OR(ISNUMBER(SEARCH("perlite",E103))),"Soil Amendment",
OR(ISNUMBER(SEARCH("spreader",E103)),ISNUMBER(SEARCH("sprayer",E103)),ISNUMBER(SEARCH("mower",E103)),ISNUMBER(SEARCH("sweeper",E103)),ISNUMBER(SEARCH("pruner",E103)),ISNUMBER(SEARCH("trimmer",E103)),ISNUMBER(SEARCH("pole saw",E103))),"Garden Equipment",
TRUE,"Other"
)</f>
        <v>Flying Insect Control</v>
      </c>
      <c r="I103" s="7" t="str" cm="1">
        <f t="array" ref="I103">_xlfn.IFS(
OR(ISNUMBER(SEARCH("glue trap",E103)),ISNUMBER(SEARCH("glue board",E103))),"Glue Traps",
OR(ISNUMBER(SEARCH("snap trap",E103)),ISNUMBER(SEARCH("power-kill",E103)),ISNUMBER(SEARCH("wide pedal",E103)),ISNUMBER(SEARCH("metal pedal",E103))),"Snap Traps",
OR(ISNUMBER(SEARCH("electronic",E103)),ISNUMBER(SEARCH("zapper",E103))),"Electronic Traps",
OR(ISNUMBER(SEARCH("live catch",E103)),ISNUMBER(SEARCH("multi-catch",E103)),ISNUMBER(SEARCH("catch &amp; hold",E103)),ISNUMBER(SEARCH("tin cat",E103))),"Live Catch Traps",
OR(ISNUMBER(SEARCH("bait",E103)),ISNUMBER(SEARCH("poison",E103))),"Bait &amp; Poison",
ISNUMBER(SEARCH("repellent",E103)),"Repellents",
OR(ISNUMBER(SEARCH("fly trap",E103)),ISNUMBER(SEARCH("fly ribbon",E103)),ISNUMBER(SEARCH("fly stick",E103)),ISNUMBER(SEARCH("window fly",E103)),ISNUMBER(SEARCH("fly magnet",E103))),"Fly Traps",
OR(ISNUMBER(SEARCH("uv",E103)),ISNUMBER(SEARCH("fly light",E103)),ISNUMBER(SEARCH("plug-in",E103))),"UV Fly Traps",
ISNUMBER(SEARCH("roach",E103)),"Roach Traps",
ISNUMBER(SEARCH("ant",E103)),"Ant Traps",
ISNUMBER(SEARCH("spider",E103)),"Spider Traps",
ISNUMBER(SEARCH("mosquito",E103)),"Mosquito Traps",
ISNUMBER(SEARCH("beetle",E103)),"Beetle Traps",
ISNUMBER(SEARCH("lantern",E103)),"Lanternfly Control",
OR(ISNUMBER(SEARCH("tree shield",E103)),ISNUMBER(SEARCH("tree banding",E103)),ISNUMBER(SEARCH("insect barrier",E103))),"Tree Barriers",
OR(ISNUMBER(SEARCH("sun &amp; shade",E103)),ISNUMBER(SEARCH("sun and shade",E103))),"Sun &amp; Shade Mix",
ISNUMBER(SEARCH("tall fescue",E103)),"Tall Fescue",
ISNUMBER(SEARCH("bermudagrass",E103)),"Bermudagrass",
ISNUMBER(SEARCH("kentucky",E103)),"Kentucky Bluegrass",
ISNUMBER(SEARCH("zoysia",E103)),"Zoysia",
ISNUMBER(SEARCH("ryegrass",E103)),"Perennial Ryegrass",
ISNUMBER(SEARCH("centipede",E103)),"Centipede Grass",
ISNUMBER(SEARCH("dense shade",E103)),"Dense Shade Mix",
ISNUMBER(SEARCH("southern gold",E103)),"Southern Gold Mix",
ISNUMBER(SEARCH("heat-tolerant blue",E103)),"Heat-Tolerant Blue Mix",
ISNUMBER(SEARCH("high traffic",E103)),"High Traffic Mix",
ISNUMBER(SEARCH("quick fix",E103)),"Quick Fix Mix",
ISNUMBER(SEARCH("starter",E103)),"Starter Fertilizer",
ISNUMBER(SEARCH("weed &amp; feed",E103)),"Weed &amp; Feed",
ISNUMBER(SEARCH("lawn food",E103)),"Lawn Food",
ISNUMBER(SEARCH("triple action",E103)),"Triple Action Fertilizer",
ISNUMBER(SEARCH("green max",E103)),"Green Max Lawn Food",
ISNUMBER(SEARCH("patchmaster",E103)),"PatchMaster Repair",
ISNUMBER(SEARCH("ez seed",E103)),"EZ Seed Repair",
ISNUMBER(SEARCH("rapid grass",E103)),"Rapid Grass",
ISNUMBER(SEARCH("thick'r lawn",E103)),"Thick'R Lawn",
ISNUMBER(SEARCH("fungicide",E103)),"Fungicide",
ISNUMBER(SEARCH("moss",E103)),"Moss Control",
ISNUMBER(SEARCH("perlite",E103)),"Perlite",
ISNUMBER(SEARCH("plant food",E103)),"Plant Food",
ISNUMBER(SEARCH("spreader",E103)),"Spreader",
ISNUMBER(SEARCH("sprayer",E103)),"Sprayer",
ISNUMBER(SEARCH("mower",E103)),"Lawn Mower",
ISNUMBER(SEARCH("sweeper",E103)),"Lawn Sweeper",
OR(ISNUMBER(SEARCH("pruner",E103)),ISNUMBER(SEARCH("trimmer",E103)),ISNUMBER(SEARCH("pole saw",E103))),"Pruning Tools",
TRUE,"Other"
)</f>
        <v>Fly Traps</v>
      </c>
      <c r="J103" s="7" t="str">
        <f t="shared" si="18"/>
        <v>Flying Insect Control - Fly Traps</v>
      </c>
      <c r="K103" s="1">
        <v>50</v>
      </c>
      <c r="L103" s="1">
        <v>4.4000000000000004</v>
      </c>
      <c r="M103" s="1">
        <v>18</v>
      </c>
      <c r="N103" s="1" t="s">
        <v>511</v>
      </c>
      <c r="O103" s="1">
        <f>VLOOKUP(A103,[2]Sheet1!$A:$B,2,0)</f>
        <v>0</v>
      </c>
      <c r="P103" s="1">
        <f>VLOOKUP(A103,[2]Sheet1!$A:$C,3,0)</f>
        <v>0</v>
      </c>
      <c r="Q103" s="7">
        <f>VLOOKUP(A103,[2]Sheet1!$A:$D,4,0)</f>
        <v>0</v>
      </c>
      <c r="R103" s="7">
        <f>VLOOKUP(A103,[2]Sheet1!$A:$E,5,0)</f>
        <v>0</v>
      </c>
      <c r="S103" s="7">
        <f>VLOOKUP(A103,[2]Sheet1!$A:$F,6,0)</f>
        <v>50</v>
      </c>
      <c r="T103" s="7">
        <f>VLOOKUP(A103,[2]Sheet1!$A:$G,7,0)</f>
        <v>50</v>
      </c>
      <c r="U103" s="7">
        <f>VLOOKUP(A103,[2]Sheet1!$A:$H,8,0)</f>
        <v>100</v>
      </c>
      <c r="V103" s="7">
        <f>VLOOKUP(A103,[2]Sheet1!$A:$I,9,0)</f>
        <v>50</v>
      </c>
      <c r="W103" s="7">
        <f>VLOOKUP(A103,[2]Sheet1!$A:$K,10,0)</f>
        <v>50</v>
      </c>
      <c r="X103" s="7">
        <f>VLOOKUP(A103,[2]Sheet1!$A:$L,11,0)</f>
        <v>0</v>
      </c>
      <c r="Y103" s="7">
        <f>VLOOKUP(A103,[2]Sheet1!$A:$L,12,0)</f>
        <v>0</v>
      </c>
      <c r="Z103" s="7">
        <f>VLOOKUP(A103,[2]Sheet1!$A:$M,13,0)</f>
        <v>0</v>
      </c>
      <c r="AA103" s="1">
        <f t="shared" si="16"/>
        <v>300</v>
      </c>
      <c r="AB103" s="7">
        <f t="shared" si="19"/>
        <v>25</v>
      </c>
      <c r="AC103" s="13">
        <f t="shared" si="17"/>
        <v>25</v>
      </c>
      <c r="AD103" s="9">
        <f t="shared" si="20"/>
        <v>9597</v>
      </c>
      <c r="AE103" s="9">
        <f t="shared" si="21"/>
        <v>799.75</v>
      </c>
      <c r="AF103" s="11">
        <v>5.52</v>
      </c>
      <c r="AG103" s="11">
        <v>31.99</v>
      </c>
      <c r="AH103" s="9">
        <f t="shared" si="22"/>
        <v>0.41840000000000005</v>
      </c>
      <c r="AI103" s="11">
        <f t="shared" si="23"/>
        <v>1.4643999999999999</v>
      </c>
      <c r="AJ103" s="14">
        <v>0.5</v>
      </c>
      <c r="AK103" s="14">
        <v>0.5</v>
      </c>
      <c r="AL103" s="11">
        <v>5.52</v>
      </c>
      <c r="AM103" s="9">
        <f t="shared" si="24"/>
        <v>4.7984999999999998</v>
      </c>
      <c r="AN103" s="9">
        <f t="shared" si="25"/>
        <v>0.95969999999999989</v>
      </c>
      <c r="AO103" s="9">
        <f t="shared" si="26"/>
        <v>6.3979999999999997</v>
      </c>
      <c r="AP103" s="9">
        <f t="shared" si="27"/>
        <v>0.63980000000000004</v>
      </c>
      <c r="AQ103" s="9">
        <f t="shared" si="28"/>
        <v>6.3979999999999997</v>
      </c>
      <c r="AR103" s="9">
        <f t="shared" si="29"/>
        <v>7.9974999999999996</v>
      </c>
      <c r="AS103" s="11">
        <f t="shared" si="30"/>
        <v>4.1840000000000002</v>
      </c>
      <c r="AT103" s="12">
        <f t="shared" si="31"/>
        <v>3.1176666666666666</v>
      </c>
    </row>
    <row r="104" spans="1:46" ht="16.5" x14ac:dyDescent="0.4">
      <c r="A104" s="4" t="s">
        <v>512</v>
      </c>
      <c r="B104" s="4" t="s">
        <v>513</v>
      </c>
      <c r="C104" s="7" t="s">
        <v>1784</v>
      </c>
      <c r="D104" s="4" t="s">
        <v>514</v>
      </c>
      <c r="E104" s="4" t="s">
        <v>515</v>
      </c>
      <c r="F104" s="4" t="s">
        <v>516</v>
      </c>
      <c r="G104" s="7" t="str">
        <f>VLOOKUP(A104,[1]done!$A:$I,9,0)</f>
        <v>Lawn Fertilizer</v>
      </c>
      <c r="H104" s="7" t="str" cm="1">
        <f t="array" ref="H104">_xlfn.IFS(
OR(ISNUMBER(SEARCH("mouse",E104)),ISNUMBER(SEARCH("rat",E104)),ISNUMBER(SEARCH("mice",E104)),ISNUMBER(SEARCH("rodent",E104))),"Rodent Control",
OR(ISNUMBER(SEARCH("fly",E104)),ISNUMBER(SEARCH("gnat",E104)),ISNUMBER(SEARCH("insect",E104)),ISNUMBER(SEARCH("mosquito",E104))),"Flying Insect Control",
OR(ISNUMBER(SEARCH("roach",E104)),ISNUMBER(SEARCH("ant",E104)),ISNUMBER(SEARCH("spider",E104)),ISNUMBER(SEARCH("cricket",E104)),ISNUMBER(SEARCH("scorpion",E104)),ISNUMBER(SEARCH("centipede",E104)),ISNUMBER(SEARCH("beetle",E104))),"Crawling Insect Control",
OR(ISNUMBER(SEARCH("tree",E104)),ISNUMBER(SEARCH("lantern",E104)),ISNUMBER(SEARCH("garden",E104)),ISNUMBER(SEARCH("plant",E104))),"Garden Pest Control",
OR(ISNUMBER(SEARCH("grass seed",E104)),ISNUMBER(SEARCH("seed mix",E104))),"Grass Seed",
OR(ISNUMBER(SEARCH("lawn food",E104)),ISNUMBER(SEARCH("fertilizer",E104))),"Lawn Fertilizer",
OR(ISNUMBER(SEARCH("patch",E104)),ISNUMBER(SEARCH("repair",E104)),ISNUMBER(SEARCH("thick'r",E104)),ISNUMBER(SEARCH("thick'r lawn",E104)),ISNUMBER(SEARCH("rapid grass",E104))),"Lawn Repair",
OR(ISNUMBER(SEARCH("weed",E104)),ISNUMBER(SEARCH("crabgrass",E104))),"Weed Control",
OR(ISNUMBER(SEARCH("fungicide",E104)),ISNUMBER(SEARCH("moss",E104))),"Disease &amp; Moss Control",
OR(ISNUMBER(SEARCH("plant food",E104)),ISNUMBER(SEARCH("miracid",E104))),"Plant Nutrition",
OR(ISNUMBER(SEARCH("perlite",E104))),"Soil Amendment",
OR(ISNUMBER(SEARCH("spreader",E104)),ISNUMBER(SEARCH("sprayer",E104)),ISNUMBER(SEARCH("mower",E104)),ISNUMBER(SEARCH("sweeper",E104)),ISNUMBER(SEARCH("pruner",E104)),ISNUMBER(SEARCH("trimmer",E104)),ISNUMBER(SEARCH("pole saw",E104))),"Garden Equipment",
TRUE,"Other"
)</f>
        <v>Lawn Repair</v>
      </c>
      <c r="I104" s="7" t="str" cm="1">
        <f t="array" ref="I104">_xlfn.IFS(
OR(ISNUMBER(SEARCH("glue trap",E104)),ISNUMBER(SEARCH("glue board",E104))),"Glue Traps",
OR(ISNUMBER(SEARCH("snap trap",E104)),ISNUMBER(SEARCH("power-kill",E104)),ISNUMBER(SEARCH("wide pedal",E104)),ISNUMBER(SEARCH("metal pedal",E104))),"Snap Traps",
OR(ISNUMBER(SEARCH("electronic",E104)),ISNUMBER(SEARCH("zapper",E104))),"Electronic Traps",
OR(ISNUMBER(SEARCH("live catch",E104)),ISNUMBER(SEARCH("multi-catch",E104)),ISNUMBER(SEARCH("catch &amp; hold",E104)),ISNUMBER(SEARCH("tin cat",E104))),"Live Catch Traps",
OR(ISNUMBER(SEARCH("bait",E104)),ISNUMBER(SEARCH("poison",E104))),"Bait &amp; Poison",
ISNUMBER(SEARCH("repellent",E104)),"Repellents",
OR(ISNUMBER(SEARCH("fly trap",E104)),ISNUMBER(SEARCH("fly ribbon",E104)),ISNUMBER(SEARCH("fly stick",E104)),ISNUMBER(SEARCH("window fly",E104)),ISNUMBER(SEARCH("fly magnet",E104))),"Fly Traps",
OR(ISNUMBER(SEARCH("uv",E104)),ISNUMBER(SEARCH("fly light",E104)),ISNUMBER(SEARCH("plug-in",E104))),"UV Fly Traps",
ISNUMBER(SEARCH("roach",E104)),"Roach Traps",
ISNUMBER(SEARCH("ant",E104)),"Ant Traps",
ISNUMBER(SEARCH("spider",E104)),"Spider Traps",
ISNUMBER(SEARCH("mosquito",E104)),"Mosquito Traps",
ISNUMBER(SEARCH("beetle",E104)),"Beetle Traps",
ISNUMBER(SEARCH("lantern",E104)),"Lanternfly Control",
OR(ISNUMBER(SEARCH("tree shield",E104)),ISNUMBER(SEARCH("tree banding",E104)),ISNUMBER(SEARCH("insect barrier",E104))),"Tree Barriers",
OR(ISNUMBER(SEARCH("sun &amp; shade",E104)),ISNUMBER(SEARCH("sun and shade",E104))),"Sun &amp; Shade Mix",
ISNUMBER(SEARCH("tall fescue",E104)),"Tall Fescue",
ISNUMBER(SEARCH("bermudagrass",E104)),"Bermudagrass",
ISNUMBER(SEARCH("kentucky",E104)),"Kentucky Bluegrass",
ISNUMBER(SEARCH("zoysia",E104)),"Zoysia",
ISNUMBER(SEARCH("ryegrass",E104)),"Perennial Ryegrass",
ISNUMBER(SEARCH("centipede",E104)),"Centipede Grass",
ISNUMBER(SEARCH("dense shade",E104)),"Dense Shade Mix",
ISNUMBER(SEARCH("southern gold",E104)),"Southern Gold Mix",
ISNUMBER(SEARCH("heat-tolerant blue",E104)),"Heat-Tolerant Blue Mix",
ISNUMBER(SEARCH("high traffic",E104)),"High Traffic Mix",
ISNUMBER(SEARCH("quick fix",E104)),"Quick Fix Mix",
ISNUMBER(SEARCH("starter",E104)),"Starter Fertilizer",
ISNUMBER(SEARCH("weed &amp; feed",E104)),"Weed &amp; Feed",
ISNUMBER(SEARCH("lawn food",E104)),"Lawn Food",
ISNUMBER(SEARCH("triple action",E104)),"Triple Action Fertilizer",
ISNUMBER(SEARCH("green max",E104)),"Green Max Lawn Food",
ISNUMBER(SEARCH("patchmaster",E104)),"PatchMaster Repair",
ISNUMBER(SEARCH("ez seed",E104)),"EZ Seed Repair",
ISNUMBER(SEARCH("rapid grass",E104)),"Rapid Grass",
ISNUMBER(SEARCH("thick'r lawn",E104)),"Thick'R Lawn",
ISNUMBER(SEARCH("fungicide",E104)),"Fungicide",
ISNUMBER(SEARCH("moss",E104)),"Moss Control",
ISNUMBER(SEARCH("perlite",E104)),"Perlite",
ISNUMBER(SEARCH("plant food",E104)),"Plant Food",
ISNUMBER(SEARCH("spreader",E104)),"Spreader",
ISNUMBER(SEARCH("sprayer",E104)),"Sprayer",
ISNUMBER(SEARCH("mower",E104)),"Lawn Mower",
ISNUMBER(SEARCH("sweeper",E104)),"Lawn Sweeper",
OR(ISNUMBER(SEARCH("pruner",E104)),ISNUMBER(SEARCH("trimmer",E104)),ISNUMBER(SEARCH("pole saw",E104))),"Pruning Tools",
TRUE,"Other"
)</f>
        <v>Sun &amp; Shade Mix</v>
      </c>
      <c r="J104" s="7" t="str">
        <f t="shared" si="18"/>
        <v>Lawn Repair - Sun &amp; Shade Mix</v>
      </c>
      <c r="K104" s="4">
        <v>10000</v>
      </c>
      <c r="L104" s="4">
        <v>4</v>
      </c>
      <c r="M104" s="4">
        <v>7552</v>
      </c>
      <c r="N104" s="4" t="s">
        <v>517</v>
      </c>
      <c r="O104" s="4">
        <f>VLOOKUP(A104,[3]Sheet1!$A:$B,2,0)</f>
        <v>1000</v>
      </c>
      <c r="P104" s="4">
        <f>VLOOKUP(A104,[3]Sheet1!$A:$C,3,0)</f>
        <v>1000</v>
      </c>
      <c r="Q104" s="4">
        <f>VLOOKUP(A104,[3]Sheet1!$A:$D,4,0)</f>
        <v>10000</v>
      </c>
      <c r="R104" s="4">
        <f>VLOOKUP(A104,[3]Sheet1!$A:$E,5,0)</f>
        <v>10000</v>
      </c>
      <c r="S104" s="4">
        <f>VLOOKUP(A104,[3]Sheet1!$A:$F,6,0)</f>
        <v>10000</v>
      </c>
      <c r="T104" s="4">
        <f>VLOOKUP(A104,[3]Sheet1!$A:$G,7,0)</f>
        <v>10000</v>
      </c>
      <c r="U104" s="4">
        <f>VLOOKUP(A104,[3]Sheet1!$A:$I,8,0)</f>
        <v>10000</v>
      </c>
      <c r="V104" s="4">
        <f>VLOOKUP(A104,[3]Sheet1!$A:$J,9,0)</f>
        <v>9000</v>
      </c>
      <c r="W104" s="4">
        <f>VLOOKUP(A104,[3]Sheet1!$A:$J,10,0)</f>
        <v>10000</v>
      </c>
      <c r="X104" s="4">
        <f>VLOOKUP(A104,[3]Sheet1!$A:$K,11,0)</f>
        <v>10000</v>
      </c>
      <c r="Y104" s="4">
        <f>VLOOKUP(A104,[3]Sheet1!$A:$L,12,0)</f>
        <v>5000</v>
      </c>
      <c r="Z104" s="4">
        <f>VLOOKUP(A104,[3]Sheet1!$A:$M,13,0)</f>
        <v>2000</v>
      </c>
      <c r="AA104" s="4">
        <f>SUM(O104:Z104)</f>
        <v>88000</v>
      </c>
      <c r="AB104" s="7">
        <f t="shared" si="19"/>
        <v>7333</v>
      </c>
      <c r="AC104" s="15">
        <f>AVERAGE(O104:Z104)</f>
        <v>7333.333333333333</v>
      </c>
      <c r="AD104" s="16">
        <f>AG104*AA104</f>
        <v>1757360</v>
      </c>
      <c r="AE104" s="16">
        <f>AG104*AC104</f>
        <v>146446.66666666666</v>
      </c>
      <c r="AF104" s="16">
        <v>7.55</v>
      </c>
      <c r="AG104" s="16">
        <v>19.97</v>
      </c>
      <c r="AH104" s="8">
        <f>0.1*AS104</f>
        <v>-3.746666666666669E-2</v>
      </c>
      <c r="AI104" s="8">
        <f>0.35*AS104</f>
        <v>-0.13113333333333341</v>
      </c>
      <c r="AJ104" s="10">
        <v>0.5</v>
      </c>
      <c r="AK104" s="10">
        <v>0.5</v>
      </c>
      <c r="AL104" s="16">
        <v>7.55</v>
      </c>
      <c r="AM104" s="9">
        <f t="shared" si="24"/>
        <v>2.9954999999999998</v>
      </c>
      <c r="AN104" s="9">
        <f t="shared" si="25"/>
        <v>0.59909999999999997</v>
      </c>
      <c r="AO104" s="9">
        <f t="shared" si="26"/>
        <v>3.9939999999999998</v>
      </c>
      <c r="AP104" s="9">
        <f t="shared" si="27"/>
        <v>0.39939999999999998</v>
      </c>
      <c r="AQ104" s="9">
        <f t="shared" si="28"/>
        <v>3.9939999999999998</v>
      </c>
      <c r="AR104" s="9">
        <f t="shared" si="29"/>
        <v>4.9924999999999997</v>
      </c>
      <c r="AS104" s="11">
        <f t="shared" si="30"/>
        <v>-0.37466666666666687</v>
      </c>
      <c r="AT104" s="12">
        <f t="shared" si="31"/>
        <v>-1.0403333333333336</v>
      </c>
    </row>
    <row r="105" spans="1:46" ht="16.5" x14ac:dyDescent="0.4">
      <c r="A105" s="4" t="s">
        <v>518</v>
      </c>
      <c r="B105" s="4" t="s">
        <v>513</v>
      </c>
      <c r="C105" s="7" t="s">
        <v>1785</v>
      </c>
      <c r="D105" s="4" t="s">
        <v>519</v>
      </c>
      <c r="E105" s="4" t="s">
        <v>520</v>
      </c>
      <c r="F105" s="4" t="s">
        <v>521</v>
      </c>
      <c r="G105" s="7" t="str">
        <f>VLOOKUP(A105,[1]done!$A:$I,9,0)</f>
        <v>Other - Scotts</v>
      </c>
      <c r="H105" s="7" t="str" cm="1">
        <f t="array" ref="H105">_xlfn.IFS(
OR(ISNUMBER(SEARCH("mouse",E105)),ISNUMBER(SEARCH("rat",E105)),ISNUMBER(SEARCH("mice",E105)),ISNUMBER(SEARCH("rodent",E105))),"Rodent Control",
OR(ISNUMBER(SEARCH("fly",E105)),ISNUMBER(SEARCH("gnat",E105)),ISNUMBER(SEARCH("insect",E105)),ISNUMBER(SEARCH("mosquito",E105))),"Flying Insect Control",
OR(ISNUMBER(SEARCH("roach",E105)),ISNUMBER(SEARCH("ant",E105)),ISNUMBER(SEARCH("spider",E105)),ISNUMBER(SEARCH("cricket",E105)),ISNUMBER(SEARCH("scorpion",E105)),ISNUMBER(SEARCH("centipede",E105)),ISNUMBER(SEARCH("beetle",E105))),"Crawling Insect Control",
OR(ISNUMBER(SEARCH("tree",E105)),ISNUMBER(SEARCH("lantern",E105)),ISNUMBER(SEARCH("garden",E105)),ISNUMBER(SEARCH("plant",E105))),"Garden Pest Control",
OR(ISNUMBER(SEARCH("grass seed",E105)),ISNUMBER(SEARCH("seed mix",E105))),"Grass Seed",
OR(ISNUMBER(SEARCH("lawn food",E105)),ISNUMBER(SEARCH("fertilizer",E105))),"Lawn Fertilizer",
OR(ISNUMBER(SEARCH("patch",E105)),ISNUMBER(SEARCH("repair",E105)),ISNUMBER(SEARCH("thick'r",E105)),ISNUMBER(SEARCH("thick'r lawn",E105)),ISNUMBER(SEARCH("rapid grass",E105))),"Lawn Repair",
OR(ISNUMBER(SEARCH("weed",E105)),ISNUMBER(SEARCH("crabgrass",E105))),"Weed Control",
OR(ISNUMBER(SEARCH("fungicide",E105)),ISNUMBER(SEARCH("moss",E105))),"Disease &amp; Moss Control",
OR(ISNUMBER(SEARCH("plant food",E105)),ISNUMBER(SEARCH("miracid",E105))),"Plant Nutrition",
OR(ISNUMBER(SEARCH("perlite",E105))),"Soil Amendment",
OR(ISNUMBER(SEARCH("spreader",E105)),ISNUMBER(SEARCH("sprayer",E105)),ISNUMBER(SEARCH("mower",E105)),ISNUMBER(SEARCH("sweeper",E105)),ISNUMBER(SEARCH("pruner",E105)),ISNUMBER(SEARCH("trimmer",E105)),ISNUMBER(SEARCH("pole saw",E105))),"Garden Equipment",
TRUE,"Other"
)</f>
        <v>Garden Equipment</v>
      </c>
      <c r="I105" s="7" t="str" cm="1">
        <f t="array" ref="I105">_xlfn.IFS(
OR(ISNUMBER(SEARCH("glue trap",E105)),ISNUMBER(SEARCH("glue board",E105))),"Glue Traps",
OR(ISNUMBER(SEARCH("snap trap",E105)),ISNUMBER(SEARCH("power-kill",E105)),ISNUMBER(SEARCH("wide pedal",E105)),ISNUMBER(SEARCH("metal pedal",E105))),"Snap Traps",
OR(ISNUMBER(SEARCH("electronic",E105)),ISNUMBER(SEARCH("zapper",E105))),"Electronic Traps",
OR(ISNUMBER(SEARCH("live catch",E105)),ISNUMBER(SEARCH("multi-catch",E105)),ISNUMBER(SEARCH("catch &amp; hold",E105)),ISNUMBER(SEARCH("tin cat",E105))),"Live Catch Traps",
OR(ISNUMBER(SEARCH("bait",E105)),ISNUMBER(SEARCH("poison",E105))),"Bait &amp; Poison",
ISNUMBER(SEARCH("repellent",E105)),"Repellents",
OR(ISNUMBER(SEARCH("fly trap",E105)),ISNUMBER(SEARCH("fly ribbon",E105)),ISNUMBER(SEARCH("fly stick",E105)),ISNUMBER(SEARCH("window fly",E105)),ISNUMBER(SEARCH("fly magnet",E105))),"Fly Traps",
OR(ISNUMBER(SEARCH("uv",E105)),ISNUMBER(SEARCH("fly light",E105)),ISNUMBER(SEARCH("plug-in",E105))),"UV Fly Traps",
ISNUMBER(SEARCH("roach",E105)),"Roach Traps",
ISNUMBER(SEARCH("ant",E105)),"Ant Traps",
ISNUMBER(SEARCH("spider",E105)),"Spider Traps",
ISNUMBER(SEARCH("mosquito",E105)),"Mosquito Traps",
ISNUMBER(SEARCH("beetle",E105)),"Beetle Traps",
ISNUMBER(SEARCH("lantern",E105)),"Lanternfly Control",
OR(ISNUMBER(SEARCH("tree shield",E105)),ISNUMBER(SEARCH("tree banding",E105)),ISNUMBER(SEARCH("insect barrier",E105))),"Tree Barriers",
OR(ISNUMBER(SEARCH("sun &amp; shade",E105)),ISNUMBER(SEARCH("sun and shade",E105))),"Sun &amp; Shade Mix",
ISNUMBER(SEARCH("tall fescue",E105)),"Tall Fescue",
ISNUMBER(SEARCH("bermudagrass",E105)),"Bermudagrass",
ISNUMBER(SEARCH("kentucky",E105)),"Kentucky Bluegrass",
ISNUMBER(SEARCH("zoysia",E105)),"Zoysia",
ISNUMBER(SEARCH("ryegrass",E105)),"Perennial Ryegrass",
ISNUMBER(SEARCH("centipede",E105)),"Centipede Grass",
ISNUMBER(SEARCH("dense shade",E105)),"Dense Shade Mix",
ISNUMBER(SEARCH("southern gold",E105)),"Southern Gold Mix",
ISNUMBER(SEARCH("heat-tolerant blue",E105)),"Heat-Tolerant Blue Mix",
ISNUMBER(SEARCH("high traffic",E105)),"High Traffic Mix",
ISNUMBER(SEARCH("quick fix",E105)),"Quick Fix Mix",
ISNUMBER(SEARCH("starter",E105)),"Starter Fertilizer",
ISNUMBER(SEARCH("weed &amp; feed",E105)),"Weed &amp; Feed",
ISNUMBER(SEARCH("lawn food",E105)),"Lawn Food",
ISNUMBER(SEARCH("triple action",E105)),"Triple Action Fertilizer",
ISNUMBER(SEARCH("green max",E105)),"Green Max Lawn Food",
ISNUMBER(SEARCH("patchmaster",E105)),"PatchMaster Repair",
ISNUMBER(SEARCH("ez seed",E105)),"EZ Seed Repair",
ISNUMBER(SEARCH("rapid grass",E105)),"Rapid Grass",
ISNUMBER(SEARCH("thick'r lawn",E105)),"Thick'R Lawn",
ISNUMBER(SEARCH("fungicide",E105)),"Fungicide",
ISNUMBER(SEARCH("moss",E105)),"Moss Control",
ISNUMBER(SEARCH("perlite",E105)),"Perlite",
ISNUMBER(SEARCH("plant food",E105)),"Plant Food",
ISNUMBER(SEARCH("spreader",E105)),"Spreader",
ISNUMBER(SEARCH("sprayer",E105)),"Sprayer",
ISNUMBER(SEARCH("mower",E105)),"Lawn Mower",
ISNUMBER(SEARCH("sweeper",E105)),"Lawn Sweeper",
OR(ISNUMBER(SEARCH("pruner",E105)),ISNUMBER(SEARCH("trimmer",E105)),ISNUMBER(SEARCH("pole saw",E105))),"Pruning Tools",
TRUE,"Other"
)</f>
        <v>Spreader</v>
      </c>
      <c r="J105" s="7" t="str">
        <f t="shared" si="18"/>
        <v>Garden Equipment - Spreader</v>
      </c>
      <c r="K105" s="4">
        <v>7000</v>
      </c>
      <c r="L105" s="4">
        <v>4.7</v>
      </c>
      <c r="M105" s="4">
        <v>1738</v>
      </c>
      <c r="O105" s="4">
        <f>VLOOKUP(A105,[3]Sheet1!$A:$B,2,0)</f>
        <v>3000</v>
      </c>
      <c r="P105" s="4">
        <f>VLOOKUP(A105,[3]Sheet1!$A:$C,3,0)</f>
        <v>8000</v>
      </c>
      <c r="Q105" s="4">
        <f>VLOOKUP(A105,[3]Sheet1!$A:$D,4,0)</f>
        <v>10000</v>
      </c>
      <c r="R105" s="4">
        <f>VLOOKUP(A105,[3]Sheet1!$A:$E,5,0)</f>
        <v>20000</v>
      </c>
      <c r="S105" s="4">
        <f>VLOOKUP(A105,[3]Sheet1!$A:$F,6,0)</f>
        <v>10000</v>
      </c>
      <c r="T105" s="4">
        <f>VLOOKUP(A105,[3]Sheet1!$A:$G,7,0)</f>
        <v>10000</v>
      </c>
      <c r="U105" s="4">
        <f>VLOOKUP(A105,[3]Sheet1!$A:$I,8,0)</f>
        <v>9000</v>
      </c>
      <c r="V105" s="4">
        <f>VLOOKUP(A105,[3]Sheet1!$A:$J,9,0)</f>
        <v>8000</v>
      </c>
      <c r="W105" s="4">
        <f>VLOOKUP(A105,[3]Sheet1!$A:$J,10,0)</f>
        <v>7000</v>
      </c>
      <c r="X105" s="4">
        <f>VLOOKUP(A105,[3]Sheet1!$A:$K,11,0)</f>
        <v>5000</v>
      </c>
      <c r="Y105" s="4">
        <f>VLOOKUP(A105,[3]Sheet1!$A:$L,12,0)</f>
        <v>4000</v>
      </c>
      <c r="Z105" s="4">
        <f>VLOOKUP(A105,[3]Sheet1!$A:$M,13,0)</f>
        <v>7000</v>
      </c>
      <c r="AA105" s="4">
        <f t="shared" ref="AA105:AA168" si="32">SUM(O105:Z105)</f>
        <v>101000</v>
      </c>
      <c r="AB105" s="7">
        <f t="shared" si="19"/>
        <v>8417</v>
      </c>
      <c r="AC105" s="15">
        <f t="shared" ref="AC105:AC168" si="33">AVERAGE(O105:Z105)</f>
        <v>8416.6666666666661</v>
      </c>
      <c r="AD105" s="16">
        <f t="shared" ref="AD105:AD168" si="34">AG105*AA105</f>
        <v>2523990</v>
      </c>
      <c r="AE105" s="16">
        <f t="shared" ref="AE105:AE168" si="35">AG105*AC105</f>
        <v>210332.49999999997</v>
      </c>
      <c r="AF105" s="16">
        <v>13.03</v>
      </c>
      <c r="AG105" s="16">
        <v>24.99</v>
      </c>
      <c r="AH105" s="8">
        <f t="shared" ref="AH105:AH168" si="36">0.1*AS105</f>
        <v>-0.26893333333333341</v>
      </c>
      <c r="AI105" s="8">
        <f t="shared" ref="AI105:AI168" si="37">0.35*AS105</f>
        <v>-0.94126666666666692</v>
      </c>
      <c r="AJ105" s="10">
        <v>0.5</v>
      </c>
      <c r="AK105" s="10">
        <v>0.5</v>
      </c>
      <c r="AL105" s="16">
        <v>13.03</v>
      </c>
      <c r="AM105" s="9">
        <f t="shared" si="24"/>
        <v>3.7484999999999995</v>
      </c>
      <c r="AN105" s="9">
        <f t="shared" si="25"/>
        <v>0.74969999999999992</v>
      </c>
      <c r="AO105" s="9">
        <f t="shared" si="26"/>
        <v>4.9980000000000002</v>
      </c>
      <c r="AP105" s="9">
        <f t="shared" si="27"/>
        <v>0.49979999999999997</v>
      </c>
      <c r="AQ105" s="9">
        <f t="shared" si="28"/>
        <v>4.9980000000000002</v>
      </c>
      <c r="AR105" s="9">
        <f t="shared" si="29"/>
        <v>6.2474999999999996</v>
      </c>
      <c r="AS105" s="11">
        <f t="shared" si="30"/>
        <v>-2.6893333333333342</v>
      </c>
      <c r="AT105" s="12">
        <f t="shared" si="31"/>
        <v>-3.522333333333334</v>
      </c>
    </row>
    <row r="106" spans="1:46" ht="16.5" x14ac:dyDescent="0.4">
      <c r="A106" s="4" t="s">
        <v>522</v>
      </c>
      <c r="B106" s="4" t="s">
        <v>513</v>
      </c>
      <c r="C106" s="7" t="s">
        <v>1784</v>
      </c>
      <c r="D106" s="4" t="s">
        <v>523</v>
      </c>
      <c r="E106" s="4" t="s">
        <v>524</v>
      </c>
      <c r="F106" s="4" t="s">
        <v>525</v>
      </c>
      <c r="G106" s="7" t="str">
        <f>VLOOKUP(A106,[1]done!$A:$I,9,0)</f>
        <v>Insecticide/Fungicide</v>
      </c>
      <c r="H106" s="7" t="str" cm="1">
        <f t="array" ref="H106">_xlfn.IFS(
OR(ISNUMBER(SEARCH("mouse",E106)),ISNUMBER(SEARCH("rat",E106)),ISNUMBER(SEARCH("mice",E106)),ISNUMBER(SEARCH("rodent",E106))),"Rodent Control",
OR(ISNUMBER(SEARCH("fly",E106)),ISNUMBER(SEARCH("gnat",E106)),ISNUMBER(SEARCH("insect",E106)),ISNUMBER(SEARCH("mosquito",E106))),"Flying Insect Control",
OR(ISNUMBER(SEARCH("roach",E106)),ISNUMBER(SEARCH("ant",E106)),ISNUMBER(SEARCH("spider",E106)),ISNUMBER(SEARCH("cricket",E106)),ISNUMBER(SEARCH("scorpion",E106)),ISNUMBER(SEARCH("centipede",E106)),ISNUMBER(SEARCH("beetle",E106))),"Crawling Insect Control",
OR(ISNUMBER(SEARCH("tree",E106)),ISNUMBER(SEARCH("lantern",E106)),ISNUMBER(SEARCH("garden",E106)),ISNUMBER(SEARCH("plant",E106))),"Garden Pest Control",
OR(ISNUMBER(SEARCH("grass seed",E106)),ISNUMBER(SEARCH("seed mix",E106))),"Grass Seed",
OR(ISNUMBER(SEARCH("lawn food",E106)),ISNUMBER(SEARCH("fertilizer",E106))),"Lawn Fertilizer",
OR(ISNUMBER(SEARCH("patch",E106)),ISNUMBER(SEARCH("repair",E106)),ISNUMBER(SEARCH("thick'r",E106)),ISNUMBER(SEARCH("thick'r lawn",E106)),ISNUMBER(SEARCH("rapid grass",E106))),"Lawn Repair",
OR(ISNUMBER(SEARCH("weed",E106)),ISNUMBER(SEARCH("crabgrass",E106))),"Weed Control",
OR(ISNUMBER(SEARCH("fungicide",E106)),ISNUMBER(SEARCH("moss",E106))),"Disease &amp; Moss Control",
OR(ISNUMBER(SEARCH("plant food",E106)),ISNUMBER(SEARCH("miracid",E106))),"Plant Nutrition",
OR(ISNUMBER(SEARCH("perlite",E106))),"Soil Amendment",
OR(ISNUMBER(SEARCH("spreader",E106)),ISNUMBER(SEARCH("sprayer",E106)),ISNUMBER(SEARCH("mower",E106)),ISNUMBER(SEARCH("sweeper",E106)),ISNUMBER(SEARCH("pruner",E106)),ISNUMBER(SEARCH("trimmer",E106)),ISNUMBER(SEARCH("pole saw",E106))),"Garden Equipment",
TRUE,"Other"
)</f>
        <v>Disease &amp; Moss Control</v>
      </c>
      <c r="I106" s="7" t="str" cm="1">
        <f t="array" ref="I106">_xlfn.IFS(
OR(ISNUMBER(SEARCH("glue trap",E106)),ISNUMBER(SEARCH("glue board",E106))),"Glue Traps",
OR(ISNUMBER(SEARCH("snap trap",E106)),ISNUMBER(SEARCH("power-kill",E106)),ISNUMBER(SEARCH("wide pedal",E106)),ISNUMBER(SEARCH("metal pedal",E106))),"Snap Traps",
OR(ISNUMBER(SEARCH("electronic",E106)),ISNUMBER(SEARCH("zapper",E106))),"Electronic Traps",
OR(ISNUMBER(SEARCH("live catch",E106)),ISNUMBER(SEARCH("multi-catch",E106)),ISNUMBER(SEARCH("catch &amp; hold",E106)),ISNUMBER(SEARCH("tin cat",E106))),"Live Catch Traps",
OR(ISNUMBER(SEARCH("bait",E106)),ISNUMBER(SEARCH("poison",E106))),"Bait &amp; Poison",
ISNUMBER(SEARCH("repellent",E106)),"Repellents",
OR(ISNUMBER(SEARCH("fly trap",E106)),ISNUMBER(SEARCH("fly ribbon",E106)),ISNUMBER(SEARCH("fly stick",E106)),ISNUMBER(SEARCH("window fly",E106)),ISNUMBER(SEARCH("fly magnet",E106))),"Fly Traps",
OR(ISNUMBER(SEARCH("uv",E106)),ISNUMBER(SEARCH("fly light",E106)),ISNUMBER(SEARCH("plug-in",E106))),"UV Fly Traps",
ISNUMBER(SEARCH("roach",E106)),"Roach Traps",
ISNUMBER(SEARCH("ant",E106)),"Ant Traps",
ISNUMBER(SEARCH("spider",E106)),"Spider Traps",
ISNUMBER(SEARCH("mosquito",E106)),"Mosquito Traps",
ISNUMBER(SEARCH("beetle",E106)),"Beetle Traps",
ISNUMBER(SEARCH("lantern",E106)),"Lanternfly Control",
OR(ISNUMBER(SEARCH("tree shield",E106)),ISNUMBER(SEARCH("tree banding",E106)),ISNUMBER(SEARCH("insect barrier",E106))),"Tree Barriers",
OR(ISNUMBER(SEARCH("sun &amp; shade",E106)),ISNUMBER(SEARCH("sun and shade",E106))),"Sun &amp; Shade Mix",
ISNUMBER(SEARCH("tall fescue",E106)),"Tall Fescue",
ISNUMBER(SEARCH("bermudagrass",E106)),"Bermudagrass",
ISNUMBER(SEARCH("kentucky",E106)),"Kentucky Bluegrass",
ISNUMBER(SEARCH("zoysia",E106)),"Zoysia",
ISNUMBER(SEARCH("ryegrass",E106)),"Perennial Ryegrass",
ISNUMBER(SEARCH("centipede",E106)),"Centipede Grass",
ISNUMBER(SEARCH("dense shade",E106)),"Dense Shade Mix",
ISNUMBER(SEARCH("southern gold",E106)),"Southern Gold Mix",
ISNUMBER(SEARCH("heat-tolerant blue",E106)),"Heat-Tolerant Blue Mix",
ISNUMBER(SEARCH("high traffic",E106)),"High Traffic Mix",
ISNUMBER(SEARCH("quick fix",E106)),"Quick Fix Mix",
ISNUMBER(SEARCH("starter",E106)),"Starter Fertilizer",
ISNUMBER(SEARCH("weed &amp; feed",E106)),"Weed &amp; Feed",
ISNUMBER(SEARCH("lawn food",E106)),"Lawn Food",
ISNUMBER(SEARCH("triple action",E106)),"Triple Action Fertilizer",
ISNUMBER(SEARCH("green max",E106)),"Green Max Lawn Food",
ISNUMBER(SEARCH("patchmaster",E106)),"PatchMaster Repair",
ISNUMBER(SEARCH("ez seed",E106)),"EZ Seed Repair",
ISNUMBER(SEARCH("rapid grass",E106)),"Rapid Grass",
ISNUMBER(SEARCH("thick'r lawn",E106)),"Thick'R Lawn",
ISNUMBER(SEARCH("fungicide",E106)),"Fungicide",
ISNUMBER(SEARCH("moss",E106)),"Moss Control",
ISNUMBER(SEARCH("perlite",E106)),"Perlite",
ISNUMBER(SEARCH("plant food",E106)),"Plant Food",
ISNUMBER(SEARCH("spreader",E106)),"Spreader",
ISNUMBER(SEARCH("sprayer",E106)),"Sprayer",
ISNUMBER(SEARCH("mower",E106)),"Lawn Mower",
ISNUMBER(SEARCH("sweeper",E106)),"Lawn Sweeper",
OR(ISNUMBER(SEARCH("pruner",E106)),ISNUMBER(SEARCH("trimmer",E106)),ISNUMBER(SEARCH("pole saw",E106))),"Pruning Tools",
TRUE,"Other"
)</f>
        <v>Fungicide</v>
      </c>
      <c r="J106" s="7" t="str">
        <f t="shared" si="18"/>
        <v>Disease &amp; Moss Control - Fungicide</v>
      </c>
      <c r="K106" s="4">
        <v>7000</v>
      </c>
      <c r="L106" s="4">
        <v>4.4000000000000004</v>
      </c>
      <c r="M106" s="4">
        <v>14420</v>
      </c>
      <c r="N106" s="4" t="s">
        <v>526</v>
      </c>
      <c r="O106" s="4">
        <f>VLOOKUP(A106,[3]Sheet1!$A:$B,2,0)</f>
        <v>1000</v>
      </c>
      <c r="P106" s="4">
        <f>VLOOKUP(A106,[3]Sheet1!$A:$C,3,0)</f>
        <v>1000</v>
      </c>
      <c r="Q106" s="4">
        <f>VLOOKUP(A106,[3]Sheet1!$A:$D,4,0)</f>
        <v>1000</v>
      </c>
      <c r="R106" s="4">
        <f>VLOOKUP(A106,[3]Sheet1!$A:$E,5,0)</f>
        <v>6000</v>
      </c>
      <c r="S106" s="4">
        <f>VLOOKUP(A106,[3]Sheet1!$A:$F,6,0)</f>
        <v>6000</v>
      </c>
      <c r="T106" s="4">
        <f>VLOOKUP(A106,[3]Sheet1!$A:$G,7,0)</f>
        <v>10000</v>
      </c>
      <c r="U106" s="4">
        <f>VLOOKUP(A106,[3]Sheet1!$A:$I,8,0)</f>
        <v>10000</v>
      </c>
      <c r="V106" s="4">
        <f>VLOOKUP(A106,[3]Sheet1!$A:$J,9,0)</f>
        <v>9000</v>
      </c>
      <c r="W106" s="4">
        <f>VLOOKUP(A106,[3]Sheet1!$A:$J,10,0)</f>
        <v>8000</v>
      </c>
      <c r="X106" s="4">
        <f>VLOOKUP(A106,[3]Sheet1!$A:$K,11,0)</f>
        <v>4000</v>
      </c>
      <c r="Y106" s="4">
        <f>VLOOKUP(A106,[3]Sheet1!$A:$L,12,0)</f>
        <v>3000</v>
      </c>
      <c r="Z106" s="4">
        <f>VLOOKUP(A106,[3]Sheet1!$A:$M,13,0)</f>
        <v>1000</v>
      </c>
      <c r="AA106" s="4">
        <f t="shared" si="32"/>
        <v>60000</v>
      </c>
      <c r="AB106" s="7">
        <f t="shared" si="19"/>
        <v>5000</v>
      </c>
      <c r="AC106" s="15">
        <f t="shared" si="33"/>
        <v>5000</v>
      </c>
      <c r="AD106" s="16">
        <f t="shared" si="34"/>
        <v>1253400</v>
      </c>
      <c r="AE106" s="16">
        <f t="shared" si="35"/>
        <v>104450</v>
      </c>
      <c r="AF106" s="16">
        <v>9.6199999999999992</v>
      </c>
      <c r="AG106" s="16">
        <v>20.89</v>
      </c>
      <c r="AH106" s="8">
        <f t="shared" si="36"/>
        <v>-0.15093333333333325</v>
      </c>
      <c r="AI106" s="8">
        <f t="shared" si="37"/>
        <v>-0.52826666666666622</v>
      </c>
      <c r="AJ106" s="10">
        <v>0.5</v>
      </c>
      <c r="AK106" s="10">
        <v>0.5</v>
      </c>
      <c r="AL106" s="16">
        <v>9.6199999999999992</v>
      </c>
      <c r="AM106" s="9">
        <f t="shared" si="24"/>
        <v>3.1335000000000002</v>
      </c>
      <c r="AN106" s="9">
        <f t="shared" si="25"/>
        <v>0.62670000000000003</v>
      </c>
      <c r="AO106" s="9">
        <f t="shared" si="26"/>
        <v>4.1779999999999999</v>
      </c>
      <c r="AP106" s="9">
        <f t="shared" si="27"/>
        <v>0.4178</v>
      </c>
      <c r="AQ106" s="9">
        <f t="shared" si="28"/>
        <v>4.1779999999999999</v>
      </c>
      <c r="AR106" s="9">
        <f t="shared" si="29"/>
        <v>5.2225000000000001</v>
      </c>
      <c r="AS106" s="11">
        <f t="shared" si="30"/>
        <v>-1.5093333333333323</v>
      </c>
      <c r="AT106" s="12">
        <f t="shared" si="31"/>
        <v>-2.2056666666666658</v>
      </c>
    </row>
    <row r="107" spans="1:46" ht="16.5" x14ac:dyDescent="0.4">
      <c r="A107" s="4" t="s">
        <v>527</v>
      </c>
      <c r="B107" s="4" t="s">
        <v>513</v>
      </c>
      <c r="C107" s="7" t="s">
        <v>1786</v>
      </c>
      <c r="D107" s="4" t="s">
        <v>528</v>
      </c>
      <c r="E107" s="4" t="s">
        <v>529</v>
      </c>
      <c r="F107" s="4" t="s">
        <v>530</v>
      </c>
      <c r="G107" s="7" t="str">
        <f>VLOOKUP(A107,[1]done!$A:$I,9,0)</f>
        <v>Grass Seed</v>
      </c>
      <c r="H107" s="7" t="str" cm="1">
        <f t="array" ref="H107">_xlfn.IFS(
OR(ISNUMBER(SEARCH("mouse",E107)),ISNUMBER(SEARCH("rat",E107)),ISNUMBER(SEARCH("mice",E107)),ISNUMBER(SEARCH("rodent",E107))),"Rodent Control",
OR(ISNUMBER(SEARCH("fly",E107)),ISNUMBER(SEARCH("gnat",E107)),ISNUMBER(SEARCH("insect",E107)),ISNUMBER(SEARCH("mosquito",E107))),"Flying Insect Control",
OR(ISNUMBER(SEARCH("roach",E107)),ISNUMBER(SEARCH("ant",E107)),ISNUMBER(SEARCH("spider",E107)),ISNUMBER(SEARCH("cricket",E107)),ISNUMBER(SEARCH("scorpion",E107)),ISNUMBER(SEARCH("centipede",E107)),ISNUMBER(SEARCH("beetle",E107))),"Crawling Insect Control",
OR(ISNUMBER(SEARCH("tree",E107)),ISNUMBER(SEARCH("lantern",E107)),ISNUMBER(SEARCH("garden",E107)),ISNUMBER(SEARCH("plant",E107))),"Garden Pest Control",
OR(ISNUMBER(SEARCH("grass seed",E107)),ISNUMBER(SEARCH("seed mix",E107))),"Grass Seed",
OR(ISNUMBER(SEARCH("lawn food",E107)),ISNUMBER(SEARCH("fertilizer",E107))),"Lawn Fertilizer",
OR(ISNUMBER(SEARCH("patch",E107)),ISNUMBER(SEARCH("repair",E107)),ISNUMBER(SEARCH("thick'r",E107)),ISNUMBER(SEARCH("thick'r lawn",E107)),ISNUMBER(SEARCH("rapid grass",E107))),"Lawn Repair",
OR(ISNUMBER(SEARCH("weed",E107)),ISNUMBER(SEARCH("crabgrass",E107))),"Weed Control",
OR(ISNUMBER(SEARCH("fungicide",E107)),ISNUMBER(SEARCH("moss",E107))),"Disease &amp; Moss Control",
OR(ISNUMBER(SEARCH("plant food",E107)),ISNUMBER(SEARCH("miracid",E107))),"Plant Nutrition",
OR(ISNUMBER(SEARCH("perlite",E107))),"Soil Amendment",
OR(ISNUMBER(SEARCH("spreader",E107)),ISNUMBER(SEARCH("sprayer",E107)),ISNUMBER(SEARCH("mower",E107)),ISNUMBER(SEARCH("sweeper",E107)),ISNUMBER(SEARCH("pruner",E107)),ISNUMBER(SEARCH("trimmer",E107)),ISNUMBER(SEARCH("pole saw",E107))),"Garden Equipment",
TRUE,"Other"
)</f>
        <v>Grass Seed</v>
      </c>
      <c r="I107" s="7" t="str" cm="1">
        <f t="array" ref="I107">_xlfn.IFS(
OR(ISNUMBER(SEARCH("glue trap",E107)),ISNUMBER(SEARCH("glue board",E107))),"Glue Traps",
OR(ISNUMBER(SEARCH("snap trap",E107)),ISNUMBER(SEARCH("power-kill",E107)),ISNUMBER(SEARCH("wide pedal",E107)),ISNUMBER(SEARCH("metal pedal",E107))),"Snap Traps",
OR(ISNUMBER(SEARCH("electronic",E107)),ISNUMBER(SEARCH("zapper",E107))),"Electronic Traps",
OR(ISNUMBER(SEARCH("live catch",E107)),ISNUMBER(SEARCH("multi-catch",E107)),ISNUMBER(SEARCH("catch &amp; hold",E107)),ISNUMBER(SEARCH("tin cat",E107))),"Live Catch Traps",
OR(ISNUMBER(SEARCH("bait",E107)),ISNUMBER(SEARCH("poison",E107))),"Bait &amp; Poison",
ISNUMBER(SEARCH("repellent",E107)),"Repellents",
OR(ISNUMBER(SEARCH("fly trap",E107)),ISNUMBER(SEARCH("fly ribbon",E107)),ISNUMBER(SEARCH("fly stick",E107)),ISNUMBER(SEARCH("window fly",E107)),ISNUMBER(SEARCH("fly magnet",E107))),"Fly Traps",
OR(ISNUMBER(SEARCH("uv",E107)),ISNUMBER(SEARCH("fly light",E107)),ISNUMBER(SEARCH("plug-in",E107))),"UV Fly Traps",
ISNUMBER(SEARCH("roach",E107)),"Roach Traps",
ISNUMBER(SEARCH("ant",E107)),"Ant Traps",
ISNUMBER(SEARCH("spider",E107)),"Spider Traps",
ISNUMBER(SEARCH("mosquito",E107)),"Mosquito Traps",
ISNUMBER(SEARCH("beetle",E107)),"Beetle Traps",
ISNUMBER(SEARCH("lantern",E107)),"Lanternfly Control",
OR(ISNUMBER(SEARCH("tree shield",E107)),ISNUMBER(SEARCH("tree banding",E107)),ISNUMBER(SEARCH("insect barrier",E107))),"Tree Barriers",
OR(ISNUMBER(SEARCH("sun &amp; shade",E107)),ISNUMBER(SEARCH("sun and shade",E107))),"Sun &amp; Shade Mix",
ISNUMBER(SEARCH("tall fescue",E107)),"Tall Fescue",
ISNUMBER(SEARCH("bermudagrass",E107)),"Bermudagrass",
ISNUMBER(SEARCH("kentucky",E107)),"Kentucky Bluegrass",
ISNUMBER(SEARCH("zoysia",E107)),"Zoysia",
ISNUMBER(SEARCH("ryegrass",E107)),"Perennial Ryegrass",
ISNUMBER(SEARCH("centipede",E107)),"Centipede Grass",
ISNUMBER(SEARCH("dense shade",E107)),"Dense Shade Mix",
ISNUMBER(SEARCH("southern gold",E107)),"Southern Gold Mix",
ISNUMBER(SEARCH("heat-tolerant blue",E107)),"Heat-Tolerant Blue Mix",
ISNUMBER(SEARCH("high traffic",E107)),"High Traffic Mix",
ISNUMBER(SEARCH("quick fix",E107)),"Quick Fix Mix",
ISNUMBER(SEARCH("starter",E107)),"Starter Fertilizer",
ISNUMBER(SEARCH("weed &amp; feed",E107)),"Weed &amp; Feed",
ISNUMBER(SEARCH("lawn food",E107)),"Lawn Food",
ISNUMBER(SEARCH("triple action",E107)),"Triple Action Fertilizer",
ISNUMBER(SEARCH("green max",E107)),"Green Max Lawn Food",
ISNUMBER(SEARCH("patchmaster",E107)),"PatchMaster Repair",
ISNUMBER(SEARCH("ez seed",E107)),"EZ Seed Repair",
ISNUMBER(SEARCH("rapid grass",E107)),"Rapid Grass",
ISNUMBER(SEARCH("thick'r lawn",E107)),"Thick'R Lawn",
ISNUMBER(SEARCH("fungicide",E107)),"Fungicide",
ISNUMBER(SEARCH("moss",E107)),"Moss Control",
ISNUMBER(SEARCH("perlite",E107)),"Perlite",
ISNUMBER(SEARCH("plant food",E107)),"Plant Food",
ISNUMBER(SEARCH("spreader",E107)),"Spreader",
ISNUMBER(SEARCH("sprayer",E107)),"Sprayer",
ISNUMBER(SEARCH("mower",E107)),"Lawn Mower",
ISNUMBER(SEARCH("sweeper",E107)),"Lawn Sweeper",
OR(ISNUMBER(SEARCH("pruner",E107)),ISNUMBER(SEARCH("trimmer",E107)),ISNUMBER(SEARCH("pole saw",E107))),"Pruning Tools",
TRUE,"Other"
)</f>
        <v>Sun &amp; Shade Mix</v>
      </c>
      <c r="J107" s="7" t="str">
        <f t="shared" si="18"/>
        <v>Grass Seed - Sun &amp; Shade Mix</v>
      </c>
      <c r="K107" s="4">
        <v>6000</v>
      </c>
      <c r="L107" s="4">
        <v>4.3</v>
      </c>
      <c r="M107" s="4">
        <v>34453</v>
      </c>
      <c r="N107" s="4" t="s">
        <v>531</v>
      </c>
      <c r="O107" s="4">
        <f>VLOOKUP(A107,[3]Sheet1!$A:$B,2,0)</f>
        <v>1000</v>
      </c>
      <c r="P107" s="4">
        <f>VLOOKUP(A107,[3]Sheet1!$A:$C,3,0)</f>
        <v>1000</v>
      </c>
      <c r="Q107" s="4">
        <f>VLOOKUP(A107,[3]Sheet1!$A:$D,4,0)</f>
        <v>3000</v>
      </c>
      <c r="R107" s="4">
        <f>VLOOKUP(A107,[3]Sheet1!$A:$E,5,0)</f>
        <v>20000</v>
      </c>
      <c r="S107" s="4">
        <f>VLOOKUP(A107,[3]Sheet1!$A:$F,6,0)</f>
        <v>20000</v>
      </c>
      <c r="T107" s="4">
        <f>VLOOKUP(A107,[3]Sheet1!$A:$G,7,0)</f>
        <v>10000</v>
      </c>
      <c r="U107" s="4">
        <f>VLOOKUP(A107,[3]Sheet1!$A:$I,8,0)</f>
        <v>5000</v>
      </c>
      <c r="V107" s="4">
        <f>VLOOKUP(A107,[3]Sheet1!$A:$J,9,0)</f>
        <v>5000</v>
      </c>
      <c r="W107" s="4">
        <f>VLOOKUP(A107,[3]Sheet1!$A:$J,10,0)</f>
        <v>6000</v>
      </c>
      <c r="X107" s="4">
        <f>VLOOKUP(A107,[3]Sheet1!$A:$K,11,0)</f>
        <v>6000</v>
      </c>
      <c r="Y107" s="4">
        <f>VLOOKUP(A107,[3]Sheet1!$A:$L,12,0)</f>
        <v>3000</v>
      </c>
      <c r="Z107" s="4">
        <f>VLOOKUP(A107,[3]Sheet1!$A:$M,13,0)</f>
        <v>1000</v>
      </c>
      <c r="AA107" s="4">
        <f t="shared" si="32"/>
        <v>81000</v>
      </c>
      <c r="AB107" s="7">
        <f t="shared" si="19"/>
        <v>6750</v>
      </c>
      <c r="AC107" s="15">
        <f t="shared" si="33"/>
        <v>6750</v>
      </c>
      <c r="AD107" s="16">
        <f t="shared" si="34"/>
        <v>2427570</v>
      </c>
      <c r="AE107" s="16">
        <f t="shared" si="35"/>
        <v>202297.5</v>
      </c>
      <c r="AF107" s="16">
        <v>8.1199999999999992</v>
      </c>
      <c r="AG107" s="16">
        <v>29.97</v>
      </c>
      <c r="AH107" s="8">
        <f t="shared" si="36"/>
        <v>0.19120000000000004</v>
      </c>
      <c r="AI107" s="8">
        <f t="shared" si="37"/>
        <v>0.66920000000000002</v>
      </c>
      <c r="AJ107" s="10">
        <v>0.5</v>
      </c>
      <c r="AK107" s="10">
        <v>0.5</v>
      </c>
      <c r="AL107" s="16">
        <v>8.1199999999999992</v>
      </c>
      <c r="AM107" s="9">
        <f t="shared" si="24"/>
        <v>4.4954999999999998</v>
      </c>
      <c r="AN107" s="9">
        <f t="shared" si="25"/>
        <v>0.8990999999999999</v>
      </c>
      <c r="AO107" s="9">
        <f t="shared" si="26"/>
        <v>5.9939999999999998</v>
      </c>
      <c r="AP107" s="9">
        <f t="shared" si="27"/>
        <v>0.59940000000000004</v>
      </c>
      <c r="AQ107" s="9">
        <f t="shared" si="28"/>
        <v>5.9939999999999998</v>
      </c>
      <c r="AR107" s="9">
        <f t="shared" si="29"/>
        <v>7.4924999999999997</v>
      </c>
      <c r="AS107" s="11">
        <f t="shared" si="30"/>
        <v>1.9120000000000001</v>
      </c>
      <c r="AT107" s="12">
        <f t="shared" si="31"/>
        <v>0.91300000000000026</v>
      </c>
    </row>
    <row r="108" spans="1:46" ht="16.5" x14ac:dyDescent="0.4">
      <c r="A108" s="4" t="s">
        <v>532</v>
      </c>
      <c r="B108" s="4" t="s">
        <v>513</v>
      </c>
      <c r="C108" s="7" t="s">
        <v>1784</v>
      </c>
      <c r="D108" s="4" t="s">
        <v>533</v>
      </c>
      <c r="E108" s="4" t="s">
        <v>534</v>
      </c>
      <c r="F108" s="4" t="s">
        <v>535</v>
      </c>
      <c r="G108" s="7" t="str">
        <f>VLOOKUP(A108,[1]done!$A:$I,9,0)</f>
        <v>Lawn Fertilizer</v>
      </c>
      <c r="H108" s="7" t="str" cm="1">
        <f t="array" ref="H108">_xlfn.IFS(
OR(ISNUMBER(SEARCH("mouse",E108)),ISNUMBER(SEARCH("rat",E108)),ISNUMBER(SEARCH("mice",E108)),ISNUMBER(SEARCH("rodent",E108))),"Rodent Control",
OR(ISNUMBER(SEARCH("fly",E108)),ISNUMBER(SEARCH("gnat",E108)),ISNUMBER(SEARCH("insect",E108)),ISNUMBER(SEARCH("mosquito",E108))),"Flying Insect Control",
OR(ISNUMBER(SEARCH("roach",E108)),ISNUMBER(SEARCH("ant",E108)),ISNUMBER(SEARCH("spider",E108)),ISNUMBER(SEARCH("cricket",E108)),ISNUMBER(SEARCH("scorpion",E108)),ISNUMBER(SEARCH("centipede",E108)),ISNUMBER(SEARCH("beetle",E108))),"Crawling Insect Control",
OR(ISNUMBER(SEARCH("tree",E108)),ISNUMBER(SEARCH("lantern",E108)),ISNUMBER(SEARCH("garden",E108)),ISNUMBER(SEARCH("plant",E108))),"Garden Pest Control",
OR(ISNUMBER(SEARCH("grass seed",E108)),ISNUMBER(SEARCH("seed mix",E108))),"Grass Seed",
OR(ISNUMBER(SEARCH("lawn food",E108)),ISNUMBER(SEARCH("fertilizer",E108))),"Lawn Fertilizer",
OR(ISNUMBER(SEARCH("patch",E108)),ISNUMBER(SEARCH("repair",E108)),ISNUMBER(SEARCH("thick'r",E108)),ISNUMBER(SEARCH("thick'r lawn",E108)),ISNUMBER(SEARCH("rapid grass",E108))),"Lawn Repair",
OR(ISNUMBER(SEARCH("weed",E108)),ISNUMBER(SEARCH("crabgrass",E108))),"Weed Control",
OR(ISNUMBER(SEARCH("fungicide",E108)),ISNUMBER(SEARCH("moss",E108))),"Disease &amp; Moss Control",
OR(ISNUMBER(SEARCH("plant food",E108)),ISNUMBER(SEARCH("miracid",E108))),"Plant Nutrition",
OR(ISNUMBER(SEARCH("perlite",E108))),"Soil Amendment",
OR(ISNUMBER(SEARCH("spreader",E108)),ISNUMBER(SEARCH("sprayer",E108)),ISNUMBER(SEARCH("mower",E108)),ISNUMBER(SEARCH("sweeper",E108)),ISNUMBER(SEARCH("pruner",E108)),ISNUMBER(SEARCH("trimmer",E108)),ISNUMBER(SEARCH("pole saw",E108))),"Garden Equipment",
TRUE,"Other"
)</f>
        <v>Lawn Fertilizer</v>
      </c>
      <c r="I108" s="7" t="str" cm="1">
        <f t="array" ref="I108">_xlfn.IFS(
OR(ISNUMBER(SEARCH("glue trap",E108)),ISNUMBER(SEARCH("glue board",E108))),"Glue Traps",
OR(ISNUMBER(SEARCH("snap trap",E108)),ISNUMBER(SEARCH("power-kill",E108)),ISNUMBER(SEARCH("wide pedal",E108)),ISNUMBER(SEARCH("metal pedal",E108))),"Snap Traps",
OR(ISNUMBER(SEARCH("electronic",E108)),ISNUMBER(SEARCH("zapper",E108))),"Electronic Traps",
OR(ISNUMBER(SEARCH("live catch",E108)),ISNUMBER(SEARCH("multi-catch",E108)),ISNUMBER(SEARCH("catch &amp; hold",E108)),ISNUMBER(SEARCH("tin cat",E108))),"Live Catch Traps",
OR(ISNUMBER(SEARCH("bait",E108)),ISNUMBER(SEARCH("poison",E108))),"Bait &amp; Poison",
ISNUMBER(SEARCH("repellent",E108)),"Repellents",
OR(ISNUMBER(SEARCH("fly trap",E108)),ISNUMBER(SEARCH("fly ribbon",E108)),ISNUMBER(SEARCH("fly stick",E108)),ISNUMBER(SEARCH("window fly",E108)),ISNUMBER(SEARCH("fly magnet",E108))),"Fly Traps",
OR(ISNUMBER(SEARCH("uv",E108)),ISNUMBER(SEARCH("fly light",E108)),ISNUMBER(SEARCH("plug-in",E108))),"UV Fly Traps",
ISNUMBER(SEARCH("roach",E108)),"Roach Traps",
ISNUMBER(SEARCH("ant",E108)),"Ant Traps",
ISNUMBER(SEARCH("spider",E108)),"Spider Traps",
ISNUMBER(SEARCH("mosquito",E108)),"Mosquito Traps",
ISNUMBER(SEARCH("beetle",E108)),"Beetle Traps",
ISNUMBER(SEARCH("lantern",E108)),"Lanternfly Control",
OR(ISNUMBER(SEARCH("tree shield",E108)),ISNUMBER(SEARCH("tree banding",E108)),ISNUMBER(SEARCH("insect barrier",E108))),"Tree Barriers",
OR(ISNUMBER(SEARCH("sun &amp; shade",E108)),ISNUMBER(SEARCH("sun and shade",E108))),"Sun &amp; Shade Mix",
ISNUMBER(SEARCH("tall fescue",E108)),"Tall Fescue",
ISNUMBER(SEARCH("bermudagrass",E108)),"Bermudagrass",
ISNUMBER(SEARCH("kentucky",E108)),"Kentucky Bluegrass",
ISNUMBER(SEARCH("zoysia",E108)),"Zoysia",
ISNUMBER(SEARCH("ryegrass",E108)),"Perennial Ryegrass",
ISNUMBER(SEARCH("centipede",E108)),"Centipede Grass",
ISNUMBER(SEARCH("dense shade",E108)),"Dense Shade Mix",
ISNUMBER(SEARCH("southern gold",E108)),"Southern Gold Mix",
ISNUMBER(SEARCH("heat-tolerant blue",E108)),"Heat-Tolerant Blue Mix",
ISNUMBER(SEARCH("high traffic",E108)),"High Traffic Mix",
ISNUMBER(SEARCH("quick fix",E108)),"Quick Fix Mix",
ISNUMBER(SEARCH("starter",E108)),"Starter Fertilizer",
ISNUMBER(SEARCH("weed &amp; feed",E108)),"Weed &amp; Feed",
ISNUMBER(SEARCH("lawn food",E108)),"Lawn Food",
ISNUMBER(SEARCH("triple action",E108)),"Triple Action Fertilizer",
ISNUMBER(SEARCH("green max",E108)),"Green Max Lawn Food",
ISNUMBER(SEARCH("patchmaster",E108)),"PatchMaster Repair",
ISNUMBER(SEARCH("ez seed",E108)),"EZ Seed Repair",
ISNUMBER(SEARCH("rapid grass",E108)),"Rapid Grass",
ISNUMBER(SEARCH("thick'r lawn",E108)),"Thick'R Lawn",
ISNUMBER(SEARCH("fungicide",E108)),"Fungicide",
ISNUMBER(SEARCH("moss",E108)),"Moss Control",
ISNUMBER(SEARCH("perlite",E108)),"Perlite",
ISNUMBER(SEARCH("plant food",E108)),"Plant Food",
ISNUMBER(SEARCH("spreader",E108)),"Spreader",
ISNUMBER(SEARCH("sprayer",E108)),"Sprayer",
ISNUMBER(SEARCH("mower",E108)),"Lawn Mower",
ISNUMBER(SEARCH("sweeper",E108)),"Lawn Sweeper",
OR(ISNUMBER(SEARCH("pruner",E108)),ISNUMBER(SEARCH("trimmer",E108)),ISNUMBER(SEARCH("pole saw",E108))),"Pruning Tools",
TRUE,"Other"
)</f>
        <v>Lawn Food</v>
      </c>
      <c r="J108" s="7" t="str">
        <f t="shared" si="18"/>
        <v>Lawn Fertilizer - Lawn Food</v>
      </c>
      <c r="K108" s="4">
        <v>5000</v>
      </c>
      <c r="L108" s="4">
        <v>4.5999999999999996</v>
      </c>
      <c r="M108" s="4">
        <v>13859</v>
      </c>
      <c r="N108" s="4" t="s">
        <v>536</v>
      </c>
      <c r="O108" s="4">
        <f>VLOOKUP(A108,[3]Sheet1!$A:$B,2,0)</f>
        <v>1000</v>
      </c>
      <c r="P108" s="4">
        <f>VLOOKUP(A108,[3]Sheet1!$A:$C,3,0)</f>
        <v>400</v>
      </c>
      <c r="Q108" s="4">
        <f>VLOOKUP(A108,[3]Sheet1!$A:$D,4,0)</f>
        <v>400</v>
      </c>
      <c r="R108" s="4">
        <f>VLOOKUP(A108,[3]Sheet1!$A:$E,5,0)</f>
        <v>400</v>
      </c>
      <c r="S108" s="4">
        <f>VLOOKUP(A108,[3]Sheet1!$A:$F,6,0)</f>
        <v>200</v>
      </c>
      <c r="T108" s="4">
        <f>VLOOKUP(A108,[3]Sheet1!$A:$G,7,0)</f>
        <v>200</v>
      </c>
      <c r="U108" s="4">
        <f>VLOOKUP(A108,[3]Sheet1!$A:$I,8,0)</f>
        <v>200</v>
      </c>
      <c r="V108" s="4">
        <f>VLOOKUP(A108,[3]Sheet1!$A:$J,9,0)</f>
        <v>400</v>
      </c>
      <c r="W108" s="4">
        <f>VLOOKUP(A108,[3]Sheet1!$A:$J,10,0)</f>
        <v>1000</v>
      </c>
      <c r="X108" s="4">
        <f>VLOOKUP(A108,[3]Sheet1!$A:$K,11,0)</f>
        <v>9000</v>
      </c>
      <c r="Y108" s="4">
        <f>VLOOKUP(A108,[3]Sheet1!$A:$L,12,0)</f>
        <v>4000</v>
      </c>
      <c r="Z108" s="4">
        <f>VLOOKUP(A108,[3]Sheet1!$A:$M,13,0)</f>
        <v>4000</v>
      </c>
      <c r="AA108" s="4">
        <f t="shared" si="32"/>
        <v>21200</v>
      </c>
      <c r="AB108" s="7">
        <f t="shared" si="19"/>
        <v>1767</v>
      </c>
      <c r="AC108" s="15">
        <f t="shared" si="33"/>
        <v>1766.6666666666667</v>
      </c>
      <c r="AD108" s="16">
        <f t="shared" si="34"/>
        <v>572188</v>
      </c>
      <c r="AE108" s="16">
        <f t="shared" si="35"/>
        <v>47682.333333333336</v>
      </c>
      <c r="AF108" s="16">
        <v>9.6199999999999992</v>
      </c>
      <c r="AG108" s="16">
        <v>26.99</v>
      </c>
      <c r="AH108" s="8">
        <f t="shared" si="36"/>
        <v>1.1733333333333346E-2</v>
      </c>
      <c r="AI108" s="8">
        <f t="shared" si="37"/>
        <v>4.1066666666666703E-2</v>
      </c>
      <c r="AJ108" s="10">
        <v>0.5</v>
      </c>
      <c r="AK108" s="10">
        <v>0.5</v>
      </c>
      <c r="AL108" s="16">
        <v>9.6199999999999992</v>
      </c>
      <c r="AM108" s="9">
        <f t="shared" si="24"/>
        <v>4.0484999999999998</v>
      </c>
      <c r="AN108" s="9">
        <f t="shared" si="25"/>
        <v>0.80969999999999998</v>
      </c>
      <c r="AO108" s="9">
        <f t="shared" si="26"/>
        <v>5.3979999999999997</v>
      </c>
      <c r="AP108" s="9">
        <f t="shared" si="27"/>
        <v>0.53979999999999995</v>
      </c>
      <c r="AQ108" s="9">
        <f t="shared" si="28"/>
        <v>5.3979999999999997</v>
      </c>
      <c r="AR108" s="9">
        <f t="shared" si="29"/>
        <v>6.7474999999999996</v>
      </c>
      <c r="AS108" s="11">
        <f t="shared" si="30"/>
        <v>0.11733333333333344</v>
      </c>
      <c r="AT108" s="12">
        <f t="shared" si="31"/>
        <v>-0.78233333333333321</v>
      </c>
    </row>
    <row r="109" spans="1:46" ht="16.5" x14ac:dyDescent="0.4">
      <c r="A109" s="4" t="s">
        <v>537</v>
      </c>
      <c r="B109" s="4" t="s">
        <v>513</v>
      </c>
      <c r="C109" s="7" t="s">
        <v>1784</v>
      </c>
      <c r="D109" s="4" t="s">
        <v>533</v>
      </c>
      <c r="E109" s="4" t="s">
        <v>538</v>
      </c>
      <c r="F109" s="4" t="s">
        <v>539</v>
      </c>
      <c r="G109" s="7" t="str">
        <f>VLOOKUP(A109,[1]done!$A:$I,9,0)</f>
        <v>Lawn Fertilizer</v>
      </c>
      <c r="H109" s="7" t="str" cm="1">
        <f t="array" ref="H109">_xlfn.IFS(
OR(ISNUMBER(SEARCH("mouse",E109)),ISNUMBER(SEARCH("rat",E109)),ISNUMBER(SEARCH("mice",E109)),ISNUMBER(SEARCH("rodent",E109))),"Rodent Control",
OR(ISNUMBER(SEARCH("fly",E109)),ISNUMBER(SEARCH("gnat",E109)),ISNUMBER(SEARCH("insect",E109)),ISNUMBER(SEARCH("mosquito",E109))),"Flying Insect Control",
OR(ISNUMBER(SEARCH("roach",E109)),ISNUMBER(SEARCH("ant",E109)),ISNUMBER(SEARCH("spider",E109)),ISNUMBER(SEARCH("cricket",E109)),ISNUMBER(SEARCH("scorpion",E109)),ISNUMBER(SEARCH("centipede",E109)),ISNUMBER(SEARCH("beetle",E109))),"Crawling Insect Control",
OR(ISNUMBER(SEARCH("tree",E109)),ISNUMBER(SEARCH("lantern",E109)),ISNUMBER(SEARCH("garden",E109)),ISNUMBER(SEARCH("plant",E109))),"Garden Pest Control",
OR(ISNUMBER(SEARCH("grass seed",E109)),ISNUMBER(SEARCH("seed mix",E109))),"Grass Seed",
OR(ISNUMBER(SEARCH("lawn food",E109)),ISNUMBER(SEARCH("fertilizer",E109))),"Lawn Fertilizer",
OR(ISNUMBER(SEARCH("patch",E109)),ISNUMBER(SEARCH("repair",E109)),ISNUMBER(SEARCH("thick'r",E109)),ISNUMBER(SEARCH("thick'r lawn",E109)),ISNUMBER(SEARCH("rapid grass",E109))),"Lawn Repair",
OR(ISNUMBER(SEARCH("weed",E109)),ISNUMBER(SEARCH("crabgrass",E109))),"Weed Control",
OR(ISNUMBER(SEARCH("fungicide",E109)),ISNUMBER(SEARCH("moss",E109))),"Disease &amp; Moss Control",
OR(ISNUMBER(SEARCH("plant food",E109)),ISNUMBER(SEARCH("miracid",E109))),"Plant Nutrition",
OR(ISNUMBER(SEARCH("perlite",E109))),"Soil Amendment",
OR(ISNUMBER(SEARCH("spreader",E109)),ISNUMBER(SEARCH("sprayer",E109)),ISNUMBER(SEARCH("mower",E109)),ISNUMBER(SEARCH("sweeper",E109)),ISNUMBER(SEARCH("pruner",E109)),ISNUMBER(SEARCH("trimmer",E109)),ISNUMBER(SEARCH("pole saw",E109))),"Garden Equipment",
TRUE,"Other"
)</f>
        <v>Lawn Fertilizer</v>
      </c>
      <c r="I109" s="7" t="str" cm="1">
        <f t="array" ref="I109">_xlfn.IFS(
OR(ISNUMBER(SEARCH("glue trap",E109)),ISNUMBER(SEARCH("glue board",E109))),"Glue Traps",
OR(ISNUMBER(SEARCH("snap trap",E109)),ISNUMBER(SEARCH("power-kill",E109)),ISNUMBER(SEARCH("wide pedal",E109)),ISNUMBER(SEARCH("metal pedal",E109))),"Snap Traps",
OR(ISNUMBER(SEARCH("electronic",E109)),ISNUMBER(SEARCH("zapper",E109))),"Electronic Traps",
OR(ISNUMBER(SEARCH("live catch",E109)),ISNUMBER(SEARCH("multi-catch",E109)),ISNUMBER(SEARCH("catch &amp; hold",E109)),ISNUMBER(SEARCH("tin cat",E109))),"Live Catch Traps",
OR(ISNUMBER(SEARCH("bait",E109)),ISNUMBER(SEARCH("poison",E109))),"Bait &amp; Poison",
ISNUMBER(SEARCH("repellent",E109)),"Repellents",
OR(ISNUMBER(SEARCH("fly trap",E109)),ISNUMBER(SEARCH("fly ribbon",E109)),ISNUMBER(SEARCH("fly stick",E109)),ISNUMBER(SEARCH("window fly",E109)),ISNUMBER(SEARCH("fly magnet",E109))),"Fly Traps",
OR(ISNUMBER(SEARCH("uv",E109)),ISNUMBER(SEARCH("fly light",E109)),ISNUMBER(SEARCH("plug-in",E109))),"UV Fly Traps",
ISNUMBER(SEARCH("roach",E109)),"Roach Traps",
ISNUMBER(SEARCH("ant",E109)),"Ant Traps",
ISNUMBER(SEARCH("spider",E109)),"Spider Traps",
ISNUMBER(SEARCH("mosquito",E109)),"Mosquito Traps",
ISNUMBER(SEARCH("beetle",E109)),"Beetle Traps",
ISNUMBER(SEARCH("lantern",E109)),"Lanternfly Control",
OR(ISNUMBER(SEARCH("tree shield",E109)),ISNUMBER(SEARCH("tree banding",E109)),ISNUMBER(SEARCH("insect barrier",E109))),"Tree Barriers",
OR(ISNUMBER(SEARCH("sun &amp; shade",E109)),ISNUMBER(SEARCH("sun and shade",E109))),"Sun &amp; Shade Mix",
ISNUMBER(SEARCH("tall fescue",E109)),"Tall Fescue",
ISNUMBER(SEARCH("bermudagrass",E109)),"Bermudagrass",
ISNUMBER(SEARCH("kentucky",E109)),"Kentucky Bluegrass",
ISNUMBER(SEARCH("zoysia",E109)),"Zoysia",
ISNUMBER(SEARCH("ryegrass",E109)),"Perennial Ryegrass",
ISNUMBER(SEARCH("centipede",E109)),"Centipede Grass",
ISNUMBER(SEARCH("dense shade",E109)),"Dense Shade Mix",
ISNUMBER(SEARCH("southern gold",E109)),"Southern Gold Mix",
ISNUMBER(SEARCH("heat-tolerant blue",E109)),"Heat-Tolerant Blue Mix",
ISNUMBER(SEARCH("high traffic",E109)),"High Traffic Mix",
ISNUMBER(SEARCH("quick fix",E109)),"Quick Fix Mix",
ISNUMBER(SEARCH("starter",E109)),"Starter Fertilizer",
ISNUMBER(SEARCH("weed &amp; feed",E109)),"Weed &amp; Feed",
ISNUMBER(SEARCH("lawn food",E109)),"Lawn Food",
ISNUMBER(SEARCH("triple action",E109)),"Triple Action Fertilizer",
ISNUMBER(SEARCH("green max",E109)),"Green Max Lawn Food",
ISNUMBER(SEARCH("patchmaster",E109)),"PatchMaster Repair",
ISNUMBER(SEARCH("ez seed",E109)),"EZ Seed Repair",
ISNUMBER(SEARCH("rapid grass",E109)),"Rapid Grass",
ISNUMBER(SEARCH("thick'r lawn",E109)),"Thick'R Lawn",
ISNUMBER(SEARCH("fungicide",E109)),"Fungicide",
ISNUMBER(SEARCH("moss",E109)),"Moss Control",
ISNUMBER(SEARCH("perlite",E109)),"Perlite",
ISNUMBER(SEARCH("plant food",E109)),"Plant Food",
ISNUMBER(SEARCH("spreader",E109)),"Spreader",
ISNUMBER(SEARCH("sprayer",E109)),"Sprayer",
ISNUMBER(SEARCH("mower",E109)),"Lawn Mower",
ISNUMBER(SEARCH("sweeper",E109)),"Lawn Sweeper",
OR(ISNUMBER(SEARCH("pruner",E109)),ISNUMBER(SEARCH("trimmer",E109)),ISNUMBER(SEARCH("pole saw",E109))),"Pruning Tools",
TRUE,"Other"
)</f>
        <v>Lawn Food</v>
      </c>
      <c r="J109" s="7" t="str">
        <f t="shared" si="18"/>
        <v>Lawn Fertilizer - Lawn Food</v>
      </c>
      <c r="K109" s="4">
        <v>5000</v>
      </c>
      <c r="L109" s="4">
        <v>4.5999999999999996</v>
      </c>
      <c r="M109" s="4">
        <v>13859</v>
      </c>
      <c r="N109" s="4" t="s">
        <v>540</v>
      </c>
      <c r="O109" s="4">
        <f>VLOOKUP(A109,[3]Sheet1!$A:$B,2,0)</f>
        <v>200</v>
      </c>
      <c r="P109" s="4">
        <f>VLOOKUP(A109,[3]Sheet1!$A:$C,3,0)</f>
        <v>0</v>
      </c>
      <c r="Q109" s="4">
        <f>VLOOKUP(A109,[3]Sheet1!$A:$D,4,0)</f>
        <v>200</v>
      </c>
      <c r="R109" s="4">
        <f>VLOOKUP(A109,[3]Sheet1!$A:$E,5,0)</f>
        <v>0</v>
      </c>
      <c r="S109" s="4">
        <f>VLOOKUP(A109,[3]Sheet1!$A:$F,6,0)</f>
        <v>0</v>
      </c>
      <c r="T109" s="4">
        <f>VLOOKUP(A109,[3]Sheet1!$A:$G,7,0)</f>
        <v>0</v>
      </c>
      <c r="U109" s="4">
        <f>VLOOKUP(A109,[3]Sheet1!$A:$I,8,0)</f>
        <v>200</v>
      </c>
      <c r="V109" s="4">
        <f>VLOOKUP(A109,[3]Sheet1!$A:$J,9,0)</f>
        <v>200</v>
      </c>
      <c r="W109" s="4">
        <f>VLOOKUP(A109,[3]Sheet1!$A:$J,10,0)</f>
        <v>1000</v>
      </c>
      <c r="X109" s="4">
        <f>VLOOKUP(A109,[3]Sheet1!$A:$K,11,0)</f>
        <v>6000</v>
      </c>
      <c r="Y109" s="4">
        <f>VLOOKUP(A109,[3]Sheet1!$A:$L,12,0)</f>
        <v>3000</v>
      </c>
      <c r="Z109" s="4">
        <f>VLOOKUP(A109,[3]Sheet1!$A:$M,13,0)</f>
        <v>600</v>
      </c>
      <c r="AA109" s="4">
        <f t="shared" si="32"/>
        <v>11400</v>
      </c>
      <c r="AB109" s="7">
        <f t="shared" si="19"/>
        <v>950</v>
      </c>
      <c r="AC109" s="15">
        <f t="shared" si="33"/>
        <v>950</v>
      </c>
      <c r="AD109" s="16">
        <f t="shared" si="34"/>
        <v>535572</v>
      </c>
      <c r="AE109" s="16">
        <f t="shared" si="35"/>
        <v>44631</v>
      </c>
      <c r="AF109" s="16">
        <v>21.29</v>
      </c>
      <c r="AG109" s="16">
        <v>46.98</v>
      </c>
      <c r="AH109" s="8">
        <f t="shared" si="36"/>
        <v>-0.23319999999999996</v>
      </c>
      <c r="AI109" s="8">
        <f t="shared" si="37"/>
        <v>-0.8161999999999997</v>
      </c>
      <c r="AJ109" s="10">
        <v>0.5</v>
      </c>
      <c r="AK109" s="10">
        <v>0.5</v>
      </c>
      <c r="AL109" s="16">
        <v>21.29</v>
      </c>
      <c r="AM109" s="9">
        <f t="shared" si="24"/>
        <v>7.0469999999999997</v>
      </c>
      <c r="AN109" s="9">
        <f t="shared" si="25"/>
        <v>1.4093999999999998</v>
      </c>
      <c r="AO109" s="9">
        <f t="shared" si="26"/>
        <v>9.395999999999999</v>
      </c>
      <c r="AP109" s="9">
        <f t="shared" si="27"/>
        <v>0.93959999999999999</v>
      </c>
      <c r="AQ109" s="9">
        <f t="shared" si="28"/>
        <v>9.395999999999999</v>
      </c>
      <c r="AR109" s="9">
        <f t="shared" si="29"/>
        <v>11.744999999999999</v>
      </c>
      <c r="AS109" s="11">
        <f t="shared" si="30"/>
        <v>-2.3319999999999994</v>
      </c>
      <c r="AT109" s="12">
        <f t="shared" si="31"/>
        <v>-3.8979999999999997</v>
      </c>
    </row>
    <row r="110" spans="1:46" ht="16.5" x14ac:dyDescent="0.4">
      <c r="A110" s="4" t="s">
        <v>541</v>
      </c>
      <c r="B110" s="4" t="s">
        <v>513</v>
      </c>
      <c r="C110" s="7" t="s">
        <v>1784</v>
      </c>
      <c r="D110" s="4" t="s">
        <v>542</v>
      </c>
      <c r="E110" s="4" t="s">
        <v>543</v>
      </c>
      <c r="F110" s="4" t="s">
        <v>544</v>
      </c>
      <c r="G110" s="7" t="str">
        <f>VLOOKUP(A110,[1]done!$A:$I,9,0)</f>
        <v>Lawn Fertilizer</v>
      </c>
      <c r="H110" s="7" t="str" cm="1">
        <f t="array" ref="H110">_xlfn.IFS(
OR(ISNUMBER(SEARCH("mouse",E110)),ISNUMBER(SEARCH("rat",E110)),ISNUMBER(SEARCH("mice",E110)),ISNUMBER(SEARCH("rodent",E110))),"Rodent Control",
OR(ISNUMBER(SEARCH("fly",E110)),ISNUMBER(SEARCH("gnat",E110)),ISNUMBER(SEARCH("insect",E110)),ISNUMBER(SEARCH("mosquito",E110))),"Flying Insect Control",
OR(ISNUMBER(SEARCH("roach",E110)),ISNUMBER(SEARCH("ant",E110)),ISNUMBER(SEARCH("spider",E110)),ISNUMBER(SEARCH("cricket",E110)),ISNUMBER(SEARCH("scorpion",E110)),ISNUMBER(SEARCH("centipede",E110)),ISNUMBER(SEARCH("beetle",E110))),"Crawling Insect Control",
OR(ISNUMBER(SEARCH("tree",E110)),ISNUMBER(SEARCH("lantern",E110)),ISNUMBER(SEARCH("garden",E110)),ISNUMBER(SEARCH("plant",E110))),"Garden Pest Control",
OR(ISNUMBER(SEARCH("grass seed",E110)),ISNUMBER(SEARCH("seed mix",E110))),"Grass Seed",
OR(ISNUMBER(SEARCH("lawn food",E110)),ISNUMBER(SEARCH("fertilizer",E110))),"Lawn Fertilizer",
OR(ISNUMBER(SEARCH("patch",E110)),ISNUMBER(SEARCH("repair",E110)),ISNUMBER(SEARCH("thick'r",E110)),ISNUMBER(SEARCH("thick'r lawn",E110)),ISNUMBER(SEARCH("rapid grass",E110))),"Lawn Repair",
OR(ISNUMBER(SEARCH("weed",E110)),ISNUMBER(SEARCH("crabgrass",E110))),"Weed Control",
OR(ISNUMBER(SEARCH("fungicide",E110)),ISNUMBER(SEARCH("moss",E110))),"Disease &amp; Moss Control",
OR(ISNUMBER(SEARCH("plant food",E110)),ISNUMBER(SEARCH("miracid",E110))),"Plant Nutrition",
OR(ISNUMBER(SEARCH("perlite",E110))),"Soil Amendment",
OR(ISNUMBER(SEARCH("spreader",E110)),ISNUMBER(SEARCH("sprayer",E110)),ISNUMBER(SEARCH("mower",E110)),ISNUMBER(SEARCH("sweeper",E110)),ISNUMBER(SEARCH("pruner",E110)),ISNUMBER(SEARCH("trimmer",E110)),ISNUMBER(SEARCH("pole saw",E110))),"Garden Equipment",
TRUE,"Other"
)</f>
        <v>Lawn Fertilizer</v>
      </c>
      <c r="I110" s="7" t="str" cm="1">
        <f t="array" ref="I110">_xlfn.IFS(
OR(ISNUMBER(SEARCH("glue trap",E110)),ISNUMBER(SEARCH("glue board",E110))),"Glue Traps",
OR(ISNUMBER(SEARCH("snap trap",E110)),ISNUMBER(SEARCH("power-kill",E110)),ISNUMBER(SEARCH("wide pedal",E110)),ISNUMBER(SEARCH("metal pedal",E110))),"Snap Traps",
OR(ISNUMBER(SEARCH("electronic",E110)),ISNUMBER(SEARCH("zapper",E110))),"Electronic Traps",
OR(ISNUMBER(SEARCH("live catch",E110)),ISNUMBER(SEARCH("multi-catch",E110)),ISNUMBER(SEARCH("catch &amp; hold",E110)),ISNUMBER(SEARCH("tin cat",E110))),"Live Catch Traps",
OR(ISNUMBER(SEARCH("bait",E110)),ISNUMBER(SEARCH("poison",E110))),"Bait &amp; Poison",
ISNUMBER(SEARCH("repellent",E110)),"Repellents",
OR(ISNUMBER(SEARCH("fly trap",E110)),ISNUMBER(SEARCH("fly ribbon",E110)),ISNUMBER(SEARCH("fly stick",E110)),ISNUMBER(SEARCH("window fly",E110)),ISNUMBER(SEARCH("fly magnet",E110))),"Fly Traps",
OR(ISNUMBER(SEARCH("uv",E110)),ISNUMBER(SEARCH("fly light",E110)),ISNUMBER(SEARCH("plug-in",E110))),"UV Fly Traps",
ISNUMBER(SEARCH("roach",E110)),"Roach Traps",
ISNUMBER(SEARCH("ant",E110)),"Ant Traps",
ISNUMBER(SEARCH("spider",E110)),"Spider Traps",
ISNUMBER(SEARCH("mosquito",E110)),"Mosquito Traps",
ISNUMBER(SEARCH("beetle",E110)),"Beetle Traps",
ISNUMBER(SEARCH("lantern",E110)),"Lanternfly Control",
OR(ISNUMBER(SEARCH("tree shield",E110)),ISNUMBER(SEARCH("tree banding",E110)),ISNUMBER(SEARCH("insect barrier",E110))),"Tree Barriers",
OR(ISNUMBER(SEARCH("sun &amp; shade",E110)),ISNUMBER(SEARCH("sun and shade",E110))),"Sun &amp; Shade Mix",
ISNUMBER(SEARCH("tall fescue",E110)),"Tall Fescue",
ISNUMBER(SEARCH("bermudagrass",E110)),"Bermudagrass",
ISNUMBER(SEARCH("kentucky",E110)),"Kentucky Bluegrass",
ISNUMBER(SEARCH("zoysia",E110)),"Zoysia",
ISNUMBER(SEARCH("ryegrass",E110)),"Perennial Ryegrass",
ISNUMBER(SEARCH("centipede",E110)),"Centipede Grass",
ISNUMBER(SEARCH("dense shade",E110)),"Dense Shade Mix",
ISNUMBER(SEARCH("southern gold",E110)),"Southern Gold Mix",
ISNUMBER(SEARCH("heat-tolerant blue",E110)),"Heat-Tolerant Blue Mix",
ISNUMBER(SEARCH("high traffic",E110)),"High Traffic Mix",
ISNUMBER(SEARCH("quick fix",E110)),"Quick Fix Mix",
ISNUMBER(SEARCH("starter",E110)),"Starter Fertilizer",
ISNUMBER(SEARCH("weed &amp; feed",E110)),"Weed &amp; Feed",
ISNUMBER(SEARCH("lawn food",E110)),"Lawn Food",
ISNUMBER(SEARCH("triple action",E110)),"Triple Action Fertilizer",
ISNUMBER(SEARCH("green max",E110)),"Green Max Lawn Food",
ISNUMBER(SEARCH("patchmaster",E110)),"PatchMaster Repair",
ISNUMBER(SEARCH("ez seed",E110)),"EZ Seed Repair",
ISNUMBER(SEARCH("rapid grass",E110)),"Rapid Grass",
ISNUMBER(SEARCH("thick'r lawn",E110)),"Thick'R Lawn",
ISNUMBER(SEARCH("fungicide",E110)),"Fungicide",
ISNUMBER(SEARCH("moss",E110)),"Moss Control",
ISNUMBER(SEARCH("perlite",E110)),"Perlite",
ISNUMBER(SEARCH("plant food",E110)),"Plant Food",
ISNUMBER(SEARCH("spreader",E110)),"Spreader",
ISNUMBER(SEARCH("sprayer",E110)),"Sprayer",
ISNUMBER(SEARCH("mower",E110)),"Lawn Mower",
ISNUMBER(SEARCH("sweeper",E110)),"Lawn Sweeper",
OR(ISNUMBER(SEARCH("pruner",E110)),ISNUMBER(SEARCH("trimmer",E110)),ISNUMBER(SEARCH("pole saw",E110))),"Pruning Tools",
TRUE,"Other"
)</f>
        <v>Starter Fertilizer</v>
      </c>
      <c r="J110" s="7" t="str">
        <f t="shared" si="18"/>
        <v>Lawn Fertilizer - Starter Fertilizer</v>
      </c>
      <c r="K110" s="4">
        <v>5000</v>
      </c>
      <c r="L110" s="4">
        <v>4.5</v>
      </c>
      <c r="M110" s="4">
        <v>11141</v>
      </c>
      <c r="N110" s="4" t="s">
        <v>526</v>
      </c>
      <c r="O110" s="4">
        <f>VLOOKUP(A110,[3]Sheet1!$A:$B,2,0)</f>
        <v>250</v>
      </c>
      <c r="P110" s="4">
        <f>VLOOKUP(A110,[3]Sheet1!$A:$C,3,0)</f>
        <v>500</v>
      </c>
      <c r="Q110" s="4">
        <f>VLOOKUP(A110,[3]Sheet1!$A:$D,4,0)</f>
        <v>1000</v>
      </c>
      <c r="R110" s="4">
        <f>VLOOKUP(A110,[3]Sheet1!$A:$E,5,0)</f>
        <v>9000</v>
      </c>
      <c r="S110" s="4">
        <f>VLOOKUP(A110,[3]Sheet1!$A:$F,6,0)</f>
        <v>6000</v>
      </c>
      <c r="T110" s="4">
        <f>VLOOKUP(A110,[3]Sheet1!$A:$G,7,0)</f>
        <v>3000</v>
      </c>
      <c r="U110" s="4">
        <f>VLOOKUP(A110,[3]Sheet1!$A:$I,8,0)</f>
        <v>1000</v>
      </c>
      <c r="V110" s="4">
        <f>VLOOKUP(A110,[3]Sheet1!$A:$J,9,0)</f>
        <v>1000</v>
      </c>
      <c r="W110" s="4">
        <f>VLOOKUP(A110,[3]Sheet1!$A:$J,10,0)</f>
        <v>4000</v>
      </c>
      <c r="X110" s="4">
        <f>VLOOKUP(A110,[3]Sheet1!$A:$K,11,0)</f>
        <v>5000</v>
      </c>
      <c r="Y110" s="4">
        <f>VLOOKUP(A110,[3]Sheet1!$A:$L,12,0)</f>
        <v>1000</v>
      </c>
      <c r="Z110" s="4">
        <f>VLOOKUP(A110,[3]Sheet1!$A:$M,13,0)</f>
        <v>250</v>
      </c>
      <c r="AA110" s="4">
        <f t="shared" si="32"/>
        <v>32000</v>
      </c>
      <c r="AB110" s="7">
        <f t="shared" si="19"/>
        <v>2667</v>
      </c>
      <c r="AC110" s="15">
        <f t="shared" si="33"/>
        <v>2666.6666666666665</v>
      </c>
      <c r="AD110" s="16">
        <f t="shared" si="34"/>
        <v>1119040</v>
      </c>
      <c r="AE110" s="16">
        <f t="shared" si="35"/>
        <v>93253.333333333328</v>
      </c>
      <c r="AF110" s="16">
        <v>11.27</v>
      </c>
      <c r="AG110" s="16">
        <v>34.97</v>
      </c>
      <c r="AH110" s="8">
        <f t="shared" si="36"/>
        <v>0.11453333333333333</v>
      </c>
      <c r="AI110" s="8">
        <f t="shared" si="37"/>
        <v>0.40086666666666665</v>
      </c>
      <c r="AJ110" s="10">
        <v>0.5</v>
      </c>
      <c r="AK110" s="10">
        <v>0.5</v>
      </c>
      <c r="AL110" s="16">
        <v>11.27</v>
      </c>
      <c r="AM110" s="9">
        <f t="shared" si="24"/>
        <v>5.2454999999999998</v>
      </c>
      <c r="AN110" s="9">
        <f t="shared" si="25"/>
        <v>1.0490999999999999</v>
      </c>
      <c r="AO110" s="9">
        <f t="shared" si="26"/>
        <v>6.9939999999999998</v>
      </c>
      <c r="AP110" s="9">
        <f t="shared" si="27"/>
        <v>0.69940000000000002</v>
      </c>
      <c r="AQ110" s="9">
        <f t="shared" si="28"/>
        <v>6.9939999999999998</v>
      </c>
      <c r="AR110" s="9">
        <f t="shared" si="29"/>
        <v>8.7424999999999997</v>
      </c>
      <c r="AS110" s="11">
        <f t="shared" si="30"/>
        <v>1.1453333333333333</v>
      </c>
      <c r="AT110" s="12">
        <f t="shared" si="31"/>
        <v>-2.0333333333333314E-2</v>
      </c>
    </row>
    <row r="111" spans="1:46" ht="16.5" x14ac:dyDescent="0.4">
      <c r="A111" s="4" t="s">
        <v>545</v>
      </c>
      <c r="B111" s="4" t="s">
        <v>513</v>
      </c>
      <c r="C111" s="7" t="s">
        <v>1784</v>
      </c>
      <c r="D111" s="4" t="s">
        <v>546</v>
      </c>
      <c r="E111" s="4" t="s">
        <v>547</v>
      </c>
      <c r="F111" s="4" t="s">
        <v>548</v>
      </c>
      <c r="G111" s="7" t="str">
        <f>VLOOKUP(A111,[1]done!$A:$I,9,0)</f>
        <v>Other - Scotts</v>
      </c>
      <c r="H111" s="7" t="str" cm="1">
        <f t="array" ref="H111">_xlfn.IFS(
OR(ISNUMBER(SEARCH("mouse",E111)),ISNUMBER(SEARCH("rat",E111)),ISNUMBER(SEARCH("mice",E111)),ISNUMBER(SEARCH("rodent",E111))),"Rodent Control",
OR(ISNUMBER(SEARCH("fly",E111)),ISNUMBER(SEARCH("gnat",E111)),ISNUMBER(SEARCH("insect",E111)),ISNUMBER(SEARCH("mosquito",E111))),"Flying Insect Control",
OR(ISNUMBER(SEARCH("roach",E111)),ISNUMBER(SEARCH("ant",E111)),ISNUMBER(SEARCH("spider",E111)),ISNUMBER(SEARCH("cricket",E111)),ISNUMBER(SEARCH("scorpion",E111)),ISNUMBER(SEARCH("centipede",E111)),ISNUMBER(SEARCH("beetle",E111))),"Crawling Insect Control",
OR(ISNUMBER(SEARCH("tree",E111)),ISNUMBER(SEARCH("lantern",E111)),ISNUMBER(SEARCH("garden",E111)),ISNUMBER(SEARCH("plant",E111))),"Garden Pest Control",
OR(ISNUMBER(SEARCH("grass seed",E111)),ISNUMBER(SEARCH("seed mix",E111))),"Grass Seed",
OR(ISNUMBER(SEARCH("lawn food",E111)),ISNUMBER(SEARCH("fertilizer",E111))),"Lawn Fertilizer",
OR(ISNUMBER(SEARCH("patch",E111)),ISNUMBER(SEARCH("repair",E111)),ISNUMBER(SEARCH("thick'r",E111)),ISNUMBER(SEARCH("thick'r lawn",E111)),ISNUMBER(SEARCH("rapid grass",E111))),"Lawn Repair",
OR(ISNUMBER(SEARCH("weed",E111)),ISNUMBER(SEARCH("crabgrass",E111))),"Weed Control",
OR(ISNUMBER(SEARCH("fungicide",E111)),ISNUMBER(SEARCH("moss",E111))),"Disease &amp; Moss Control",
OR(ISNUMBER(SEARCH("plant food",E111)),ISNUMBER(SEARCH("miracid",E111))),"Plant Nutrition",
OR(ISNUMBER(SEARCH("perlite",E111))),"Soil Amendment",
OR(ISNUMBER(SEARCH("spreader",E111)),ISNUMBER(SEARCH("sprayer",E111)),ISNUMBER(SEARCH("mower",E111)),ISNUMBER(SEARCH("sweeper",E111)),ISNUMBER(SEARCH("pruner",E111)),ISNUMBER(SEARCH("trimmer",E111)),ISNUMBER(SEARCH("pole saw",E111))),"Garden Equipment",
TRUE,"Other"
)</f>
        <v>Other</v>
      </c>
      <c r="I111" s="7" t="str" cm="1">
        <f t="array" ref="I111">_xlfn.IFS(
OR(ISNUMBER(SEARCH("glue trap",E111)),ISNUMBER(SEARCH("glue board",E111))),"Glue Traps",
OR(ISNUMBER(SEARCH("snap trap",E111)),ISNUMBER(SEARCH("power-kill",E111)),ISNUMBER(SEARCH("wide pedal",E111)),ISNUMBER(SEARCH("metal pedal",E111))),"Snap Traps",
OR(ISNUMBER(SEARCH("electronic",E111)),ISNUMBER(SEARCH("zapper",E111))),"Electronic Traps",
OR(ISNUMBER(SEARCH("live catch",E111)),ISNUMBER(SEARCH("multi-catch",E111)),ISNUMBER(SEARCH("catch &amp; hold",E111)),ISNUMBER(SEARCH("tin cat",E111))),"Live Catch Traps",
OR(ISNUMBER(SEARCH("bait",E111)),ISNUMBER(SEARCH("poison",E111))),"Bait &amp; Poison",
ISNUMBER(SEARCH("repellent",E111)),"Repellents",
OR(ISNUMBER(SEARCH("fly trap",E111)),ISNUMBER(SEARCH("fly ribbon",E111)),ISNUMBER(SEARCH("fly stick",E111)),ISNUMBER(SEARCH("window fly",E111)),ISNUMBER(SEARCH("fly magnet",E111))),"Fly Traps",
OR(ISNUMBER(SEARCH("uv",E111)),ISNUMBER(SEARCH("fly light",E111)),ISNUMBER(SEARCH("plug-in",E111))),"UV Fly Traps",
ISNUMBER(SEARCH("roach",E111)),"Roach Traps",
ISNUMBER(SEARCH("ant",E111)),"Ant Traps",
ISNUMBER(SEARCH("spider",E111)),"Spider Traps",
ISNUMBER(SEARCH("mosquito",E111)),"Mosquito Traps",
ISNUMBER(SEARCH("beetle",E111)),"Beetle Traps",
ISNUMBER(SEARCH("lantern",E111)),"Lanternfly Control",
OR(ISNUMBER(SEARCH("tree shield",E111)),ISNUMBER(SEARCH("tree banding",E111)),ISNUMBER(SEARCH("insect barrier",E111))),"Tree Barriers",
OR(ISNUMBER(SEARCH("sun &amp; shade",E111)),ISNUMBER(SEARCH("sun and shade",E111))),"Sun &amp; Shade Mix",
ISNUMBER(SEARCH("tall fescue",E111)),"Tall Fescue",
ISNUMBER(SEARCH("bermudagrass",E111)),"Bermudagrass",
ISNUMBER(SEARCH("kentucky",E111)),"Kentucky Bluegrass",
ISNUMBER(SEARCH("zoysia",E111)),"Zoysia",
ISNUMBER(SEARCH("ryegrass",E111)),"Perennial Ryegrass",
ISNUMBER(SEARCH("centipede",E111)),"Centipede Grass",
ISNUMBER(SEARCH("dense shade",E111)),"Dense Shade Mix",
ISNUMBER(SEARCH("southern gold",E111)),"Southern Gold Mix",
ISNUMBER(SEARCH("heat-tolerant blue",E111)),"Heat-Tolerant Blue Mix",
ISNUMBER(SEARCH("high traffic",E111)),"High Traffic Mix",
ISNUMBER(SEARCH("quick fix",E111)),"Quick Fix Mix",
ISNUMBER(SEARCH("starter",E111)),"Starter Fertilizer",
ISNUMBER(SEARCH("weed &amp; feed",E111)),"Weed &amp; Feed",
ISNUMBER(SEARCH("lawn food",E111)),"Lawn Food",
ISNUMBER(SEARCH("triple action",E111)),"Triple Action Fertilizer",
ISNUMBER(SEARCH("green max",E111)),"Green Max Lawn Food",
ISNUMBER(SEARCH("patchmaster",E111)),"PatchMaster Repair",
ISNUMBER(SEARCH("ez seed",E111)),"EZ Seed Repair",
ISNUMBER(SEARCH("rapid grass",E111)),"Rapid Grass",
ISNUMBER(SEARCH("thick'r lawn",E111)),"Thick'R Lawn",
ISNUMBER(SEARCH("fungicide",E111)),"Fungicide",
ISNUMBER(SEARCH("moss",E111)),"Moss Control",
ISNUMBER(SEARCH("perlite",E111)),"Perlite",
ISNUMBER(SEARCH("plant food",E111)),"Plant Food",
ISNUMBER(SEARCH("spreader",E111)),"Spreader",
ISNUMBER(SEARCH("sprayer",E111)),"Sprayer",
ISNUMBER(SEARCH("mower",E111)),"Lawn Mower",
ISNUMBER(SEARCH("sweeper",E111)),"Lawn Sweeper",
OR(ISNUMBER(SEARCH("pruner",E111)),ISNUMBER(SEARCH("trimmer",E111)),ISNUMBER(SEARCH("pole saw",E111))),"Pruning Tools",
TRUE,"Other"
)</f>
        <v>Other</v>
      </c>
      <c r="J111" s="7" t="str">
        <f t="shared" si="18"/>
        <v>Other - Other</v>
      </c>
      <c r="K111" s="4">
        <v>5000</v>
      </c>
      <c r="L111" s="4">
        <v>4.5</v>
      </c>
      <c r="M111" s="4">
        <v>12577</v>
      </c>
      <c r="N111" s="4" t="s">
        <v>526</v>
      </c>
      <c r="O111" s="4">
        <f>VLOOKUP(A111,[3]Sheet1!$A:$B,2,0)</f>
        <v>750</v>
      </c>
      <c r="P111" s="4">
        <f>VLOOKUP(A111,[3]Sheet1!$A:$C,3,0)</f>
        <v>1000</v>
      </c>
      <c r="Q111" s="4">
        <f>VLOOKUP(A111,[3]Sheet1!$A:$D,4,0)</f>
        <v>3000</v>
      </c>
      <c r="R111" s="4">
        <f>VLOOKUP(A111,[3]Sheet1!$A:$E,5,0)</f>
        <v>10000</v>
      </c>
      <c r="S111" s="4">
        <f>VLOOKUP(A111,[3]Sheet1!$A:$F,6,0)</f>
        <v>10000</v>
      </c>
      <c r="T111" s="4">
        <f>VLOOKUP(A111,[3]Sheet1!$A:$G,7,0)</f>
        <v>10000</v>
      </c>
      <c r="U111" s="4">
        <f>VLOOKUP(A111,[3]Sheet1!$A:$I,8,0)</f>
        <v>10000</v>
      </c>
      <c r="V111" s="4">
        <f>VLOOKUP(A111,[3]Sheet1!$A:$J,9,0)</f>
        <v>6000</v>
      </c>
      <c r="W111" s="4">
        <f>VLOOKUP(A111,[3]Sheet1!$A:$J,10,0)</f>
        <v>4000</v>
      </c>
      <c r="X111" s="4">
        <f>VLOOKUP(A111,[3]Sheet1!$A:$K,11,0)</f>
        <v>3000</v>
      </c>
      <c r="Y111" s="4">
        <f>VLOOKUP(A111,[3]Sheet1!$A:$L,12,0)</f>
        <v>2000</v>
      </c>
      <c r="Z111" s="4">
        <f>VLOOKUP(A111,[3]Sheet1!$A:$M,13,0)</f>
        <v>1000</v>
      </c>
      <c r="AA111" s="4">
        <f t="shared" si="32"/>
        <v>60750</v>
      </c>
      <c r="AB111" s="7">
        <f t="shared" si="19"/>
        <v>5063</v>
      </c>
      <c r="AC111" s="15">
        <f t="shared" si="33"/>
        <v>5062.5</v>
      </c>
      <c r="AD111" s="16">
        <f t="shared" si="34"/>
        <v>1790302.5</v>
      </c>
      <c r="AE111" s="16">
        <f t="shared" si="35"/>
        <v>149191.875</v>
      </c>
      <c r="AF111" s="16">
        <v>11.11</v>
      </c>
      <c r="AG111" s="16">
        <v>29.47</v>
      </c>
      <c r="AH111" s="8">
        <f t="shared" si="36"/>
        <v>-2.1466666666666731E-2</v>
      </c>
      <c r="AI111" s="8">
        <f t="shared" si="37"/>
        <v>-7.5133333333333552E-2</v>
      </c>
      <c r="AJ111" s="10">
        <v>0.5</v>
      </c>
      <c r="AK111" s="10">
        <v>0.5</v>
      </c>
      <c r="AL111" s="16">
        <v>11.11</v>
      </c>
      <c r="AM111" s="9">
        <f t="shared" si="24"/>
        <v>4.4204999999999997</v>
      </c>
      <c r="AN111" s="9">
        <f t="shared" si="25"/>
        <v>0.88409999999999989</v>
      </c>
      <c r="AO111" s="9">
        <f t="shared" si="26"/>
        <v>5.8940000000000001</v>
      </c>
      <c r="AP111" s="9">
        <f t="shared" si="27"/>
        <v>0.58940000000000003</v>
      </c>
      <c r="AQ111" s="9">
        <f t="shared" si="28"/>
        <v>5.8940000000000001</v>
      </c>
      <c r="AR111" s="9">
        <f t="shared" si="29"/>
        <v>7.3674999999999997</v>
      </c>
      <c r="AS111" s="11">
        <f t="shared" si="30"/>
        <v>-0.21466666666666731</v>
      </c>
      <c r="AT111" s="12">
        <f t="shared" si="31"/>
        <v>-1.1970000000000003</v>
      </c>
    </row>
    <row r="112" spans="1:46" ht="16.5" x14ac:dyDescent="0.4">
      <c r="A112" s="4" t="s">
        <v>549</v>
      </c>
      <c r="B112" s="4" t="s">
        <v>513</v>
      </c>
      <c r="C112" s="7" t="s">
        <v>513</v>
      </c>
      <c r="D112" s="4" t="s">
        <v>550</v>
      </c>
      <c r="E112" s="4" t="s">
        <v>551</v>
      </c>
      <c r="F112" s="4" t="s">
        <v>552</v>
      </c>
      <c r="G112" s="7" t="str">
        <f>VLOOKUP(A112,[1]done!$A:$I,9,0)</f>
        <v>Lawn Fertilizer</v>
      </c>
      <c r="H112" s="7" t="str" cm="1">
        <f t="array" ref="H112">_xlfn.IFS(
OR(ISNUMBER(SEARCH("mouse",E112)),ISNUMBER(SEARCH("rat",E112)),ISNUMBER(SEARCH("mice",E112)),ISNUMBER(SEARCH("rodent",E112))),"Rodent Control",
OR(ISNUMBER(SEARCH("fly",E112)),ISNUMBER(SEARCH("gnat",E112)),ISNUMBER(SEARCH("insect",E112)),ISNUMBER(SEARCH("mosquito",E112))),"Flying Insect Control",
OR(ISNUMBER(SEARCH("roach",E112)),ISNUMBER(SEARCH("ant",E112)),ISNUMBER(SEARCH("spider",E112)),ISNUMBER(SEARCH("cricket",E112)),ISNUMBER(SEARCH("scorpion",E112)),ISNUMBER(SEARCH("centipede",E112)),ISNUMBER(SEARCH("beetle",E112))),"Crawling Insect Control",
OR(ISNUMBER(SEARCH("tree",E112)),ISNUMBER(SEARCH("lantern",E112)),ISNUMBER(SEARCH("garden",E112)),ISNUMBER(SEARCH("plant",E112))),"Garden Pest Control",
OR(ISNUMBER(SEARCH("grass seed",E112)),ISNUMBER(SEARCH("seed mix",E112))),"Grass Seed",
OR(ISNUMBER(SEARCH("lawn food",E112)),ISNUMBER(SEARCH("fertilizer",E112))),"Lawn Fertilizer",
OR(ISNUMBER(SEARCH("patch",E112)),ISNUMBER(SEARCH("repair",E112)),ISNUMBER(SEARCH("thick'r",E112)),ISNUMBER(SEARCH("thick'r lawn",E112)),ISNUMBER(SEARCH("rapid grass",E112))),"Lawn Repair",
OR(ISNUMBER(SEARCH("weed",E112)),ISNUMBER(SEARCH("crabgrass",E112))),"Weed Control",
OR(ISNUMBER(SEARCH("fungicide",E112)),ISNUMBER(SEARCH("moss",E112))),"Disease &amp; Moss Control",
OR(ISNUMBER(SEARCH("plant food",E112)),ISNUMBER(SEARCH("miracid",E112))),"Plant Nutrition",
OR(ISNUMBER(SEARCH("perlite",E112))),"Soil Amendment",
OR(ISNUMBER(SEARCH("spreader",E112)),ISNUMBER(SEARCH("sprayer",E112)),ISNUMBER(SEARCH("mower",E112)),ISNUMBER(SEARCH("sweeper",E112)),ISNUMBER(SEARCH("pruner",E112)),ISNUMBER(SEARCH("trimmer",E112)),ISNUMBER(SEARCH("pole saw",E112))),"Garden Equipment",
TRUE,"Other"
)</f>
        <v>Weed Control</v>
      </c>
      <c r="I112" s="7" t="str" cm="1">
        <f t="array" ref="I112">_xlfn.IFS(
OR(ISNUMBER(SEARCH("glue trap",E112)),ISNUMBER(SEARCH("glue board",E112))),"Glue Traps",
OR(ISNUMBER(SEARCH("snap trap",E112)),ISNUMBER(SEARCH("power-kill",E112)),ISNUMBER(SEARCH("wide pedal",E112)),ISNUMBER(SEARCH("metal pedal",E112))),"Snap Traps",
OR(ISNUMBER(SEARCH("electronic",E112)),ISNUMBER(SEARCH("zapper",E112))),"Electronic Traps",
OR(ISNUMBER(SEARCH("live catch",E112)),ISNUMBER(SEARCH("multi-catch",E112)),ISNUMBER(SEARCH("catch &amp; hold",E112)),ISNUMBER(SEARCH("tin cat",E112))),"Live Catch Traps",
OR(ISNUMBER(SEARCH("bait",E112)),ISNUMBER(SEARCH("poison",E112))),"Bait &amp; Poison",
ISNUMBER(SEARCH("repellent",E112)),"Repellents",
OR(ISNUMBER(SEARCH("fly trap",E112)),ISNUMBER(SEARCH("fly ribbon",E112)),ISNUMBER(SEARCH("fly stick",E112)),ISNUMBER(SEARCH("window fly",E112)),ISNUMBER(SEARCH("fly magnet",E112))),"Fly Traps",
OR(ISNUMBER(SEARCH("uv",E112)),ISNUMBER(SEARCH("fly light",E112)),ISNUMBER(SEARCH("plug-in",E112))),"UV Fly Traps",
ISNUMBER(SEARCH("roach",E112)),"Roach Traps",
ISNUMBER(SEARCH("ant",E112)),"Ant Traps",
ISNUMBER(SEARCH("spider",E112)),"Spider Traps",
ISNUMBER(SEARCH("mosquito",E112)),"Mosquito Traps",
ISNUMBER(SEARCH("beetle",E112)),"Beetle Traps",
ISNUMBER(SEARCH("lantern",E112)),"Lanternfly Control",
OR(ISNUMBER(SEARCH("tree shield",E112)),ISNUMBER(SEARCH("tree banding",E112)),ISNUMBER(SEARCH("insect barrier",E112))),"Tree Barriers",
OR(ISNUMBER(SEARCH("sun &amp; shade",E112)),ISNUMBER(SEARCH("sun and shade",E112))),"Sun &amp; Shade Mix",
ISNUMBER(SEARCH("tall fescue",E112)),"Tall Fescue",
ISNUMBER(SEARCH("bermudagrass",E112)),"Bermudagrass",
ISNUMBER(SEARCH("kentucky",E112)),"Kentucky Bluegrass",
ISNUMBER(SEARCH("zoysia",E112)),"Zoysia",
ISNUMBER(SEARCH("ryegrass",E112)),"Perennial Ryegrass",
ISNUMBER(SEARCH("centipede",E112)),"Centipede Grass",
ISNUMBER(SEARCH("dense shade",E112)),"Dense Shade Mix",
ISNUMBER(SEARCH("southern gold",E112)),"Southern Gold Mix",
ISNUMBER(SEARCH("heat-tolerant blue",E112)),"Heat-Tolerant Blue Mix",
ISNUMBER(SEARCH("high traffic",E112)),"High Traffic Mix",
ISNUMBER(SEARCH("quick fix",E112)),"Quick Fix Mix",
ISNUMBER(SEARCH("starter",E112)),"Starter Fertilizer",
ISNUMBER(SEARCH("weed &amp; feed",E112)),"Weed &amp; Feed",
ISNUMBER(SEARCH("lawn food",E112)),"Lawn Food",
ISNUMBER(SEARCH("triple action",E112)),"Triple Action Fertilizer",
ISNUMBER(SEARCH("green max",E112)),"Green Max Lawn Food",
ISNUMBER(SEARCH("patchmaster",E112)),"PatchMaster Repair",
ISNUMBER(SEARCH("ez seed",E112)),"EZ Seed Repair",
ISNUMBER(SEARCH("rapid grass",E112)),"Rapid Grass",
ISNUMBER(SEARCH("thick'r lawn",E112)),"Thick'R Lawn",
ISNUMBER(SEARCH("fungicide",E112)),"Fungicide",
ISNUMBER(SEARCH("moss",E112)),"Moss Control",
ISNUMBER(SEARCH("perlite",E112)),"Perlite",
ISNUMBER(SEARCH("plant food",E112)),"Plant Food",
ISNUMBER(SEARCH("spreader",E112)),"Spreader",
ISNUMBER(SEARCH("sprayer",E112)),"Sprayer",
ISNUMBER(SEARCH("mower",E112)),"Lawn Mower",
ISNUMBER(SEARCH("sweeper",E112)),"Lawn Sweeper",
OR(ISNUMBER(SEARCH("pruner",E112)),ISNUMBER(SEARCH("trimmer",E112)),ISNUMBER(SEARCH("pole saw",E112))),"Pruning Tools",
TRUE,"Other"
)</f>
        <v>Other</v>
      </c>
      <c r="J112" s="7" t="str">
        <f t="shared" si="18"/>
        <v>Weed Control - Other</v>
      </c>
      <c r="K112" s="4">
        <v>4000</v>
      </c>
      <c r="L112" s="4">
        <v>4.4000000000000004</v>
      </c>
      <c r="M112" s="4">
        <v>36931</v>
      </c>
      <c r="N112" s="4" t="s">
        <v>553</v>
      </c>
      <c r="O112" s="4">
        <f>VLOOKUP(A112,[3]Sheet1!$A:$B,2,0)</f>
        <v>500</v>
      </c>
      <c r="P112" s="4">
        <f>VLOOKUP(A112,[3]Sheet1!$A:$C,3,0)</f>
        <v>1000</v>
      </c>
      <c r="Q112" s="4">
        <f>VLOOKUP(A112,[3]Sheet1!$A:$D,4,0)</f>
        <v>2000</v>
      </c>
      <c r="R112" s="4">
        <f>VLOOKUP(A112,[3]Sheet1!$A:$E,5,0)</f>
        <v>10000</v>
      </c>
      <c r="S112" s="4">
        <f>VLOOKUP(A112,[3]Sheet1!$A:$F,6,0)</f>
        <v>10000</v>
      </c>
      <c r="T112" s="4">
        <f>VLOOKUP(A112,[3]Sheet1!$A:$G,7,0)</f>
        <v>10000</v>
      </c>
      <c r="U112" s="4">
        <f>VLOOKUP(A112,[3]Sheet1!$A:$I,8,0)</f>
        <v>8000</v>
      </c>
      <c r="V112" s="4">
        <f>VLOOKUP(A112,[3]Sheet1!$A:$J,9,0)</f>
        <v>3000</v>
      </c>
      <c r="W112" s="4">
        <f>VLOOKUP(A112,[3]Sheet1!$A:$J,10,0)</f>
        <v>4000</v>
      </c>
      <c r="X112" s="4">
        <f>VLOOKUP(A112,[3]Sheet1!$A:$K,11,0)</f>
        <v>1000</v>
      </c>
      <c r="Y112" s="4">
        <f>VLOOKUP(A112,[3]Sheet1!$A:$L,12,0)</f>
        <v>500</v>
      </c>
      <c r="Z112" s="4">
        <f>VLOOKUP(A112,[3]Sheet1!$A:$M,13,0)</f>
        <v>500</v>
      </c>
      <c r="AA112" s="4">
        <f t="shared" si="32"/>
        <v>50500</v>
      </c>
      <c r="AB112" s="7">
        <f t="shared" si="19"/>
        <v>4208</v>
      </c>
      <c r="AC112" s="15">
        <f t="shared" si="33"/>
        <v>4208.333333333333</v>
      </c>
      <c r="AD112" s="16">
        <f t="shared" si="34"/>
        <v>1110495</v>
      </c>
      <c r="AE112" s="16">
        <f t="shared" si="35"/>
        <v>92541.249999999985</v>
      </c>
      <c r="AF112" s="16">
        <v>6.9</v>
      </c>
      <c r="AG112" s="16">
        <v>21.99</v>
      </c>
      <c r="AH112" s="8">
        <f t="shared" si="36"/>
        <v>5.9733333333333277E-2</v>
      </c>
      <c r="AI112" s="8">
        <f t="shared" si="37"/>
        <v>0.20906666666666643</v>
      </c>
      <c r="AJ112" s="10">
        <v>0.5</v>
      </c>
      <c r="AK112" s="10">
        <v>0.5</v>
      </c>
      <c r="AL112" s="16">
        <v>6.9</v>
      </c>
      <c r="AM112" s="9">
        <f t="shared" si="24"/>
        <v>3.2984999999999998</v>
      </c>
      <c r="AN112" s="9">
        <f t="shared" si="25"/>
        <v>0.65969999999999995</v>
      </c>
      <c r="AO112" s="9">
        <f t="shared" si="26"/>
        <v>4.3979999999999997</v>
      </c>
      <c r="AP112" s="9">
        <f t="shared" si="27"/>
        <v>0.43979999999999997</v>
      </c>
      <c r="AQ112" s="9">
        <f t="shared" si="28"/>
        <v>4.3979999999999997</v>
      </c>
      <c r="AR112" s="9">
        <f t="shared" si="29"/>
        <v>5.4974999999999996</v>
      </c>
      <c r="AS112" s="11">
        <f t="shared" si="30"/>
        <v>0.59733333333333272</v>
      </c>
      <c r="AT112" s="12">
        <f t="shared" si="31"/>
        <v>-0.13566666666666727</v>
      </c>
    </row>
    <row r="113" spans="1:46" ht="16.5" x14ac:dyDescent="0.4">
      <c r="A113" s="4" t="s">
        <v>554</v>
      </c>
      <c r="B113" s="4" t="s">
        <v>513</v>
      </c>
      <c r="C113" s="7" t="s">
        <v>1784</v>
      </c>
      <c r="D113" s="4" t="s">
        <v>555</v>
      </c>
      <c r="E113" s="4" t="s">
        <v>556</v>
      </c>
      <c r="F113" s="4" t="s">
        <v>557</v>
      </c>
      <c r="G113" s="7" t="str">
        <f>VLOOKUP(A113,[1]done!$A:$I,9,0)</f>
        <v>Lawn Fertilizer</v>
      </c>
      <c r="H113" s="7" t="str" cm="1">
        <f t="array" ref="H113">_xlfn.IFS(
OR(ISNUMBER(SEARCH("mouse",E113)),ISNUMBER(SEARCH("rat",E113)),ISNUMBER(SEARCH("mice",E113)),ISNUMBER(SEARCH("rodent",E113))),"Rodent Control",
OR(ISNUMBER(SEARCH("fly",E113)),ISNUMBER(SEARCH("gnat",E113)),ISNUMBER(SEARCH("insect",E113)),ISNUMBER(SEARCH("mosquito",E113))),"Flying Insect Control",
OR(ISNUMBER(SEARCH("roach",E113)),ISNUMBER(SEARCH("ant",E113)),ISNUMBER(SEARCH("spider",E113)),ISNUMBER(SEARCH("cricket",E113)),ISNUMBER(SEARCH("scorpion",E113)),ISNUMBER(SEARCH("centipede",E113)),ISNUMBER(SEARCH("beetle",E113))),"Crawling Insect Control",
OR(ISNUMBER(SEARCH("tree",E113)),ISNUMBER(SEARCH("lantern",E113)),ISNUMBER(SEARCH("garden",E113)),ISNUMBER(SEARCH("plant",E113))),"Garden Pest Control",
OR(ISNUMBER(SEARCH("grass seed",E113)),ISNUMBER(SEARCH("seed mix",E113))),"Grass Seed",
OR(ISNUMBER(SEARCH("lawn food",E113)),ISNUMBER(SEARCH("fertilizer",E113))),"Lawn Fertilizer",
OR(ISNUMBER(SEARCH("patch",E113)),ISNUMBER(SEARCH("repair",E113)),ISNUMBER(SEARCH("thick'r",E113)),ISNUMBER(SEARCH("thick'r lawn",E113)),ISNUMBER(SEARCH("rapid grass",E113))),"Lawn Repair",
OR(ISNUMBER(SEARCH("weed",E113)),ISNUMBER(SEARCH("crabgrass",E113))),"Weed Control",
OR(ISNUMBER(SEARCH("fungicide",E113)),ISNUMBER(SEARCH("moss",E113))),"Disease &amp; Moss Control",
OR(ISNUMBER(SEARCH("plant food",E113)),ISNUMBER(SEARCH("miracid",E113))),"Plant Nutrition",
OR(ISNUMBER(SEARCH("perlite",E113))),"Soil Amendment",
OR(ISNUMBER(SEARCH("spreader",E113)),ISNUMBER(SEARCH("sprayer",E113)),ISNUMBER(SEARCH("mower",E113)),ISNUMBER(SEARCH("sweeper",E113)),ISNUMBER(SEARCH("pruner",E113)),ISNUMBER(SEARCH("trimmer",E113)),ISNUMBER(SEARCH("pole saw",E113))),"Garden Equipment",
TRUE,"Other"
)</f>
        <v>Lawn Repair</v>
      </c>
      <c r="I113" s="7" t="str" cm="1">
        <f t="array" ref="I113">_xlfn.IFS(
OR(ISNUMBER(SEARCH("glue trap",E113)),ISNUMBER(SEARCH("glue board",E113))),"Glue Traps",
OR(ISNUMBER(SEARCH("snap trap",E113)),ISNUMBER(SEARCH("power-kill",E113)),ISNUMBER(SEARCH("wide pedal",E113)),ISNUMBER(SEARCH("metal pedal",E113))),"Snap Traps",
OR(ISNUMBER(SEARCH("electronic",E113)),ISNUMBER(SEARCH("zapper",E113))),"Electronic Traps",
OR(ISNUMBER(SEARCH("live catch",E113)),ISNUMBER(SEARCH("multi-catch",E113)),ISNUMBER(SEARCH("catch &amp; hold",E113)),ISNUMBER(SEARCH("tin cat",E113))),"Live Catch Traps",
OR(ISNUMBER(SEARCH("bait",E113)),ISNUMBER(SEARCH("poison",E113))),"Bait &amp; Poison",
ISNUMBER(SEARCH("repellent",E113)),"Repellents",
OR(ISNUMBER(SEARCH("fly trap",E113)),ISNUMBER(SEARCH("fly ribbon",E113)),ISNUMBER(SEARCH("fly stick",E113)),ISNUMBER(SEARCH("window fly",E113)),ISNUMBER(SEARCH("fly magnet",E113))),"Fly Traps",
OR(ISNUMBER(SEARCH("uv",E113)),ISNUMBER(SEARCH("fly light",E113)),ISNUMBER(SEARCH("plug-in",E113))),"UV Fly Traps",
ISNUMBER(SEARCH("roach",E113)),"Roach Traps",
ISNUMBER(SEARCH("ant",E113)),"Ant Traps",
ISNUMBER(SEARCH("spider",E113)),"Spider Traps",
ISNUMBER(SEARCH("mosquito",E113)),"Mosquito Traps",
ISNUMBER(SEARCH("beetle",E113)),"Beetle Traps",
ISNUMBER(SEARCH("lantern",E113)),"Lanternfly Control",
OR(ISNUMBER(SEARCH("tree shield",E113)),ISNUMBER(SEARCH("tree banding",E113)),ISNUMBER(SEARCH("insect barrier",E113))),"Tree Barriers",
OR(ISNUMBER(SEARCH("sun &amp; shade",E113)),ISNUMBER(SEARCH("sun and shade",E113))),"Sun &amp; Shade Mix",
ISNUMBER(SEARCH("tall fescue",E113)),"Tall Fescue",
ISNUMBER(SEARCH("bermudagrass",E113)),"Bermudagrass",
ISNUMBER(SEARCH("kentucky",E113)),"Kentucky Bluegrass",
ISNUMBER(SEARCH("zoysia",E113)),"Zoysia",
ISNUMBER(SEARCH("ryegrass",E113)),"Perennial Ryegrass",
ISNUMBER(SEARCH("centipede",E113)),"Centipede Grass",
ISNUMBER(SEARCH("dense shade",E113)),"Dense Shade Mix",
ISNUMBER(SEARCH("southern gold",E113)),"Southern Gold Mix",
ISNUMBER(SEARCH("heat-tolerant blue",E113)),"Heat-Tolerant Blue Mix",
ISNUMBER(SEARCH("high traffic",E113)),"High Traffic Mix",
ISNUMBER(SEARCH("quick fix",E113)),"Quick Fix Mix",
ISNUMBER(SEARCH("starter",E113)),"Starter Fertilizer",
ISNUMBER(SEARCH("weed &amp; feed",E113)),"Weed &amp; Feed",
ISNUMBER(SEARCH("lawn food",E113)),"Lawn Food",
ISNUMBER(SEARCH("triple action",E113)),"Triple Action Fertilizer",
ISNUMBER(SEARCH("green max",E113)),"Green Max Lawn Food",
ISNUMBER(SEARCH("patchmaster",E113)),"PatchMaster Repair",
ISNUMBER(SEARCH("ez seed",E113)),"EZ Seed Repair",
ISNUMBER(SEARCH("rapid grass",E113)),"Rapid Grass",
ISNUMBER(SEARCH("thick'r lawn",E113)),"Thick'R Lawn",
ISNUMBER(SEARCH("fungicide",E113)),"Fungicide",
ISNUMBER(SEARCH("moss",E113)),"Moss Control",
ISNUMBER(SEARCH("perlite",E113)),"Perlite",
ISNUMBER(SEARCH("plant food",E113)),"Plant Food",
ISNUMBER(SEARCH("spreader",E113)),"Spreader",
ISNUMBER(SEARCH("sprayer",E113)),"Sprayer",
ISNUMBER(SEARCH("mower",E113)),"Lawn Mower",
ISNUMBER(SEARCH("sweeper",E113)),"Lawn Sweeper",
OR(ISNUMBER(SEARCH("pruner",E113)),ISNUMBER(SEARCH("trimmer",E113)),ISNUMBER(SEARCH("pole saw",E113))),"Pruning Tools",
TRUE,"Other"
)</f>
        <v>Tall Fescue</v>
      </c>
      <c r="J113" s="7" t="str">
        <f t="shared" si="18"/>
        <v>Lawn Repair - Tall Fescue</v>
      </c>
      <c r="K113" s="4">
        <v>4000</v>
      </c>
      <c r="L113" s="4">
        <v>4.2</v>
      </c>
      <c r="M113" s="4">
        <v>4990</v>
      </c>
      <c r="N113" s="4" t="s">
        <v>531</v>
      </c>
      <c r="O113" s="4">
        <f>VLOOKUP(A113,[3]Sheet1!$A:$B,2,0)</f>
        <v>500</v>
      </c>
      <c r="P113" s="4">
        <f>VLOOKUP(A113,[3]Sheet1!$A:$C,3,0)</f>
        <v>1000</v>
      </c>
      <c r="Q113" s="4">
        <f>VLOOKUP(A113,[3]Sheet1!$A:$D,4,0)</f>
        <v>2000</v>
      </c>
      <c r="R113" s="4">
        <f>VLOOKUP(A113,[3]Sheet1!$A:$E,5,0)</f>
        <v>20000</v>
      </c>
      <c r="S113" s="4">
        <f>VLOOKUP(A113,[3]Sheet1!$A:$F,6,0)</f>
        <v>10000</v>
      </c>
      <c r="T113" s="4">
        <f>VLOOKUP(A113,[3]Sheet1!$A:$G,7,0)</f>
        <v>10000</v>
      </c>
      <c r="U113" s="4">
        <f>VLOOKUP(A113,[3]Sheet1!$A:$I,8,0)</f>
        <v>5000</v>
      </c>
      <c r="V113" s="4">
        <f>VLOOKUP(A113,[3]Sheet1!$A:$J,9,0)</f>
        <v>4000</v>
      </c>
      <c r="W113" s="4">
        <f>VLOOKUP(A113,[3]Sheet1!$A:$J,10,0)</f>
        <v>6000</v>
      </c>
      <c r="X113" s="4">
        <f>VLOOKUP(A113,[3]Sheet1!$A:$K,11,0)</f>
        <v>2000</v>
      </c>
      <c r="Y113" s="4">
        <f>VLOOKUP(A113,[3]Sheet1!$A:$L,12,0)</f>
        <v>3000</v>
      </c>
      <c r="Z113" s="4">
        <f>VLOOKUP(A113,[3]Sheet1!$A:$M,13,0)</f>
        <v>1000</v>
      </c>
      <c r="AA113" s="4">
        <f t="shared" si="32"/>
        <v>64500</v>
      </c>
      <c r="AB113" s="7">
        <f t="shared" si="19"/>
        <v>5375</v>
      </c>
      <c r="AC113" s="15">
        <f t="shared" si="33"/>
        <v>5375</v>
      </c>
      <c r="AD113" s="16">
        <f t="shared" si="34"/>
        <v>2837355</v>
      </c>
      <c r="AE113" s="16">
        <f t="shared" si="35"/>
        <v>236446.25</v>
      </c>
      <c r="AF113" s="16">
        <v>8.1199999999999992</v>
      </c>
      <c r="AG113" s="16">
        <v>43.99</v>
      </c>
      <c r="AH113" s="8">
        <f t="shared" si="36"/>
        <v>0.56506666666666672</v>
      </c>
      <c r="AI113" s="8">
        <f t="shared" si="37"/>
        <v>1.9777333333333333</v>
      </c>
      <c r="AJ113" s="10">
        <v>0.5</v>
      </c>
      <c r="AK113" s="10">
        <v>0.5</v>
      </c>
      <c r="AL113" s="16">
        <v>8.1199999999999992</v>
      </c>
      <c r="AM113" s="9">
        <f t="shared" si="24"/>
        <v>6.5985000000000005</v>
      </c>
      <c r="AN113" s="9">
        <f t="shared" si="25"/>
        <v>1.3197000000000001</v>
      </c>
      <c r="AO113" s="9">
        <f t="shared" si="26"/>
        <v>8.798</v>
      </c>
      <c r="AP113" s="9">
        <f t="shared" si="27"/>
        <v>0.87980000000000003</v>
      </c>
      <c r="AQ113" s="9">
        <f t="shared" si="28"/>
        <v>8.798</v>
      </c>
      <c r="AR113" s="9">
        <f t="shared" si="29"/>
        <v>10.9975</v>
      </c>
      <c r="AS113" s="11">
        <f t="shared" si="30"/>
        <v>5.6506666666666669</v>
      </c>
      <c r="AT113" s="12">
        <f t="shared" si="31"/>
        <v>4.1843333333333339</v>
      </c>
    </row>
    <row r="114" spans="1:46" ht="16.5" x14ac:dyDescent="0.4">
      <c r="A114" s="4" t="s">
        <v>558</v>
      </c>
      <c r="B114" s="4" t="s">
        <v>513</v>
      </c>
      <c r="C114" s="7" t="s">
        <v>1784</v>
      </c>
      <c r="D114" s="4" t="s">
        <v>559</v>
      </c>
      <c r="E114" s="4" t="s">
        <v>560</v>
      </c>
      <c r="F114" s="4" t="s">
        <v>561</v>
      </c>
      <c r="G114" s="7" t="str">
        <f>VLOOKUP(A114,[1]done!$A:$I,9,0)</f>
        <v>Lawn Fertilizer</v>
      </c>
      <c r="H114" s="7" t="str" cm="1">
        <f t="array" ref="H114">_xlfn.IFS(
OR(ISNUMBER(SEARCH("mouse",E114)),ISNUMBER(SEARCH("rat",E114)),ISNUMBER(SEARCH("mice",E114)),ISNUMBER(SEARCH("rodent",E114))),"Rodent Control",
OR(ISNUMBER(SEARCH("fly",E114)),ISNUMBER(SEARCH("gnat",E114)),ISNUMBER(SEARCH("insect",E114)),ISNUMBER(SEARCH("mosquito",E114))),"Flying Insect Control",
OR(ISNUMBER(SEARCH("roach",E114)),ISNUMBER(SEARCH("ant",E114)),ISNUMBER(SEARCH("spider",E114)),ISNUMBER(SEARCH("cricket",E114)),ISNUMBER(SEARCH("scorpion",E114)),ISNUMBER(SEARCH("centipede",E114)),ISNUMBER(SEARCH("beetle",E114))),"Crawling Insect Control",
OR(ISNUMBER(SEARCH("tree",E114)),ISNUMBER(SEARCH("lantern",E114)),ISNUMBER(SEARCH("garden",E114)),ISNUMBER(SEARCH("plant",E114))),"Garden Pest Control",
OR(ISNUMBER(SEARCH("grass seed",E114)),ISNUMBER(SEARCH("seed mix",E114))),"Grass Seed",
OR(ISNUMBER(SEARCH("lawn food",E114)),ISNUMBER(SEARCH("fertilizer",E114))),"Lawn Fertilizer",
OR(ISNUMBER(SEARCH("patch",E114)),ISNUMBER(SEARCH("repair",E114)),ISNUMBER(SEARCH("thick'r",E114)),ISNUMBER(SEARCH("thick'r lawn",E114)),ISNUMBER(SEARCH("rapid grass",E114))),"Lawn Repair",
OR(ISNUMBER(SEARCH("weed",E114)),ISNUMBER(SEARCH("crabgrass",E114))),"Weed Control",
OR(ISNUMBER(SEARCH("fungicide",E114)),ISNUMBER(SEARCH("moss",E114))),"Disease &amp; Moss Control",
OR(ISNUMBER(SEARCH("plant food",E114)),ISNUMBER(SEARCH("miracid",E114))),"Plant Nutrition",
OR(ISNUMBER(SEARCH("perlite",E114))),"Soil Amendment",
OR(ISNUMBER(SEARCH("spreader",E114)),ISNUMBER(SEARCH("sprayer",E114)),ISNUMBER(SEARCH("mower",E114)),ISNUMBER(SEARCH("sweeper",E114)),ISNUMBER(SEARCH("pruner",E114)),ISNUMBER(SEARCH("trimmer",E114)),ISNUMBER(SEARCH("pole saw",E114))),"Garden Equipment",
TRUE,"Other"
)</f>
        <v>Weed Control</v>
      </c>
      <c r="I114" s="7" t="str" cm="1">
        <f t="array" ref="I114">_xlfn.IFS(
OR(ISNUMBER(SEARCH("glue trap",E114)),ISNUMBER(SEARCH("glue board",E114))),"Glue Traps",
OR(ISNUMBER(SEARCH("snap trap",E114)),ISNUMBER(SEARCH("power-kill",E114)),ISNUMBER(SEARCH("wide pedal",E114)),ISNUMBER(SEARCH("metal pedal",E114))),"Snap Traps",
OR(ISNUMBER(SEARCH("electronic",E114)),ISNUMBER(SEARCH("zapper",E114))),"Electronic Traps",
OR(ISNUMBER(SEARCH("live catch",E114)),ISNUMBER(SEARCH("multi-catch",E114)),ISNUMBER(SEARCH("catch &amp; hold",E114)),ISNUMBER(SEARCH("tin cat",E114))),"Live Catch Traps",
OR(ISNUMBER(SEARCH("bait",E114)),ISNUMBER(SEARCH("poison",E114))),"Bait &amp; Poison",
ISNUMBER(SEARCH("repellent",E114)),"Repellents",
OR(ISNUMBER(SEARCH("fly trap",E114)),ISNUMBER(SEARCH("fly ribbon",E114)),ISNUMBER(SEARCH("fly stick",E114)),ISNUMBER(SEARCH("window fly",E114)),ISNUMBER(SEARCH("fly magnet",E114))),"Fly Traps",
OR(ISNUMBER(SEARCH("uv",E114)),ISNUMBER(SEARCH("fly light",E114)),ISNUMBER(SEARCH("plug-in",E114))),"UV Fly Traps",
ISNUMBER(SEARCH("roach",E114)),"Roach Traps",
ISNUMBER(SEARCH("ant",E114)),"Ant Traps",
ISNUMBER(SEARCH("spider",E114)),"Spider Traps",
ISNUMBER(SEARCH("mosquito",E114)),"Mosquito Traps",
ISNUMBER(SEARCH("beetle",E114)),"Beetle Traps",
ISNUMBER(SEARCH("lantern",E114)),"Lanternfly Control",
OR(ISNUMBER(SEARCH("tree shield",E114)),ISNUMBER(SEARCH("tree banding",E114)),ISNUMBER(SEARCH("insect barrier",E114))),"Tree Barriers",
OR(ISNUMBER(SEARCH("sun &amp; shade",E114)),ISNUMBER(SEARCH("sun and shade",E114))),"Sun &amp; Shade Mix",
ISNUMBER(SEARCH("tall fescue",E114)),"Tall Fescue",
ISNUMBER(SEARCH("bermudagrass",E114)),"Bermudagrass",
ISNUMBER(SEARCH("kentucky",E114)),"Kentucky Bluegrass",
ISNUMBER(SEARCH("zoysia",E114)),"Zoysia",
ISNUMBER(SEARCH("ryegrass",E114)),"Perennial Ryegrass",
ISNUMBER(SEARCH("centipede",E114)),"Centipede Grass",
ISNUMBER(SEARCH("dense shade",E114)),"Dense Shade Mix",
ISNUMBER(SEARCH("southern gold",E114)),"Southern Gold Mix",
ISNUMBER(SEARCH("heat-tolerant blue",E114)),"Heat-Tolerant Blue Mix",
ISNUMBER(SEARCH("high traffic",E114)),"High Traffic Mix",
ISNUMBER(SEARCH("quick fix",E114)),"Quick Fix Mix",
ISNUMBER(SEARCH("starter",E114)),"Starter Fertilizer",
ISNUMBER(SEARCH("weed &amp; feed",E114)),"Weed &amp; Feed",
ISNUMBER(SEARCH("lawn food",E114)),"Lawn Food",
ISNUMBER(SEARCH("triple action",E114)),"Triple Action Fertilizer",
ISNUMBER(SEARCH("green max",E114)),"Green Max Lawn Food",
ISNUMBER(SEARCH("patchmaster",E114)),"PatchMaster Repair",
ISNUMBER(SEARCH("ez seed",E114)),"EZ Seed Repair",
ISNUMBER(SEARCH("rapid grass",E114)),"Rapid Grass",
ISNUMBER(SEARCH("thick'r lawn",E114)),"Thick'R Lawn",
ISNUMBER(SEARCH("fungicide",E114)),"Fungicide",
ISNUMBER(SEARCH("moss",E114)),"Moss Control",
ISNUMBER(SEARCH("perlite",E114)),"Perlite",
ISNUMBER(SEARCH("plant food",E114)),"Plant Food",
ISNUMBER(SEARCH("spreader",E114)),"Spreader",
ISNUMBER(SEARCH("sprayer",E114)),"Sprayer",
ISNUMBER(SEARCH("mower",E114)),"Lawn Mower",
ISNUMBER(SEARCH("sweeper",E114)),"Lawn Sweeper",
OR(ISNUMBER(SEARCH("pruner",E114)),ISNUMBER(SEARCH("trimmer",E114)),ISNUMBER(SEARCH("pole saw",E114))),"Pruning Tools",
TRUE,"Other"
)</f>
        <v>Weed &amp; Feed</v>
      </c>
      <c r="J114" s="7" t="str">
        <f t="shared" si="18"/>
        <v>Weed Control - Weed &amp; Feed</v>
      </c>
      <c r="K114" s="4">
        <v>3000</v>
      </c>
      <c r="L114" s="4">
        <v>4.5</v>
      </c>
      <c r="M114" s="4">
        <v>8918</v>
      </c>
      <c r="N114" s="4" t="s">
        <v>536</v>
      </c>
      <c r="O114" s="4">
        <f>VLOOKUP(A114,[3]Sheet1!$A:$B,2,0)</f>
        <v>1000</v>
      </c>
      <c r="P114" s="4">
        <f>VLOOKUP(A114,[3]Sheet1!$A:$C,3,0)</f>
        <v>250</v>
      </c>
      <c r="Q114" s="4">
        <f>VLOOKUP(A114,[3]Sheet1!$A:$D,4,0)</f>
        <v>250</v>
      </c>
      <c r="R114" s="4">
        <f>VLOOKUP(A114,[3]Sheet1!$A:$E,5,0)</f>
        <v>0</v>
      </c>
      <c r="S114" s="4">
        <f>VLOOKUP(A114,[3]Sheet1!$A:$F,6,0)</f>
        <v>0</v>
      </c>
      <c r="T114" s="4">
        <f>VLOOKUP(A114,[3]Sheet1!$A:$G,7,0)</f>
        <v>0</v>
      </c>
      <c r="U114" s="4">
        <f>VLOOKUP(A114,[3]Sheet1!$A:$I,8,0)</f>
        <v>0</v>
      </c>
      <c r="V114" s="4">
        <f>VLOOKUP(A114,[3]Sheet1!$A:$J,9,0)</f>
        <v>250</v>
      </c>
      <c r="W114" s="4">
        <f>VLOOKUP(A114,[3]Sheet1!$A:$J,10,0)</f>
        <v>3000</v>
      </c>
      <c r="X114" s="4">
        <f>VLOOKUP(A114,[3]Sheet1!$A:$K,11,0)</f>
        <v>10000</v>
      </c>
      <c r="Y114" s="4">
        <f>VLOOKUP(A114,[3]Sheet1!$A:$L,12,0)</f>
        <v>4000</v>
      </c>
      <c r="Z114" s="4">
        <f>VLOOKUP(A114,[3]Sheet1!$A:$M,13,0)</f>
        <v>2000</v>
      </c>
      <c r="AA114" s="4">
        <f t="shared" si="32"/>
        <v>20750</v>
      </c>
      <c r="AB114" s="7">
        <f t="shared" si="19"/>
        <v>1729</v>
      </c>
      <c r="AC114" s="15">
        <f t="shared" si="33"/>
        <v>1729.1666666666667</v>
      </c>
      <c r="AD114" s="16">
        <f t="shared" si="34"/>
        <v>718987.5</v>
      </c>
      <c r="AE114" s="16">
        <f t="shared" si="35"/>
        <v>59915.625</v>
      </c>
      <c r="AF114" s="16">
        <v>10.11</v>
      </c>
      <c r="AG114" s="16">
        <v>34.65</v>
      </c>
      <c r="AH114" s="8">
        <f t="shared" si="36"/>
        <v>0.18333333333333335</v>
      </c>
      <c r="AI114" s="8">
        <f t="shared" si="37"/>
        <v>0.64166666666666661</v>
      </c>
      <c r="AJ114" s="10">
        <v>0.5</v>
      </c>
      <c r="AK114" s="10">
        <v>0.5</v>
      </c>
      <c r="AL114" s="16">
        <v>10.11</v>
      </c>
      <c r="AM114" s="9">
        <f t="shared" si="24"/>
        <v>5.1974999999999998</v>
      </c>
      <c r="AN114" s="9">
        <f t="shared" si="25"/>
        <v>1.0394999999999999</v>
      </c>
      <c r="AO114" s="9">
        <f t="shared" si="26"/>
        <v>6.93</v>
      </c>
      <c r="AP114" s="9">
        <f t="shared" si="27"/>
        <v>0.69299999999999995</v>
      </c>
      <c r="AQ114" s="9">
        <f t="shared" si="28"/>
        <v>6.93</v>
      </c>
      <c r="AR114" s="9">
        <f t="shared" si="29"/>
        <v>8.6624999999999996</v>
      </c>
      <c r="AS114" s="11">
        <f t="shared" si="30"/>
        <v>1.8333333333333333</v>
      </c>
      <c r="AT114" s="12">
        <f t="shared" si="31"/>
        <v>0.67833333333333334</v>
      </c>
    </row>
    <row r="115" spans="1:46" ht="16.5" x14ac:dyDescent="0.4">
      <c r="A115" s="4" t="s">
        <v>562</v>
      </c>
      <c r="B115" s="4" t="s">
        <v>513</v>
      </c>
      <c r="C115" s="7" t="s">
        <v>1784</v>
      </c>
      <c r="D115" s="4" t="s">
        <v>563</v>
      </c>
      <c r="E115" s="4" t="s">
        <v>564</v>
      </c>
      <c r="F115" s="4" t="s">
        <v>565</v>
      </c>
      <c r="G115" s="7" t="str">
        <f>VLOOKUP(A115,[1]done!$A:$I,9,0)</f>
        <v>Lawn Fertilizer</v>
      </c>
      <c r="H115" s="7" t="str" cm="1">
        <f t="array" ref="H115">_xlfn.IFS(
OR(ISNUMBER(SEARCH("mouse",E115)),ISNUMBER(SEARCH("rat",E115)),ISNUMBER(SEARCH("mice",E115)),ISNUMBER(SEARCH("rodent",E115))),"Rodent Control",
OR(ISNUMBER(SEARCH("fly",E115)),ISNUMBER(SEARCH("gnat",E115)),ISNUMBER(SEARCH("insect",E115)),ISNUMBER(SEARCH("mosquito",E115))),"Flying Insect Control",
OR(ISNUMBER(SEARCH("roach",E115)),ISNUMBER(SEARCH("ant",E115)),ISNUMBER(SEARCH("spider",E115)),ISNUMBER(SEARCH("cricket",E115)),ISNUMBER(SEARCH("scorpion",E115)),ISNUMBER(SEARCH("centipede",E115)),ISNUMBER(SEARCH("beetle",E115))),"Crawling Insect Control",
OR(ISNUMBER(SEARCH("tree",E115)),ISNUMBER(SEARCH("lantern",E115)),ISNUMBER(SEARCH("garden",E115)),ISNUMBER(SEARCH("plant",E115))),"Garden Pest Control",
OR(ISNUMBER(SEARCH("grass seed",E115)),ISNUMBER(SEARCH("seed mix",E115))),"Grass Seed",
OR(ISNUMBER(SEARCH("lawn food",E115)),ISNUMBER(SEARCH("fertilizer",E115))),"Lawn Fertilizer",
OR(ISNUMBER(SEARCH("patch",E115)),ISNUMBER(SEARCH("repair",E115)),ISNUMBER(SEARCH("thick'r",E115)),ISNUMBER(SEARCH("thick'r lawn",E115)),ISNUMBER(SEARCH("rapid grass",E115))),"Lawn Repair",
OR(ISNUMBER(SEARCH("weed",E115)),ISNUMBER(SEARCH("crabgrass",E115))),"Weed Control",
OR(ISNUMBER(SEARCH("fungicide",E115)),ISNUMBER(SEARCH("moss",E115))),"Disease &amp; Moss Control",
OR(ISNUMBER(SEARCH("plant food",E115)),ISNUMBER(SEARCH("miracid",E115))),"Plant Nutrition",
OR(ISNUMBER(SEARCH("perlite",E115))),"Soil Amendment",
OR(ISNUMBER(SEARCH("spreader",E115)),ISNUMBER(SEARCH("sprayer",E115)),ISNUMBER(SEARCH("mower",E115)),ISNUMBER(SEARCH("sweeper",E115)),ISNUMBER(SEARCH("pruner",E115)),ISNUMBER(SEARCH("trimmer",E115)),ISNUMBER(SEARCH("pole saw",E115))),"Garden Equipment",
TRUE,"Other"
)</f>
        <v>Lawn Repair</v>
      </c>
      <c r="I115" s="7" t="str" cm="1">
        <f t="array" ref="I115">_xlfn.IFS(
OR(ISNUMBER(SEARCH("glue trap",E115)),ISNUMBER(SEARCH("glue board",E115))),"Glue Traps",
OR(ISNUMBER(SEARCH("snap trap",E115)),ISNUMBER(SEARCH("power-kill",E115)),ISNUMBER(SEARCH("wide pedal",E115)),ISNUMBER(SEARCH("metal pedal",E115))),"Snap Traps",
OR(ISNUMBER(SEARCH("electronic",E115)),ISNUMBER(SEARCH("zapper",E115))),"Electronic Traps",
OR(ISNUMBER(SEARCH("live catch",E115)),ISNUMBER(SEARCH("multi-catch",E115)),ISNUMBER(SEARCH("catch &amp; hold",E115)),ISNUMBER(SEARCH("tin cat",E115))),"Live Catch Traps",
OR(ISNUMBER(SEARCH("bait",E115)),ISNUMBER(SEARCH("poison",E115))),"Bait &amp; Poison",
ISNUMBER(SEARCH("repellent",E115)),"Repellents",
OR(ISNUMBER(SEARCH("fly trap",E115)),ISNUMBER(SEARCH("fly ribbon",E115)),ISNUMBER(SEARCH("fly stick",E115)),ISNUMBER(SEARCH("window fly",E115)),ISNUMBER(SEARCH("fly magnet",E115))),"Fly Traps",
OR(ISNUMBER(SEARCH("uv",E115)),ISNUMBER(SEARCH("fly light",E115)),ISNUMBER(SEARCH("plug-in",E115))),"UV Fly Traps",
ISNUMBER(SEARCH("roach",E115)),"Roach Traps",
ISNUMBER(SEARCH("ant",E115)),"Ant Traps",
ISNUMBER(SEARCH("spider",E115)),"Spider Traps",
ISNUMBER(SEARCH("mosquito",E115)),"Mosquito Traps",
ISNUMBER(SEARCH("beetle",E115)),"Beetle Traps",
ISNUMBER(SEARCH("lantern",E115)),"Lanternfly Control",
OR(ISNUMBER(SEARCH("tree shield",E115)),ISNUMBER(SEARCH("tree banding",E115)),ISNUMBER(SEARCH("insect barrier",E115))),"Tree Barriers",
OR(ISNUMBER(SEARCH("sun &amp; shade",E115)),ISNUMBER(SEARCH("sun and shade",E115))),"Sun &amp; Shade Mix",
ISNUMBER(SEARCH("tall fescue",E115)),"Tall Fescue",
ISNUMBER(SEARCH("bermudagrass",E115)),"Bermudagrass",
ISNUMBER(SEARCH("kentucky",E115)),"Kentucky Bluegrass",
ISNUMBER(SEARCH("zoysia",E115)),"Zoysia",
ISNUMBER(SEARCH("ryegrass",E115)),"Perennial Ryegrass",
ISNUMBER(SEARCH("centipede",E115)),"Centipede Grass",
ISNUMBER(SEARCH("dense shade",E115)),"Dense Shade Mix",
ISNUMBER(SEARCH("southern gold",E115)),"Southern Gold Mix",
ISNUMBER(SEARCH("heat-tolerant blue",E115)),"Heat-Tolerant Blue Mix",
ISNUMBER(SEARCH("high traffic",E115)),"High Traffic Mix",
ISNUMBER(SEARCH("quick fix",E115)),"Quick Fix Mix",
ISNUMBER(SEARCH("starter",E115)),"Starter Fertilizer",
ISNUMBER(SEARCH("weed &amp; feed",E115)),"Weed &amp; Feed",
ISNUMBER(SEARCH("lawn food",E115)),"Lawn Food",
ISNUMBER(SEARCH("triple action",E115)),"Triple Action Fertilizer",
ISNUMBER(SEARCH("green max",E115)),"Green Max Lawn Food",
ISNUMBER(SEARCH("patchmaster",E115)),"PatchMaster Repair",
ISNUMBER(SEARCH("ez seed",E115)),"EZ Seed Repair",
ISNUMBER(SEARCH("rapid grass",E115)),"Rapid Grass",
ISNUMBER(SEARCH("thick'r lawn",E115)),"Thick'R Lawn",
ISNUMBER(SEARCH("fungicide",E115)),"Fungicide",
ISNUMBER(SEARCH("moss",E115)),"Moss Control",
ISNUMBER(SEARCH("perlite",E115)),"Perlite",
ISNUMBER(SEARCH("plant food",E115)),"Plant Food",
ISNUMBER(SEARCH("spreader",E115)),"Spreader",
ISNUMBER(SEARCH("sprayer",E115)),"Sprayer",
ISNUMBER(SEARCH("mower",E115)),"Lawn Mower",
ISNUMBER(SEARCH("sweeper",E115)),"Lawn Sweeper",
OR(ISNUMBER(SEARCH("pruner",E115)),ISNUMBER(SEARCH("trimmer",E115)),ISNUMBER(SEARCH("pole saw",E115))),"Pruning Tools",
TRUE,"Other"
)</f>
        <v>PatchMaster Repair</v>
      </c>
      <c r="J115" s="7" t="str">
        <f t="shared" si="18"/>
        <v>Lawn Repair - PatchMaster Repair</v>
      </c>
      <c r="K115" s="4">
        <v>3000</v>
      </c>
      <c r="L115" s="4">
        <v>3.9</v>
      </c>
      <c r="M115" s="4">
        <v>7830</v>
      </c>
      <c r="N115" s="4" t="s">
        <v>566</v>
      </c>
      <c r="O115" s="4">
        <f>VLOOKUP(A115,[3]Sheet1!$A:$B,2,0)</f>
        <v>500</v>
      </c>
      <c r="P115" s="4">
        <f>VLOOKUP(A115,[3]Sheet1!$A:$C,3,0)</f>
        <v>1000</v>
      </c>
      <c r="Q115" s="4">
        <f>VLOOKUP(A115,[3]Sheet1!$A:$D,4,0)</f>
        <v>2000</v>
      </c>
      <c r="R115" s="4">
        <f>VLOOKUP(A115,[3]Sheet1!$A:$E,5,0)</f>
        <v>10000</v>
      </c>
      <c r="S115" s="4">
        <f>VLOOKUP(A115,[3]Sheet1!$A:$F,6,0)</f>
        <v>10000</v>
      </c>
      <c r="T115" s="4">
        <f>VLOOKUP(A115,[3]Sheet1!$A:$G,7,0)</f>
        <v>10000</v>
      </c>
      <c r="U115" s="4">
        <f>VLOOKUP(A115,[3]Sheet1!$A:$I,8,0)</f>
        <v>3000</v>
      </c>
      <c r="V115" s="4">
        <f>VLOOKUP(A115,[3]Sheet1!$A:$J,9,0)</f>
        <v>4000</v>
      </c>
      <c r="W115" s="4">
        <f>VLOOKUP(A115,[3]Sheet1!$A:$J,10,0)</f>
        <v>4000</v>
      </c>
      <c r="X115" s="4">
        <f>VLOOKUP(A115,[3]Sheet1!$A:$K,11,0)</f>
        <v>3000</v>
      </c>
      <c r="Y115" s="4">
        <f>VLOOKUP(A115,[3]Sheet1!$A:$L,12,0)</f>
        <v>1000</v>
      </c>
      <c r="Z115" s="4">
        <f>VLOOKUP(A115,[3]Sheet1!$A:$M,13,0)</f>
        <v>500</v>
      </c>
      <c r="AA115" s="4">
        <f t="shared" si="32"/>
        <v>49000</v>
      </c>
      <c r="AB115" s="7">
        <f t="shared" si="19"/>
        <v>4083</v>
      </c>
      <c r="AC115" s="15">
        <f t="shared" si="33"/>
        <v>4083.3333333333335</v>
      </c>
      <c r="AD115" s="16">
        <f t="shared" si="34"/>
        <v>709030</v>
      </c>
      <c r="AE115" s="16">
        <f t="shared" si="35"/>
        <v>59085.833333333336</v>
      </c>
      <c r="AF115" s="16">
        <v>8.2100000000000009</v>
      </c>
      <c r="AG115" s="16">
        <v>14.47</v>
      </c>
      <c r="AH115" s="8">
        <f t="shared" si="36"/>
        <v>-0.22813333333333341</v>
      </c>
      <c r="AI115" s="8">
        <f t="shared" si="37"/>
        <v>-0.79846666666666677</v>
      </c>
      <c r="AJ115" s="10">
        <v>0.5</v>
      </c>
      <c r="AK115" s="10">
        <v>0.5</v>
      </c>
      <c r="AL115" s="16">
        <v>8.2100000000000009</v>
      </c>
      <c r="AM115" s="9">
        <f t="shared" si="24"/>
        <v>2.1705000000000001</v>
      </c>
      <c r="AN115" s="9">
        <f t="shared" si="25"/>
        <v>0.43409999999999999</v>
      </c>
      <c r="AO115" s="9">
        <f t="shared" si="26"/>
        <v>2.8940000000000001</v>
      </c>
      <c r="AP115" s="9">
        <f t="shared" si="27"/>
        <v>0.28940000000000005</v>
      </c>
      <c r="AQ115" s="9">
        <f t="shared" si="28"/>
        <v>2.8940000000000001</v>
      </c>
      <c r="AR115" s="9">
        <f t="shared" si="29"/>
        <v>3.6175000000000002</v>
      </c>
      <c r="AS115" s="11">
        <f t="shared" si="30"/>
        <v>-2.2813333333333339</v>
      </c>
      <c r="AT115" s="12">
        <f t="shared" si="31"/>
        <v>-2.7636666666666669</v>
      </c>
    </row>
    <row r="116" spans="1:46" ht="16.5" x14ac:dyDescent="0.4">
      <c r="A116" s="4" t="s">
        <v>567</v>
      </c>
      <c r="B116" s="4" t="s">
        <v>513</v>
      </c>
      <c r="C116" s="7" t="s">
        <v>1784</v>
      </c>
      <c r="D116" s="4" t="s">
        <v>568</v>
      </c>
      <c r="E116" s="4" t="s">
        <v>569</v>
      </c>
      <c r="F116" s="4" t="s">
        <v>570</v>
      </c>
      <c r="G116" s="7" t="str">
        <f>VLOOKUP(A116,[1]done!$A:$I,9,0)</f>
        <v>Other - Scotts</v>
      </c>
      <c r="H116" s="7" t="str" cm="1">
        <f t="array" ref="H116">_xlfn.IFS(
OR(ISNUMBER(SEARCH("mouse",E116)),ISNUMBER(SEARCH("rat",E116)),ISNUMBER(SEARCH("mice",E116)),ISNUMBER(SEARCH("rodent",E116))),"Rodent Control",
OR(ISNUMBER(SEARCH("fly",E116)),ISNUMBER(SEARCH("gnat",E116)),ISNUMBER(SEARCH("insect",E116)),ISNUMBER(SEARCH("mosquito",E116))),"Flying Insect Control",
OR(ISNUMBER(SEARCH("roach",E116)),ISNUMBER(SEARCH("ant",E116)),ISNUMBER(SEARCH("spider",E116)),ISNUMBER(SEARCH("cricket",E116)),ISNUMBER(SEARCH("scorpion",E116)),ISNUMBER(SEARCH("centipede",E116)),ISNUMBER(SEARCH("beetle",E116))),"Crawling Insect Control",
OR(ISNUMBER(SEARCH("tree",E116)),ISNUMBER(SEARCH("lantern",E116)),ISNUMBER(SEARCH("garden",E116)),ISNUMBER(SEARCH("plant",E116))),"Garden Pest Control",
OR(ISNUMBER(SEARCH("grass seed",E116)),ISNUMBER(SEARCH("seed mix",E116))),"Grass Seed",
OR(ISNUMBER(SEARCH("lawn food",E116)),ISNUMBER(SEARCH("fertilizer",E116))),"Lawn Fertilizer",
OR(ISNUMBER(SEARCH("patch",E116)),ISNUMBER(SEARCH("repair",E116)),ISNUMBER(SEARCH("thick'r",E116)),ISNUMBER(SEARCH("thick'r lawn",E116)),ISNUMBER(SEARCH("rapid grass",E116))),"Lawn Repair",
OR(ISNUMBER(SEARCH("weed",E116)),ISNUMBER(SEARCH("crabgrass",E116))),"Weed Control",
OR(ISNUMBER(SEARCH("fungicide",E116)),ISNUMBER(SEARCH("moss",E116))),"Disease &amp; Moss Control",
OR(ISNUMBER(SEARCH("plant food",E116)),ISNUMBER(SEARCH("miracid",E116))),"Plant Nutrition",
OR(ISNUMBER(SEARCH("perlite",E116))),"Soil Amendment",
OR(ISNUMBER(SEARCH("spreader",E116)),ISNUMBER(SEARCH("sprayer",E116)),ISNUMBER(SEARCH("mower",E116)),ISNUMBER(SEARCH("sweeper",E116)),ISNUMBER(SEARCH("pruner",E116)),ISNUMBER(SEARCH("trimmer",E116)),ISNUMBER(SEARCH("pole saw",E116))),"Garden Equipment",
TRUE,"Other"
)</f>
        <v>Soil Amendment</v>
      </c>
      <c r="I116" s="7" t="str" cm="1">
        <f t="array" ref="I116">_xlfn.IFS(
OR(ISNUMBER(SEARCH("glue trap",E116)),ISNUMBER(SEARCH("glue board",E116))),"Glue Traps",
OR(ISNUMBER(SEARCH("snap trap",E116)),ISNUMBER(SEARCH("power-kill",E116)),ISNUMBER(SEARCH("wide pedal",E116)),ISNUMBER(SEARCH("metal pedal",E116))),"Snap Traps",
OR(ISNUMBER(SEARCH("electronic",E116)),ISNUMBER(SEARCH("zapper",E116))),"Electronic Traps",
OR(ISNUMBER(SEARCH("live catch",E116)),ISNUMBER(SEARCH("multi-catch",E116)),ISNUMBER(SEARCH("catch &amp; hold",E116)),ISNUMBER(SEARCH("tin cat",E116))),"Live Catch Traps",
OR(ISNUMBER(SEARCH("bait",E116)),ISNUMBER(SEARCH("poison",E116))),"Bait &amp; Poison",
ISNUMBER(SEARCH("repellent",E116)),"Repellents",
OR(ISNUMBER(SEARCH("fly trap",E116)),ISNUMBER(SEARCH("fly ribbon",E116)),ISNUMBER(SEARCH("fly stick",E116)),ISNUMBER(SEARCH("window fly",E116)),ISNUMBER(SEARCH("fly magnet",E116))),"Fly Traps",
OR(ISNUMBER(SEARCH("uv",E116)),ISNUMBER(SEARCH("fly light",E116)),ISNUMBER(SEARCH("plug-in",E116))),"UV Fly Traps",
ISNUMBER(SEARCH("roach",E116)),"Roach Traps",
ISNUMBER(SEARCH("ant",E116)),"Ant Traps",
ISNUMBER(SEARCH("spider",E116)),"Spider Traps",
ISNUMBER(SEARCH("mosquito",E116)),"Mosquito Traps",
ISNUMBER(SEARCH("beetle",E116)),"Beetle Traps",
ISNUMBER(SEARCH("lantern",E116)),"Lanternfly Control",
OR(ISNUMBER(SEARCH("tree shield",E116)),ISNUMBER(SEARCH("tree banding",E116)),ISNUMBER(SEARCH("insect barrier",E116))),"Tree Barriers",
OR(ISNUMBER(SEARCH("sun &amp; shade",E116)),ISNUMBER(SEARCH("sun and shade",E116))),"Sun &amp; Shade Mix",
ISNUMBER(SEARCH("tall fescue",E116)),"Tall Fescue",
ISNUMBER(SEARCH("bermudagrass",E116)),"Bermudagrass",
ISNUMBER(SEARCH("kentucky",E116)),"Kentucky Bluegrass",
ISNUMBER(SEARCH("zoysia",E116)),"Zoysia",
ISNUMBER(SEARCH("ryegrass",E116)),"Perennial Ryegrass",
ISNUMBER(SEARCH("centipede",E116)),"Centipede Grass",
ISNUMBER(SEARCH("dense shade",E116)),"Dense Shade Mix",
ISNUMBER(SEARCH("southern gold",E116)),"Southern Gold Mix",
ISNUMBER(SEARCH("heat-tolerant blue",E116)),"Heat-Tolerant Blue Mix",
ISNUMBER(SEARCH("high traffic",E116)),"High Traffic Mix",
ISNUMBER(SEARCH("quick fix",E116)),"Quick Fix Mix",
ISNUMBER(SEARCH("starter",E116)),"Starter Fertilizer",
ISNUMBER(SEARCH("weed &amp; feed",E116)),"Weed &amp; Feed",
ISNUMBER(SEARCH("lawn food",E116)),"Lawn Food",
ISNUMBER(SEARCH("triple action",E116)),"Triple Action Fertilizer",
ISNUMBER(SEARCH("green max",E116)),"Green Max Lawn Food",
ISNUMBER(SEARCH("patchmaster",E116)),"PatchMaster Repair",
ISNUMBER(SEARCH("ez seed",E116)),"EZ Seed Repair",
ISNUMBER(SEARCH("rapid grass",E116)),"Rapid Grass",
ISNUMBER(SEARCH("thick'r lawn",E116)),"Thick'R Lawn",
ISNUMBER(SEARCH("fungicide",E116)),"Fungicide",
ISNUMBER(SEARCH("moss",E116)),"Moss Control",
ISNUMBER(SEARCH("perlite",E116)),"Perlite",
ISNUMBER(SEARCH("plant food",E116)),"Plant Food",
ISNUMBER(SEARCH("spreader",E116)),"Spreader",
ISNUMBER(SEARCH("sprayer",E116)),"Sprayer",
ISNUMBER(SEARCH("mower",E116)),"Lawn Mower",
ISNUMBER(SEARCH("sweeper",E116)),"Lawn Sweeper",
OR(ISNUMBER(SEARCH("pruner",E116)),ISNUMBER(SEARCH("trimmer",E116)),ISNUMBER(SEARCH("pole saw",E116))),"Pruning Tools",
TRUE,"Other"
)</f>
        <v>Perlite</v>
      </c>
      <c r="J116" s="7" t="str">
        <f t="shared" si="18"/>
        <v>Soil Amendment - Perlite</v>
      </c>
      <c r="K116" s="4">
        <v>3000</v>
      </c>
      <c r="L116" s="4">
        <v>4.8</v>
      </c>
      <c r="M116" s="4">
        <v>11806</v>
      </c>
      <c r="N116" s="4" t="s">
        <v>242</v>
      </c>
      <c r="O116" s="4">
        <f>VLOOKUP(A116,[3]Sheet1!$A:$B,2,0)</f>
        <v>1000</v>
      </c>
      <c r="P116" s="4">
        <f>VLOOKUP(A116,[3]Sheet1!$A:$C,3,0)</f>
        <v>5000</v>
      </c>
      <c r="Q116" s="4">
        <f>VLOOKUP(A116,[3]Sheet1!$A:$D,4,0)</f>
        <v>3000</v>
      </c>
      <c r="R116" s="4">
        <f>VLOOKUP(A116,[3]Sheet1!$A:$E,5,0)</f>
        <v>9000</v>
      </c>
      <c r="S116" s="4">
        <f>VLOOKUP(A116,[3]Sheet1!$A:$F,6,0)</f>
        <v>250</v>
      </c>
      <c r="T116" s="4">
        <f>VLOOKUP(A116,[3]Sheet1!$A:$G,7,0)</f>
        <v>0</v>
      </c>
      <c r="U116" s="4">
        <f>VLOOKUP(A116,[3]Sheet1!$A:$I,8,0)</f>
        <v>500</v>
      </c>
      <c r="V116" s="4">
        <f>VLOOKUP(A116,[3]Sheet1!$A:$J,9,0)</f>
        <v>1000</v>
      </c>
      <c r="W116" s="4">
        <f>VLOOKUP(A116,[3]Sheet1!$A:$J,10,0)</f>
        <v>2000</v>
      </c>
      <c r="X116" s="4">
        <f>VLOOKUP(A116,[3]Sheet1!$A:$K,11,0)</f>
        <v>0</v>
      </c>
      <c r="Y116" s="4">
        <f>VLOOKUP(A116,[3]Sheet1!$A:$L,12,0)</f>
        <v>2000</v>
      </c>
      <c r="Z116" s="4">
        <f>VLOOKUP(A116,[3]Sheet1!$A:$M,13,0)</f>
        <v>2000</v>
      </c>
      <c r="AA116" s="4">
        <f t="shared" si="32"/>
        <v>25750</v>
      </c>
      <c r="AB116" s="7">
        <f t="shared" si="19"/>
        <v>2146</v>
      </c>
      <c r="AC116" s="15">
        <f t="shared" si="33"/>
        <v>2145.8333333333335</v>
      </c>
      <c r="AD116" s="16">
        <f t="shared" si="34"/>
        <v>334492.5</v>
      </c>
      <c r="AE116" s="16">
        <f t="shared" si="35"/>
        <v>27874.375000000004</v>
      </c>
      <c r="AF116" s="16">
        <v>9.0399999999999991</v>
      </c>
      <c r="AG116" s="16">
        <v>12.99</v>
      </c>
      <c r="AH116" s="8">
        <f t="shared" si="36"/>
        <v>-0.32293333333333329</v>
      </c>
      <c r="AI116" s="8">
        <f t="shared" si="37"/>
        <v>-1.1302666666666665</v>
      </c>
      <c r="AJ116" s="10">
        <v>0.5</v>
      </c>
      <c r="AK116" s="10">
        <v>0.5</v>
      </c>
      <c r="AL116" s="16">
        <v>9.0399999999999991</v>
      </c>
      <c r="AM116" s="9">
        <f t="shared" si="24"/>
        <v>1.9484999999999999</v>
      </c>
      <c r="AN116" s="9">
        <f t="shared" si="25"/>
        <v>0.38969999999999999</v>
      </c>
      <c r="AO116" s="9">
        <f t="shared" si="26"/>
        <v>2.5980000000000003</v>
      </c>
      <c r="AP116" s="9">
        <f t="shared" si="27"/>
        <v>0.25980000000000003</v>
      </c>
      <c r="AQ116" s="9">
        <f t="shared" si="28"/>
        <v>2.5980000000000003</v>
      </c>
      <c r="AR116" s="9">
        <f t="shared" si="29"/>
        <v>3.2475000000000001</v>
      </c>
      <c r="AS116" s="11">
        <f t="shared" si="30"/>
        <v>-3.2293333333333329</v>
      </c>
      <c r="AT116" s="12">
        <f t="shared" si="31"/>
        <v>-3.6623333333333328</v>
      </c>
    </row>
    <row r="117" spans="1:46" ht="16.5" x14ac:dyDescent="0.4">
      <c r="A117" s="4" t="s">
        <v>571</v>
      </c>
      <c r="B117" s="4" t="s">
        <v>513</v>
      </c>
      <c r="C117" s="7" t="s">
        <v>1784</v>
      </c>
      <c r="D117" s="4" t="s">
        <v>572</v>
      </c>
      <c r="E117" s="4" t="s">
        <v>573</v>
      </c>
      <c r="F117" s="4" t="s">
        <v>574</v>
      </c>
      <c r="G117" s="7" t="str">
        <f>VLOOKUP(A117,[1]done!$A:$I,9,0)</f>
        <v>Lawn Fertilizer</v>
      </c>
      <c r="H117" s="7" t="str" cm="1">
        <f t="array" ref="H117">_xlfn.IFS(
OR(ISNUMBER(SEARCH("mouse",E117)),ISNUMBER(SEARCH("rat",E117)),ISNUMBER(SEARCH("mice",E117)),ISNUMBER(SEARCH("rodent",E117))),"Rodent Control",
OR(ISNUMBER(SEARCH("fly",E117)),ISNUMBER(SEARCH("gnat",E117)),ISNUMBER(SEARCH("insect",E117)),ISNUMBER(SEARCH("mosquito",E117))),"Flying Insect Control",
OR(ISNUMBER(SEARCH("roach",E117)),ISNUMBER(SEARCH("ant",E117)),ISNUMBER(SEARCH("spider",E117)),ISNUMBER(SEARCH("cricket",E117)),ISNUMBER(SEARCH("scorpion",E117)),ISNUMBER(SEARCH("centipede",E117)),ISNUMBER(SEARCH("beetle",E117))),"Crawling Insect Control",
OR(ISNUMBER(SEARCH("tree",E117)),ISNUMBER(SEARCH("lantern",E117)),ISNUMBER(SEARCH("garden",E117)),ISNUMBER(SEARCH("plant",E117))),"Garden Pest Control",
OR(ISNUMBER(SEARCH("grass seed",E117)),ISNUMBER(SEARCH("seed mix",E117))),"Grass Seed",
OR(ISNUMBER(SEARCH("lawn food",E117)),ISNUMBER(SEARCH("fertilizer",E117))),"Lawn Fertilizer",
OR(ISNUMBER(SEARCH("patch",E117)),ISNUMBER(SEARCH("repair",E117)),ISNUMBER(SEARCH("thick'r",E117)),ISNUMBER(SEARCH("thick'r lawn",E117)),ISNUMBER(SEARCH("rapid grass",E117))),"Lawn Repair",
OR(ISNUMBER(SEARCH("weed",E117)),ISNUMBER(SEARCH("crabgrass",E117))),"Weed Control",
OR(ISNUMBER(SEARCH("fungicide",E117)),ISNUMBER(SEARCH("moss",E117))),"Disease &amp; Moss Control",
OR(ISNUMBER(SEARCH("plant food",E117)),ISNUMBER(SEARCH("miracid",E117))),"Plant Nutrition",
OR(ISNUMBER(SEARCH("perlite",E117))),"Soil Amendment",
OR(ISNUMBER(SEARCH("spreader",E117)),ISNUMBER(SEARCH("sprayer",E117)),ISNUMBER(SEARCH("mower",E117)),ISNUMBER(SEARCH("sweeper",E117)),ISNUMBER(SEARCH("pruner",E117)),ISNUMBER(SEARCH("trimmer",E117)),ISNUMBER(SEARCH("pole saw",E117))),"Garden Equipment",
TRUE,"Other"
)</f>
        <v>Lawn Fertilizer</v>
      </c>
      <c r="I117" s="7" t="str" cm="1">
        <f t="array" ref="I117">_xlfn.IFS(
OR(ISNUMBER(SEARCH("glue trap",E117)),ISNUMBER(SEARCH("glue board",E117))),"Glue Traps",
OR(ISNUMBER(SEARCH("snap trap",E117)),ISNUMBER(SEARCH("power-kill",E117)),ISNUMBER(SEARCH("wide pedal",E117)),ISNUMBER(SEARCH("metal pedal",E117))),"Snap Traps",
OR(ISNUMBER(SEARCH("electronic",E117)),ISNUMBER(SEARCH("zapper",E117))),"Electronic Traps",
OR(ISNUMBER(SEARCH("live catch",E117)),ISNUMBER(SEARCH("multi-catch",E117)),ISNUMBER(SEARCH("catch &amp; hold",E117)),ISNUMBER(SEARCH("tin cat",E117))),"Live Catch Traps",
OR(ISNUMBER(SEARCH("bait",E117)),ISNUMBER(SEARCH("poison",E117))),"Bait &amp; Poison",
ISNUMBER(SEARCH("repellent",E117)),"Repellents",
OR(ISNUMBER(SEARCH("fly trap",E117)),ISNUMBER(SEARCH("fly ribbon",E117)),ISNUMBER(SEARCH("fly stick",E117)),ISNUMBER(SEARCH("window fly",E117)),ISNUMBER(SEARCH("fly magnet",E117))),"Fly Traps",
OR(ISNUMBER(SEARCH("uv",E117)),ISNUMBER(SEARCH("fly light",E117)),ISNUMBER(SEARCH("plug-in",E117))),"UV Fly Traps",
ISNUMBER(SEARCH("roach",E117)),"Roach Traps",
ISNUMBER(SEARCH("ant",E117)),"Ant Traps",
ISNUMBER(SEARCH("spider",E117)),"Spider Traps",
ISNUMBER(SEARCH("mosquito",E117)),"Mosquito Traps",
ISNUMBER(SEARCH("beetle",E117)),"Beetle Traps",
ISNUMBER(SEARCH("lantern",E117)),"Lanternfly Control",
OR(ISNUMBER(SEARCH("tree shield",E117)),ISNUMBER(SEARCH("tree banding",E117)),ISNUMBER(SEARCH("insect barrier",E117))),"Tree Barriers",
OR(ISNUMBER(SEARCH("sun &amp; shade",E117)),ISNUMBER(SEARCH("sun and shade",E117))),"Sun &amp; Shade Mix",
ISNUMBER(SEARCH("tall fescue",E117)),"Tall Fescue",
ISNUMBER(SEARCH("bermudagrass",E117)),"Bermudagrass",
ISNUMBER(SEARCH("kentucky",E117)),"Kentucky Bluegrass",
ISNUMBER(SEARCH("zoysia",E117)),"Zoysia",
ISNUMBER(SEARCH("ryegrass",E117)),"Perennial Ryegrass",
ISNUMBER(SEARCH("centipede",E117)),"Centipede Grass",
ISNUMBER(SEARCH("dense shade",E117)),"Dense Shade Mix",
ISNUMBER(SEARCH("southern gold",E117)),"Southern Gold Mix",
ISNUMBER(SEARCH("heat-tolerant blue",E117)),"Heat-Tolerant Blue Mix",
ISNUMBER(SEARCH("high traffic",E117)),"High Traffic Mix",
ISNUMBER(SEARCH("quick fix",E117)),"Quick Fix Mix",
ISNUMBER(SEARCH("starter",E117)),"Starter Fertilizer",
ISNUMBER(SEARCH("weed &amp; feed",E117)),"Weed &amp; Feed",
ISNUMBER(SEARCH("lawn food",E117)),"Lawn Food",
ISNUMBER(SEARCH("triple action",E117)),"Triple Action Fertilizer",
ISNUMBER(SEARCH("green max",E117)),"Green Max Lawn Food",
ISNUMBER(SEARCH("patchmaster",E117)),"PatchMaster Repair",
ISNUMBER(SEARCH("ez seed",E117)),"EZ Seed Repair",
ISNUMBER(SEARCH("rapid grass",E117)),"Rapid Grass",
ISNUMBER(SEARCH("thick'r lawn",E117)),"Thick'R Lawn",
ISNUMBER(SEARCH("fungicide",E117)),"Fungicide",
ISNUMBER(SEARCH("moss",E117)),"Moss Control",
ISNUMBER(SEARCH("perlite",E117)),"Perlite",
ISNUMBER(SEARCH("plant food",E117)),"Plant Food",
ISNUMBER(SEARCH("spreader",E117)),"Spreader",
ISNUMBER(SEARCH("sprayer",E117)),"Sprayer",
ISNUMBER(SEARCH("mower",E117)),"Lawn Mower",
ISNUMBER(SEARCH("sweeper",E117)),"Lawn Sweeper",
OR(ISNUMBER(SEARCH("pruner",E117)),ISNUMBER(SEARCH("trimmer",E117)),ISNUMBER(SEARCH("pole saw",E117))),"Pruning Tools",
TRUE,"Other"
)</f>
        <v>Lawn Food</v>
      </c>
      <c r="J117" s="7" t="str">
        <f t="shared" si="18"/>
        <v>Lawn Fertilizer - Lawn Food</v>
      </c>
      <c r="K117" s="4">
        <v>3000</v>
      </c>
      <c r="L117" s="4">
        <v>4.5999999999999996</v>
      </c>
      <c r="M117" s="4">
        <v>8130</v>
      </c>
      <c r="N117" s="4" t="s">
        <v>526</v>
      </c>
      <c r="O117" s="4">
        <f>VLOOKUP(A117,[3]Sheet1!$A:$B,2,0)</f>
        <v>750</v>
      </c>
      <c r="P117" s="4">
        <f>VLOOKUP(A117,[3]Sheet1!$A:$C,3,0)</f>
        <v>1000</v>
      </c>
      <c r="Q117" s="4">
        <f>VLOOKUP(A117,[3]Sheet1!$A:$D,4,0)</f>
        <v>8000</v>
      </c>
      <c r="R117" s="4">
        <f>VLOOKUP(A117,[3]Sheet1!$A:$E,5,0)</f>
        <v>8000</v>
      </c>
      <c r="S117" s="4">
        <f>VLOOKUP(A117,[3]Sheet1!$A:$F,6,0)</f>
        <v>4000</v>
      </c>
      <c r="T117" s="4">
        <f>VLOOKUP(A117,[3]Sheet1!$A:$G,7,0)</f>
        <v>5000</v>
      </c>
      <c r="U117" s="4">
        <f>VLOOKUP(A117,[3]Sheet1!$A:$I,8,0)</f>
        <v>7000</v>
      </c>
      <c r="V117" s="4">
        <f>VLOOKUP(A117,[3]Sheet1!$A:$J,9,0)</f>
        <v>4000</v>
      </c>
      <c r="W117" s="4">
        <f>VLOOKUP(A117,[3]Sheet1!$A:$J,10,0)</f>
        <v>3000</v>
      </c>
      <c r="X117" s="4">
        <f>VLOOKUP(A117,[3]Sheet1!$A:$K,11,0)</f>
        <v>1000</v>
      </c>
      <c r="Y117" s="4">
        <f>VLOOKUP(A117,[3]Sheet1!$A:$L,12,0)</f>
        <v>1000</v>
      </c>
      <c r="Z117" s="4">
        <f>VLOOKUP(A117,[3]Sheet1!$A:$M,13,0)</f>
        <v>500</v>
      </c>
      <c r="AA117" s="4">
        <f t="shared" si="32"/>
        <v>43250</v>
      </c>
      <c r="AB117" s="7">
        <f t="shared" si="19"/>
        <v>3604</v>
      </c>
      <c r="AC117" s="15">
        <f t="shared" si="33"/>
        <v>3604.1666666666665</v>
      </c>
      <c r="AD117" s="16">
        <f t="shared" si="34"/>
        <v>1166885</v>
      </c>
      <c r="AE117" s="16">
        <f t="shared" si="35"/>
        <v>97240.416666666657</v>
      </c>
      <c r="AF117" s="16">
        <v>10.44</v>
      </c>
      <c r="AG117" s="16">
        <v>26.98</v>
      </c>
      <c r="AH117" s="8">
        <f t="shared" si="36"/>
        <v>-4.3200000000000099E-2</v>
      </c>
      <c r="AI117" s="8">
        <f t="shared" si="37"/>
        <v>-0.15120000000000033</v>
      </c>
      <c r="AJ117" s="10">
        <v>0.5</v>
      </c>
      <c r="AK117" s="10">
        <v>0.5</v>
      </c>
      <c r="AL117" s="16">
        <v>10.44</v>
      </c>
      <c r="AM117" s="9">
        <f t="shared" si="24"/>
        <v>4.0469999999999997</v>
      </c>
      <c r="AN117" s="9">
        <f t="shared" si="25"/>
        <v>0.80940000000000001</v>
      </c>
      <c r="AO117" s="9">
        <f t="shared" si="26"/>
        <v>5.3960000000000008</v>
      </c>
      <c r="AP117" s="9">
        <f t="shared" si="27"/>
        <v>0.53959999999999997</v>
      </c>
      <c r="AQ117" s="9">
        <f t="shared" si="28"/>
        <v>5.3960000000000008</v>
      </c>
      <c r="AR117" s="9">
        <f t="shared" si="29"/>
        <v>6.7450000000000001</v>
      </c>
      <c r="AS117" s="11">
        <f t="shared" si="30"/>
        <v>-0.43200000000000099</v>
      </c>
      <c r="AT117" s="12">
        <f t="shared" si="31"/>
        <v>-1.3313333333333339</v>
      </c>
    </row>
    <row r="118" spans="1:46" ht="16.5" x14ac:dyDescent="0.4">
      <c r="A118" s="4" t="s">
        <v>575</v>
      </c>
      <c r="B118" s="4" t="s">
        <v>513</v>
      </c>
      <c r="C118" s="7" t="s">
        <v>1784</v>
      </c>
      <c r="D118" s="4" t="s">
        <v>576</v>
      </c>
      <c r="E118" s="4" t="s">
        <v>577</v>
      </c>
      <c r="F118" s="4" t="s">
        <v>578</v>
      </c>
      <c r="G118" s="7" t="str">
        <f>VLOOKUP(A118,[1]done!$A:$I,9,0)</f>
        <v>Lawn Fertilizer</v>
      </c>
      <c r="H118" s="7" t="str" cm="1">
        <f t="array" ref="H118">_xlfn.IFS(
OR(ISNUMBER(SEARCH("mouse",E118)),ISNUMBER(SEARCH("rat",E118)),ISNUMBER(SEARCH("mice",E118)),ISNUMBER(SEARCH("rodent",E118))),"Rodent Control",
OR(ISNUMBER(SEARCH("fly",E118)),ISNUMBER(SEARCH("gnat",E118)),ISNUMBER(SEARCH("insect",E118)),ISNUMBER(SEARCH("mosquito",E118))),"Flying Insect Control",
OR(ISNUMBER(SEARCH("roach",E118)),ISNUMBER(SEARCH("ant",E118)),ISNUMBER(SEARCH("spider",E118)),ISNUMBER(SEARCH("cricket",E118)),ISNUMBER(SEARCH("scorpion",E118)),ISNUMBER(SEARCH("centipede",E118)),ISNUMBER(SEARCH("beetle",E118))),"Crawling Insect Control",
OR(ISNUMBER(SEARCH("tree",E118)),ISNUMBER(SEARCH("lantern",E118)),ISNUMBER(SEARCH("garden",E118)),ISNUMBER(SEARCH("plant",E118))),"Garden Pest Control",
OR(ISNUMBER(SEARCH("grass seed",E118)),ISNUMBER(SEARCH("seed mix",E118))),"Grass Seed",
OR(ISNUMBER(SEARCH("lawn food",E118)),ISNUMBER(SEARCH("fertilizer",E118))),"Lawn Fertilizer",
OR(ISNUMBER(SEARCH("patch",E118)),ISNUMBER(SEARCH("repair",E118)),ISNUMBER(SEARCH("thick'r",E118)),ISNUMBER(SEARCH("thick'r lawn",E118)),ISNUMBER(SEARCH("rapid grass",E118))),"Lawn Repair",
OR(ISNUMBER(SEARCH("weed",E118)),ISNUMBER(SEARCH("crabgrass",E118))),"Weed Control",
OR(ISNUMBER(SEARCH("fungicide",E118)),ISNUMBER(SEARCH("moss",E118))),"Disease &amp; Moss Control",
OR(ISNUMBER(SEARCH("plant food",E118)),ISNUMBER(SEARCH("miracid",E118))),"Plant Nutrition",
OR(ISNUMBER(SEARCH("perlite",E118))),"Soil Amendment",
OR(ISNUMBER(SEARCH("spreader",E118)),ISNUMBER(SEARCH("sprayer",E118)),ISNUMBER(SEARCH("mower",E118)),ISNUMBER(SEARCH("sweeper",E118)),ISNUMBER(SEARCH("pruner",E118)),ISNUMBER(SEARCH("trimmer",E118)),ISNUMBER(SEARCH("pole saw",E118))),"Garden Equipment",
TRUE,"Other"
)</f>
        <v>Lawn Fertilizer</v>
      </c>
      <c r="I118" s="7" t="str" cm="1">
        <f t="array" ref="I118">_xlfn.IFS(
OR(ISNUMBER(SEARCH("glue trap",E118)),ISNUMBER(SEARCH("glue board",E118))),"Glue Traps",
OR(ISNUMBER(SEARCH("snap trap",E118)),ISNUMBER(SEARCH("power-kill",E118)),ISNUMBER(SEARCH("wide pedal",E118)),ISNUMBER(SEARCH("metal pedal",E118))),"Snap Traps",
OR(ISNUMBER(SEARCH("electronic",E118)),ISNUMBER(SEARCH("zapper",E118))),"Electronic Traps",
OR(ISNUMBER(SEARCH("live catch",E118)),ISNUMBER(SEARCH("multi-catch",E118)),ISNUMBER(SEARCH("catch &amp; hold",E118)),ISNUMBER(SEARCH("tin cat",E118))),"Live Catch Traps",
OR(ISNUMBER(SEARCH("bait",E118)),ISNUMBER(SEARCH("poison",E118))),"Bait &amp; Poison",
ISNUMBER(SEARCH("repellent",E118)),"Repellents",
OR(ISNUMBER(SEARCH("fly trap",E118)),ISNUMBER(SEARCH("fly ribbon",E118)),ISNUMBER(SEARCH("fly stick",E118)),ISNUMBER(SEARCH("window fly",E118)),ISNUMBER(SEARCH("fly magnet",E118))),"Fly Traps",
OR(ISNUMBER(SEARCH("uv",E118)),ISNUMBER(SEARCH("fly light",E118)),ISNUMBER(SEARCH("plug-in",E118))),"UV Fly Traps",
ISNUMBER(SEARCH("roach",E118)),"Roach Traps",
ISNUMBER(SEARCH("ant",E118)),"Ant Traps",
ISNUMBER(SEARCH("spider",E118)),"Spider Traps",
ISNUMBER(SEARCH("mosquito",E118)),"Mosquito Traps",
ISNUMBER(SEARCH("beetle",E118)),"Beetle Traps",
ISNUMBER(SEARCH("lantern",E118)),"Lanternfly Control",
OR(ISNUMBER(SEARCH("tree shield",E118)),ISNUMBER(SEARCH("tree banding",E118)),ISNUMBER(SEARCH("insect barrier",E118))),"Tree Barriers",
OR(ISNUMBER(SEARCH("sun &amp; shade",E118)),ISNUMBER(SEARCH("sun and shade",E118))),"Sun &amp; Shade Mix",
ISNUMBER(SEARCH("tall fescue",E118)),"Tall Fescue",
ISNUMBER(SEARCH("bermudagrass",E118)),"Bermudagrass",
ISNUMBER(SEARCH("kentucky",E118)),"Kentucky Bluegrass",
ISNUMBER(SEARCH("zoysia",E118)),"Zoysia",
ISNUMBER(SEARCH("ryegrass",E118)),"Perennial Ryegrass",
ISNUMBER(SEARCH("centipede",E118)),"Centipede Grass",
ISNUMBER(SEARCH("dense shade",E118)),"Dense Shade Mix",
ISNUMBER(SEARCH("southern gold",E118)),"Southern Gold Mix",
ISNUMBER(SEARCH("heat-tolerant blue",E118)),"Heat-Tolerant Blue Mix",
ISNUMBER(SEARCH("high traffic",E118)),"High Traffic Mix",
ISNUMBER(SEARCH("quick fix",E118)),"Quick Fix Mix",
ISNUMBER(SEARCH("starter",E118)),"Starter Fertilizer",
ISNUMBER(SEARCH("weed &amp; feed",E118)),"Weed &amp; Feed",
ISNUMBER(SEARCH("lawn food",E118)),"Lawn Food",
ISNUMBER(SEARCH("triple action",E118)),"Triple Action Fertilizer",
ISNUMBER(SEARCH("green max",E118)),"Green Max Lawn Food",
ISNUMBER(SEARCH("patchmaster",E118)),"PatchMaster Repair",
ISNUMBER(SEARCH("ez seed",E118)),"EZ Seed Repair",
ISNUMBER(SEARCH("rapid grass",E118)),"Rapid Grass",
ISNUMBER(SEARCH("thick'r lawn",E118)),"Thick'R Lawn",
ISNUMBER(SEARCH("fungicide",E118)),"Fungicide",
ISNUMBER(SEARCH("moss",E118)),"Moss Control",
ISNUMBER(SEARCH("perlite",E118)),"Perlite",
ISNUMBER(SEARCH("plant food",E118)),"Plant Food",
ISNUMBER(SEARCH("spreader",E118)),"Spreader",
ISNUMBER(SEARCH("sprayer",E118)),"Sprayer",
ISNUMBER(SEARCH("mower",E118)),"Lawn Mower",
ISNUMBER(SEARCH("sweeper",E118)),"Lawn Sweeper",
OR(ISNUMBER(SEARCH("pruner",E118)),ISNUMBER(SEARCH("trimmer",E118)),ISNUMBER(SEARCH("pole saw",E118))),"Pruning Tools",
TRUE,"Other"
)</f>
        <v>Lawn Food</v>
      </c>
      <c r="J118" s="7" t="str">
        <f t="shared" si="18"/>
        <v>Lawn Fertilizer - Lawn Food</v>
      </c>
      <c r="K118" s="4">
        <v>3000</v>
      </c>
      <c r="L118" s="4">
        <v>4.3</v>
      </c>
      <c r="M118" s="4">
        <v>3836</v>
      </c>
      <c r="N118" s="4" t="s">
        <v>579</v>
      </c>
      <c r="O118" s="4">
        <f>VLOOKUP(A118,[3]Sheet1!$A:$B,2,0)</f>
        <v>100</v>
      </c>
      <c r="P118" s="4">
        <f>VLOOKUP(A118,[3]Sheet1!$A:$C,3,0)</f>
        <v>100</v>
      </c>
      <c r="Q118" s="4">
        <f>VLOOKUP(A118,[3]Sheet1!$A:$D,4,0)</f>
        <v>100</v>
      </c>
      <c r="R118" s="4">
        <f>VLOOKUP(A118,[3]Sheet1!$A:$E,5,0)</f>
        <v>1000</v>
      </c>
      <c r="S118" s="4">
        <f>VLOOKUP(A118,[3]Sheet1!$A:$F,6,0)</f>
        <v>3000</v>
      </c>
      <c r="T118" s="4">
        <f>VLOOKUP(A118,[3]Sheet1!$A:$G,7,0)</f>
        <v>500</v>
      </c>
      <c r="U118" s="4">
        <f>VLOOKUP(A118,[3]Sheet1!$A:$I,8,0)</f>
        <v>1000</v>
      </c>
      <c r="V118" s="4">
        <f>VLOOKUP(A118,[3]Sheet1!$A:$J,9,0)</f>
        <v>1000</v>
      </c>
      <c r="W118" s="4">
        <f>VLOOKUP(A118,[3]Sheet1!$A:$J,10,0)</f>
        <v>2000</v>
      </c>
      <c r="X118" s="4">
        <f>VLOOKUP(A118,[3]Sheet1!$A:$K,11,0)</f>
        <v>400</v>
      </c>
      <c r="Y118" s="4">
        <f>VLOOKUP(A118,[3]Sheet1!$A:$L,12,0)</f>
        <v>300</v>
      </c>
      <c r="Z118" s="4">
        <f>VLOOKUP(A118,[3]Sheet1!$A:$M,13,0)</f>
        <v>100</v>
      </c>
      <c r="AA118" s="4">
        <f t="shared" si="32"/>
        <v>9600</v>
      </c>
      <c r="AB118" s="7">
        <f t="shared" si="19"/>
        <v>800</v>
      </c>
      <c r="AC118" s="15">
        <f t="shared" si="33"/>
        <v>800</v>
      </c>
      <c r="AD118" s="16">
        <f t="shared" si="34"/>
        <v>211103.99999999997</v>
      </c>
      <c r="AE118" s="16">
        <f t="shared" si="35"/>
        <v>17592</v>
      </c>
      <c r="AF118" s="16">
        <v>7.3</v>
      </c>
      <c r="AG118" s="16">
        <v>21.99</v>
      </c>
      <c r="AH118" s="8">
        <f t="shared" si="36"/>
        <v>3.306666666666664E-2</v>
      </c>
      <c r="AI118" s="8">
        <f t="shared" si="37"/>
        <v>0.11573333333333323</v>
      </c>
      <c r="AJ118" s="10">
        <v>0.5</v>
      </c>
      <c r="AK118" s="10">
        <v>0.5</v>
      </c>
      <c r="AL118" s="16">
        <v>7.3</v>
      </c>
      <c r="AM118" s="9">
        <f t="shared" si="24"/>
        <v>3.2984999999999998</v>
      </c>
      <c r="AN118" s="9">
        <f t="shared" si="25"/>
        <v>0.65969999999999995</v>
      </c>
      <c r="AO118" s="9">
        <f t="shared" si="26"/>
        <v>4.3979999999999997</v>
      </c>
      <c r="AP118" s="9">
        <f t="shared" si="27"/>
        <v>0.43979999999999997</v>
      </c>
      <c r="AQ118" s="9">
        <f t="shared" si="28"/>
        <v>4.3979999999999997</v>
      </c>
      <c r="AR118" s="9">
        <f t="shared" si="29"/>
        <v>5.4974999999999996</v>
      </c>
      <c r="AS118" s="11">
        <f t="shared" si="30"/>
        <v>0.33066666666666639</v>
      </c>
      <c r="AT118" s="12">
        <f t="shared" si="31"/>
        <v>-0.4023333333333336</v>
      </c>
    </row>
    <row r="119" spans="1:46" ht="16.5" x14ac:dyDescent="0.4">
      <c r="A119" s="4" t="s">
        <v>580</v>
      </c>
      <c r="B119" s="4" t="s">
        <v>513</v>
      </c>
      <c r="C119" s="7" t="s">
        <v>1784</v>
      </c>
      <c r="D119" s="4" t="s">
        <v>581</v>
      </c>
      <c r="E119" s="4" t="s">
        <v>582</v>
      </c>
      <c r="F119" s="4" t="s">
        <v>583</v>
      </c>
      <c r="G119" s="7" t="str">
        <f>VLOOKUP(A119,[1]done!$A:$I,9,0)</f>
        <v>Lawn Fertilizer</v>
      </c>
      <c r="H119" s="7" t="str" cm="1">
        <f t="array" ref="H119">_xlfn.IFS(
OR(ISNUMBER(SEARCH("mouse",E119)),ISNUMBER(SEARCH("rat",E119)),ISNUMBER(SEARCH("mice",E119)),ISNUMBER(SEARCH("rodent",E119))),"Rodent Control",
OR(ISNUMBER(SEARCH("fly",E119)),ISNUMBER(SEARCH("gnat",E119)),ISNUMBER(SEARCH("insect",E119)),ISNUMBER(SEARCH("mosquito",E119))),"Flying Insect Control",
OR(ISNUMBER(SEARCH("roach",E119)),ISNUMBER(SEARCH("ant",E119)),ISNUMBER(SEARCH("spider",E119)),ISNUMBER(SEARCH("cricket",E119)),ISNUMBER(SEARCH("scorpion",E119)),ISNUMBER(SEARCH("centipede",E119)),ISNUMBER(SEARCH("beetle",E119))),"Crawling Insect Control",
OR(ISNUMBER(SEARCH("tree",E119)),ISNUMBER(SEARCH("lantern",E119)),ISNUMBER(SEARCH("garden",E119)),ISNUMBER(SEARCH("plant",E119))),"Garden Pest Control",
OR(ISNUMBER(SEARCH("grass seed",E119)),ISNUMBER(SEARCH("seed mix",E119))),"Grass Seed",
OR(ISNUMBER(SEARCH("lawn food",E119)),ISNUMBER(SEARCH("fertilizer",E119))),"Lawn Fertilizer",
OR(ISNUMBER(SEARCH("patch",E119)),ISNUMBER(SEARCH("repair",E119)),ISNUMBER(SEARCH("thick'r",E119)),ISNUMBER(SEARCH("thick'r lawn",E119)),ISNUMBER(SEARCH("rapid grass",E119))),"Lawn Repair",
OR(ISNUMBER(SEARCH("weed",E119)),ISNUMBER(SEARCH("crabgrass",E119))),"Weed Control",
OR(ISNUMBER(SEARCH("fungicide",E119)),ISNUMBER(SEARCH("moss",E119))),"Disease &amp; Moss Control",
OR(ISNUMBER(SEARCH("plant food",E119)),ISNUMBER(SEARCH("miracid",E119))),"Plant Nutrition",
OR(ISNUMBER(SEARCH("perlite",E119))),"Soil Amendment",
OR(ISNUMBER(SEARCH("spreader",E119)),ISNUMBER(SEARCH("sprayer",E119)),ISNUMBER(SEARCH("mower",E119)),ISNUMBER(SEARCH("sweeper",E119)),ISNUMBER(SEARCH("pruner",E119)),ISNUMBER(SEARCH("trimmer",E119)),ISNUMBER(SEARCH("pole saw",E119))),"Garden Equipment",
TRUE,"Other"
)</f>
        <v>Lawn Repair</v>
      </c>
      <c r="I119" s="7" t="str" cm="1">
        <f t="array" ref="I119">_xlfn.IFS(
OR(ISNUMBER(SEARCH("glue trap",E119)),ISNUMBER(SEARCH("glue board",E119))),"Glue Traps",
OR(ISNUMBER(SEARCH("snap trap",E119)),ISNUMBER(SEARCH("power-kill",E119)),ISNUMBER(SEARCH("wide pedal",E119)),ISNUMBER(SEARCH("metal pedal",E119))),"Snap Traps",
OR(ISNUMBER(SEARCH("electronic",E119)),ISNUMBER(SEARCH("zapper",E119))),"Electronic Traps",
OR(ISNUMBER(SEARCH("live catch",E119)),ISNUMBER(SEARCH("multi-catch",E119)),ISNUMBER(SEARCH("catch &amp; hold",E119)),ISNUMBER(SEARCH("tin cat",E119))),"Live Catch Traps",
OR(ISNUMBER(SEARCH("bait",E119)),ISNUMBER(SEARCH("poison",E119))),"Bait &amp; Poison",
ISNUMBER(SEARCH("repellent",E119)),"Repellents",
OR(ISNUMBER(SEARCH("fly trap",E119)),ISNUMBER(SEARCH("fly ribbon",E119)),ISNUMBER(SEARCH("fly stick",E119)),ISNUMBER(SEARCH("window fly",E119)),ISNUMBER(SEARCH("fly magnet",E119))),"Fly Traps",
OR(ISNUMBER(SEARCH("uv",E119)),ISNUMBER(SEARCH("fly light",E119)),ISNUMBER(SEARCH("plug-in",E119))),"UV Fly Traps",
ISNUMBER(SEARCH("roach",E119)),"Roach Traps",
ISNUMBER(SEARCH("ant",E119)),"Ant Traps",
ISNUMBER(SEARCH("spider",E119)),"Spider Traps",
ISNUMBER(SEARCH("mosquito",E119)),"Mosquito Traps",
ISNUMBER(SEARCH("beetle",E119)),"Beetle Traps",
ISNUMBER(SEARCH("lantern",E119)),"Lanternfly Control",
OR(ISNUMBER(SEARCH("tree shield",E119)),ISNUMBER(SEARCH("tree banding",E119)),ISNUMBER(SEARCH("insect barrier",E119))),"Tree Barriers",
OR(ISNUMBER(SEARCH("sun &amp; shade",E119)),ISNUMBER(SEARCH("sun and shade",E119))),"Sun &amp; Shade Mix",
ISNUMBER(SEARCH("tall fescue",E119)),"Tall Fescue",
ISNUMBER(SEARCH("bermudagrass",E119)),"Bermudagrass",
ISNUMBER(SEARCH("kentucky",E119)),"Kentucky Bluegrass",
ISNUMBER(SEARCH("zoysia",E119)),"Zoysia",
ISNUMBER(SEARCH("ryegrass",E119)),"Perennial Ryegrass",
ISNUMBER(SEARCH("centipede",E119)),"Centipede Grass",
ISNUMBER(SEARCH("dense shade",E119)),"Dense Shade Mix",
ISNUMBER(SEARCH("southern gold",E119)),"Southern Gold Mix",
ISNUMBER(SEARCH("heat-tolerant blue",E119)),"Heat-Tolerant Blue Mix",
ISNUMBER(SEARCH("high traffic",E119)),"High Traffic Mix",
ISNUMBER(SEARCH("quick fix",E119)),"Quick Fix Mix",
ISNUMBER(SEARCH("starter",E119)),"Starter Fertilizer",
ISNUMBER(SEARCH("weed &amp; feed",E119)),"Weed &amp; Feed",
ISNUMBER(SEARCH("lawn food",E119)),"Lawn Food",
ISNUMBER(SEARCH("triple action",E119)),"Triple Action Fertilizer",
ISNUMBER(SEARCH("green max",E119)),"Green Max Lawn Food",
ISNUMBER(SEARCH("patchmaster",E119)),"PatchMaster Repair",
ISNUMBER(SEARCH("ez seed",E119)),"EZ Seed Repair",
ISNUMBER(SEARCH("rapid grass",E119)),"Rapid Grass",
ISNUMBER(SEARCH("thick'r lawn",E119)),"Thick'R Lawn",
ISNUMBER(SEARCH("fungicide",E119)),"Fungicide",
ISNUMBER(SEARCH("moss",E119)),"Moss Control",
ISNUMBER(SEARCH("perlite",E119)),"Perlite",
ISNUMBER(SEARCH("plant food",E119)),"Plant Food",
ISNUMBER(SEARCH("spreader",E119)),"Spreader",
ISNUMBER(SEARCH("sprayer",E119)),"Sprayer",
ISNUMBER(SEARCH("mower",E119)),"Lawn Mower",
ISNUMBER(SEARCH("sweeper",E119)),"Lawn Sweeper",
OR(ISNUMBER(SEARCH("pruner",E119)),ISNUMBER(SEARCH("trimmer",E119)),ISNUMBER(SEARCH("pole saw",E119))),"Pruning Tools",
TRUE,"Other"
)</f>
        <v>Sun &amp; Shade Mix</v>
      </c>
      <c r="J119" s="7" t="str">
        <f t="shared" si="18"/>
        <v>Lawn Repair - Sun &amp; Shade Mix</v>
      </c>
      <c r="K119" s="4">
        <v>2000</v>
      </c>
      <c r="L119" s="4">
        <v>4.2</v>
      </c>
      <c r="M119" s="4">
        <v>13295</v>
      </c>
      <c r="N119" s="4" t="s">
        <v>584</v>
      </c>
      <c r="O119" s="4">
        <f>VLOOKUP(A119,[3]Sheet1!$A:$B,2,0)</f>
        <v>0</v>
      </c>
      <c r="P119" s="4">
        <f>VLOOKUP(A119,[3]Sheet1!$A:$C,3,0)</f>
        <v>250</v>
      </c>
      <c r="Q119" s="4">
        <f>VLOOKUP(A119,[3]Sheet1!$A:$D,4,0)</f>
        <v>1000</v>
      </c>
      <c r="R119" s="4">
        <f>VLOOKUP(A119,[3]Sheet1!$A:$E,5,0)</f>
        <v>10000</v>
      </c>
      <c r="S119" s="4">
        <f>VLOOKUP(A119,[3]Sheet1!$A:$F,6,0)</f>
        <v>10000</v>
      </c>
      <c r="T119" s="4">
        <f>VLOOKUP(A119,[3]Sheet1!$A:$G,7,0)</f>
        <v>3000</v>
      </c>
      <c r="U119" s="4">
        <f>VLOOKUP(A119,[3]Sheet1!$A:$I,8,0)</f>
        <v>1000</v>
      </c>
      <c r="V119" s="4">
        <f>VLOOKUP(A119,[3]Sheet1!$A:$J,9,0)</f>
        <v>1000</v>
      </c>
      <c r="W119" s="4">
        <f>VLOOKUP(A119,[3]Sheet1!$A:$J,10,0)</f>
        <v>2000</v>
      </c>
      <c r="X119" s="4">
        <f>VLOOKUP(A119,[3]Sheet1!$A:$K,11,0)</f>
        <v>1000</v>
      </c>
      <c r="Y119" s="4">
        <f>VLOOKUP(A119,[3]Sheet1!$A:$L,12,0)</f>
        <v>250</v>
      </c>
      <c r="Z119" s="4">
        <f>VLOOKUP(A119,[3]Sheet1!$A:$M,13,0)</f>
        <v>250</v>
      </c>
      <c r="AA119" s="4">
        <f t="shared" si="32"/>
        <v>29750</v>
      </c>
      <c r="AB119" s="7">
        <f t="shared" si="19"/>
        <v>2479</v>
      </c>
      <c r="AC119" s="15">
        <f t="shared" si="33"/>
        <v>2479.1666666666665</v>
      </c>
      <c r="AD119" s="16">
        <f t="shared" si="34"/>
        <v>1011202.5000000001</v>
      </c>
      <c r="AE119" s="16">
        <f t="shared" si="35"/>
        <v>84266.875</v>
      </c>
      <c r="AF119" s="16">
        <v>9.6999999999999993</v>
      </c>
      <c r="AG119" s="16">
        <v>33.99</v>
      </c>
      <c r="AH119" s="8">
        <f t="shared" si="36"/>
        <v>0.1930666666666668</v>
      </c>
      <c r="AI119" s="8">
        <f t="shared" si="37"/>
        <v>0.67573333333333374</v>
      </c>
      <c r="AJ119" s="10">
        <v>0.5</v>
      </c>
      <c r="AK119" s="10">
        <v>0.5</v>
      </c>
      <c r="AL119" s="16">
        <v>9.6999999999999993</v>
      </c>
      <c r="AM119" s="9">
        <f t="shared" si="24"/>
        <v>5.0985000000000005</v>
      </c>
      <c r="AN119" s="9">
        <f t="shared" si="25"/>
        <v>1.0197000000000001</v>
      </c>
      <c r="AO119" s="9">
        <f t="shared" si="26"/>
        <v>6.7980000000000009</v>
      </c>
      <c r="AP119" s="9">
        <f t="shared" si="27"/>
        <v>0.67980000000000007</v>
      </c>
      <c r="AQ119" s="9">
        <f t="shared" si="28"/>
        <v>6.7980000000000009</v>
      </c>
      <c r="AR119" s="9">
        <f t="shared" si="29"/>
        <v>8.4975000000000005</v>
      </c>
      <c r="AS119" s="11">
        <f t="shared" si="30"/>
        <v>1.9306666666666679</v>
      </c>
      <c r="AT119" s="12">
        <f t="shared" si="31"/>
        <v>0.79766666666666808</v>
      </c>
    </row>
    <row r="120" spans="1:46" ht="16.5" x14ac:dyDescent="0.4">
      <c r="A120" s="4" t="s">
        <v>585</v>
      </c>
      <c r="B120" s="4" t="s">
        <v>513</v>
      </c>
      <c r="C120" s="7" t="s">
        <v>513</v>
      </c>
      <c r="D120" s="4" t="s">
        <v>586</v>
      </c>
      <c r="E120" s="4" t="s">
        <v>587</v>
      </c>
      <c r="F120" s="4" t="s">
        <v>588</v>
      </c>
      <c r="G120" s="7" t="str">
        <f>VLOOKUP(A120,[1]done!$A:$I,9,0)</f>
        <v>Lawn Fertilizer</v>
      </c>
      <c r="H120" s="7" t="str" cm="1">
        <f t="array" ref="H120">_xlfn.IFS(
OR(ISNUMBER(SEARCH("mouse",E120)),ISNUMBER(SEARCH("rat",E120)),ISNUMBER(SEARCH("mice",E120)),ISNUMBER(SEARCH("rodent",E120))),"Rodent Control",
OR(ISNUMBER(SEARCH("fly",E120)),ISNUMBER(SEARCH("gnat",E120)),ISNUMBER(SEARCH("insect",E120)),ISNUMBER(SEARCH("mosquito",E120))),"Flying Insect Control",
OR(ISNUMBER(SEARCH("roach",E120)),ISNUMBER(SEARCH("ant",E120)),ISNUMBER(SEARCH("spider",E120)),ISNUMBER(SEARCH("cricket",E120)),ISNUMBER(SEARCH("scorpion",E120)),ISNUMBER(SEARCH("centipede",E120)),ISNUMBER(SEARCH("beetle",E120))),"Crawling Insect Control",
OR(ISNUMBER(SEARCH("tree",E120)),ISNUMBER(SEARCH("lantern",E120)),ISNUMBER(SEARCH("garden",E120)),ISNUMBER(SEARCH("plant",E120))),"Garden Pest Control",
OR(ISNUMBER(SEARCH("grass seed",E120)),ISNUMBER(SEARCH("seed mix",E120))),"Grass Seed",
OR(ISNUMBER(SEARCH("lawn food",E120)),ISNUMBER(SEARCH("fertilizer",E120))),"Lawn Fertilizer",
OR(ISNUMBER(SEARCH("patch",E120)),ISNUMBER(SEARCH("repair",E120)),ISNUMBER(SEARCH("thick'r",E120)),ISNUMBER(SEARCH("thick'r lawn",E120)),ISNUMBER(SEARCH("rapid grass",E120))),"Lawn Repair",
OR(ISNUMBER(SEARCH("weed",E120)),ISNUMBER(SEARCH("crabgrass",E120))),"Weed Control",
OR(ISNUMBER(SEARCH("fungicide",E120)),ISNUMBER(SEARCH("moss",E120))),"Disease &amp; Moss Control",
OR(ISNUMBER(SEARCH("plant food",E120)),ISNUMBER(SEARCH("miracid",E120))),"Plant Nutrition",
OR(ISNUMBER(SEARCH("perlite",E120))),"Soil Amendment",
OR(ISNUMBER(SEARCH("spreader",E120)),ISNUMBER(SEARCH("sprayer",E120)),ISNUMBER(SEARCH("mower",E120)),ISNUMBER(SEARCH("sweeper",E120)),ISNUMBER(SEARCH("pruner",E120)),ISNUMBER(SEARCH("trimmer",E120)),ISNUMBER(SEARCH("pole saw",E120))),"Garden Equipment",
TRUE,"Other"
)</f>
        <v>Weed Control</v>
      </c>
      <c r="I120" s="7" t="str" cm="1">
        <f t="array" ref="I120">_xlfn.IFS(
OR(ISNUMBER(SEARCH("glue trap",E120)),ISNUMBER(SEARCH("glue board",E120))),"Glue Traps",
OR(ISNUMBER(SEARCH("snap trap",E120)),ISNUMBER(SEARCH("power-kill",E120)),ISNUMBER(SEARCH("wide pedal",E120)),ISNUMBER(SEARCH("metal pedal",E120))),"Snap Traps",
OR(ISNUMBER(SEARCH("electronic",E120)),ISNUMBER(SEARCH("zapper",E120))),"Electronic Traps",
OR(ISNUMBER(SEARCH("live catch",E120)),ISNUMBER(SEARCH("multi-catch",E120)),ISNUMBER(SEARCH("catch &amp; hold",E120)),ISNUMBER(SEARCH("tin cat",E120))),"Live Catch Traps",
OR(ISNUMBER(SEARCH("bait",E120)),ISNUMBER(SEARCH("poison",E120))),"Bait &amp; Poison",
ISNUMBER(SEARCH("repellent",E120)),"Repellents",
OR(ISNUMBER(SEARCH("fly trap",E120)),ISNUMBER(SEARCH("fly ribbon",E120)),ISNUMBER(SEARCH("fly stick",E120)),ISNUMBER(SEARCH("window fly",E120)),ISNUMBER(SEARCH("fly magnet",E120))),"Fly Traps",
OR(ISNUMBER(SEARCH("uv",E120)),ISNUMBER(SEARCH("fly light",E120)),ISNUMBER(SEARCH("plug-in",E120))),"UV Fly Traps",
ISNUMBER(SEARCH("roach",E120)),"Roach Traps",
ISNUMBER(SEARCH("ant",E120)),"Ant Traps",
ISNUMBER(SEARCH("spider",E120)),"Spider Traps",
ISNUMBER(SEARCH("mosquito",E120)),"Mosquito Traps",
ISNUMBER(SEARCH("beetle",E120)),"Beetle Traps",
ISNUMBER(SEARCH("lantern",E120)),"Lanternfly Control",
OR(ISNUMBER(SEARCH("tree shield",E120)),ISNUMBER(SEARCH("tree banding",E120)),ISNUMBER(SEARCH("insect barrier",E120))),"Tree Barriers",
OR(ISNUMBER(SEARCH("sun &amp; shade",E120)),ISNUMBER(SEARCH("sun and shade",E120))),"Sun &amp; Shade Mix",
ISNUMBER(SEARCH("tall fescue",E120)),"Tall Fescue",
ISNUMBER(SEARCH("bermudagrass",E120)),"Bermudagrass",
ISNUMBER(SEARCH("kentucky",E120)),"Kentucky Bluegrass",
ISNUMBER(SEARCH("zoysia",E120)),"Zoysia",
ISNUMBER(SEARCH("ryegrass",E120)),"Perennial Ryegrass",
ISNUMBER(SEARCH("centipede",E120)),"Centipede Grass",
ISNUMBER(SEARCH("dense shade",E120)),"Dense Shade Mix",
ISNUMBER(SEARCH("southern gold",E120)),"Southern Gold Mix",
ISNUMBER(SEARCH("heat-tolerant blue",E120)),"Heat-Tolerant Blue Mix",
ISNUMBER(SEARCH("high traffic",E120)),"High Traffic Mix",
ISNUMBER(SEARCH("quick fix",E120)),"Quick Fix Mix",
ISNUMBER(SEARCH("starter",E120)),"Starter Fertilizer",
ISNUMBER(SEARCH("weed &amp; feed",E120)),"Weed &amp; Feed",
ISNUMBER(SEARCH("lawn food",E120)),"Lawn Food",
ISNUMBER(SEARCH("triple action",E120)),"Triple Action Fertilizer",
ISNUMBER(SEARCH("green max",E120)),"Green Max Lawn Food",
ISNUMBER(SEARCH("patchmaster",E120)),"PatchMaster Repair",
ISNUMBER(SEARCH("ez seed",E120)),"EZ Seed Repair",
ISNUMBER(SEARCH("rapid grass",E120)),"Rapid Grass",
ISNUMBER(SEARCH("thick'r lawn",E120)),"Thick'R Lawn",
ISNUMBER(SEARCH("fungicide",E120)),"Fungicide",
ISNUMBER(SEARCH("moss",E120)),"Moss Control",
ISNUMBER(SEARCH("perlite",E120)),"Perlite",
ISNUMBER(SEARCH("plant food",E120)),"Plant Food",
ISNUMBER(SEARCH("spreader",E120)),"Spreader",
ISNUMBER(SEARCH("sprayer",E120)),"Sprayer",
ISNUMBER(SEARCH("mower",E120)),"Lawn Mower",
ISNUMBER(SEARCH("sweeper",E120)),"Lawn Sweeper",
OR(ISNUMBER(SEARCH("pruner",E120)),ISNUMBER(SEARCH("trimmer",E120)),ISNUMBER(SEARCH("pole saw",E120))),"Pruning Tools",
TRUE,"Other"
)</f>
        <v>Weed &amp; Feed</v>
      </c>
      <c r="J120" s="7" t="str">
        <f t="shared" si="18"/>
        <v>Weed Control - Weed &amp; Feed</v>
      </c>
      <c r="K120" s="4">
        <v>2000</v>
      </c>
      <c r="L120" s="4">
        <v>4.5</v>
      </c>
      <c r="M120" s="4">
        <v>8918</v>
      </c>
      <c r="N120" s="4" t="s">
        <v>540</v>
      </c>
      <c r="O120" s="4">
        <f>VLOOKUP(A120,[3]Sheet1!$A:$B,2,0)</f>
        <v>100</v>
      </c>
      <c r="P120" s="4">
        <f>VLOOKUP(A120,[3]Sheet1!$A:$C,3,0)</f>
        <v>50</v>
      </c>
      <c r="Q120" s="4">
        <f>VLOOKUP(A120,[3]Sheet1!$A:$D,4,0)</f>
        <v>0</v>
      </c>
      <c r="R120" s="4">
        <f>VLOOKUP(A120,[3]Sheet1!$A:$E,5,0)</f>
        <v>0</v>
      </c>
      <c r="S120" s="4">
        <f>VLOOKUP(A120,[3]Sheet1!$A:$F,6,0)</f>
        <v>0</v>
      </c>
      <c r="T120" s="4">
        <f>VLOOKUP(A120,[3]Sheet1!$A:$G,7,0)</f>
        <v>0</v>
      </c>
      <c r="U120" s="4">
        <f>VLOOKUP(A120,[3]Sheet1!$A:$I,8,0)</f>
        <v>0</v>
      </c>
      <c r="V120" s="4">
        <f>VLOOKUP(A120,[3]Sheet1!$A:$J,9,0)</f>
        <v>50</v>
      </c>
      <c r="W120" s="4">
        <f>VLOOKUP(A120,[3]Sheet1!$A:$J,10,0)</f>
        <v>1000</v>
      </c>
      <c r="X120" s="4">
        <f>VLOOKUP(A120,[3]Sheet1!$A:$K,11,0)</f>
        <v>2000</v>
      </c>
      <c r="Y120" s="4">
        <f>VLOOKUP(A120,[3]Sheet1!$A:$L,12,0)</f>
        <v>1000</v>
      </c>
      <c r="Z120" s="4">
        <f>VLOOKUP(A120,[3]Sheet1!$A:$M,13,0)</f>
        <v>400</v>
      </c>
      <c r="AA120" s="4">
        <f t="shared" si="32"/>
        <v>4600</v>
      </c>
      <c r="AB120" s="7">
        <f t="shared" si="19"/>
        <v>383</v>
      </c>
      <c r="AC120" s="15">
        <f t="shared" si="33"/>
        <v>383.33333333333331</v>
      </c>
      <c r="AD120" s="16">
        <f t="shared" si="34"/>
        <v>258474</v>
      </c>
      <c r="AE120" s="16">
        <f t="shared" si="35"/>
        <v>21539.499999999996</v>
      </c>
      <c r="AF120" s="16">
        <v>23.16</v>
      </c>
      <c r="AG120" s="16">
        <v>56.19</v>
      </c>
      <c r="AH120" s="8">
        <f t="shared" si="36"/>
        <v>-0.11226666666666674</v>
      </c>
      <c r="AI120" s="8">
        <f t="shared" si="37"/>
        <v>-0.39293333333333358</v>
      </c>
      <c r="AJ120" s="10">
        <v>0.5</v>
      </c>
      <c r="AK120" s="10">
        <v>0.5</v>
      </c>
      <c r="AL120" s="16">
        <v>23.16</v>
      </c>
      <c r="AM120" s="9">
        <f t="shared" si="24"/>
        <v>8.4284999999999997</v>
      </c>
      <c r="AN120" s="9">
        <f t="shared" si="25"/>
        <v>1.6857</v>
      </c>
      <c r="AO120" s="9">
        <f t="shared" si="26"/>
        <v>11.238</v>
      </c>
      <c r="AP120" s="9">
        <f t="shared" si="27"/>
        <v>1.1237999999999999</v>
      </c>
      <c r="AQ120" s="9">
        <f t="shared" si="28"/>
        <v>11.238</v>
      </c>
      <c r="AR120" s="9">
        <f t="shared" si="29"/>
        <v>14.047499999999999</v>
      </c>
      <c r="AS120" s="11">
        <f t="shared" si="30"/>
        <v>-1.1226666666666674</v>
      </c>
      <c r="AT120" s="12">
        <f t="shared" si="31"/>
        <v>-2.9956666666666671</v>
      </c>
    </row>
    <row r="121" spans="1:46" ht="16.5" x14ac:dyDescent="0.4">
      <c r="A121" s="4" t="s">
        <v>589</v>
      </c>
      <c r="B121" s="4" t="s">
        <v>513</v>
      </c>
      <c r="C121" s="7" t="s">
        <v>1784</v>
      </c>
      <c r="D121" s="4" t="s">
        <v>590</v>
      </c>
      <c r="E121" s="4" t="s">
        <v>591</v>
      </c>
      <c r="F121" s="4" t="s">
        <v>592</v>
      </c>
      <c r="G121" s="7" t="str">
        <f>VLOOKUP(A121,[1]done!$A:$I,9,0)</f>
        <v>Lawn Fertilizer</v>
      </c>
      <c r="H121" s="7" t="str" cm="1">
        <f t="array" ref="H121">_xlfn.IFS(
OR(ISNUMBER(SEARCH("mouse",E121)),ISNUMBER(SEARCH("rat",E121)),ISNUMBER(SEARCH("mice",E121)),ISNUMBER(SEARCH("rodent",E121))),"Rodent Control",
OR(ISNUMBER(SEARCH("fly",E121)),ISNUMBER(SEARCH("gnat",E121)),ISNUMBER(SEARCH("insect",E121)),ISNUMBER(SEARCH("mosquito",E121))),"Flying Insect Control",
OR(ISNUMBER(SEARCH("roach",E121)),ISNUMBER(SEARCH("ant",E121)),ISNUMBER(SEARCH("spider",E121)),ISNUMBER(SEARCH("cricket",E121)),ISNUMBER(SEARCH("scorpion",E121)),ISNUMBER(SEARCH("centipede",E121)),ISNUMBER(SEARCH("beetle",E121))),"Crawling Insect Control",
OR(ISNUMBER(SEARCH("tree",E121)),ISNUMBER(SEARCH("lantern",E121)),ISNUMBER(SEARCH("garden",E121)),ISNUMBER(SEARCH("plant",E121))),"Garden Pest Control",
OR(ISNUMBER(SEARCH("grass seed",E121)),ISNUMBER(SEARCH("seed mix",E121))),"Grass Seed",
OR(ISNUMBER(SEARCH("lawn food",E121)),ISNUMBER(SEARCH("fertilizer",E121))),"Lawn Fertilizer",
OR(ISNUMBER(SEARCH("patch",E121)),ISNUMBER(SEARCH("repair",E121)),ISNUMBER(SEARCH("thick'r",E121)),ISNUMBER(SEARCH("thick'r lawn",E121)),ISNUMBER(SEARCH("rapid grass",E121))),"Lawn Repair",
OR(ISNUMBER(SEARCH("weed",E121)),ISNUMBER(SEARCH("crabgrass",E121))),"Weed Control",
OR(ISNUMBER(SEARCH("fungicide",E121)),ISNUMBER(SEARCH("moss",E121))),"Disease &amp; Moss Control",
OR(ISNUMBER(SEARCH("plant food",E121)),ISNUMBER(SEARCH("miracid",E121))),"Plant Nutrition",
OR(ISNUMBER(SEARCH("perlite",E121))),"Soil Amendment",
OR(ISNUMBER(SEARCH("spreader",E121)),ISNUMBER(SEARCH("sprayer",E121)),ISNUMBER(SEARCH("mower",E121)),ISNUMBER(SEARCH("sweeper",E121)),ISNUMBER(SEARCH("pruner",E121)),ISNUMBER(SEARCH("trimmer",E121)),ISNUMBER(SEARCH("pole saw",E121))),"Garden Equipment",
TRUE,"Other"
)</f>
        <v>Lawn Repair</v>
      </c>
      <c r="I121" s="7" t="str" cm="1">
        <f t="array" ref="I121">_xlfn.IFS(
OR(ISNUMBER(SEARCH("glue trap",E121)),ISNUMBER(SEARCH("glue board",E121))),"Glue Traps",
OR(ISNUMBER(SEARCH("snap trap",E121)),ISNUMBER(SEARCH("power-kill",E121)),ISNUMBER(SEARCH("wide pedal",E121)),ISNUMBER(SEARCH("metal pedal",E121))),"Snap Traps",
OR(ISNUMBER(SEARCH("electronic",E121)),ISNUMBER(SEARCH("zapper",E121))),"Electronic Traps",
OR(ISNUMBER(SEARCH("live catch",E121)),ISNUMBER(SEARCH("multi-catch",E121)),ISNUMBER(SEARCH("catch &amp; hold",E121)),ISNUMBER(SEARCH("tin cat",E121))),"Live Catch Traps",
OR(ISNUMBER(SEARCH("bait",E121)),ISNUMBER(SEARCH("poison",E121))),"Bait &amp; Poison",
ISNUMBER(SEARCH("repellent",E121)),"Repellents",
OR(ISNUMBER(SEARCH("fly trap",E121)),ISNUMBER(SEARCH("fly ribbon",E121)),ISNUMBER(SEARCH("fly stick",E121)),ISNUMBER(SEARCH("window fly",E121)),ISNUMBER(SEARCH("fly magnet",E121))),"Fly Traps",
OR(ISNUMBER(SEARCH("uv",E121)),ISNUMBER(SEARCH("fly light",E121)),ISNUMBER(SEARCH("plug-in",E121))),"UV Fly Traps",
ISNUMBER(SEARCH("roach",E121)),"Roach Traps",
ISNUMBER(SEARCH("ant",E121)),"Ant Traps",
ISNUMBER(SEARCH("spider",E121)),"Spider Traps",
ISNUMBER(SEARCH("mosquito",E121)),"Mosquito Traps",
ISNUMBER(SEARCH("beetle",E121)),"Beetle Traps",
ISNUMBER(SEARCH("lantern",E121)),"Lanternfly Control",
OR(ISNUMBER(SEARCH("tree shield",E121)),ISNUMBER(SEARCH("tree banding",E121)),ISNUMBER(SEARCH("insect barrier",E121))),"Tree Barriers",
OR(ISNUMBER(SEARCH("sun &amp; shade",E121)),ISNUMBER(SEARCH("sun and shade",E121))),"Sun &amp; Shade Mix",
ISNUMBER(SEARCH("tall fescue",E121)),"Tall Fescue",
ISNUMBER(SEARCH("bermudagrass",E121)),"Bermudagrass",
ISNUMBER(SEARCH("kentucky",E121)),"Kentucky Bluegrass",
ISNUMBER(SEARCH("zoysia",E121)),"Zoysia",
ISNUMBER(SEARCH("ryegrass",E121)),"Perennial Ryegrass",
ISNUMBER(SEARCH("centipede",E121)),"Centipede Grass",
ISNUMBER(SEARCH("dense shade",E121)),"Dense Shade Mix",
ISNUMBER(SEARCH("southern gold",E121)),"Southern Gold Mix",
ISNUMBER(SEARCH("heat-tolerant blue",E121)),"Heat-Tolerant Blue Mix",
ISNUMBER(SEARCH("high traffic",E121)),"High Traffic Mix",
ISNUMBER(SEARCH("quick fix",E121)),"Quick Fix Mix",
ISNUMBER(SEARCH("starter",E121)),"Starter Fertilizer",
ISNUMBER(SEARCH("weed &amp; feed",E121)),"Weed &amp; Feed",
ISNUMBER(SEARCH("lawn food",E121)),"Lawn Food",
ISNUMBER(SEARCH("triple action",E121)),"Triple Action Fertilizer",
ISNUMBER(SEARCH("green max",E121)),"Green Max Lawn Food",
ISNUMBER(SEARCH("patchmaster",E121)),"PatchMaster Repair",
ISNUMBER(SEARCH("ez seed",E121)),"EZ Seed Repair",
ISNUMBER(SEARCH("rapid grass",E121)),"Rapid Grass",
ISNUMBER(SEARCH("thick'r lawn",E121)),"Thick'R Lawn",
ISNUMBER(SEARCH("fungicide",E121)),"Fungicide",
ISNUMBER(SEARCH("moss",E121)),"Moss Control",
ISNUMBER(SEARCH("perlite",E121)),"Perlite",
ISNUMBER(SEARCH("plant food",E121)),"Plant Food",
ISNUMBER(SEARCH("spreader",E121)),"Spreader",
ISNUMBER(SEARCH("sprayer",E121)),"Sprayer",
ISNUMBER(SEARCH("mower",E121)),"Lawn Mower",
ISNUMBER(SEARCH("sweeper",E121)),"Lawn Sweeper",
OR(ISNUMBER(SEARCH("pruner",E121)),ISNUMBER(SEARCH("trimmer",E121)),ISNUMBER(SEARCH("pole saw",E121))),"Pruning Tools",
TRUE,"Other"
)</f>
        <v>Sun &amp; Shade Mix</v>
      </c>
      <c r="J121" s="7" t="str">
        <f t="shared" si="18"/>
        <v>Lawn Repair - Sun &amp; Shade Mix</v>
      </c>
      <c r="K121" s="4">
        <v>2000</v>
      </c>
      <c r="L121" s="4">
        <v>4.2</v>
      </c>
      <c r="M121" s="4">
        <v>13639</v>
      </c>
      <c r="N121" s="4" t="s">
        <v>593</v>
      </c>
      <c r="O121" s="4">
        <f>VLOOKUP(A121,[3]Sheet1!$A:$B,2,0)</f>
        <v>200</v>
      </c>
      <c r="P121" s="4">
        <f>VLOOKUP(A121,[3]Sheet1!$A:$C,3,0)</f>
        <v>200</v>
      </c>
      <c r="Q121" s="4">
        <f>VLOOKUP(A121,[3]Sheet1!$A:$D,4,0)</f>
        <v>1000</v>
      </c>
      <c r="R121" s="4">
        <f>VLOOKUP(A121,[3]Sheet1!$A:$E,5,0)</f>
        <v>5000</v>
      </c>
      <c r="S121" s="4">
        <f>VLOOKUP(A121,[3]Sheet1!$A:$F,6,0)</f>
        <v>3000</v>
      </c>
      <c r="T121" s="4">
        <f>VLOOKUP(A121,[3]Sheet1!$A:$G,7,0)</f>
        <v>1000</v>
      </c>
      <c r="U121" s="4">
        <f>VLOOKUP(A121,[3]Sheet1!$A:$I,8,0)</f>
        <v>1000</v>
      </c>
      <c r="V121" s="4">
        <f>VLOOKUP(A121,[3]Sheet1!$A:$J,9,0)</f>
        <v>1000</v>
      </c>
      <c r="W121" s="4">
        <f>VLOOKUP(A121,[3]Sheet1!$A:$J,10,0)</f>
        <v>2000</v>
      </c>
      <c r="X121" s="4">
        <f>VLOOKUP(A121,[3]Sheet1!$A:$K,11,0)</f>
        <v>1000</v>
      </c>
      <c r="Y121" s="4">
        <f>VLOOKUP(A121,[3]Sheet1!$A:$L,12,0)</f>
        <v>200</v>
      </c>
      <c r="Z121" s="4">
        <f>VLOOKUP(A121,[3]Sheet1!$A:$M,13,0)</f>
        <v>200</v>
      </c>
      <c r="AA121" s="4">
        <f t="shared" si="32"/>
        <v>15800</v>
      </c>
      <c r="AB121" s="7">
        <f t="shared" si="19"/>
        <v>1317</v>
      </c>
      <c r="AC121" s="15">
        <f t="shared" si="33"/>
        <v>1316.6666666666667</v>
      </c>
      <c r="AD121" s="16">
        <f t="shared" si="34"/>
        <v>1007724</v>
      </c>
      <c r="AE121" s="16">
        <f t="shared" si="35"/>
        <v>83977</v>
      </c>
      <c r="AF121" s="16">
        <v>25.52</v>
      </c>
      <c r="AG121" s="16">
        <v>63.78</v>
      </c>
      <c r="AH121" s="8">
        <f t="shared" si="36"/>
        <v>-6.719999999999994E-2</v>
      </c>
      <c r="AI121" s="8">
        <f t="shared" si="37"/>
        <v>-0.23519999999999977</v>
      </c>
      <c r="AJ121" s="10">
        <v>0.5</v>
      </c>
      <c r="AK121" s="10">
        <v>0.5</v>
      </c>
      <c r="AL121" s="16">
        <v>25.52</v>
      </c>
      <c r="AM121" s="9">
        <f t="shared" si="24"/>
        <v>9.5670000000000002</v>
      </c>
      <c r="AN121" s="9">
        <f t="shared" si="25"/>
        <v>1.9134</v>
      </c>
      <c r="AO121" s="9">
        <f t="shared" si="26"/>
        <v>12.756</v>
      </c>
      <c r="AP121" s="9">
        <f t="shared" si="27"/>
        <v>1.2756000000000001</v>
      </c>
      <c r="AQ121" s="9">
        <f t="shared" si="28"/>
        <v>12.756</v>
      </c>
      <c r="AR121" s="9">
        <f t="shared" si="29"/>
        <v>15.945</v>
      </c>
      <c r="AS121" s="11">
        <f t="shared" si="30"/>
        <v>-0.67199999999999938</v>
      </c>
      <c r="AT121" s="12">
        <f t="shared" si="31"/>
        <v>-2.7979999999999996</v>
      </c>
    </row>
    <row r="122" spans="1:46" ht="16.5" x14ac:dyDescent="0.4">
      <c r="A122" s="4" t="s">
        <v>594</v>
      </c>
      <c r="B122" s="4" t="s">
        <v>513</v>
      </c>
      <c r="C122" s="7" t="s">
        <v>1784</v>
      </c>
      <c r="D122" s="4" t="s">
        <v>595</v>
      </c>
      <c r="E122" s="4" t="s">
        <v>596</v>
      </c>
      <c r="F122" s="4" t="s">
        <v>597</v>
      </c>
      <c r="G122" s="7" t="str">
        <f>VLOOKUP(A122,[1]done!$A:$I,9,0)</f>
        <v>Lawn Fertilizer</v>
      </c>
      <c r="H122" s="7" t="str" cm="1">
        <f t="array" ref="H122">_xlfn.IFS(
OR(ISNUMBER(SEARCH("mouse",E122)),ISNUMBER(SEARCH("rat",E122)),ISNUMBER(SEARCH("mice",E122)),ISNUMBER(SEARCH("rodent",E122))),"Rodent Control",
OR(ISNUMBER(SEARCH("fly",E122)),ISNUMBER(SEARCH("gnat",E122)),ISNUMBER(SEARCH("insect",E122)),ISNUMBER(SEARCH("mosquito",E122))),"Flying Insect Control",
OR(ISNUMBER(SEARCH("roach",E122)),ISNUMBER(SEARCH("ant",E122)),ISNUMBER(SEARCH("spider",E122)),ISNUMBER(SEARCH("cricket",E122)),ISNUMBER(SEARCH("scorpion",E122)),ISNUMBER(SEARCH("centipede",E122)),ISNUMBER(SEARCH("beetle",E122))),"Crawling Insect Control",
OR(ISNUMBER(SEARCH("tree",E122)),ISNUMBER(SEARCH("lantern",E122)),ISNUMBER(SEARCH("garden",E122)),ISNUMBER(SEARCH("plant",E122))),"Garden Pest Control",
OR(ISNUMBER(SEARCH("grass seed",E122)),ISNUMBER(SEARCH("seed mix",E122))),"Grass Seed",
OR(ISNUMBER(SEARCH("lawn food",E122)),ISNUMBER(SEARCH("fertilizer",E122))),"Lawn Fertilizer",
OR(ISNUMBER(SEARCH("patch",E122)),ISNUMBER(SEARCH("repair",E122)),ISNUMBER(SEARCH("thick'r",E122)),ISNUMBER(SEARCH("thick'r lawn",E122)),ISNUMBER(SEARCH("rapid grass",E122))),"Lawn Repair",
OR(ISNUMBER(SEARCH("weed",E122)),ISNUMBER(SEARCH("crabgrass",E122))),"Weed Control",
OR(ISNUMBER(SEARCH("fungicide",E122)),ISNUMBER(SEARCH("moss",E122))),"Disease &amp; Moss Control",
OR(ISNUMBER(SEARCH("plant food",E122)),ISNUMBER(SEARCH("miracid",E122))),"Plant Nutrition",
OR(ISNUMBER(SEARCH("perlite",E122))),"Soil Amendment",
OR(ISNUMBER(SEARCH("spreader",E122)),ISNUMBER(SEARCH("sprayer",E122)),ISNUMBER(SEARCH("mower",E122)),ISNUMBER(SEARCH("sweeper",E122)),ISNUMBER(SEARCH("pruner",E122)),ISNUMBER(SEARCH("trimmer",E122)),ISNUMBER(SEARCH("pole saw",E122))),"Garden Equipment",
TRUE,"Other"
)</f>
        <v>Lawn Repair</v>
      </c>
      <c r="I122" s="7" t="str" cm="1">
        <f t="array" ref="I122">_xlfn.IFS(
OR(ISNUMBER(SEARCH("glue trap",E122)),ISNUMBER(SEARCH("glue board",E122))),"Glue Traps",
OR(ISNUMBER(SEARCH("snap trap",E122)),ISNUMBER(SEARCH("power-kill",E122)),ISNUMBER(SEARCH("wide pedal",E122)),ISNUMBER(SEARCH("metal pedal",E122))),"Snap Traps",
OR(ISNUMBER(SEARCH("electronic",E122)),ISNUMBER(SEARCH("zapper",E122))),"Electronic Traps",
OR(ISNUMBER(SEARCH("live catch",E122)),ISNUMBER(SEARCH("multi-catch",E122)),ISNUMBER(SEARCH("catch &amp; hold",E122)),ISNUMBER(SEARCH("tin cat",E122))),"Live Catch Traps",
OR(ISNUMBER(SEARCH("bait",E122)),ISNUMBER(SEARCH("poison",E122))),"Bait &amp; Poison",
ISNUMBER(SEARCH("repellent",E122)),"Repellents",
OR(ISNUMBER(SEARCH("fly trap",E122)),ISNUMBER(SEARCH("fly ribbon",E122)),ISNUMBER(SEARCH("fly stick",E122)),ISNUMBER(SEARCH("window fly",E122)),ISNUMBER(SEARCH("fly magnet",E122))),"Fly Traps",
OR(ISNUMBER(SEARCH("uv",E122)),ISNUMBER(SEARCH("fly light",E122)),ISNUMBER(SEARCH("plug-in",E122))),"UV Fly Traps",
ISNUMBER(SEARCH("roach",E122)),"Roach Traps",
ISNUMBER(SEARCH("ant",E122)),"Ant Traps",
ISNUMBER(SEARCH("spider",E122)),"Spider Traps",
ISNUMBER(SEARCH("mosquito",E122)),"Mosquito Traps",
ISNUMBER(SEARCH("beetle",E122)),"Beetle Traps",
ISNUMBER(SEARCH("lantern",E122)),"Lanternfly Control",
OR(ISNUMBER(SEARCH("tree shield",E122)),ISNUMBER(SEARCH("tree banding",E122)),ISNUMBER(SEARCH("insect barrier",E122))),"Tree Barriers",
OR(ISNUMBER(SEARCH("sun &amp; shade",E122)),ISNUMBER(SEARCH("sun and shade",E122))),"Sun &amp; Shade Mix",
ISNUMBER(SEARCH("tall fescue",E122)),"Tall Fescue",
ISNUMBER(SEARCH("bermudagrass",E122)),"Bermudagrass",
ISNUMBER(SEARCH("kentucky",E122)),"Kentucky Bluegrass",
ISNUMBER(SEARCH("zoysia",E122)),"Zoysia",
ISNUMBER(SEARCH("ryegrass",E122)),"Perennial Ryegrass",
ISNUMBER(SEARCH("centipede",E122)),"Centipede Grass",
ISNUMBER(SEARCH("dense shade",E122)),"Dense Shade Mix",
ISNUMBER(SEARCH("southern gold",E122)),"Southern Gold Mix",
ISNUMBER(SEARCH("heat-tolerant blue",E122)),"Heat-Tolerant Blue Mix",
ISNUMBER(SEARCH("high traffic",E122)),"High Traffic Mix",
ISNUMBER(SEARCH("quick fix",E122)),"Quick Fix Mix",
ISNUMBER(SEARCH("starter",E122)),"Starter Fertilizer",
ISNUMBER(SEARCH("weed &amp; feed",E122)),"Weed &amp; Feed",
ISNUMBER(SEARCH("lawn food",E122)),"Lawn Food",
ISNUMBER(SEARCH("triple action",E122)),"Triple Action Fertilizer",
ISNUMBER(SEARCH("green max",E122)),"Green Max Lawn Food",
ISNUMBER(SEARCH("patchmaster",E122)),"PatchMaster Repair",
ISNUMBER(SEARCH("ez seed",E122)),"EZ Seed Repair",
ISNUMBER(SEARCH("rapid grass",E122)),"Rapid Grass",
ISNUMBER(SEARCH("thick'r lawn",E122)),"Thick'R Lawn",
ISNUMBER(SEARCH("fungicide",E122)),"Fungicide",
ISNUMBER(SEARCH("moss",E122)),"Moss Control",
ISNUMBER(SEARCH("perlite",E122)),"Perlite",
ISNUMBER(SEARCH("plant food",E122)),"Plant Food",
ISNUMBER(SEARCH("spreader",E122)),"Spreader",
ISNUMBER(SEARCH("sprayer",E122)),"Sprayer",
ISNUMBER(SEARCH("mower",E122)),"Lawn Mower",
ISNUMBER(SEARCH("sweeper",E122)),"Lawn Sweeper",
OR(ISNUMBER(SEARCH("pruner",E122)),ISNUMBER(SEARCH("trimmer",E122)),ISNUMBER(SEARCH("pole saw",E122))),"Pruning Tools",
TRUE,"Other"
)</f>
        <v>Sun &amp; Shade Mix</v>
      </c>
      <c r="J122" s="7" t="str">
        <f t="shared" si="18"/>
        <v>Lawn Repair - Sun &amp; Shade Mix</v>
      </c>
      <c r="K122" s="4">
        <v>2000</v>
      </c>
      <c r="L122" s="4">
        <v>4.2</v>
      </c>
      <c r="M122" s="4">
        <v>13637</v>
      </c>
      <c r="N122" s="4" t="s">
        <v>584</v>
      </c>
      <c r="O122" s="4">
        <f>VLOOKUP(A122,[3]Sheet1!$A:$B,2,0)</f>
        <v>0</v>
      </c>
      <c r="P122" s="4">
        <f>VLOOKUP(A122,[3]Sheet1!$A:$C,3,0)</f>
        <v>0</v>
      </c>
      <c r="Q122" s="4">
        <f>VLOOKUP(A122,[3]Sheet1!$A:$D,4,0)</f>
        <v>100</v>
      </c>
      <c r="R122" s="4">
        <f>VLOOKUP(A122,[3]Sheet1!$A:$E,5,0)</f>
        <v>200</v>
      </c>
      <c r="S122" s="4">
        <f>VLOOKUP(A122,[3]Sheet1!$A:$F,6,0)</f>
        <v>1000</v>
      </c>
      <c r="T122" s="4">
        <f>VLOOKUP(A122,[3]Sheet1!$A:$G,7,0)</f>
        <v>1000</v>
      </c>
      <c r="U122" s="4">
        <f>VLOOKUP(A122,[3]Sheet1!$A:$I,8,0)</f>
        <v>5000</v>
      </c>
      <c r="V122" s="4">
        <f>VLOOKUP(A122,[3]Sheet1!$A:$J,9,0)</f>
        <v>1000</v>
      </c>
      <c r="W122" s="4">
        <f>VLOOKUP(A122,[3]Sheet1!$A:$J,10,0)</f>
        <v>1000</v>
      </c>
      <c r="X122" s="4">
        <f>VLOOKUP(A122,[3]Sheet1!$A:$K,11,0)</f>
        <v>100</v>
      </c>
      <c r="Y122" s="4">
        <f>VLOOKUP(A122,[3]Sheet1!$A:$L,12,0)</f>
        <v>100</v>
      </c>
      <c r="Z122" s="4">
        <f>VLOOKUP(A122,[3]Sheet1!$A:$M,13,0)</f>
        <v>0</v>
      </c>
      <c r="AA122" s="4">
        <f t="shared" si="32"/>
        <v>9500</v>
      </c>
      <c r="AB122" s="7">
        <f t="shared" si="19"/>
        <v>792</v>
      </c>
      <c r="AC122" s="15">
        <f t="shared" si="33"/>
        <v>791.66666666666663</v>
      </c>
      <c r="AD122" s="16">
        <f t="shared" si="34"/>
        <v>236075</v>
      </c>
      <c r="AE122" s="16">
        <f t="shared" si="35"/>
        <v>19672.916666666668</v>
      </c>
      <c r="AF122" s="16">
        <v>9.6999999999999993</v>
      </c>
      <c r="AG122" s="16">
        <v>24.85</v>
      </c>
      <c r="AH122" s="8">
        <f t="shared" si="36"/>
        <v>-5.0666666666666652E-2</v>
      </c>
      <c r="AI122" s="8">
        <f t="shared" si="37"/>
        <v>-0.17733333333333326</v>
      </c>
      <c r="AJ122" s="10">
        <v>0.5</v>
      </c>
      <c r="AK122" s="10">
        <v>0.5</v>
      </c>
      <c r="AL122" s="16">
        <v>9.6999999999999993</v>
      </c>
      <c r="AM122" s="9">
        <f t="shared" si="24"/>
        <v>3.7275</v>
      </c>
      <c r="AN122" s="9">
        <f t="shared" si="25"/>
        <v>0.74550000000000005</v>
      </c>
      <c r="AO122" s="9">
        <f t="shared" si="26"/>
        <v>4.9700000000000006</v>
      </c>
      <c r="AP122" s="9">
        <f t="shared" si="27"/>
        <v>0.49700000000000005</v>
      </c>
      <c r="AQ122" s="9">
        <f t="shared" si="28"/>
        <v>4.9700000000000006</v>
      </c>
      <c r="AR122" s="9">
        <f t="shared" si="29"/>
        <v>6.2125000000000004</v>
      </c>
      <c r="AS122" s="11">
        <f t="shared" si="30"/>
        <v>-0.50666666666666649</v>
      </c>
      <c r="AT122" s="12">
        <f t="shared" si="31"/>
        <v>-1.3349999999999997</v>
      </c>
    </row>
    <row r="123" spans="1:46" ht="16.5" x14ac:dyDescent="0.4">
      <c r="A123" s="4" t="s">
        <v>598</v>
      </c>
      <c r="B123" s="4" t="s">
        <v>513</v>
      </c>
      <c r="C123" s="7" t="s">
        <v>1784</v>
      </c>
      <c r="D123" s="4" t="s">
        <v>599</v>
      </c>
      <c r="E123" s="4" t="s">
        <v>600</v>
      </c>
      <c r="F123" s="4" t="s">
        <v>601</v>
      </c>
      <c r="G123" s="7" t="str">
        <f>VLOOKUP(A123,[1]done!$A:$I,9,0)</f>
        <v>Lawn Fertilizer</v>
      </c>
      <c r="H123" s="7" t="str" cm="1">
        <f t="array" ref="H123">_xlfn.IFS(
OR(ISNUMBER(SEARCH("mouse",E123)),ISNUMBER(SEARCH("rat",E123)),ISNUMBER(SEARCH("mice",E123)),ISNUMBER(SEARCH("rodent",E123))),"Rodent Control",
OR(ISNUMBER(SEARCH("fly",E123)),ISNUMBER(SEARCH("gnat",E123)),ISNUMBER(SEARCH("insect",E123)),ISNUMBER(SEARCH("mosquito",E123))),"Flying Insect Control",
OR(ISNUMBER(SEARCH("roach",E123)),ISNUMBER(SEARCH("ant",E123)),ISNUMBER(SEARCH("spider",E123)),ISNUMBER(SEARCH("cricket",E123)),ISNUMBER(SEARCH("scorpion",E123)),ISNUMBER(SEARCH("centipede",E123)),ISNUMBER(SEARCH("beetle",E123))),"Crawling Insect Control",
OR(ISNUMBER(SEARCH("tree",E123)),ISNUMBER(SEARCH("lantern",E123)),ISNUMBER(SEARCH("garden",E123)),ISNUMBER(SEARCH("plant",E123))),"Garden Pest Control",
OR(ISNUMBER(SEARCH("grass seed",E123)),ISNUMBER(SEARCH("seed mix",E123))),"Grass Seed",
OR(ISNUMBER(SEARCH("lawn food",E123)),ISNUMBER(SEARCH("fertilizer",E123))),"Lawn Fertilizer",
OR(ISNUMBER(SEARCH("patch",E123)),ISNUMBER(SEARCH("repair",E123)),ISNUMBER(SEARCH("thick'r",E123)),ISNUMBER(SEARCH("thick'r lawn",E123)),ISNUMBER(SEARCH("rapid grass",E123))),"Lawn Repair",
OR(ISNUMBER(SEARCH("weed",E123)),ISNUMBER(SEARCH("crabgrass",E123))),"Weed Control",
OR(ISNUMBER(SEARCH("fungicide",E123)),ISNUMBER(SEARCH("moss",E123))),"Disease &amp; Moss Control",
OR(ISNUMBER(SEARCH("plant food",E123)),ISNUMBER(SEARCH("miracid",E123))),"Plant Nutrition",
OR(ISNUMBER(SEARCH("perlite",E123))),"Soil Amendment",
OR(ISNUMBER(SEARCH("spreader",E123)),ISNUMBER(SEARCH("sprayer",E123)),ISNUMBER(SEARCH("mower",E123)),ISNUMBER(SEARCH("sweeper",E123)),ISNUMBER(SEARCH("pruner",E123)),ISNUMBER(SEARCH("trimmer",E123)),ISNUMBER(SEARCH("pole saw",E123))),"Garden Equipment",
TRUE,"Other"
)</f>
        <v>Lawn Fertilizer</v>
      </c>
      <c r="I123" s="7" t="str" cm="1">
        <f t="array" ref="I123">_xlfn.IFS(
OR(ISNUMBER(SEARCH("glue trap",E123)),ISNUMBER(SEARCH("glue board",E123))),"Glue Traps",
OR(ISNUMBER(SEARCH("snap trap",E123)),ISNUMBER(SEARCH("power-kill",E123)),ISNUMBER(SEARCH("wide pedal",E123)),ISNUMBER(SEARCH("metal pedal",E123))),"Snap Traps",
OR(ISNUMBER(SEARCH("electronic",E123)),ISNUMBER(SEARCH("zapper",E123))),"Electronic Traps",
OR(ISNUMBER(SEARCH("live catch",E123)),ISNUMBER(SEARCH("multi-catch",E123)),ISNUMBER(SEARCH("catch &amp; hold",E123)),ISNUMBER(SEARCH("tin cat",E123))),"Live Catch Traps",
OR(ISNUMBER(SEARCH("bait",E123)),ISNUMBER(SEARCH("poison",E123))),"Bait &amp; Poison",
ISNUMBER(SEARCH("repellent",E123)),"Repellents",
OR(ISNUMBER(SEARCH("fly trap",E123)),ISNUMBER(SEARCH("fly ribbon",E123)),ISNUMBER(SEARCH("fly stick",E123)),ISNUMBER(SEARCH("window fly",E123)),ISNUMBER(SEARCH("fly magnet",E123))),"Fly Traps",
OR(ISNUMBER(SEARCH("uv",E123)),ISNUMBER(SEARCH("fly light",E123)),ISNUMBER(SEARCH("plug-in",E123))),"UV Fly Traps",
ISNUMBER(SEARCH("roach",E123)),"Roach Traps",
ISNUMBER(SEARCH("ant",E123)),"Ant Traps",
ISNUMBER(SEARCH("spider",E123)),"Spider Traps",
ISNUMBER(SEARCH("mosquito",E123)),"Mosquito Traps",
ISNUMBER(SEARCH("beetle",E123)),"Beetle Traps",
ISNUMBER(SEARCH("lantern",E123)),"Lanternfly Control",
OR(ISNUMBER(SEARCH("tree shield",E123)),ISNUMBER(SEARCH("tree banding",E123)),ISNUMBER(SEARCH("insect barrier",E123))),"Tree Barriers",
OR(ISNUMBER(SEARCH("sun &amp; shade",E123)),ISNUMBER(SEARCH("sun and shade",E123))),"Sun &amp; Shade Mix",
ISNUMBER(SEARCH("tall fescue",E123)),"Tall Fescue",
ISNUMBER(SEARCH("bermudagrass",E123)),"Bermudagrass",
ISNUMBER(SEARCH("kentucky",E123)),"Kentucky Bluegrass",
ISNUMBER(SEARCH("zoysia",E123)),"Zoysia",
ISNUMBER(SEARCH("ryegrass",E123)),"Perennial Ryegrass",
ISNUMBER(SEARCH("centipede",E123)),"Centipede Grass",
ISNUMBER(SEARCH("dense shade",E123)),"Dense Shade Mix",
ISNUMBER(SEARCH("southern gold",E123)),"Southern Gold Mix",
ISNUMBER(SEARCH("heat-tolerant blue",E123)),"Heat-Tolerant Blue Mix",
ISNUMBER(SEARCH("high traffic",E123)),"High Traffic Mix",
ISNUMBER(SEARCH("quick fix",E123)),"Quick Fix Mix",
ISNUMBER(SEARCH("starter",E123)),"Starter Fertilizer",
ISNUMBER(SEARCH("weed &amp; feed",E123)),"Weed &amp; Feed",
ISNUMBER(SEARCH("lawn food",E123)),"Lawn Food",
ISNUMBER(SEARCH("triple action",E123)),"Triple Action Fertilizer",
ISNUMBER(SEARCH("green max",E123)),"Green Max Lawn Food",
ISNUMBER(SEARCH("patchmaster",E123)),"PatchMaster Repair",
ISNUMBER(SEARCH("ez seed",E123)),"EZ Seed Repair",
ISNUMBER(SEARCH("rapid grass",E123)),"Rapid Grass",
ISNUMBER(SEARCH("thick'r lawn",E123)),"Thick'R Lawn",
ISNUMBER(SEARCH("fungicide",E123)),"Fungicide",
ISNUMBER(SEARCH("moss",E123)),"Moss Control",
ISNUMBER(SEARCH("perlite",E123)),"Perlite",
ISNUMBER(SEARCH("plant food",E123)),"Plant Food",
ISNUMBER(SEARCH("spreader",E123)),"Spreader",
ISNUMBER(SEARCH("sprayer",E123)),"Sprayer",
ISNUMBER(SEARCH("mower",E123)),"Lawn Mower",
ISNUMBER(SEARCH("sweeper",E123)),"Lawn Sweeper",
OR(ISNUMBER(SEARCH("pruner",E123)),ISNUMBER(SEARCH("trimmer",E123)),ISNUMBER(SEARCH("pole saw",E123))),"Pruning Tools",
TRUE,"Other"
)</f>
        <v>Lawn Food</v>
      </c>
      <c r="J123" s="7" t="str">
        <f t="shared" si="18"/>
        <v>Lawn Fertilizer - Lawn Food</v>
      </c>
      <c r="K123" s="4">
        <v>2000</v>
      </c>
      <c r="L123" s="4">
        <v>4.5</v>
      </c>
      <c r="M123" s="4">
        <v>9374</v>
      </c>
      <c r="N123" s="4" t="s">
        <v>526</v>
      </c>
      <c r="O123" s="4">
        <f>VLOOKUP(A123,[3]Sheet1!$A:$B,2,0)</f>
        <v>250</v>
      </c>
      <c r="P123" s="4">
        <f>VLOOKUP(A123,[3]Sheet1!$A:$C,3,0)</f>
        <v>500</v>
      </c>
      <c r="Q123" s="4">
        <f>VLOOKUP(A123,[3]Sheet1!$A:$D,4,0)</f>
        <v>2000</v>
      </c>
      <c r="R123" s="4">
        <f>VLOOKUP(A123,[3]Sheet1!$A:$E,5,0)</f>
        <v>8000</v>
      </c>
      <c r="S123" s="4">
        <f>VLOOKUP(A123,[3]Sheet1!$A:$F,6,0)</f>
        <v>5000</v>
      </c>
      <c r="T123" s="4">
        <f>VLOOKUP(A123,[3]Sheet1!$A:$G,7,0)</f>
        <v>5000</v>
      </c>
      <c r="U123" s="4">
        <f>VLOOKUP(A123,[3]Sheet1!$A:$I,8,0)</f>
        <v>10000</v>
      </c>
      <c r="V123" s="4">
        <f>VLOOKUP(A123,[3]Sheet1!$A:$J,9,0)</f>
        <v>3000</v>
      </c>
      <c r="W123" s="4">
        <f>VLOOKUP(A123,[3]Sheet1!$A:$J,10,0)</f>
        <v>3000</v>
      </c>
      <c r="X123" s="4">
        <f>VLOOKUP(A123,[3]Sheet1!$A:$K,11,0)</f>
        <v>2000</v>
      </c>
      <c r="Y123" s="4">
        <f>VLOOKUP(A123,[3]Sheet1!$A:$L,12,0)</f>
        <v>750</v>
      </c>
      <c r="Z123" s="4">
        <f>VLOOKUP(A123,[3]Sheet1!$A:$M,13,0)</f>
        <v>750</v>
      </c>
      <c r="AA123" s="4">
        <f t="shared" si="32"/>
        <v>40250</v>
      </c>
      <c r="AB123" s="7">
        <f t="shared" si="19"/>
        <v>3354</v>
      </c>
      <c r="AC123" s="15">
        <f t="shared" si="33"/>
        <v>3354.1666666666665</v>
      </c>
      <c r="AD123" s="16">
        <f t="shared" si="34"/>
        <v>1337910</v>
      </c>
      <c r="AE123" s="16">
        <f t="shared" si="35"/>
        <v>111492.5</v>
      </c>
      <c r="AF123" s="16">
        <v>11.85</v>
      </c>
      <c r="AG123" s="16">
        <v>33.24</v>
      </c>
      <c r="AH123" s="8">
        <f t="shared" si="36"/>
        <v>2.9733333333333258E-2</v>
      </c>
      <c r="AI123" s="8">
        <f t="shared" si="37"/>
        <v>0.10406666666666639</v>
      </c>
      <c r="AJ123" s="10">
        <v>0.5</v>
      </c>
      <c r="AK123" s="10">
        <v>0.5</v>
      </c>
      <c r="AL123" s="16">
        <v>11.85</v>
      </c>
      <c r="AM123" s="9">
        <f t="shared" si="24"/>
        <v>4.9859999999999998</v>
      </c>
      <c r="AN123" s="9">
        <f t="shared" si="25"/>
        <v>0.99719999999999998</v>
      </c>
      <c r="AO123" s="9">
        <f t="shared" si="26"/>
        <v>6.6480000000000006</v>
      </c>
      <c r="AP123" s="9">
        <f t="shared" si="27"/>
        <v>0.66480000000000006</v>
      </c>
      <c r="AQ123" s="9">
        <f t="shared" si="28"/>
        <v>6.6480000000000006</v>
      </c>
      <c r="AR123" s="9">
        <f t="shared" si="29"/>
        <v>8.31</v>
      </c>
      <c r="AS123" s="11">
        <f t="shared" si="30"/>
        <v>0.29733333333333256</v>
      </c>
      <c r="AT123" s="12">
        <f t="shared" si="31"/>
        <v>-0.81066666666666742</v>
      </c>
    </row>
    <row r="124" spans="1:46" ht="16.5" x14ac:dyDescent="0.4">
      <c r="A124" s="4" t="s">
        <v>602</v>
      </c>
      <c r="B124" s="4" t="s">
        <v>513</v>
      </c>
      <c r="C124" s="7" t="s">
        <v>1784</v>
      </c>
      <c r="D124" s="4" t="s">
        <v>603</v>
      </c>
      <c r="E124" s="4" t="s">
        <v>604</v>
      </c>
      <c r="F124" s="4" t="s">
        <v>605</v>
      </c>
      <c r="G124" s="7" t="str">
        <f>VLOOKUP(A124,[1]done!$A:$I,9,0)</f>
        <v>Grass Seed</v>
      </c>
      <c r="H124" s="7" t="str" cm="1">
        <f t="array" ref="H124">_xlfn.IFS(
OR(ISNUMBER(SEARCH("mouse",E124)),ISNUMBER(SEARCH("rat",E124)),ISNUMBER(SEARCH("mice",E124)),ISNUMBER(SEARCH("rodent",E124))),"Rodent Control",
OR(ISNUMBER(SEARCH("fly",E124)),ISNUMBER(SEARCH("gnat",E124)),ISNUMBER(SEARCH("insect",E124)),ISNUMBER(SEARCH("mosquito",E124))),"Flying Insect Control",
OR(ISNUMBER(SEARCH("roach",E124)),ISNUMBER(SEARCH("ant",E124)),ISNUMBER(SEARCH("spider",E124)),ISNUMBER(SEARCH("cricket",E124)),ISNUMBER(SEARCH("scorpion",E124)),ISNUMBER(SEARCH("centipede",E124)),ISNUMBER(SEARCH("beetle",E124))),"Crawling Insect Control",
OR(ISNUMBER(SEARCH("tree",E124)),ISNUMBER(SEARCH("lantern",E124)),ISNUMBER(SEARCH("garden",E124)),ISNUMBER(SEARCH("plant",E124))),"Garden Pest Control",
OR(ISNUMBER(SEARCH("grass seed",E124)),ISNUMBER(SEARCH("seed mix",E124))),"Grass Seed",
OR(ISNUMBER(SEARCH("lawn food",E124)),ISNUMBER(SEARCH("fertilizer",E124))),"Lawn Fertilizer",
OR(ISNUMBER(SEARCH("patch",E124)),ISNUMBER(SEARCH("repair",E124)),ISNUMBER(SEARCH("thick'r",E124)),ISNUMBER(SEARCH("thick'r lawn",E124)),ISNUMBER(SEARCH("rapid grass",E124))),"Lawn Repair",
OR(ISNUMBER(SEARCH("weed",E124)),ISNUMBER(SEARCH("crabgrass",E124))),"Weed Control",
OR(ISNUMBER(SEARCH("fungicide",E124)),ISNUMBER(SEARCH("moss",E124))),"Disease &amp; Moss Control",
OR(ISNUMBER(SEARCH("plant food",E124)),ISNUMBER(SEARCH("miracid",E124))),"Plant Nutrition",
OR(ISNUMBER(SEARCH("perlite",E124))),"Soil Amendment",
OR(ISNUMBER(SEARCH("spreader",E124)),ISNUMBER(SEARCH("sprayer",E124)),ISNUMBER(SEARCH("mower",E124)),ISNUMBER(SEARCH("sweeper",E124)),ISNUMBER(SEARCH("pruner",E124)),ISNUMBER(SEARCH("trimmer",E124)),ISNUMBER(SEARCH("pole saw",E124))),"Garden Equipment",
TRUE,"Other"
)</f>
        <v>Grass Seed</v>
      </c>
      <c r="I124" s="7" t="str" cm="1">
        <f t="array" ref="I124">_xlfn.IFS(
OR(ISNUMBER(SEARCH("glue trap",E124)),ISNUMBER(SEARCH("glue board",E124))),"Glue Traps",
OR(ISNUMBER(SEARCH("snap trap",E124)),ISNUMBER(SEARCH("power-kill",E124)),ISNUMBER(SEARCH("wide pedal",E124)),ISNUMBER(SEARCH("metal pedal",E124))),"Snap Traps",
OR(ISNUMBER(SEARCH("electronic",E124)),ISNUMBER(SEARCH("zapper",E124))),"Electronic Traps",
OR(ISNUMBER(SEARCH("live catch",E124)),ISNUMBER(SEARCH("multi-catch",E124)),ISNUMBER(SEARCH("catch &amp; hold",E124)),ISNUMBER(SEARCH("tin cat",E124))),"Live Catch Traps",
OR(ISNUMBER(SEARCH("bait",E124)),ISNUMBER(SEARCH("poison",E124))),"Bait &amp; Poison",
ISNUMBER(SEARCH("repellent",E124)),"Repellents",
OR(ISNUMBER(SEARCH("fly trap",E124)),ISNUMBER(SEARCH("fly ribbon",E124)),ISNUMBER(SEARCH("fly stick",E124)),ISNUMBER(SEARCH("window fly",E124)),ISNUMBER(SEARCH("fly magnet",E124))),"Fly Traps",
OR(ISNUMBER(SEARCH("uv",E124)),ISNUMBER(SEARCH("fly light",E124)),ISNUMBER(SEARCH("plug-in",E124))),"UV Fly Traps",
ISNUMBER(SEARCH("roach",E124)),"Roach Traps",
ISNUMBER(SEARCH("ant",E124)),"Ant Traps",
ISNUMBER(SEARCH("spider",E124)),"Spider Traps",
ISNUMBER(SEARCH("mosquito",E124)),"Mosquito Traps",
ISNUMBER(SEARCH("beetle",E124)),"Beetle Traps",
ISNUMBER(SEARCH("lantern",E124)),"Lanternfly Control",
OR(ISNUMBER(SEARCH("tree shield",E124)),ISNUMBER(SEARCH("tree banding",E124)),ISNUMBER(SEARCH("insect barrier",E124))),"Tree Barriers",
OR(ISNUMBER(SEARCH("sun &amp; shade",E124)),ISNUMBER(SEARCH("sun and shade",E124))),"Sun &amp; Shade Mix",
ISNUMBER(SEARCH("tall fescue",E124)),"Tall Fescue",
ISNUMBER(SEARCH("bermudagrass",E124)),"Bermudagrass",
ISNUMBER(SEARCH("kentucky",E124)),"Kentucky Bluegrass",
ISNUMBER(SEARCH("zoysia",E124)),"Zoysia",
ISNUMBER(SEARCH("ryegrass",E124)),"Perennial Ryegrass",
ISNUMBER(SEARCH("centipede",E124)),"Centipede Grass",
ISNUMBER(SEARCH("dense shade",E124)),"Dense Shade Mix",
ISNUMBER(SEARCH("southern gold",E124)),"Southern Gold Mix",
ISNUMBER(SEARCH("heat-tolerant blue",E124)),"Heat-Tolerant Blue Mix",
ISNUMBER(SEARCH("high traffic",E124)),"High Traffic Mix",
ISNUMBER(SEARCH("quick fix",E124)),"Quick Fix Mix",
ISNUMBER(SEARCH("starter",E124)),"Starter Fertilizer",
ISNUMBER(SEARCH("weed &amp; feed",E124)),"Weed &amp; Feed",
ISNUMBER(SEARCH("lawn food",E124)),"Lawn Food",
ISNUMBER(SEARCH("triple action",E124)),"Triple Action Fertilizer",
ISNUMBER(SEARCH("green max",E124)),"Green Max Lawn Food",
ISNUMBER(SEARCH("patchmaster",E124)),"PatchMaster Repair",
ISNUMBER(SEARCH("ez seed",E124)),"EZ Seed Repair",
ISNUMBER(SEARCH("rapid grass",E124)),"Rapid Grass",
ISNUMBER(SEARCH("thick'r lawn",E124)),"Thick'R Lawn",
ISNUMBER(SEARCH("fungicide",E124)),"Fungicide",
ISNUMBER(SEARCH("moss",E124)),"Moss Control",
ISNUMBER(SEARCH("perlite",E124)),"Perlite",
ISNUMBER(SEARCH("plant food",E124)),"Plant Food",
ISNUMBER(SEARCH("spreader",E124)),"Spreader",
ISNUMBER(SEARCH("sprayer",E124)),"Sprayer",
ISNUMBER(SEARCH("mower",E124)),"Lawn Mower",
ISNUMBER(SEARCH("sweeper",E124)),"Lawn Sweeper",
OR(ISNUMBER(SEARCH("pruner",E124)),ISNUMBER(SEARCH("trimmer",E124)),ISNUMBER(SEARCH("pole saw",E124))),"Pruning Tools",
TRUE,"Other"
)</f>
        <v>Kentucky Bluegrass</v>
      </c>
      <c r="J124" s="7" t="str">
        <f t="shared" si="18"/>
        <v>Grass Seed - Kentucky Bluegrass</v>
      </c>
      <c r="K124" s="4">
        <v>2000</v>
      </c>
      <c r="L124" s="4">
        <v>4.2</v>
      </c>
      <c r="M124" s="4">
        <v>5669</v>
      </c>
      <c r="N124" s="4" t="s">
        <v>606</v>
      </c>
      <c r="O124" s="4">
        <f>VLOOKUP(A124,[3]Sheet1!$A:$B,2,0)</f>
        <v>0</v>
      </c>
      <c r="P124" s="4">
        <f>VLOOKUP(A124,[3]Sheet1!$A:$C,3,0)</f>
        <v>0</v>
      </c>
      <c r="Q124" s="4">
        <f>VLOOKUP(A124,[3]Sheet1!$A:$D,4,0)</f>
        <v>100</v>
      </c>
      <c r="R124" s="4">
        <f>VLOOKUP(A124,[3]Sheet1!$A:$E,5,0)</f>
        <v>1000</v>
      </c>
      <c r="S124" s="4">
        <f>VLOOKUP(A124,[3]Sheet1!$A:$F,6,0)</f>
        <v>1000</v>
      </c>
      <c r="T124" s="4">
        <f>VLOOKUP(A124,[3]Sheet1!$A:$G,7,0)</f>
        <v>1000</v>
      </c>
      <c r="U124" s="4">
        <f>VLOOKUP(A124,[3]Sheet1!$A:$I,8,0)</f>
        <v>1000</v>
      </c>
      <c r="V124" s="4">
        <f>VLOOKUP(A124,[3]Sheet1!$A:$J,9,0)</f>
        <v>300</v>
      </c>
      <c r="W124" s="4">
        <f>VLOOKUP(A124,[3]Sheet1!$A:$J,10,0)</f>
        <v>1000</v>
      </c>
      <c r="X124" s="4">
        <f>VLOOKUP(A124,[3]Sheet1!$A:$K,11,0)</f>
        <v>600</v>
      </c>
      <c r="Y124" s="4">
        <f>VLOOKUP(A124,[3]Sheet1!$A:$L,12,0)</f>
        <v>100</v>
      </c>
      <c r="Z124" s="4">
        <f>VLOOKUP(A124,[3]Sheet1!$A:$M,13,0)</f>
        <v>50</v>
      </c>
      <c r="AA124" s="4">
        <f t="shared" si="32"/>
        <v>6150</v>
      </c>
      <c r="AB124" s="7">
        <f t="shared" si="19"/>
        <v>513</v>
      </c>
      <c r="AC124" s="15">
        <f t="shared" si="33"/>
        <v>512.5</v>
      </c>
      <c r="AD124" s="16">
        <f t="shared" si="34"/>
        <v>73492.5</v>
      </c>
      <c r="AE124" s="16">
        <f t="shared" si="35"/>
        <v>6124.375</v>
      </c>
      <c r="AF124" s="16">
        <v>6.31</v>
      </c>
      <c r="AG124" s="16">
        <v>11.95</v>
      </c>
      <c r="AH124" s="8">
        <f t="shared" si="36"/>
        <v>-0.16866666666666674</v>
      </c>
      <c r="AI124" s="8">
        <f t="shared" si="37"/>
        <v>-0.59033333333333349</v>
      </c>
      <c r="AJ124" s="10">
        <v>0.5</v>
      </c>
      <c r="AK124" s="10">
        <v>0.5</v>
      </c>
      <c r="AL124" s="16">
        <v>6.31</v>
      </c>
      <c r="AM124" s="9">
        <f t="shared" si="24"/>
        <v>1.7924999999999998</v>
      </c>
      <c r="AN124" s="9">
        <f t="shared" si="25"/>
        <v>0.35849999999999999</v>
      </c>
      <c r="AO124" s="9">
        <f t="shared" si="26"/>
        <v>2.39</v>
      </c>
      <c r="AP124" s="9">
        <f t="shared" si="27"/>
        <v>0.23899999999999999</v>
      </c>
      <c r="AQ124" s="9">
        <f t="shared" si="28"/>
        <v>2.39</v>
      </c>
      <c r="AR124" s="9">
        <f t="shared" si="29"/>
        <v>2.9874999999999998</v>
      </c>
      <c r="AS124" s="11">
        <f t="shared" si="30"/>
        <v>-1.6866666666666672</v>
      </c>
      <c r="AT124" s="12">
        <f t="shared" si="31"/>
        <v>-2.0850000000000004</v>
      </c>
    </row>
    <row r="125" spans="1:46" ht="16.5" x14ac:dyDescent="0.4">
      <c r="A125" s="4" t="s">
        <v>607</v>
      </c>
      <c r="B125" s="4" t="s">
        <v>513</v>
      </c>
      <c r="C125" s="7" t="s">
        <v>1784</v>
      </c>
      <c r="D125" s="4" t="s">
        <v>608</v>
      </c>
      <c r="E125" s="4" t="s">
        <v>609</v>
      </c>
      <c r="F125" s="4" t="s">
        <v>610</v>
      </c>
      <c r="G125" s="7" t="str">
        <f>VLOOKUP(A125,[1]done!$A:$I,9,0)</f>
        <v>Lawn Fertilizer</v>
      </c>
      <c r="H125" s="7" t="str" cm="1">
        <f t="array" ref="H125">_xlfn.IFS(
OR(ISNUMBER(SEARCH("mouse",E125)),ISNUMBER(SEARCH("rat",E125)),ISNUMBER(SEARCH("mice",E125)),ISNUMBER(SEARCH("rodent",E125))),"Rodent Control",
OR(ISNUMBER(SEARCH("fly",E125)),ISNUMBER(SEARCH("gnat",E125)),ISNUMBER(SEARCH("insect",E125)),ISNUMBER(SEARCH("mosquito",E125))),"Flying Insect Control",
OR(ISNUMBER(SEARCH("roach",E125)),ISNUMBER(SEARCH("ant",E125)),ISNUMBER(SEARCH("spider",E125)),ISNUMBER(SEARCH("cricket",E125)),ISNUMBER(SEARCH("scorpion",E125)),ISNUMBER(SEARCH("centipede",E125)),ISNUMBER(SEARCH("beetle",E125))),"Crawling Insect Control",
OR(ISNUMBER(SEARCH("tree",E125)),ISNUMBER(SEARCH("lantern",E125)),ISNUMBER(SEARCH("garden",E125)),ISNUMBER(SEARCH("plant",E125))),"Garden Pest Control",
OR(ISNUMBER(SEARCH("grass seed",E125)),ISNUMBER(SEARCH("seed mix",E125))),"Grass Seed",
OR(ISNUMBER(SEARCH("lawn food",E125)),ISNUMBER(SEARCH("fertilizer",E125))),"Lawn Fertilizer",
OR(ISNUMBER(SEARCH("patch",E125)),ISNUMBER(SEARCH("repair",E125)),ISNUMBER(SEARCH("thick'r",E125)),ISNUMBER(SEARCH("thick'r lawn",E125)),ISNUMBER(SEARCH("rapid grass",E125))),"Lawn Repair",
OR(ISNUMBER(SEARCH("weed",E125)),ISNUMBER(SEARCH("crabgrass",E125))),"Weed Control",
OR(ISNUMBER(SEARCH("fungicide",E125)),ISNUMBER(SEARCH("moss",E125))),"Disease &amp; Moss Control",
OR(ISNUMBER(SEARCH("plant food",E125)),ISNUMBER(SEARCH("miracid",E125))),"Plant Nutrition",
OR(ISNUMBER(SEARCH("perlite",E125))),"Soil Amendment",
OR(ISNUMBER(SEARCH("spreader",E125)),ISNUMBER(SEARCH("sprayer",E125)),ISNUMBER(SEARCH("mower",E125)),ISNUMBER(SEARCH("sweeper",E125)),ISNUMBER(SEARCH("pruner",E125)),ISNUMBER(SEARCH("trimmer",E125)),ISNUMBER(SEARCH("pole saw",E125))),"Garden Equipment",
TRUE,"Other"
)</f>
        <v>Flying Insect Control</v>
      </c>
      <c r="I125" s="7" t="str" cm="1">
        <f t="array" ref="I125">_xlfn.IFS(
OR(ISNUMBER(SEARCH("glue trap",E125)),ISNUMBER(SEARCH("glue board",E125))),"Glue Traps",
OR(ISNUMBER(SEARCH("snap trap",E125)),ISNUMBER(SEARCH("power-kill",E125)),ISNUMBER(SEARCH("wide pedal",E125)),ISNUMBER(SEARCH("metal pedal",E125))),"Snap Traps",
OR(ISNUMBER(SEARCH("electronic",E125)),ISNUMBER(SEARCH("zapper",E125))),"Electronic Traps",
OR(ISNUMBER(SEARCH("live catch",E125)),ISNUMBER(SEARCH("multi-catch",E125)),ISNUMBER(SEARCH("catch &amp; hold",E125)),ISNUMBER(SEARCH("tin cat",E125))),"Live Catch Traps",
OR(ISNUMBER(SEARCH("bait",E125)),ISNUMBER(SEARCH("poison",E125))),"Bait &amp; Poison",
ISNUMBER(SEARCH("repellent",E125)),"Repellents",
OR(ISNUMBER(SEARCH("fly trap",E125)),ISNUMBER(SEARCH("fly ribbon",E125)),ISNUMBER(SEARCH("fly stick",E125)),ISNUMBER(SEARCH("window fly",E125)),ISNUMBER(SEARCH("fly magnet",E125))),"Fly Traps",
OR(ISNUMBER(SEARCH("uv",E125)),ISNUMBER(SEARCH("fly light",E125)),ISNUMBER(SEARCH("plug-in",E125))),"UV Fly Traps",
ISNUMBER(SEARCH("roach",E125)),"Roach Traps",
ISNUMBER(SEARCH("ant",E125)),"Ant Traps",
ISNUMBER(SEARCH("spider",E125)),"Spider Traps",
ISNUMBER(SEARCH("mosquito",E125)),"Mosquito Traps",
ISNUMBER(SEARCH("beetle",E125)),"Beetle Traps",
ISNUMBER(SEARCH("lantern",E125)),"Lanternfly Control",
OR(ISNUMBER(SEARCH("tree shield",E125)),ISNUMBER(SEARCH("tree banding",E125)),ISNUMBER(SEARCH("insect barrier",E125))),"Tree Barriers",
OR(ISNUMBER(SEARCH("sun &amp; shade",E125)),ISNUMBER(SEARCH("sun and shade",E125))),"Sun &amp; Shade Mix",
ISNUMBER(SEARCH("tall fescue",E125)),"Tall Fescue",
ISNUMBER(SEARCH("bermudagrass",E125)),"Bermudagrass",
ISNUMBER(SEARCH("kentucky",E125)),"Kentucky Bluegrass",
ISNUMBER(SEARCH("zoysia",E125)),"Zoysia",
ISNUMBER(SEARCH("ryegrass",E125)),"Perennial Ryegrass",
ISNUMBER(SEARCH("centipede",E125)),"Centipede Grass",
ISNUMBER(SEARCH("dense shade",E125)),"Dense Shade Mix",
ISNUMBER(SEARCH("southern gold",E125)),"Southern Gold Mix",
ISNUMBER(SEARCH("heat-tolerant blue",E125)),"Heat-Tolerant Blue Mix",
ISNUMBER(SEARCH("high traffic",E125)),"High Traffic Mix",
ISNUMBER(SEARCH("quick fix",E125)),"Quick Fix Mix",
ISNUMBER(SEARCH("starter",E125)),"Starter Fertilizer",
ISNUMBER(SEARCH("weed &amp; feed",E125)),"Weed &amp; Feed",
ISNUMBER(SEARCH("lawn food",E125)),"Lawn Food",
ISNUMBER(SEARCH("triple action",E125)),"Triple Action Fertilizer",
ISNUMBER(SEARCH("green max",E125)),"Green Max Lawn Food",
ISNUMBER(SEARCH("patchmaster",E125)),"PatchMaster Repair",
ISNUMBER(SEARCH("ez seed",E125)),"EZ Seed Repair",
ISNUMBER(SEARCH("rapid grass",E125)),"Rapid Grass",
ISNUMBER(SEARCH("thick'r lawn",E125)),"Thick'R Lawn",
ISNUMBER(SEARCH("fungicide",E125)),"Fungicide",
ISNUMBER(SEARCH("moss",E125)),"Moss Control",
ISNUMBER(SEARCH("perlite",E125)),"Perlite",
ISNUMBER(SEARCH("plant food",E125)),"Plant Food",
ISNUMBER(SEARCH("spreader",E125)),"Spreader",
ISNUMBER(SEARCH("sprayer",E125)),"Sprayer",
ISNUMBER(SEARCH("mower",E125)),"Lawn Mower",
ISNUMBER(SEARCH("sweeper",E125)),"Lawn Sweeper",
OR(ISNUMBER(SEARCH("pruner",E125)),ISNUMBER(SEARCH("trimmer",E125)),ISNUMBER(SEARCH("pole saw",E125))),"Pruning Tools",
TRUE,"Other"
)</f>
        <v>Lawn Food</v>
      </c>
      <c r="J125" s="7" t="str">
        <f t="shared" si="18"/>
        <v>Flying Insect Control - Lawn Food</v>
      </c>
      <c r="K125" s="4">
        <v>2000</v>
      </c>
      <c r="L125" s="4">
        <v>4.5</v>
      </c>
      <c r="M125" s="4">
        <v>8381</v>
      </c>
      <c r="N125" s="4" t="s">
        <v>526</v>
      </c>
      <c r="O125" s="4">
        <f>VLOOKUP(A125,[3]Sheet1!$A:$B,2,0)</f>
        <v>0</v>
      </c>
      <c r="P125" s="4">
        <f>VLOOKUP(A125,[3]Sheet1!$A:$C,3,0)</f>
        <v>0</v>
      </c>
      <c r="Q125" s="4">
        <f>VLOOKUP(A125,[3]Sheet1!$A:$D,4,0)</f>
        <v>250</v>
      </c>
      <c r="R125" s="4">
        <f>VLOOKUP(A125,[3]Sheet1!$A:$E,5,0)</f>
        <v>500</v>
      </c>
      <c r="S125" s="4">
        <f>VLOOKUP(A125,[3]Sheet1!$A:$F,6,0)</f>
        <v>500</v>
      </c>
      <c r="T125" s="4">
        <f>VLOOKUP(A125,[3]Sheet1!$A:$G,7,0)</f>
        <v>1000</v>
      </c>
      <c r="U125" s="4">
        <f>VLOOKUP(A125,[3]Sheet1!$A:$I,8,0)</f>
        <v>8000</v>
      </c>
      <c r="V125" s="4">
        <f>VLOOKUP(A125,[3]Sheet1!$A:$J,9,0)</f>
        <v>3000</v>
      </c>
      <c r="W125" s="4">
        <f>VLOOKUP(A125,[3]Sheet1!$A:$J,10,0)</f>
        <v>2000</v>
      </c>
      <c r="X125" s="4">
        <f>VLOOKUP(A125,[3]Sheet1!$A:$K,11,0)</f>
        <v>250</v>
      </c>
      <c r="Y125" s="4">
        <f>VLOOKUP(A125,[3]Sheet1!$A:$L,12,0)</f>
        <v>0</v>
      </c>
      <c r="Z125" s="4">
        <f>VLOOKUP(A125,[3]Sheet1!$A:$M,13,0)</f>
        <v>0</v>
      </c>
      <c r="AA125" s="4">
        <f t="shared" si="32"/>
        <v>15500</v>
      </c>
      <c r="AB125" s="7">
        <f t="shared" si="19"/>
        <v>1292</v>
      </c>
      <c r="AC125" s="15">
        <f t="shared" si="33"/>
        <v>1291.6666666666667</v>
      </c>
      <c r="AD125" s="16">
        <f t="shared" si="34"/>
        <v>309690</v>
      </c>
      <c r="AE125" s="16">
        <f t="shared" si="35"/>
        <v>25807.500000000004</v>
      </c>
      <c r="AF125" s="16">
        <v>10.69</v>
      </c>
      <c r="AG125" s="16">
        <v>19.98</v>
      </c>
      <c r="AH125" s="8">
        <f t="shared" si="36"/>
        <v>-0.24653333333333338</v>
      </c>
      <c r="AI125" s="8">
        <f t="shared" si="37"/>
        <v>-0.86286666666666667</v>
      </c>
      <c r="AJ125" s="10">
        <v>0.5</v>
      </c>
      <c r="AK125" s="10">
        <v>0.5</v>
      </c>
      <c r="AL125" s="16">
        <v>10.69</v>
      </c>
      <c r="AM125" s="9">
        <f t="shared" si="24"/>
        <v>2.9969999999999999</v>
      </c>
      <c r="AN125" s="9">
        <f t="shared" si="25"/>
        <v>0.59940000000000004</v>
      </c>
      <c r="AO125" s="9">
        <f t="shared" si="26"/>
        <v>3.9960000000000004</v>
      </c>
      <c r="AP125" s="9">
        <f t="shared" si="27"/>
        <v>0.39960000000000001</v>
      </c>
      <c r="AQ125" s="9">
        <f t="shared" si="28"/>
        <v>3.9960000000000004</v>
      </c>
      <c r="AR125" s="9">
        <f t="shared" si="29"/>
        <v>4.9950000000000001</v>
      </c>
      <c r="AS125" s="11">
        <f t="shared" si="30"/>
        <v>-2.4653333333333336</v>
      </c>
      <c r="AT125" s="12">
        <f t="shared" si="31"/>
        <v>-3.1313333333333335</v>
      </c>
    </row>
    <row r="126" spans="1:46" ht="16.5" x14ac:dyDescent="0.4">
      <c r="A126" s="4" t="s">
        <v>611</v>
      </c>
      <c r="B126" s="4" t="s">
        <v>513</v>
      </c>
      <c r="C126" s="7" t="s">
        <v>1786</v>
      </c>
      <c r="D126" s="4" t="s">
        <v>612</v>
      </c>
      <c r="E126" s="4" t="s">
        <v>613</v>
      </c>
      <c r="F126" s="4" t="s">
        <v>614</v>
      </c>
      <c r="G126" s="7" t="str">
        <f>VLOOKUP(A126,[1]done!$A:$I,9,0)</f>
        <v>Grass Seed</v>
      </c>
      <c r="H126" s="7" t="str" cm="1">
        <f t="array" ref="H126">_xlfn.IFS(
OR(ISNUMBER(SEARCH("mouse",E126)),ISNUMBER(SEARCH("rat",E126)),ISNUMBER(SEARCH("mice",E126)),ISNUMBER(SEARCH("rodent",E126))),"Rodent Control",
OR(ISNUMBER(SEARCH("fly",E126)),ISNUMBER(SEARCH("gnat",E126)),ISNUMBER(SEARCH("insect",E126)),ISNUMBER(SEARCH("mosquito",E126))),"Flying Insect Control",
OR(ISNUMBER(SEARCH("roach",E126)),ISNUMBER(SEARCH("ant",E126)),ISNUMBER(SEARCH("spider",E126)),ISNUMBER(SEARCH("cricket",E126)),ISNUMBER(SEARCH("scorpion",E126)),ISNUMBER(SEARCH("centipede",E126)),ISNUMBER(SEARCH("beetle",E126))),"Crawling Insect Control",
OR(ISNUMBER(SEARCH("tree",E126)),ISNUMBER(SEARCH("lantern",E126)),ISNUMBER(SEARCH("garden",E126)),ISNUMBER(SEARCH("plant",E126))),"Garden Pest Control",
OR(ISNUMBER(SEARCH("grass seed",E126)),ISNUMBER(SEARCH("seed mix",E126))),"Grass Seed",
OR(ISNUMBER(SEARCH("lawn food",E126)),ISNUMBER(SEARCH("fertilizer",E126))),"Lawn Fertilizer",
OR(ISNUMBER(SEARCH("patch",E126)),ISNUMBER(SEARCH("repair",E126)),ISNUMBER(SEARCH("thick'r",E126)),ISNUMBER(SEARCH("thick'r lawn",E126)),ISNUMBER(SEARCH("rapid grass",E126))),"Lawn Repair",
OR(ISNUMBER(SEARCH("weed",E126)),ISNUMBER(SEARCH("crabgrass",E126))),"Weed Control",
OR(ISNUMBER(SEARCH("fungicide",E126)),ISNUMBER(SEARCH("moss",E126))),"Disease &amp; Moss Control",
OR(ISNUMBER(SEARCH("plant food",E126)),ISNUMBER(SEARCH("miracid",E126))),"Plant Nutrition",
OR(ISNUMBER(SEARCH("perlite",E126))),"Soil Amendment",
OR(ISNUMBER(SEARCH("spreader",E126)),ISNUMBER(SEARCH("sprayer",E126)),ISNUMBER(SEARCH("mower",E126)),ISNUMBER(SEARCH("sweeper",E126)),ISNUMBER(SEARCH("pruner",E126)),ISNUMBER(SEARCH("trimmer",E126)),ISNUMBER(SEARCH("pole saw",E126))),"Garden Equipment",
TRUE,"Other"
)</f>
        <v>Grass Seed</v>
      </c>
      <c r="I126" s="7" t="str" cm="1">
        <f t="array" ref="I126">_xlfn.IFS(
OR(ISNUMBER(SEARCH("glue trap",E126)),ISNUMBER(SEARCH("glue board",E126))),"Glue Traps",
OR(ISNUMBER(SEARCH("snap trap",E126)),ISNUMBER(SEARCH("power-kill",E126)),ISNUMBER(SEARCH("wide pedal",E126)),ISNUMBER(SEARCH("metal pedal",E126))),"Snap Traps",
OR(ISNUMBER(SEARCH("electronic",E126)),ISNUMBER(SEARCH("zapper",E126))),"Electronic Traps",
OR(ISNUMBER(SEARCH("live catch",E126)),ISNUMBER(SEARCH("multi-catch",E126)),ISNUMBER(SEARCH("catch &amp; hold",E126)),ISNUMBER(SEARCH("tin cat",E126))),"Live Catch Traps",
OR(ISNUMBER(SEARCH("bait",E126)),ISNUMBER(SEARCH("poison",E126))),"Bait &amp; Poison",
ISNUMBER(SEARCH("repellent",E126)),"Repellents",
OR(ISNUMBER(SEARCH("fly trap",E126)),ISNUMBER(SEARCH("fly ribbon",E126)),ISNUMBER(SEARCH("fly stick",E126)),ISNUMBER(SEARCH("window fly",E126)),ISNUMBER(SEARCH("fly magnet",E126))),"Fly Traps",
OR(ISNUMBER(SEARCH("uv",E126)),ISNUMBER(SEARCH("fly light",E126)),ISNUMBER(SEARCH("plug-in",E126))),"UV Fly Traps",
ISNUMBER(SEARCH("roach",E126)),"Roach Traps",
ISNUMBER(SEARCH("ant",E126)),"Ant Traps",
ISNUMBER(SEARCH("spider",E126)),"Spider Traps",
ISNUMBER(SEARCH("mosquito",E126)),"Mosquito Traps",
ISNUMBER(SEARCH("beetle",E126)),"Beetle Traps",
ISNUMBER(SEARCH("lantern",E126)),"Lanternfly Control",
OR(ISNUMBER(SEARCH("tree shield",E126)),ISNUMBER(SEARCH("tree banding",E126)),ISNUMBER(SEARCH("insect barrier",E126))),"Tree Barriers",
OR(ISNUMBER(SEARCH("sun &amp; shade",E126)),ISNUMBER(SEARCH("sun and shade",E126))),"Sun &amp; Shade Mix",
ISNUMBER(SEARCH("tall fescue",E126)),"Tall Fescue",
ISNUMBER(SEARCH("bermudagrass",E126)),"Bermudagrass",
ISNUMBER(SEARCH("kentucky",E126)),"Kentucky Bluegrass",
ISNUMBER(SEARCH("zoysia",E126)),"Zoysia",
ISNUMBER(SEARCH("ryegrass",E126)),"Perennial Ryegrass",
ISNUMBER(SEARCH("centipede",E126)),"Centipede Grass",
ISNUMBER(SEARCH("dense shade",E126)),"Dense Shade Mix",
ISNUMBER(SEARCH("southern gold",E126)),"Southern Gold Mix",
ISNUMBER(SEARCH("heat-tolerant blue",E126)),"Heat-Tolerant Blue Mix",
ISNUMBER(SEARCH("high traffic",E126)),"High Traffic Mix",
ISNUMBER(SEARCH("quick fix",E126)),"Quick Fix Mix",
ISNUMBER(SEARCH("starter",E126)),"Starter Fertilizer",
ISNUMBER(SEARCH("weed &amp; feed",E126)),"Weed &amp; Feed",
ISNUMBER(SEARCH("lawn food",E126)),"Lawn Food",
ISNUMBER(SEARCH("triple action",E126)),"Triple Action Fertilizer",
ISNUMBER(SEARCH("green max",E126)),"Green Max Lawn Food",
ISNUMBER(SEARCH("patchmaster",E126)),"PatchMaster Repair",
ISNUMBER(SEARCH("ez seed",E126)),"EZ Seed Repair",
ISNUMBER(SEARCH("rapid grass",E126)),"Rapid Grass",
ISNUMBER(SEARCH("thick'r lawn",E126)),"Thick'R Lawn",
ISNUMBER(SEARCH("fungicide",E126)),"Fungicide",
ISNUMBER(SEARCH("moss",E126)),"Moss Control",
ISNUMBER(SEARCH("perlite",E126)),"Perlite",
ISNUMBER(SEARCH("plant food",E126)),"Plant Food",
ISNUMBER(SEARCH("spreader",E126)),"Spreader",
ISNUMBER(SEARCH("sprayer",E126)),"Sprayer",
ISNUMBER(SEARCH("mower",E126)),"Lawn Mower",
ISNUMBER(SEARCH("sweeper",E126)),"Lawn Sweeper",
OR(ISNUMBER(SEARCH("pruner",E126)),ISNUMBER(SEARCH("trimmer",E126)),ISNUMBER(SEARCH("pole saw",E126))),"Pruning Tools",
TRUE,"Other"
)</f>
        <v>Sun &amp; Shade Mix</v>
      </c>
      <c r="J126" s="7" t="str">
        <f t="shared" si="18"/>
        <v>Grass Seed - Sun &amp; Shade Mix</v>
      </c>
      <c r="K126" s="4">
        <v>1000</v>
      </c>
      <c r="L126" s="4">
        <v>4.3</v>
      </c>
      <c r="M126" s="4">
        <v>34453</v>
      </c>
      <c r="N126" s="4" t="s">
        <v>606</v>
      </c>
      <c r="O126" s="4">
        <f>VLOOKUP(A126,[3]Sheet1!$A:$B,2,0)</f>
        <v>250</v>
      </c>
      <c r="P126" s="4">
        <f>VLOOKUP(A126,[3]Sheet1!$A:$C,3,0)</f>
        <v>250</v>
      </c>
      <c r="Q126" s="4">
        <f>VLOOKUP(A126,[3]Sheet1!$A:$D,4,0)</f>
        <v>500</v>
      </c>
      <c r="R126" s="4">
        <f>VLOOKUP(A126,[3]Sheet1!$A:$E,5,0)</f>
        <v>2000</v>
      </c>
      <c r="S126" s="4">
        <f>VLOOKUP(A126,[3]Sheet1!$A:$F,6,0)</f>
        <v>10000</v>
      </c>
      <c r="T126" s="4">
        <f>VLOOKUP(A126,[3]Sheet1!$A:$G,7,0)</f>
        <v>6000</v>
      </c>
      <c r="U126" s="4">
        <f>VLOOKUP(A126,[3]Sheet1!$A:$I,8,0)</f>
        <v>4000</v>
      </c>
      <c r="V126" s="4">
        <f>VLOOKUP(A126,[3]Sheet1!$A:$J,9,0)</f>
        <v>1000</v>
      </c>
      <c r="W126" s="4">
        <f>VLOOKUP(A126,[3]Sheet1!$A:$J,10,0)</f>
        <v>1000</v>
      </c>
      <c r="X126" s="4">
        <f>VLOOKUP(A126,[3]Sheet1!$A:$K,11,0)</f>
        <v>2000</v>
      </c>
      <c r="Y126" s="4">
        <f>VLOOKUP(A126,[3]Sheet1!$A:$L,12,0)</f>
        <v>500</v>
      </c>
      <c r="Z126" s="4">
        <f>VLOOKUP(A126,[3]Sheet1!$A:$M,13,0)</f>
        <v>250</v>
      </c>
      <c r="AA126" s="4">
        <f t="shared" si="32"/>
        <v>27750</v>
      </c>
      <c r="AB126" s="7">
        <f t="shared" si="19"/>
        <v>2313</v>
      </c>
      <c r="AC126" s="15">
        <f t="shared" si="33"/>
        <v>2312.5</v>
      </c>
      <c r="AD126" s="16">
        <f t="shared" si="34"/>
        <v>498667.49999999994</v>
      </c>
      <c r="AE126" s="16">
        <f t="shared" si="35"/>
        <v>41555.625</v>
      </c>
      <c r="AF126" s="16">
        <v>6.48</v>
      </c>
      <c r="AG126" s="16">
        <v>17.97</v>
      </c>
      <c r="AH126" s="8">
        <f t="shared" si="36"/>
        <v>-1.9466666666666802E-2</v>
      </c>
      <c r="AI126" s="8">
        <f t="shared" si="37"/>
        <v>-6.8133333333333795E-2</v>
      </c>
      <c r="AJ126" s="10">
        <v>0.5</v>
      </c>
      <c r="AK126" s="10">
        <v>0.5</v>
      </c>
      <c r="AL126" s="16">
        <v>6.48</v>
      </c>
      <c r="AM126" s="9">
        <f t="shared" si="24"/>
        <v>2.6954999999999996</v>
      </c>
      <c r="AN126" s="9">
        <f t="shared" si="25"/>
        <v>0.53909999999999991</v>
      </c>
      <c r="AO126" s="9">
        <f t="shared" si="26"/>
        <v>3.5939999999999999</v>
      </c>
      <c r="AP126" s="9">
        <f t="shared" si="27"/>
        <v>0.3594</v>
      </c>
      <c r="AQ126" s="9">
        <f t="shared" si="28"/>
        <v>3.5939999999999999</v>
      </c>
      <c r="AR126" s="9">
        <f t="shared" si="29"/>
        <v>4.4924999999999997</v>
      </c>
      <c r="AS126" s="11">
        <f t="shared" si="30"/>
        <v>-0.19466666666666801</v>
      </c>
      <c r="AT126" s="12">
        <f t="shared" si="31"/>
        <v>-0.79366666666666796</v>
      </c>
    </row>
    <row r="127" spans="1:46" ht="16.5" x14ac:dyDescent="0.4">
      <c r="A127" s="4" t="s">
        <v>615</v>
      </c>
      <c r="B127" s="4" t="s">
        <v>513</v>
      </c>
      <c r="C127" s="7" t="s">
        <v>513</v>
      </c>
      <c r="D127" s="4" t="s">
        <v>616</v>
      </c>
      <c r="E127" s="4" t="s">
        <v>617</v>
      </c>
      <c r="F127" s="4" t="s">
        <v>618</v>
      </c>
      <c r="G127" s="7" t="str">
        <f>VLOOKUP(A127,[1]done!$A:$I,9,0)</f>
        <v>Lawn Fertilizer</v>
      </c>
      <c r="H127" s="7" t="str" cm="1">
        <f t="array" ref="H127">_xlfn.IFS(
OR(ISNUMBER(SEARCH("mouse",E127)),ISNUMBER(SEARCH("rat",E127)),ISNUMBER(SEARCH("mice",E127)),ISNUMBER(SEARCH("rodent",E127))),"Rodent Control",
OR(ISNUMBER(SEARCH("fly",E127)),ISNUMBER(SEARCH("gnat",E127)),ISNUMBER(SEARCH("insect",E127)),ISNUMBER(SEARCH("mosquito",E127))),"Flying Insect Control",
OR(ISNUMBER(SEARCH("roach",E127)),ISNUMBER(SEARCH("ant",E127)),ISNUMBER(SEARCH("spider",E127)),ISNUMBER(SEARCH("cricket",E127)),ISNUMBER(SEARCH("scorpion",E127)),ISNUMBER(SEARCH("centipede",E127)),ISNUMBER(SEARCH("beetle",E127))),"Crawling Insect Control",
OR(ISNUMBER(SEARCH("tree",E127)),ISNUMBER(SEARCH("lantern",E127)),ISNUMBER(SEARCH("garden",E127)),ISNUMBER(SEARCH("plant",E127))),"Garden Pest Control",
OR(ISNUMBER(SEARCH("grass seed",E127)),ISNUMBER(SEARCH("seed mix",E127))),"Grass Seed",
OR(ISNUMBER(SEARCH("lawn food",E127)),ISNUMBER(SEARCH("fertilizer",E127))),"Lawn Fertilizer",
OR(ISNUMBER(SEARCH("patch",E127)),ISNUMBER(SEARCH("repair",E127)),ISNUMBER(SEARCH("thick'r",E127)),ISNUMBER(SEARCH("thick'r lawn",E127)),ISNUMBER(SEARCH("rapid grass",E127))),"Lawn Repair",
OR(ISNUMBER(SEARCH("weed",E127)),ISNUMBER(SEARCH("crabgrass",E127))),"Weed Control",
OR(ISNUMBER(SEARCH("fungicide",E127)),ISNUMBER(SEARCH("moss",E127))),"Disease &amp; Moss Control",
OR(ISNUMBER(SEARCH("plant food",E127)),ISNUMBER(SEARCH("miracid",E127))),"Plant Nutrition",
OR(ISNUMBER(SEARCH("perlite",E127))),"Soil Amendment",
OR(ISNUMBER(SEARCH("spreader",E127)),ISNUMBER(SEARCH("sprayer",E127)),ISNUMBER(SEARCH("mower",E127)),ISNUMBER(SEARCH("sweeper",E127)),ISNUMBER(SEARCH("pruner",E127)),ISNUMBER(SEARCH("trimmer",E127)),ISNUMBER(SEARCH("pole saw",E127))),"Garden Equipment",
TRUE,"Other"
)</f>
        <v>Crawling Insect Control</v>
      </c>
      <c r="I127" s="7" t="str" cm="1">
        <f t="array" ref="I127">_xlfn.IFS(
OR(ISNUMBER(SEARCH("glue trap",E127)),ISNUMBER(SEARCH("glue board",E127))),"Glue Traps",
OR(ISNUMBER(SEARCH("snap trap",E127)),ISNUMBER(SEARCH("power-kill",E127)),ISNUMBER(SEARCH("wide pedal",E127)),ISNUMBER(SEARCH("metal pedal",E127))),"Snap Traps",
OR(ISNUMBER(SEARCH("electronic",E127)),ISNUMBER(SEARCH("zapper",E127))),"Electronic Traps",
OR(ISNUMBER(SEARCH("live catch",E127)),ISNUMBER(SEARCH("multi-catch",E127)),ISNUMBER(SEARCH("catch &amp; hold",E127)),ISNUMBER(SEARCH("tin cat",E127))),"Live Catch Traps",
OR(ISNUMBER(SEARCH("bait",E127)),ISNUMBER(SEARCH("poison",E127))),"Bait &amp; Poison",
ISNUMBER(SEARCH("repellent",E127)),"Repellents",
OR(ISNUMBER(SEARCH("fly trap",E127)),ISNUMBER(SEARCH("fly ribbon",E127)),ISNUMBER(SEARCH("fly stick",E127)),ISNUMBER(SEARCH("window fly",E127)),ISNUMBER(SEARCH("fly magnet",E127))),"Fly Traps",
OR(ISNUMBER(SEARCH("uv",E127)),ISNUMBER(SEARCH("fly light",E127)),ISNUMBER(SEARCH("plug-in",E127))),"UV Fly Traps",
ISNUMBER(SEARCH("roach",E127)),"Roach Traps",
ISNUMBER(SEARCH("ant",E127)),"Ant Traps",
ISNUMBER(SEARCH("spider",E127)),"Spider Traps",
ISNUMBER(SEARCH("mosquito",E127)),"Mosquito Traps",
ISNUMBER(SEARCH("beetle",E127)),"Beetle Traps",
ISNUMBER(SEARCH("lantern",E127)),"Lanternfly Control",
OR(ISNUMBER(SEARCH("tree shield",E127)),ISNUMBER(SEARCH("tree banding",E127)),ISNUMBER(SEARCH("insect barrier",E127))),"Tree Barriers",
OR(ISNUMBER(SEARCH("sun &amp; shade",E127)),ISNUMBER(SEARCH("sun and shade",E127))),"Sun &amp; Shade Mix",
ISNUMBER(SEARCH("tall fescue",E127)),"Tall Fescue",
ISNUMBER(SEARCH("bermudagrass",E127)),"Bermudagrass",
ISNUMBER(SEARCH("kentucky",E127)),"Kentucky Bluegrass",
ISNUMBER(SEARCH("zoysia",E127)),"Zoysia",
ISNUMBER(SEARCH("ryegrass",E127)),"Perennial Ryegrass",
ISNUMBER(SEARCH("centipede",E127)),"Centipede Grass",
ISNUMBER(SEARCH("dense shade",E127)),"Dense Shade Mix",
ISNUMBER(SEARCH("southern gold",E127)),"Southern Gold Mix",
ISNUMBER(SEARCH("heat-tolerant blue",E127)),"Heat-Tolerant Blue Mix",
ISNUMBER(SEARCH("high traffic",E127)),"High Traffic Mix",
ISNUMBER(SEARCH("quick fix",E127)),"Quick Fix Mix",
ISNUMBER(SEARCH("starter",E127)),"Starter Fertilizer",
ISNUMBER(SEARCH("weed &amp; feed",E127)),"Weed &amp; Feed",
ISNUMBER(SEARCH("lawn food",E127)),"Lawn Food",
ISNUMBER(SEARCH("triple action",E127)),"Triple Action Fertilizer",
ISNUMBER(SEARCH("green max",E127)),"Green Max Lawn Food",
ISNUMBER(SEARCH("patchmaster",E127)),"PatchMaster Repair",
ISNUMBER(SEARCH("ez seed",E127)),"EZ Seed Repair",
ISNUMBER(SEARCH("rapid grass",E127)),"Rapid Grass",
ISNUMBER(SEARCH("thick'r lawn",E127)),"Thick'R Lawn",
ISNUMBER(SEARCH("fungicide",E127)),"Fungicide",
ISNUMBER(SEARCH("moss",E127)),"Moss Control",
ISNUMBER(SEARCH("perlite",E127)),"Perlite",
ISNUMBER(SEARCH("plant food",E127)),"Plant Food",
ISNUMBER(SEARCH("spreader",E127)),"Spreader",
ISNUMBER(SEARCH("sprayer",E127)),"Sprayer",
ISNUMBER(SEARCH("mower",E127)),"Lawn Mower",
ISNUMBER(SEARCH("sweeper",E127)),"Lawn Sweeper",
OR(ISNUMBER(SEARCH("pruner",E127)),ISNUMBER(SEARCH("trimmer",E127)),ISNUMBER(SEARCH("pole saw",E127))),"Pruning Tools",
TRUE,"Other"
)</f>
        <v>Ant Traps</v>
      </c>
      <c r="J127" s="7" t="str">
        <f t="shared" si="18"/>
        <v>Crawling Insect Control - Ant Traps</v>
      </c>
      <c r="K127" s="4">
        <v>1000</v>
      </c>
      <c r="L127" s="4">
        <v>4.5</v>
      </c>
      <c r="M127" s="4">
        <v>11141</v>
      </c>
      <c r="N127" s="4" t="s">
        <v>619</v>
      </c>
      <c r="O127" s="4">
        <f>VLOOKUP(A127,[3]Sheet1!$A:$B,2,0)</f>
        <v>0</v>
      </c>
      <c r="P127" s="4">
        <f>VLOOKUP(A127,[3]Sheet1!$A:$C,3,0)</f>
        <v>0</v>
      </c>
      <c r="Q127" s="4">
        <f>VLOOKUP(A127,[3]Sheet1!$A:$D,4,0)</f>
        <v>400</v>
      </c>
      <c r="R127" s="4">
        <f>VLOOKUP(A127,[3]Sheet1!$A:$E,5,0)</f>
        <v>600</v>
      </c>
      <c r="S127" s="4">
        <f>VLOOKUP(A127,[3]Sheet1!$A:$F,6,0)</f>
        <v>500</v>
      </c>
      <c r="T127" s="4">
        <f>VLOOKUP(A127,[3]Sheet1!$A:$G,7,0)</f>
        <v>700</v>
      </c>
      <c r="U127" s="4">
        <f>VLOOKUP(A127,[3]Sheet1!$A:$I,8,0)</f>
        <v>100</v>
      </c>
      <c r="V127" s="4">
        <f>VLOOKUP(A127,[3]Sheet1!$A:$J,9,0)</f>
        <v>200</v>
      </c>
      <c r="W127" s="4">
        <f>VLOOKUP(A127,[3]Sheet1!$A:$J,10,0)</f>
        <v>1000</v>
      </c>
      <c r="X127" s="4">
        <f>VLOOKUP(A127,[3]Sheet1!$A:$K,11,0)</f>
        <v>500</v>
      </c>
      <c r="Y127" s="4">
        <f>VLOOKUP(A127,[3]Sheet1!$A:$L,12,0)</f>
        <v>100</v>
      </c>
      <c r="Z127" s="4">
        <f>VLOOKUP(A127,[3]Sheet1!$A:$M,13,0)</f>
        <v>50</v>
      </c>
      <c r="AA127" s="4">
        <f t="shared" si="32"/>
        <v>4150</v>
      </c>
      <c r="AB127" s="7">
        <f t="shared" si="19"/>
        <v>346</v>
      </c>
      <c r="AC127" s="15">
        <f t="shared" si="33"/>
        <v>345.83333333333331</v>
      </c>
      <c r="AD127" s="16">
        <f t="shared" si="34"/>
        <v>331958.5</v>
      </c>
      <c r="AE127" s="16">
        <f t="shared" si="35"/>
        <v>27663.208333333328</v>
      </c>
      <c r="AF127" s="16">
        <v>26.93</v>
      </c>
      <c r="AG127" s="16">
        <v>79.989999999999995</v>
      </c>
      <c r="AH127" s="8">
        <f t="shared" si="36"/>
        <v>0.27106666666666629</v>
      </c>
      <c r="AI127" s="8">
        <f t="shared" si="37"/>
        <v>0.94873333333333187</v>
      </c>
      <c r="AJ127" s="10">
        <v>0.5</v>
      </c>
      <c r="AK127" s="10">
        <v>0.5</v>
      </c>
      <c r="AL127" s="16">
        <v>26.93</v>
      </c>
      <c r="AM127" s="9">
        <f t="shared" si="24"/>
        <v>11.998499999999998</v>
      </c>
      <c r="AN127" s="9">
        <f t="shared" si="25"/>
        <v>2.3996999999999997</v>
      </c>
      <c r="AO127" s="9">
        <f t="shared" si="26"/>
        <v>15.997999999999999</v>
      </c>
      <c r="AP127" s="9">
        <f t="shared" si="27"/>
        <v>1.5997999999999999</v>
      </c>
      <c r="AQ127" s="9">
        <f t="shared" si="28"/>
        <v>15.997999999999999</v>
      </c>
      <c r="AR127" s="9">
        <f t="shared" si="29"/>
        <v>19.997499999999999</v>
      </c>
      <c r="AS127" s="11">
        <f t="shared" si="30"/>
        <v>2.7106666666666626</v>
      </c>
      <c r="AT127" s="12">
        <f t="shared" si="31"/>
        <v>4.4333333333329485E-2</v>
      </c>
    </row>
    <row r="128" spans="1:46" ht="16.5" x14ac:dyDescent="0.4">
      <c r="A128" s="4" t="s">
        <v>620</v>
      </c>
      <c r="B128" s="4" t="s">
        <v>513</v>
      </c>
      <c r="C128" s="7" t="s">
        <v>1785</v>
      </c>
      <c r="D128" s="4" t="s">
        <v>621</v>
      </c>
      <c r="E128" s="4" t="s">
        <v>622</v>
      </c>
      <c r="F128" s="4" t="s">
        <v>623</v>
      </c>
      <c r="G128" s="7" t="str">
        <f>VLOOKUP(A128,[1]done!$A:$I,9,0)</f>
        <v>Lawn Fertilizer</v>
      </c>
      <c r="H128" s="7" t="str" cm="1">
        <f t="array" ref="H128">_xlfn.IFS(
OR(ISNUMBER(SEARCH("mouse",E128)),ISNUMBER(SEARCH("rat",E128)),ISNUMBER(SEARCH("mice",E128)),ISNUMBER(SEARCH("rodent",E128))),"Rodent Control",
OR(ISNUMBER(SEARCH("fly",E128)),ISNUMBER(SEARCH("gnat",E128)),ISNUMBER(SEARCH("insect",E128)),ISNUMBER(SEARCH("mosquito",E128))),"Flying Insect Control",
OR(ISNUMBER(SEARCH("roach",E128)),ISNUMBER(SEARCH("ant",E128)),ISNUMBER(SEARCH("spider",E128)),ISNUMBER(SEARCH("cricket",E128)),ISNUMBER(SEARCH("scorpion",E128)),ISNUMBER(SEARCH("centipede",E128)),ISNUMBER(SEARCH("beetle",E128))),"Crawling Insect Control",
OR(ISNUMBER(SEARCH("tree",E128)),ISNUMBER(SEARCH("lantern",E128)),ISNUMBER(SEARCH("garden",E128)),ISNUMBER(SEARCH("plant",E128))),"Garden Pest Control",
OR(ISNUMBER(SEARCH("grass seed",E128)),ISNUMBER(SEARCH("seed mix",E128))),"Grass Seed",
OR(ISNUMBER(SEARCH("lawn food",E128)),ISNUMBER(SEARCH("fertilizer",E128))),"Lawn Fertilizer",
OR(ISNUMBER(SEARCH("patch",E128)),ISNUMBER(SEARCH("repair",E128)),ISNUMBER(SEARCH("thick'r",E128)),ISNUMBER(SEARCH("thick'r lawn",E128)),ISNUMBER(SEARCH("rapid grass",E128))),"Lawn Repair",
OR(ISNUMBER(SEARCH("weed",E128)),ISNUMBER(SEARCH("crabgrass",E128))),"Weed Control",
OR(ISNUMBER(SEARCH("fungicide",E128)),ISNUMBER(SEARCH("moss",E128))),"Disease &amp; Moss Control",
OR(ISNUMBER(SEARCH("plant food",E128)),ISNUMBER(SEARCH("miracid",E128))),"Plant Nutrition",
OR(ISNUMBER(SEARCH("perlite",E128))),"Soil Amendment",
OR(ISNUMBER(SEARCH("spreader",E128)),ISNUMBER(SEARCH("sprayer",E128)),ISNUMBER(SEARCH("mower",E128)),ISNUMBER(SEARCH("sweeper",E128)),ISNUMBER(SEARCH("pruner",E128)),ISNUMBER(SEARCH("trimmer",E128)),ISNUMBER(SEARCH("pole saw",E128))),"Garden Equipment",
TRUE,"Other"
)</f>
        <v>Other</v>
      </c>
      <c r="I128" s="7" t="str" cm="1">
        <f t="array" ref="I128">_xlfn.IFS(
OR(ISNUMBER(SEARCH("glue trap",E128)),ISNUMBER(SEARCH("glue board",E128))),"Glue Traps",
OR(ISNUMBER(SEARCH("snap trap",E128)),ISNUMBER(SEARCH("power-kill",E128)),ISNUMBER(SEARCH("wide pedal",E128)),ISNUMBER(SEARCH("metal pedal",E128))),"Snap Traps",
OR(ISNUMBER(SEARCH("electronic",E128)),ISNUMBER(SEARCH("zapper",E128))),"Electronic Traps",
OR(ISNUMBER(SEARCH("live catch",E128)),ISNUMBER(SEARCH("multi-catch",E128)),ISNUMBER(SEARCH("catch &amp; hold",E128)),ISNUMBER(SEARCH("tin cat",E128))),"Live Catch Traps",
OR(ISNUMBER(SEARCH("bait",E128)),ISNUMBER(SEARCH("poison",E128))),"Bait &amp; Poison",
ISNUMBER(SEARCH("repellent",E128)),"Repellents",
OR(ISNUMBER(SEARCH("fly trap",E128)),ISNUMBER(SEARCH("fly ribbon",E128)),ISNUMBER(SEARCH("fly stick",E128)),ISNUMBER(SEARCH("window fly",E128)),ISNUMBER(SEARCH("fly magnet",E128))),"Fly Traps",
OR(ISNUMBER(SEARCH("uv",E128)),ISNUMBER(SEARCH("fly light",E128)),ISNUMBER(SEARCH("plug-in",E128))),"UV Fly Traps",
ISNUMBER(SEARCH("roach",E128)),"Roach Traps",
ISNUMBER(SEARCH("ant",E128)),"Ant Traps",
ISNUMBER(SEARCH("spider",E128)),"Spider Traps",
ISNUMBER(SEARCH("mosquito",E128)),"Mosquito Traps",
ISNUMBER(SEARCH("beetle",E128)),"Beetle Traps",
ISNUMBER(SEARCH("lantern",E128)),"Lanternfly Control",
OR(ISNUMBER(SEARCH("tree shield",E128)),ISNUMBER(SEARCH("tree banding",E128)),ISNUMBER(SEARCH("insect barrier",E128))),"Tree Barriers",
OR(ISNUMBER(SEARCH("sun &amp; shade",E128)),ISNUMBER(SEARCH("sun and shade",E128))),"Sun &amp; Shade Mix",
ISNUMBER(SEARCH("tall fescue",E128)),"Tall Fescue",
ISNUMBER(SEARCH("bermudagrass",E128)),"Bermudagrass",
ISNUMBER(SEARCH("kentucky",E128)),"Kentucky Bluegrass",
ISNUMBER(SEARCH("zoysia",E128)),"Zoysia",
ISNUMBER(SEARCH("ryegrass",E128)),"Perennial Ryegrass",
ISNUMBER(SEARCH("centipede",E128)),"Centipede Grass",
ISNUMBER(SEARCH("dense shade",E128)),"Dense Shade Mix",
ISNUMBER(SEARCH("southern gold",E128)),"Southern Gold Mix",
ISNUMBER(SEARCH("heat-tolerant blue",E128)),"Heat-Tolerant Blue Mix",
ISNUMBER(SEARCH("high traffic",E128)),"High Traffic Mix",
ISNUMBER(SEARCH("quick fix",E128)),"Quick Fix Mix",
ISNUMBER(SEARCH("starter",E128)),"Starter Fertilizer",
ISNUMBER(SEARCH("weed &amp; feed",E128)),"Weed &amp; Feed",
ISNUMBER(SEARCH("lawn food",E128)),"Lawn Food",
ISNUMBER(SEARCH("triple action",E128)),"Triple Action Fertilizer",
ISNUMBER(SEARCH("green max",E128)),"Green Max Lawn Food",
ISNUMBER(SEARCH("patchmaster",E128)),"PatchMaster Repair",
ISNUMBER(SEARCH("ez seed",E128)),"EZ Seed Repair",
ISNUMBER(SEARCH("rapid grass",E128)),"Rapid Grass",
ISNUMBER(SEARCH("thick'r lawn",E128)),"Thick'R Lawn",
ISNUMBER(SEARCH("fungicide",E128)),"Fungicide",
ISNUMBER(SEARCH("moss",E128)),"Moss Control",
ISNUMBER(SEARCH("perlite",E128)),"Perlite",
ISNUMBER(SEARCH("plant food",E128)),"Plant Food",
ISNUMBER(SEARCH("spreader",E128)),"Spreader",
ISNUMBER(SEARCH("sprayer",E128)),"Sprayer",
ISNUMBER(SEARCH("mower",E128)),"Lawn Mower",
ISNUMBER(SEARCH("sweeper",E128)),"Lawn Sweeper",
OR(ISNUMBER(SEARCH("pruner",E128)),ISNUMBER(SEARCH("trimmer",E128)),ISNUMBER(SEARCH("pole saw",E128))),"Pruning Tools",
TRUE,"Other"
)</f>
        <v>Starter Fertilizer</v>
      </c>
      <c r="J128" s="7" t="str">
        <f t="shared" si="18"/>
        <v>Other - Starter Fertilizer</v>
      </c>
      <c r="K128" s="4">
        <v>1000</v>
      </c>
      <c r="L128" s="4">
        <v>4.5</v>
      </c>
      <c r="M128" s="4">
        <v>11141</v>
      </c>
      <c r="N128" s="4" t="s">
        <v>624</v>
      </c>
      <c r="O128" s="4">
        <f>VLOOKUP(A128,[3]Sheet1!$A:$B,2,0)</f>
        <v>0</v>
      </c>
      <c r="P128" s="4">
        <f>VLOOKUP(A128,[3]Sheet1!$A:$C,3,0)</f>
        <v>0</v>
      </c>
      <c r="Q128" s="4">
        <f>VLOOKUP(A128,[3]Sheet1!$A:$D,4,0)</f>
        <v>500</v>
      </c>
      <c r="R128" s="4">
        <f>VLOOKUP(A128,[3]Sheet1!$A:$E,5,0)</f>
        <v>1000</v>
      </c>
      <c r="S128" s="4">
        <f>VLOOKUP(A128,[3]Sheet1!$A:$F,6,0)</f>
        <v>1000</v>
      </c>
      <c r="T128" s="4">
        <f>VLOOKUP(A128,[3]Sheet1!$A:$G,7,0)</f>
        <v>1000</v>
      </c>
      <c r="U128" s="4">
        <f>VLOOKUP(A128,[3]Sheet1!$A:$I,8,0)</f>
        <v>700</v>
      </c>
      <c r="V128" s="4">
        <f>VLOOKUP(A128,[3]Sheet1!$A:$J,9,0)</f>
        <v>1000</v>
      </c>
      <c r="W128" s="4">
        <f>VLOOKUP(A128,[3]Sheet1!$A:$J,10,0)</f>
        <v>1000</v>
      </c>
      <c r="X128" s="4">
        <f>VLOOKUP(A128,[3]Sheet1!$A:$K,11,0)</f>
        <v>0</v>
      </c>
      <c r="Y128" s="4">
        <f>VLOOKUP(A128,[3]Sheet1!$A:$L,12,0)</f>
        <v>0</v>
      </c>
      <c r="Z128" s="4">
        <f>VLOOKUP(A128,[3]Sheet1!$A:$M,13,0)</f>
        <v>0</v>
      </c>
      <c r="AA128" s="4">
        <f t="shared" si="32"/>
        <v>6200</v>
      </c>
      <c r="AB128" s="7">
        <f t="shared" si="19"/>
        <v>517</v>
      </c>
      <c r="AC128" s="15">
        <f t="shared" si="33"/>
        <v>516.66666666666663</v>
      </c>
      <c r="AD128" s="16">
        <f t="shared" si="34"/>
        <v>114514</v>
      </c>
      <c r="AE128" s="16">
        <f t="shared" si="35"/>
        <v>9542.8333333333321</v>
      </c>
      <c r="AF128" s="16">
        <v>7.46</v>
      </c>
      <c r="AG128" s="16">
        <v>18.47</v>
      </c>
      <c r="AH128" s="8">
        <f t="shared" si="36"/>
        <v>-7.1466666666666734E-2</v>
      </c>
      <c r="AI128" s="8">
        <f t="shared" si="37"/>
        <v>-0.25013333333333354</v>
      </c>
      <c r="AJ128" s="10">
        <v>0.5</v>
      </c>
      <c r="AK128" s="10">
        <v>0.5</v>
      </c>
      <c r="AL128" s="16">
        <v>7.46</v>
      </c>
      <c r="AM128" s="9">
        <f t="shared" si="24"/>
        <v>2.7704999999999997</v>
      </c>
      <c r="AN128" s="9">
        <f t="shared" si="25"/>
        <v>0.55409999999999993</v>
      </c>
      <c r="AO128" s="9">
        <f t="shared" si="26"/>
        <v>3.694</v>
      </c>
      <c r="AP128" s="9">
        <f t="shared" si="27"/>
        <v>0.36940000000000001</v>
      </c>
      <c r="AQ128" s="9">
        <f t="shared" si="28"/>
        <v>3.694</v>
      </c>
      <c r="AR128" s="9">
        <f t="shared" si="29"/>
        <v>4.6174999999999997</v>
      </c>
      <c r="AS128" s="11">
        <f t="shared" si="30"/>
        <v>-0.71466666666666734</v>
      </c>
      <c r="AT128" s="12">
        <f t="shared" si="31"/>
        <v>-1.3303333333333338</v>
      </c>
    </row>
    <row r="129" spans="1:46" ht="16.5" x14ac:dyDescent="0.4">
      <c r="A129" s="4" t="s">
        <v>625</v>
      </c>
      <c r="B129" s="4" t="s">
        <v>513</v>
      </c>
      <c r="C129" s="7" t="s">
        <v>1784</v>
      </c>
      <c r="D129" s="4" t="s">
        <v>626</v>
      </c>
      <c r="E129" s="4" t="s">
        <v>627</v>
      </c>
      <c r="F129" s="4" t="s">
        <v>628</v>
      </c>
      <c r="G129" s="7" t="str">
        <f>VLOOKUP(A129,[1]done!$A:$I,9,0)</f>
        <v>Other - Scotts</v>
      </c>
      <c r="H129" s="7" t="str" cm="1">
        <f t="array" ref="H129">_xlfn.IFS(
OR(ISNUMBER(SEARCH("mouse",E129)),ISNUMBER(SEARCH("rat",E129)),ISNUMBER(SEARCH("mice",E129)),ISNUMBER(SEARCH("rodent",E129))),"Rodent Control",
OR(ISNUMBER(SEARCH("fly",E129)),ISNUMBER(SEARCH("gnat",E129)),ISNUMBER(SEARCH("insect",E129)),ISNUMBER(SEARCH("mosquito",E129))),"Flying Insect Control",
OR(ISNUMBER(SEARCH("roach",E129)),ISNUMBER(SEARCH("ant",E129)),ISNUMBER(SEARCH("spider",E129)),ISNUMBER(SEARCH("cricket",E129)),ISNUMBER(SEARCH("scorpion",E129)),ISNUMBER(SEARCH("centipede",E129)),ISNUMBER(SEARCH("beetle",E129))),"Crawling Insect Control",
OR(ISNUMBER(SEARCH("tree",E129)),ISNUMBER(SEARCH("lantern",E129)),ISNUMBER(SEARCH("garden",E129)),ISNUMBER(SEARCH("plant",E129))),"Garden Pest Control",
OR(ISNUMBER(SEARCH("grass seed",E129)),ISNUMBER(SEARCH("seed mix",E129))),"Grass Seed",
OR(ISNUMBER(SEARCH("lawn food",E129)),ISNUMBER(SEARCH("fertilizer",E129))),"Lawn Fertilizer",
OR(ISNUMBER(SEARCH("patch",E129)),ISNUMBER(SEARCH("repair",E129)),ISNUMBER(SEARCH("thick'r",E129)),ISNUMBER(SEARCH("thick'r lawn",E129)),ISNUMBER(SEARCH("rapid grass",E129))),"Lawn Repair",
OR(ISNUMBER(SEARCH("weed",E129)),ISNUMBER(SEARCH("crabgrass",E129))),"Weed Control",
OR(ISNUMBER(SEARCH("fungicide",E129)),ISNUMBER(SEARCH("moss",E129))),"Disease &amp; Moss Control",
OR(ISNUMBER(SEARCH("plant food",E129)),ISNUMBER(SEARCH("miracid",E129))),"Plant Nutrition",
OR(ISNUMBER(SEARCH("perlite",E129))),"Soil Amendment",
OR(ISNUMBER(SEARCH("spreader",E129)),ISNUMBER(SEARCH("sprayer",E129)),ISNUMBER(SEARCH("mower",E129)),ISNUMBER(SEARCH("sweeper",E129)),ISNUMBER(SEARCH("pruner",E129)),ISNUMBER(SEARCH("trimmer",E129)),ISNUMBER(SEARCH("pole saw",E129))),"Garden Equipment",
TRUE,"Other"
)</f>
        <v>Other</v>
      </c>
      <c r="I129" s="7" t="str" cm="1">
        <f t="array" ref="I129">_xlfn.IFS(
OR(ISNUMBER(SEARCH("glue trap",E129)),ISNUMBER(SEARCH("glue board",E129))),"Glue Traps",
OR(ISNUMBER(SEARCH("snap trap",E129)),ISNUMBER(SEARCH("power-kill",E129)),ISNUMBER(SEARCH("wide pedal",E129)),ISNUMBER(SEARCH("metal pedal",E129))),"Snap Traps",
OR(ISNUMBER(SEARCH("electronic",E129)),ISNUMBER(SEARCH("zapper",E129))),"Electronic Traps",
OR(ISNUMBER(SEARCH("live catch",E129)),ISNUMBER(SEARCH("multi-catch",E129)),ISNUMBER(SEARCH("catch &amp; hold",E129)),ISNUMBER(SEARCH("tin cat",E129))),"Live Catch Traps",
OR(ISNUMBER(SEARCH("bait",E129)),ISNUMBER(SEARCH("poison",E129))),"Bait &amp; Poison",
ISNUMBER(SEARCH("repellent",E129)),"Repellents",
OR(ISNUMBER(SEARCH("fly trap",E129)),ISNUMBER(SEARCH("fly ribbon",E129)),ISNUMBER(SEARCH("fly stick",E129)),ISNUMBER(SEARCH("window fly",E129)),ISNUMBER(SEARCH("fly magnet",E129))),"Fly Traps",
OR(ISNUMBER(SEARCH("uv",E129)),ISNUMBER(SEARCH("fly light",E129)),ISNUMBER(SEARCH("plug-in",E129))),"UV Fly Traps",
ISNUMBER(SEARCH("roach",E129)),"Roach Traps",
ISNUMBER(SEARCH("ant",E129)),"Ant Traps",
ISNUMBER(SEARCH("spider",E129)),"Spider Traps",
ISNUMBER(SEARCH("mosquito",E129)),"Mosquito Traps",
ISNUMBER(SEARCH("beetle",E129)),"Beetle Traps",
ISNUMBER(SEARCH("lantern",E129)),"Lanternfly Control",
OR(ISNUMBER(SEARCH("tree shield",E129)),ISNUMBER(SEARCH("tree banding",E129)),ISNUMBER(SEARCH("insect barrier",E129))),"Tree Barriers",
OR(ISNUMBER(SEARCH("sun &amp; shade",E129)),ISNUMBER(SEARCH("sun and shade",E129))),"Sun &amp; Shade Mix",
ISNUMBER(SEARCH("tall fescue",E129)),"Tall Fescue",
ISNUMBER(SEARCH("bermudagrass",E129)),"Bermudagrass",
ISNUMBER(SEARCH("kentucky",E129)),"Kentucky Bluegrass",
ISNUMBER(SEARCH("zoysia",E129)),"Zoysia",
ISNUMBER(SEARCH("ryegrass",E129)),"Perennial Ryegrass",
ISNUMBER(SEARCH("centipede",E129)),"Centipede Grass",
ISNUMBER(SEARCH("dense shade",E129)),"Dense Shade Mix",
ISNUMBER(SEARCH("southern gold",E129)),"Southern Gold Mix",
ISNUMBER(SEARCH("heat-tolerant blue",E129)),"Heat-Tolerant Blue Mix",
ISNUMBER(SEARCH("high traffic",E129)),"High Traffic Mix",
ISNUMBER(SEARCH("quick fix",E129)),"Quick Fix Mix",
ISNUMBER(SEARCH("starter",E129)),"Starter Fertilizer",
ISNUMBER(SEARCH("weed &amp; feed",E129)),"Weed &amp; Feed",
ISNUMBER(SEARCH("lawn food",E129)),"Lawn Food",
ISNUMBER(SEARCH("triple action",E129)),"Triple Action Fertilizer",
ISNUMBER(SEARCH("green max",E129)),"Green Max Lawn Food",
ISNUMBER(SEARCH("patchmaster",E129)),"PatchMaster Repair",
ISNUMBER(SEARCH("ez seed",E129)),"EZ Seed Repair",
ISNUMBER(SEARCH("rapid grass",E129)),"Rapid Grass",
ISNUMBER(SEARCH("thick'r lawn",E129)),"Thick'R Lawn",
ISNUMBER(SEARCH("fungicide",E129)),"Fungicide",
ISNUMBER(SEARCH("moss",E129)),"Moss Control",
ISNUMBER(SEARCH("perlite",E129)),"Perlite",
ISNUMBER(SEARCH("plant food",E129)),"Plant Food",
ISNUMBER(SEARCH("spreader",E129)),"Spreader",
ISNUMBER(SEARCH("sprayer",E129)),"Sprayer",
ISNUMBER(SEARCH("mower",E129)),"Lawn Mower",
ISNUMBER(SEARCH("sweeper",E129)),"Lawn Sweeper",
OR(ISNUMBER(SEARCH("pruner",E129)),ISNUMBER(SEARCH("trimmer",E129)),ISNUMBER(SEARCH("pole saw",E129))),"Pruning Tools",
TRUE,"Other"
)</f>
        <v>Other</v>
      </c>
      <c r="J129" s="7" t="str">
        <f t="shared" si="18"/>
        <v>Other - Other</v>
      </c>
      <c r="K129" s="4">
        <v>1000</v>
      </c>
      <c r="L129" s="4">
        <v>4.5</v>
      </c>
      <c r="M129" s="4">
        <v>12577</v>
      </c>
      <c r="N129" s="4" t="s">
        <v>629</v>
      </c>
      <c r="O129" s="4">
        <f>VLOOKUP(A129,[3]Sheet1!$A:$B,2,0)</f>
        <v>400</v>
      </c>
      <c r="P129" s="4">
        <f>VLOOKUP(A129,[3]Sheet1!$A:$C,3,0)</f>
        <v>400</v>
      </c>
      <c r="Q129" s="4">
        <f>VLOOKUP(A129,[3]Sheet1!$A:$D,4,0)</f>
        <v>5000</v>
      </c>
      <c r="R129" s="4">
        <f>VLOOKUP(A129,[3]Sheet1!$A:$E,5,0)</f>
        <v>6000</v>
      </c>
      <c r="S129" s="4">
        <f>VLOOKUP(A129,[3]Sheet1!$A:$F,6,0)</f>
        <v>6000</v>
      </c>
      <c r="T129" s="4">
        <f>VLOOKUP(A129,[3]Sheet1!$A:$G,7,0)</f>
        <v>1000</v>
      </c>
      <c r="U129" s="4">
        <f>VLOOKUP(A129,[3]Sheet1!$A:$I,8,0)</f>
        <v>1000</v>
      </c>
      <c r="V129" s="4">
        <f>VLOOKUP(A129,[3]Sheet1!$A:$J,9,0)</f>
        <v>1000</v>
      </c>
      <c r="W129" s="4">
        <f>VLOOKUP(A129,[3]Sheet1!$A:$J,10,0)</f>
        <v>1000</v>
      </c>
      <c r="X129" s="4">
        <f>VLOOKUP(A129,[3]Sheet1!$A:$K,11,0)</f>
        <v>600</v>
      </c>
      <c r="Y129" s="4">
        <f>VLOOKUP(A129,[3]Sheet1!$A:$L,12,0)</f>
        <v>400</v>
      </c>
      <c r="Z129" s="4">
        <f>VLOOKUP(A129,[3]Sheet1!$A:$M,13,0)</f>
        <v>400</v>
      </c>
      <c r="AA129" s="4">
        <f t="shared" si="32"/>
        <v>23200</v>
      </c>
      <c r="AB129" s="7">
        <f t="shared" si="19"/>
        <v>1933</v>
      </c>
      <c r="AC129" s="15">
        <f t="shared" si="33"/>
        <v>1933.3333333333333</v>
      </c>
      <c r="AD129" s="16">
        <f t="shared" si="34"/>
        <v>1043304</v>
      </c>
      <c r="AE129" s="16">
        <f t="shared" si="35"/>
        <v>86942</v>
      </c>
      <c r="AF129" s="16">
        <v>20.9</v>
      </c>
      <c r="AG129" s="16">
        <v>44.97</v>
      </c>
      <c r="AH129" s="8">
        <f t="shared" si="36"/>
        <v>-0.26079999999999992</v>
      </c>
      <c r="AI129" s="8">
        <f t="shared" si="37"/>
        <v>-0.91279999999999961</v>
      </c>
      <c r="AJ129" s="10">
        <v>0.5</v>
      </c>
      <c r="AK129" s="10">
        <v>0.5</v>
      </c>
      <c r="AL129" s="16">
        <v>20.9</v>
      </c>
      <c r="AM129" s="9">
        <f t="shared" si="24"/>
        <v>6.7454999999999998</v>
      </c>
      <c r="AN129" s="9">
        <f t="shared" si="25"/>
        <v>1.3491</v>
      </c>
      <c r="AO129" s="9">
        <f t="shared" si="26"/>
        <v>8.9939999999999998</v>
      </c>
      <c r="AP129" s="9">
        <f t="shared" si="27"/>
        <v>0.89939999999999998</v>
      </c>
      <c r="AQ129" s="9">
        <f t="shared" si="28"/>
        <v>8.9939999999999998</v>
      </c>
      <c r="AR129" s="9">
        <f t="shared" si="29"/>
        <v>11.2425</v>
      </c>
      <c r="AS129" s="11">
        <f t="shared" si="30"/>
        <v>-2.6079999999999992</v>
      </c>
      <c r="AT129" s="12">
        <f t="shared" si="31"/>
        <v>-4.1069999999999993</v>
      </c>
    </row>
    <row r="130" spans="1:46" s="18" customFormat="1" ht="16.5" x14ac:dyDescent="0.4">
      <c r="A130" s="18" t="s">
        <v>630</v>
      </c>
      <c r="B130" s="18" t="s">
        <v>513</v>
      </c>
      <c r="C130" s="7" t="s">
        <v>513</v>
      </c>
      <c r="D130" s="18" t="s">
        <v>631</v>
      </c>
      <c r="E130" s="18" t="s">
        <v>632</v>
      </c>
      <c r="F130" s="18" t="s">
        <v>633</v>
      </c>
      <c r="G130" s="7" t="str">
        <f>VLOOKUP(A130,[1]done!$A:$I,9,0)</f>
        <v>Lawn Fertilizer</v>
      </c>
      <c r="H130" s="7" t="str" cm="1">
        <f t="array" ref="H130">_xlfn.IFS(
OR(ISNUMBER(SEARCH("mouse",E130)),ISNUMBER(SEARCH("rat",E130)),ISNUMBER(SEARCH("mice",E130)),ISNUMBER(SEARCH("rodent",E130))),"Rodent Control",
OR(ISNUMBER(SEARCH("fly",E130)),ISNUMBER(SEARCH("gnat",E130)),ISNUMBER(SEARCH("insect",E130)),ISNUMBER(SEARCH("mosquito",E130))),"Flying Insect Control",
OR(ISNUMBER(SEARCH("roach",E130)),ISNUMBER(SEARCH("ant",E130)),ISNUMBER(SEARCH("spider",E130)),ISNUMBER(SEARCH("cricket",E130)),ISNUMBER(SEARCH("scorpion",E130)),ISNUMBER(SEARCH("centipede",E130)),ISNUMBER(SEARCH("beetle",E130))),"Crawling Insect Control",
OR(ISNUMBER(SEARCH("tree",E130)),ISNUMBER(SEARCH("lantern",E130)),ISNUMBER(SEARCH("garden",E130)),ISNUMBER(SEARCH("plant",E130))),"Garden Pest Control",
OR(ISNUMBER(SEARCH("grass seed",E130)),ISNUMBER(SEARCH("seed mix",E130))),"Grass Seed",
OR(ISNUMBER(SEARCH("lawn food",E130)),ISNUMBER(SEARCH("fertilizer",E130))),"Lawn Fertilizer",
OR(ISNUMBER(SEARCH("patch",E130)),ISNUMBER(SEARCH("repair",E130)),ISNUMBER(SEARCH("thick'r",E130)),ISNUMBER(SEARCH("thick'r lawn",E130)),ISNUMBER(SEARCH("rapid grass",E130))),"Lawn Repair",
OR(ISNUMBER(SEARCH("weed",E130)),ISNUMBER(SEARCH("crabgrass",E130))),"Weed Control",
OR(ISNUMBER(SEARCH("fungicide",E130)),ISNUMBER(SEARCH("moss",E130))),"Disease &amp; Moss Control",
OR(ISNUMBER(SEARCH("plant food",E130)),ISNUMBER(SEARCH("miracid",E130))),"Plant Nutrition",
OR(ISNUMBER(SEARCH("perlite",E130))),"Soil Amendment",
OR(ISNUMBER(SEARCH("spreader",E130)),ISNUMBER(SEARCH("sprayer",E130)),ISNUMBER(SEARCH("mower",E130)),ISNUMBER(SEARCH("sweeper",E130)),ISNUMBER(SEARCH("pruner",E130)),ISNUMBER(SEARCH("trimmer",E130)),ISNUMBER(SEARCH("pole saw",E130))),"Garden Equipment",
TRUE,"Other"
)</f>
        <v>Weed Control</v>
      </c>
      <c r="I130" s="7" t="str" cm="1">
        <f t="array" ref="I130">_xlfn.IFS(
OR(ISNUMBER(SEARCH("glue trap",E130)),ISNUMBER(SEARCH("glue board",E130))),"Glue Traps",
OR(ISNUMBER(SEARCH("snap trap",E130)),ISNUMBER(SEARCH("power-kill",E130)),ISNUMBER(SEARCH("wide pedal",E130)),ISNUMBER(SEARCH("metal pedal",E130))),"Snap Traps",
OR(ISNUMBER(SEARCH("electronic",E130)),ISNUMBER(SEARCH("zapper",E130))),"Electronic Traps",
OR(ISNUMBER(SEARCH("live catch",E130)),ISNUMBER(SEARCH("multi-catch",E130)),ISNUMBER(SEARCH("catch &amp; hold",E130)),ISNUMBER(SEARCH("tin cat",E130))),"Live Catch Traps",
OR(ISNUMBER(SEARCH("bait",E130)),ISNUMBER(SEARCH("poison",E130))),"Bait &amp; Poison",
ISNUMBER(SEARCH("repellent",E130)),"Repellents",
OR(ISNUMBER(SEARCH("fly trap",E130)),ISNUMBER(SEARCH("fly ribbon",E130)),ISNUMBER(SEARCH("fly stick",E130)),ISNUMBER(SEARCH("window fly",E130)),ISNUMBER(SEARCH("fly magnet",E130))),"Fly Traps",
OR(ISNUMBER(SEARCH("uv",E130)),ISNUMBER(SEARCH("fly light",E130)),ISNUMBER(SEARCH("plug-in",E130))),"UV Fly Traps",
ISNUMBER(SEARCH("roach",E130)),"Roach Traps",
ISNUMBER(SEARCH("ant",E130)),"Ant Traps",
ISNUMBER(SEARCH("spider",E130)),"Spider Traps",
ISNUMBER(SEARCH("mosquito",E130)),"Mosquito Traps",
ISNUMBER(SEARCH("beetle",E130)),"Beetle Traps",
ISNUMBER(SEARCH("lantern",E130)),"Lanternfly Control",
OR(ISNUMBER(SEARCH("tree shield",E130)),ISNUMBER(SEARCH("tree banding",E130)),ISNUMBER(SEARCH("insect barrier",E130))),"Tree Barriers",
OR(ISNUMBER(SEARCH("sun &amp; shade",E130)),ISNUMBER(SEARCH("sun and shade",E130))),"Sun &amp; Shade Mix",
ISNUMBER(SEARCH("tall fescue",E130)),"Tall Fescue",
ISNUMBER(SEARCH("bermudagrass",E130)),"Bermudagrass",
ISNUMBER(SEARCH("kentucky",E130)),"Kentucky Bluegrass",
ISNUMBER(SEARCH("zoysia",E130)),"Zoysia",
ISNUMBER(SEARCH("ryegrass",E130)),"Perennial Ryegrass",
ISNUMBER(SEARCH("centipede",E130)),"Centipede Grass",
ISNUMBER(SEARCH("dense shade",E130)),"Dense Shade Mix",
ISNUMBER(SEARCH("southern gold",E130)),"Southern Gold Mix",
ISNUMBER(SEARCH("heat-tolerant blue",E130)),"Heat-Tolerant Blue Mix",
ISNUMBER(SEARCH("high traffic",E130)),"High Traffic Mix",
ISNUMBER(SEARCH("quick fix",E130)),"Quick Fix Mix",
ISNUMBER(SEARCH("starter",E130)),"Starter Fertilizer",
ISNUMBER(SEARCH("weed &amp; feed",E130)),"Weed &amp; Feed",
ISNUMBER(SEARCH("lawn food",E130)),"Lawn Food",
ISNUMBER(SEARCH("triple action",E130)),"Triple Action Fertilizer",
ISNUMBER(SEARCH("green max",E130)),"Green Max Lawn Food",
ISNUMBER(SEARCH("patchmaster",E130)),"PatchMaster Repair",
ISNUMBER(SEARCH("ez seed",E130)),"EZ Seed Repair",
ISNUMBER(SEARCH("rapid grass",E130)),"Rapid Grass",
ISNUMBER(SEARCH("thick'r lawn",E130)),"Thick'R Lawn",
ISNUMBER(SEARCH("fungicide",E130)),"Fungicide",
ISNUMBER(SEARCH("moss",E130)),"Moss Control",
ISNUMBER(SEARCH("perlite",E130)),"Perlite",
ISNUMBER(SEARCH("plant food",E130)),"Plant Food",
ISNUMBER(SEARCH("spreader",E130)),"Spreader",
ISNUMBER(SEARCH("sprayer",E130)),"Sprayer",
ISNUMBER(SEARCH("mower",E130)),"Lawn Mower",
ISNUMBER(SEARCH("sweeper",E130)),"Lawn Sweeper",
OR(ISNUMBER(SEARCH("pruner",E130)),ISNUMBER(SEARCH("trimmer",E130)),ISNUMBER(SEARCH("pole saw",E130))),"Pruning Tools",
TRUE,"Other"
)</f>
        <v>Weed &amp; Feed</v>
      </c>
      <c r="J130" s="7" t="str">
        <f t="shared" si="18"/>
        <v>Weed Control - Weed &amp; Feed</v>
      </c>
      <c r="K130" s="18">
        <v>1000</v>
      </c>
      <c r="L130" s="18">
        <v>4.4000000000000004</v>
      </c>
      <c r="M130" s="18">
        <v>36931</v>
      </c>
      <c r="N130" s="18" t="s">
        <v>526</v>
      </c>
      <c r="O130" s="18">
        <f>VLOOKUP(A130,[3]Sheet1!$A:$B,2,0)</f>
        <v>500</v>
      </c>
      <c r="P130" s="18">
        <f>VLOOKUP(A130,[3]Sheet1!$A:$C,3,0)</f>
        <v>1000</v>
      </c>
      <c r="Q130" s="18">
        <f>VLOOKUP(A130,[3]Sheet1!$A:$D,4,0)</f>
        <v>20000</v>
      </c>
      <c r="R130" s="18">
        <f>VLOOKUP(A130,[3]Sheet1!$A:$E,5,0)</f>
        <v>30000</v>
      </c>
      <c r="S130" s="18">
        <f>VLOOKUP(A130,[3]Sheet1!$A:$F,6,0)</f>
        <v>20000</v>
      </c>
      <c r="T130" s="18">
        <f>VLOOKUP(A130,[3]Sheet1!$A:$G,7,0)</f>
        <v>10000</v>
      </c>
      <c r="U130" s="18">
        <f>VLOOKUP(A130,[3]Sheet1!$A:$I,8,0)</f>
        <v>5000</v>
      </c>
      <c r="V130" s="18">
        <f>VLOOKUP(A130,[3]Sheet1!$A:$J,9,0)</f>
        <v>3000</v>
      </c>
      <c r="W130" s="18">
        <f>VLOOKUP(A130,[3]Sheet1!$A:$J,10,0)</f>
        <v>1000</v>
      </c>
      <c r="X130" s="18">
        <f>VLOOKUP(A130,[3]Sheet1!$A:$K,11,0)</f>
        <v>500</v>
      </c>
      <c r="Y130" s="18">
        <f>VLOOKUP(A130,[3]Sheet1!$A:$L,12,0)</f>
        <v>0</v>
      </c>
      <c r="Z130" s="18">
        <f>VLOOKUP(A130,[3]Sheet1!$A:$M,13,0)</f>
        <v>0</v>
      </c>
      <c r="AA130" s="18">
        <f t="shared" si="32"/>
        <v>91000</v>
      </c>
      <c r="AB130" s="7">
        <f t="shared" si="19"/>
        <v>7583</v>
      </c>
      <c r="AC130" s="19">
        <f t="shared" si="33"/>
        <v>7583.333333333333</v>
      </c>
      <c r="AD130" s="20">
        <f t="shared" si="34"/>
        <v>3138590</v>
      </c>
      <c r="AE130" s="20">
        <f t="shared" si="35"/>
        <v>261549.16666666666</v>
      </c>
      <c r="AF130" s="20">
        <v>11.02</v>
      </c>
      <c r="AG130" s="20">
        <v>34.49</v>
      </c>
      <c r="AH130" s="8">
        <f t="shared" si="36"/>
        <v>0.11839999999999994</v>
      </c>
      <c r="AI130" s="8">
        <f t="shared" si="37"/>
        <v>0.41439999999999971</v>
      </c>
      <c r="AJ130" s="10">
        <v>0.5</v>
      </c>
      <c r="AK130" s="10">
        <v>0.5</v>
      </c>
      <c r="AL130" s="20">
        <v>11.02</v>
      </c>
      <c r="AM130" s="9">
        <f t="shared" si="24"/>
        <v>5.1734999999999998</v>
      </c>
      <c r="AN130" s="9">
        <f t="shared" si="25"/>
        <v>1.0347</v>
      </c>
      <c r="AO130" s="9">
        <f t="shared" si="26"/>
        <v>6.8980000000000006</v>
      </c>
      <c r="AP130" s="9">
        <f t="shared" si="27"/>
        <v>0.68980000000000008</v>
      </c>
      <c r="AQ130" s="9">
        <f t="shared" si="28"/>
        <v>6.8980000000000006</v>
      </c>
      <c r="AR130" s="9">
        <f t="shared" si="29"/>
        <v>8.6225000000000005</v>
      </c>
      <c r="AS130" s="11">
        <f t="shared" si="30"/>
        <v>1.1839999999999993</v>
      </c>
      <c r="AT130" s="12">
        <f t="shared" si="31"/>
        <v>3.4333333333332661E-2</v>
      </c>
    </row>
    <row r="131" spans="1:46" ht="16.5" x14ac:dyDescent="0.4">
      <c r="A131" s="4" t="s">
        <v>634</v>
      </c>
      <c r="B131" s="4" t="s">
        <v>513</v>
      </c>
      <c r="C131" s="7" t="s">
        <v>1784</v>
      </c>
      <c r="D131" s="4" t="s">
        <v>635</v>
      </c>
      <c r="E131" s="4" t="s">
        <v>636</v>
      </c>
      <c r="F131" s="4" t="s">
        <v>637</v>
      </c>
      <c r="G131" s="7" t="str">
        <f>VLOOKUP(A131,[1]done!$A:$I,9,0)</f>
        <v>Lawn Fertilizer</v>
      </c>
      <c r="H131" s="7" t="str" cm="1">
        <f t="array" ref="H131">_xlfn.IFS(
OR(ISNUMBER(SEARCH("mouse",E131)),ISNUMBER(SEARCH("rat",E131)),ISNUMBER(SEARCH("mice",E131)),ISNUMBER(SEARCH("rodent",E131))),"Rodent Control",
OR(ISNUMBER(SEARCH("fly",E131)),ISNUMBER(SEARCH("gnat",E131)),ISNUMBER(SEARCH("insect",E131)),ISNUMBER(SEARCH("mosquito",E131))),"Flying Insect Control",
OR(ISNUMBER(SEARCH("roach",E131)),ISNUMBER(SEARCH("ant",E131)),ISNUMBER(SEARCH("spider",E131)),ISNUMBER(SEARCH("cricket",E131)),ISNUMBER(SEARCH("scorpion",E131)),ISNUMBER(SEARCH("centipede",E131)),ISNUMBER(SEARCH("beetle",E131))),"Crawling Insect Control",
OR(ISNUMBER(SEARCH("tree",E131)),ISNUMBER(SEARCH("lantern",E131)),ISNUMBER(SEARCH("garden",E131)),ISNUMBER(SEARCH("plant",E131))),"Garden Pest Control",
OR(ISNUMBER(SEARCH("grass seed",E131)),ISNUMBER(SEARCH("seed mix",E131))),"Grass Seed",
OR(ISNUMBER(SEARCH("lawn food",E131)),ISNUMBER(SEARCH("fertilizer",E131))),"Lawn Fertilizer",
OR(ISNUMBER(SEARCH("patch",E131)),ISNUMBER(SEARCH("repair",E131)),ISNUMBER(SEARCH("thick'r",E131)),ISNUMBER(SEARCH("thick'r lawn",E131)),ISNUMBER(SEARCH("rapid grass",E131))),"Lawn Repair",
OR(ISNUMBER(SEARCH("weed",E131)),ISNUMBER(SEARCH("crabgrass",E131))),"Weed Control",
OR(ISNUMBER(SEARCH("fungicide",E131)),ISNUMBER(SEARCH("moss",E131))),"Disease &amp; Moss Control",
OR(ISNUMBER(SEARCH("plant food",E131)),ISNUMBER(SEARCH("miracid",E131))),"Plant Nutrition",
OR(ISNUMBER(SEARCH("perlite",E131))),"Soil Amendment",
OR(ISNUMBER(SEARCH("spreader",E131)),ISNUMBER(SEARCH("sprayer",E131)),ISNUMBER(SEARCH("mower",E131)),ISNUMBER(SEARCH("sweeper",E131)),ISNUMBER(SEARCH("pruner",E131)),ISNUMBER(SEARCH("trimmer",E131)),ISNUMBER(SEARCH("pole saw",E131))),"Garden Equipment",
TRUE,"Other"
)</f>
        <v>Garden Equipment</v>
      </c>
      <c r="I131" s="7" t="str" cm="1">
        <f t="array" ref="I131">_xlfn.IFS(
OR(ISNUMBER(SEARCH("glue trap",E131)),ISNUMBER(SEARCH("glue board",E131))),"Glue Traps",
OR(ISNUMBER(SEARCH("snap trap",E131)),ISNUMBER(SEARCH("power-kill",E131)),ISNUMBER(SEARCH("wide pedal",E131)),ISNUMBER(SEARCH("metal pedal",E131))),"Snap Traps",
OR(ISNUMBER(SEARCH("electronic",E131)),ISNUMBER(SEARCH("zapper",E131))),"Electronic Traps",
OR(ISNUMBER(SEARCH("live catch",E131)),ISNUMBER(SEARCH("multi-catch",E131)),ISNUMBER(SEARCH("catch &amp; hold",E131)),ISNUMBER(SEARCH("tin cat",E131))),"Live Catch Traps",
OR(ISNUMBER(SEARCH("bait",E131)),ISNUMBER(SEARCH("poison",E131))),"Bait &amp; Poison",
ISNUMBER(SEARCH("repellent",E131)),"Repellents",
OR(ISNUMBER(SEARCH("fly trap",E131)),ISNUMBER(SEARCH("fly ribbon",E131)),ISNUMBER(SEARCH("fly stick",E131)),ISNUMBER(SEARCH("window fly",E131)),ISNUMBER(SEARCH("fly magnet",E131))),"Fly Traps",
OR(ISNUMBER(SEARCH("uv",E131)),ISNUMBER(SEARCH("fly light",E131)),ISNUMBER(SEARCH("plug-in",E131))),"UV Fly Traps",
ISNUMBER(SEARCH("roach",E131)),"Roach Traps",
ISNUMBER(SEARCH("ant",E131)),"Ant Traps",
ISNUMBER(SEARCH("spider",E131)),"Spider Traps",
ISNUMBER(SEARCH("mosquito",E131)),"Mosquito Traps",
ISNUMBER(SEARCH("beetle",E131)),"Beetle Traps",
ISNUMBER(SEARCH("lantern",E131)),"Lanternfly Control",
OR(ISNUMBER(SEARCH("tree shield",E131)),ISNUMBER(SEARCH("tree banding",E131)),ISNUMBER(SEARCH("insect barrier",E131))),"Tree Barriers",
OR(ISNUMBER(SEARCH("sun &amp; shade",E131)),ISNUMBER(SEARCH("sun and shade",E131))),"Sun &amp; Shade Mix",
ISNUMBER(SEARCH("tall fescue",E131)),"Tall Fescue",
ISNUMBER(SEARCH("bermudagrass",E131)),"Bermudagrass",
ISNUMBER(SEARCH("kentucky",E131)),"Kentucky Bluegrass",
ISNUMBER(SEARCH("zoysia",E131)),"Zoysia",
ISNUMBER(SEARCH("ryegrass",E131)),"Perennial Ryegrass",
ISNUMBER(SEARCH("centipede",E131)),"Centipede Grass",
ISNUMBER(SEARCH("dense shade",E131)),"Dense Shade Mix",
ISNUMBER(SEARCH("southern gold",E131)),"Southern Gold Mix",
ISNUMBER(SEARCH("heat-tolerant blue",E131)),"Heat-Tolerant Blue Mix",
ISNUMBER(SEARCH("high traffic",E131)),"High Traffic Mix",
ISNUMBER(SEARCH("quick fix",E131)),"Quick Fix Mix",
ISNUMBER(SEARCH("starter",E131)),"Starter Fertilizer",
ISNUMBER(SEARCH("weed &amp; feed",E131)),"Weed &amp; Feed",
ISNUMBER(SEARCH("lawn food",E131)),"Lawn Food",
ISNUMBER(SEARCH("triple action",E131)),"Triple Action Fertilizer",
ISNUMBER(SEARCH("green max",E131)),"Green Max Lawn Food",
ISNUMBER(SEARCH("patchmaster",E131)),"PatchMaster Repair",
ISNUMBER(SEARCH("ez seed",E131)),"EZ Seed Repair",
ISNUMBER(SEARCH("rapid grass",E131)),"Rapid Grass",
ISNUMBER(SEARCH("thick'r lawn",E131)),"Thick'R Lawn",
ISNUMBER(SEARCH("fungicide",E131)),"Fungicide",
ISNUMBER(SEARCH("moss",E131)),"Moss Control",
ISNUMBER(SEARCH("perlite",E131)),"Perlite",
ISNUMBER(SEARCH("plant food",E131)),"Plant Food",
ISNUMBER(SEARCH("spreader",E131)),"Spreader",
ISNUMBER(SEARCH("sprayer",E131)),"Sprayer",
ISNUMBER(SEARCH("mower",E131)),"Lawn Mower",
ISNUMBER(SEARCH("sweeper",E131)),"Lawn Sweeper",
OR(ISNUMBER(SEARCH("pruner",E131)),ISNUMBER(SEARCH("trimmer",E131)),ISNUMBER(SEARCH("pole saw",E131))),"Pruning Tools",
TRUE,"Other"
)</f>
        <v>Spreader</v>
      </c>
      <c r="J131" s="7" t="str">
        <f t="shared" ref="J131:J194" si="38">H131&amp;" - "&amp;I131</f>
        <v>Garden Equipment - Spreader</v>
      </c>
      <c r="K131" s="4">
        <v>1000</v>
      </c>
      <c r="L131" s="4">
        <v>4.5999999999999996</v>
      </c>
      <c r="M131" s="4">
        <v>23408</v>
      </c>
      <c r="N131" s="4" t="s">
        <v>638</v>
      </c>
      <c r="O131" s="4">
        <f>VLOOKUP(A131,[3]Sheet1!$A:$B,2,0)</f>
        <v>3000</v>
      </c>
      <c r="P131" s="4">
        <f>VLOOKUP(A131,[3]Sheet1!$A:$C,3,0)</f>
        <v>2000</v>
      </c>
      <c r="Q131" s="4">
        <f>VLOOKUP(A131,[3]Sheet1!$A:$D,4,0)</f>
        <v>10000</v>
      </c>
      <c r="R131" s="4">
        <f>VLOOKUP(A131,[3]Sheet1!$A:$E,5,0)</f>
        <v>10000</v>
      </c>
      <c r="S131" s="4">
        <f>VLOOKUP(A131,[3]Sheet1!$A:$F,6,0)</f>
        <v>7000</v>
      </c>
      <c r="T131" s="4">
        <f>VLOOKUP(A131,[3]Sheet1!$A:$G,7,0)</f>
        <v>10000</v>
      </c>
      <c r="U131" s="4">
        <f>VLOOKUP(A131,[3]Sheet1!$A:$I,8,0)</f>
        <v>250</v>
      </c>
      <c r="V131" s="4">
        <f>VLOOKUP(A131,[3]Sheet1!$A:$J,9,0)</f>
        <v>250</v>
      </c>
      <c r="W131" s="4">
        <f>VLOOKUP(A131,[3]Sheet1!$A:$J,10,0)</f>
        <v>1000</v>
      </c>
      <c r="X131" s="4">
        <f>VLOOKUP(A131,[3]Sheet1!$A:$K,11,0)</f>
        <v>2000</v>
      </c>
      <c r="Y131" s="4">
        <f>VLOOKUP(A131,[3]Sheet1!$A:$L,12,0)</f>
        <v>2000</v>
      </c>
      <c r="Z131" s="4">
        <f>VLOOKUP(A131,[3]Sheet1!$A:$M,13,0)</f>
        <v>3000</v>
      </c>
      <c r="AA131" s="4">
        <f t="shared" si="32"/>
        <v>50500</v>
      </c>
      <c r="AB131" s="7">
        <f t="shared" ref="AB131:AB194" si="39">ROUND(AA131/12,0)</f>
        <v>4208</v>
      </c>
      <c r="AC131" s="15">
        <f t="shared" si="33"/>
        <v>4208.333333333333</v>
      </c>
      <c r="AD131" s="16">
        <f t="shared" si="34"/>
        <v>2877995</v>
      </c>
      <c r="AE131" s="16">
        <f t="shared" si="35"/>
        <v>239832.91666666666</v>
      </c>
      <c r="AF131" s="16">
        <v>23.55</v>
      </c>
      <c r="AG131" s="16">
        <v>56.99</v>
      </c>
      <c r="AH131" s="8">
        <f t="shared" si="36"/>
        <v>-0.11693333333333332</v>
      </c>
      <c r="AI131" s="8">
        <f t="shared" si="37"/>
        <v>-0.40926666666666656</v>
      </c>
      <c r="AJ131" s="10">
        <v>0.5</v>
      </c>
      <c r="AK131" s="10">
        <v>0.5</v>
      </c>
      <c r="AL131" s="16">
        <v>23.55</v>
      </c>
      <c r="AM131" s="9">
        <f t="shared" ref="AM131:AM194" si="40">0.15*AG131</f>
        <v>8.5485000000000007</v>
      </c>
      <c r="AN131" s="9">
        <f t="shared" ref="AN131:AN194" si="41">0.03*AG131</f>
        <v>1.7097</v>
      </c>
      <c r="AO131" s="9">
        <f t="shared" ref="AO131:AO194" si="42">0.2*AG131</f>
        <v>11.398000000000001</v>
      </c>
      <c r="AP131" s="9">
        <f t="shared" ref="AP131:AP194" si="43">0.02*AG131</f>
        <v>1.1398000000000001</v>
      </c>
      <c r="AQ131" s="9">
        <f t="shared" ref="AQ131:AQ194" si="44">0.2*AG131</f>
        <v>11.398000000000001</v>
      </c>
      <c r="AR131" s="9">
        <f t="shared" ref="AR131:AR194" si="45">0.25*AG131</f>
        <v>14.2475</v>
      </c>
      <c r="AS131" s="11">
        <f t="shared" ref="AS131:AS194" si="46">(AG131*(1-(0.15+0.03+0.2+0.02))-AJ131-AK131-AL131-AQ131)/(1+0.1+0.4)</f>
        <v>-1.1693333333333331</v>
      </c>
      <c r="AT131" s="12">
        <f t="shared" ref="AT131:AT194" si="47">(AG131*(1-(0.15+0.03+0.2+0.02))-AJ131-AK131-AL131-AR131)/(1+0.1+0.4)</f>
        <v>-3.0689999999999991</v>
      </c>
    </row>
    <row r="132" spans="1:46" ht="16.5" x14ac:dyDescent="0.4">
      <c r="A132" s="4" t="s">
        <v>639</v>
      </c>
      <c r="B132" s="4" t="s">
        <v>513</v>
      </c>
      <c r="C132" s="7" t="s">
        <v>513</v>
      </c>
      <c r="D132" s="4" t="s">
        <v>640</v>
      </c>
      <c r="E132" s="4" t="s">
        <v>641</v>
      </c>
      <c r="F132" s="4" t="s">
        <v>642</v>
      </c>
      <c r="G132" s="7" t="str">
        <f>VLOOKUP(A132,[1]done!$A:$I,9,0)</f>
        <v>Lawn Fertilizer</v>
      </c>
      <c r="H132" s="7" t="str" cm="1">
        <f t="array" ref="H132">_xlfn.IFS(
OR(ISNUMBER(SEARCH("mouse",E132)),ISNUMBER(SEARCH("rat",E132)),ISNUMBER(SEARCH("mice",E132)),ISNUMBER(SEARCH("rodent",E132))),"Rodent Control",
OR(ISNUMBER(SEARCH("fly",E132)),ISNUMBER(SEARCH("gnat",E132)),ISNUMBER(SEARCH("insect",E132)),ISNUMBER(SEARCH("mosquito",E132))),"Flying Insect Control",
OR(ISNUMBER(SEARCH("roach",E132)),ISNUMBER(SEARCH("ant",E132)),ISNUMBER(SEARCH("spider",E132)),ISNUMBER(SEARCH("cricket",E132)),ISNUMBER(SEARCH("scorpion",E132)),ISNUMBER(SEARCH("centipede",E132)),ISNUMBER(SEARCH("beetle",E132))),"Crawling Insect Control",
OR(ISNUMBER(SEARCH("tree",E132)),ISNUMBER(SEARCH("lantern",E132)),ISNUMBER(SEARCH("garden",E132)),ISNUMBER(SEARCH("plant",E132))),"Garden Pest Control",
OR(ISNUMBER(SEARCH("grass seed",E132)),ISNUMBER(SEARCH("seed mix",E132))),"Grass Seed",
OR(ISNUMBER(SEARCH("lawn food",E132)),ISNUMBER(SEARCH("fertilizer",E132))),"Lawn Fertilizer",
OR(ISNUMBER(SEARCH("patch",E132)),ISNUMBER(SEARCH("repair",E132)),ISNUMBER(SEARCH("thick'r",E132)),ISNUMBER(SEARCH("thick'r lawn",E132)),ISNUMBER(SEARCH("rapid grass",E132))),"Lawn Repair",
OR(ISNUMBER(SEARCH("weed",E132)),ISNUMBER(SEARCH("crabgrass",E132))),"Weed Control",
OR(ISNUMBER(SEARCH("fungicide",E132)),ISNUMBER(SEARCH("moss",E132))),"Disease &amp; Moss Control",
OR(ISNUMBER(SEARCH("plant food",E132)),ISNUMBER(SEARCH("miracid",E132))),"Plant Nutrition",
OR(ISNUMBER(SEARCH("perlite",E132))),"Soil Amendment",
OR(ISNUMBER(SEARCH("spreader",E132)),ISNUMBER(SEARCH("sprayer",E132)),ISNUMBER(SEARCH("mower",E132)),ISNUMBER(SEARCH("sweeper",E132)),ISNUMBER(SEARCH("pruner",E132)),ISNUMBER(SEARCH("trimmer",E132)),ISNUMBER(SEARCH("pole saw",E132))),"Garden Equipment",
TRUE,"Other"
)</f>
        <v>Lawn Fertilizer</v>
      </c>
      <c r="I132" s="7" t="str" cm="1">
        <f t="array" ref="I132">_xlfn.IFS(
OR(ISNUMBER(SEARCH("glue trap",E132)),ISNUMBER(SEARCH("glue board",E132))),"Glue Traps",
OR(ISNUMBER(SEARCH("snap trap",E132)),ISNUMBER(SEARCH("power-kill",E132)),ISNUMBER(SEARCH("wide pedal",E132)),ISNUMBER(SEARCH("metal pedal",E132))),"Snap Traps",
OR(ISNUMBER(SEARCH("electronic",E132)),ISNUMBER(SEARCH("zapper",E132))),"Electronic Traps",
OR(ISNUMBER(SEARCH("live catch",E132)),ISNUMBER(SEARCH("multi-catch",E132)),ISNUMBER(SEARCH("catch &amp; hold",E132)),ISNUMBER(SEARCH("tin cat",E132))),"Live Catch Traps",
OR(ISNUMBER(SEARCH("bait",E132)),ISNUMBER(SEARCH("poison",E132))),"Bait &amp; Poison",
ISNUMBER(SEARCH("repellent",E132)),"Repellents",
OR(ISNUMBER(SEARCH("fly trap",E132)),ISNUMBER(SEARCH("fly ribbon",E132)),ISNUMBER(SEARCH("fly stick",E132)),ISNUMBER(SEARCH("window fly",E132)),ISNUMBER(SEARCH("fly magnet",E132))),"Fly Traps",
OR(ISNUMBER(SEARCH("uv",E132)),ISNUMBER(SEARCH("fly light",E132)),ISNUMBER(SEARCH("plug-in",E132))),"UV Fly Traps",
ISNUMBER(SEARCH("roach",E132)),"Roach Traps",
ISNUMBER(SEARCH("ant",E132)),"Ant Traps",
ISNUMBER(SEARCH("spider",E132)),"Spider Traps",
ISNUMBER(SEARCH("mosquito",E132)),"Mosquito Traps",
ISNUMBER(SEARCH("beetle",E132)),"Beetle Traps",
ISNUMBER(SEARCH("lantern",E132)),"Lanternfly Control",
OR(ISNUMBER(SEARCH("tree shield",E132)),ISNUMBER(SEARCH("tree banding",E132)),ISNUMBER(SEARCH("insect barrier",E132))),"Tree Barriers",
OR(ISNUMBER(SEARCH("sun &amp; shade",E132)),ISNUMBER(SEARCH("sun and shade",E132))),"Sun &amp; Shade Mix",
ISNUMBER(SEARCH("tall fescue",E132)),"Tall Fescue",
ISNUMBER(SEARCH("bermudagrass",E132)),"Bermudagrass",
ISNUMBER(SEARCH("kentucky",E132)),"Kentucky Bluegrass",
ISNUMBER(SEARCH("zoysia",E132)),"Zoysia",
ISNUMBER(SEARCH("ryegrass",E132)),"Perennial Ryegrass",
ISNUMBER(SEARCH("centipede",E132)),"Centipede Grass",
ISNUMBER(SEARCH("dense shade",E132)),"Dense Shade Mix",
ISNUMBER(SEARCH("southern gold",E132)),"Southern Gold Mix",
ISNUMBER(SEARCH("heat-tolerant blue",E132)),"Heat-Tolerant Blue Mix",
ISNUMBER(SEARCH("high traffic",E132)),"High Traffic Mix",
ISNUMBER(SEARCH("quick fix",E132)),"Quick Fix Mix",
ISNUMBER(SEARCH("starter",E132)),"Starter Fertilizer",
ISNUMBER(SEARCH("weed &amp; feed",E132)),"Weed &amp; Feed",
ISNUMBER(SEARCH("lawn food",E132)),"Lawn Food",
ISNUMBER(SEARCH("triple action",E132)),"Triple Action Fertilizer",
ISNUMBER(SEARCH("green max",E132)),"Green Max Lawn Food",
ISNUMBER(SEARCH("patchmaster",E132)),"PatchMaster Repair",
ISNUMBER(SEARCH("ez seed",E132)),"EZ Seed Repair",
ISNUMBER(SEARCH("rapid grass",E132)),"Rapid Grass",
ISNUMBER(SEARCH("thick'r lawn",E132)),"Thick'R Lawn",
ISNUMBER(SEARCH("fungicide",E132)),"Fungicide",
ISNUMBER(SEARCH("moss",E132)),"Moss Control",
ISNUMBER(SEARCH("perlite",E132)),"Perlite",
ISNUMBER(SEARCH("plant food",E132)),"Plant Food",
ISNUMBER(SEARCH("spreader",E132)),"Spreader",
ISNUMBER(SEARCH("sprayer",E132)),"Sprayer",
ISNUMBER(SEARCH("mower",E132)),"Lawn Mower",
ISNUMBER(SEARCH("sweeper",E132)),"Lawn Sweeper",
OR(ISNUMBER(SEARCH("pruner",E132)),ISNUMBER(SEARCH("trimmer",E132)),ISNUMBER(SEARCH("pole saw",E132))),"Pruning Tools",
TRUE,"Other"
)</f>
        <v>Spreader</v>
      </c>
      <c r="J132" s="7" t="str">
        <f t="shared" si="38"/>
        <v>Lawn Fertilizer - Spreader</v>
      </c>
      <c r="K132" s="4">
        <v>1000</v>
      </c>
      <c r="L132" s="4">
        <v>4.4000000000000004</v>
      </c>
      <c r="M132" s="4">
        <v>6542</v>
      </c>
      <c r="N132" s="4" t="s">
        <v>638</v>
      </c>
      <c r="O132" s="4">
        <f>VLOOKUP(A132,[3]Sheet1!$A:$B,2,0)</f>
        <v>1000</v>
      </c>
      <c r="P132" s="4">
        <f>VLOOKUP(A132,[3]Sheet1!$A:$C,3,0)</f>
        <v>2000</v>
      </c>
      <c r="Q132" s="4">
        <f>VLOOKUP(A132,[3]Sheet1!$A:$D,4,0)</f>
        <v>2000</v>
      </c>
      <c r="R132" s="4">
        <f>VLOOKUP(A132,[3]Sheet1!$A:$E,5,0)</f>
        <v>5000</v>
      </c>
      <c r="S132" s="4">
        <f>VLOOKUP(A132,[3]Sheet1!$A:$F,6,0)</f>
        <v>5000</v>
      </c>
      <c r="T132" s="4">
        <f>VLOOKUP(A132,[3]Sheet1!$A:$G,7,0)</f>
        <v>1000</v>
      </c>
      <c r="U132" s="4">
        <f>VLOOKUP(A132,[3]Sheet1!$A:$I,8,0)</f>
        <v>1000</v>
      </c>
      <c r="V132" s="4">
        <f>VLOOKUP(A132,[3]Sheet1!$A:$J,9,0)</f>
        <v>1000</v>
      </c>
      <c r="W132" s="4">
        <f>VLOOKUP(A132,[3]Sheet1!$A:$J,10,0)</f>
        <v>1000</v>
      </c>
      <c r="X132" s="4">
        <f>VLOOKUP(A132,[3]Sheet1!$A:$K,11,0)</f>
        <v>2000</v>
      </c>
      <c r="Y132" s="4">
        <f>VLOOKUP(A132,[3]Sheet1!$A:$L,12,0)</f>
        <v>1000</v>
      </c>
      <c r="Z132" s="4">
        <f>VLOOKUP(A132,[3]Sheet1!$A:$M,13,0)</f>
        <v>2000</v>
      </c>
      <c r="AA132" s="4">
        <f t="shared" si="32"/>
        <v>24000</v>
      </c>
      <c r="AB132" s="7">
        <f t="shared" si="39"/>
        <v>2000</v>
      </c>
      <c r="AC132" s="15">
        <f t="shared" si="33"/>
        <v>2000</v>
      </c>
      <c r="AD132" s="16">
        <f t="shared" si="34"/>
        <v>2279280</v>
      </c>
      <c r="AE132" s="16">
        <f t="shared" si="35"/>
        <v>189940</v>
      </c>
      <c r="AF132" s="16">
        <v>53.89</v>
      </c>
      <c r="AG132" s="16">
        <v>94.97</v>
      </c>
      <c r="AH132" s="8">
        <f t="shared" si="36"/>
        <v>-1.1268</v>
      </c>
      <c r="AI132" s="8">
        <f t="shared" si="37"/>
        <v>-3.9438</v>
      </c>
      <c r="AJ132" s="10">
        <v>0.5</v>
      </c>
      <c r="AK132" s="10">
        <v>0.5</v>
      </c>
      <c r="AL132" s="16">
        <v>53.89</v>
      </c>
      <c r="AM132" s="9">
        <f t="shared" si="40"/>
        <v>14.2455</v>
      </c>
      <c r="AN132" s="9">
        <f t="shared" si="41"/>
        <v>2.8491</v>
      </c>
      <c r="AO132" s="9">
        <f t="shared" si="42"/>
        <v>18.994</v>
      </c>
      <c r="AP132" s="9">
        <f t="shared" si="43"/>
        <v>1.8994</v>
      </c>
      <c r="AQ132" s="9">
        <f t="shared" si="44"/>
        <v>18.994</v>
      </c>
      <c r="AR132" s="9">
        <f t="shared" si="45"/>
        <v>23.7425</v>
      </c>
      <c r="AS132" s="11">
        <f t="shared" si="46"/>
        <v>-11.268000000000001</v>
      </c>
      <c r="AT132" s="12">
        <f t="shared" si="47"/>
        <v>-14.433666666666667</v>
      </c>
    </row>
    <row r="133" spans="1:46" ht="16.5" x14ac:dyDescent="0.4">
      <c r="A133" s="4" t="s">
        <v>643</v>
      </c>
      <c r="B133" s="4" t="s">
        <v>513</v>
      </c>
      <c r="C133" s="7" t="s">
        <v>1784</v>
      </c>
      <c r="D133" s="4" t="s">
        <v>644</v>
      </c>
      <c r="E133" s="4" t="s">
        <v>645</v>
      </c>
      <c r="F133" s="4" t="s">
        <v>646</v>
      </c>
      <c r="G133" s="7" t="str">
        <f>VLOOKUP(A133,[1]done!$A:$I,9,0)</f>
        <v>Grass Seed</v>
      </c>
      <c r="H133" s="7" t="str" cm="1">
        <f t="array" ref="H133">_xlfn.IFS(
OR(ISNUMBER(SEARCH("mouse",E133)),ISNUMBER(SEARCH("rat",E133)),ISNUMBER(SEARCH("mice",E133)),ISNUMBER(SEARCH("rodent",E133))),"Rodent Control",
OR(ISNUMBER(SEARCH("fly",E133)),ISNUMBER(SEARCH("gnat",E133)),ISNUMBER(SEARCH("insect",E133)),ISNUMBER(SEARCH("mosquito",E133))),"Flying Insect Control",
OR(ISNUMBER(SEARCH("roach",E133)),ISNUMBER(SEARCH("ant",E133)),ISNUMBER(SEARCH("spider",E133)),ISNUMBER(SEARCH("cricket",E133)),ISNUMBER(SEARCH("scorpion",E133)),ISNUMBER(SEARCH("centipede",E133)),ISNUMBER(SEARCH("beetle",E133))),"Crawling Insect Control",
OR(ISNUMBER(SEARCH("tree",E133)),ISNUMBER(SEARCH("lantern",E133)),ISNUMBER(SEARCH("garden",E133)),ISNUMBER(SEARCH("plant",E133))),"Garden Pest Control",
OR(ISNUMBER(SEARCH("grass seed",E133)),ISNUMBER(SEARCH("seed mix",E133))),"Grass Seed",
OR(ISNUMBER(SEARCH("lawn food",E133)),ISNUMBER(SEARCH("fertilizer",E133))),"Lawn Fertilizer",
OR(ISNUMBER(SEARCH("patch",E133)),ISNUMBER(SEARCH("repair",E133)),ISNUMBER(SEARCH("thick'r",E133)),ISNUMBER(SEARCH("thick'r lawn",E133)),ISNUMBER(SEARCH("rapid grass",E133))),"Lawn Repair",
OR(ISNUMBER(SEARCH("weed",E133)),ISNUMBER(SEARCH("crabgrass",E133))),"Weed Control",
OR(ISNUMBER(SEARCH("fungicide",E133)),ISNUMBER(SEARCH("moss",E133))),"Disease &amp; Moss Control",
OR(ISNUMBER(SEARCH("plant food",E133)),ISNUMBER(SEARCH("miracid",E133))),"Plant Nutrition",
OR(ISNUMBER(SEARCH("perlite",E133))),"Soil Amendment",
OR(ISNUMBER(SEARCH("spreader",E133)),ISNUMBER(SEARCH("sprayer",E133)),ISNUMBER(SEARCH("mower",E133)),ISNUMBER(SEARCH("sweeper",E133)),ISNUMBER(SEARCH("pruner",E133)),ISNUMBER(SEARCH("trimmer",E133)),ISNUMBER(SEARCH("pole saw",E133))),"Garden Equipment",
TRUE,"Other"
)</f>
        <v>Grass Seed</v>
      </c>
      <c r="I133" s="7" t="str" cm="1">
        <f t="array" ref="I133">_xlfn.IFS(
OR(ISNUMBER(SEARCH("glue trap",E133)),ISNUMBER(SEARCH("glue board",E133))),"Glue Traps",
OR(ISNUMBER(SEARCH("snap trap",E133)),ISNUMBER(SEARCH("power-kill",E133)),ISNUMBER(SEARCH("wide pedal",E133)),ISNUMBER(SEARCH("metal pedal",E133))),"Snap Traps",
OR(ISNUMBER(SEARCH("electronic",E133)),ISNUMBER(SEARCH("zapper",E133))),"Electronic Traps",
OR(ISNUMBER(SEARCH("live catch",E133)),ISNUMBER(SEARCH("multi-catch",E133)),ISNUMBER(SEARCH("catch &amp; hold",E133)),ISNUMBER(SEARCH("tin cat",E133))),"Live Catch Traps",
OR(ISNUMBER(SEARCH("bait",E133)),ISNUMBER(SEARCH("poison",E133))),"Bait &amp; Poison",
ISNUMBER(SEARCH("repellent",E133)),"Repellents",
OR(ISNUMBER(SEARCH("fly trap",E133)),ISNUMBER(SEARCH("fly ribbon",E133)),ISNUMBER(SEARCH("fly stick",E133)),ISNUMBER(SEARCH("window fly",E133)),ISNUMBER(SEARCH("fly magnet",E133))),"Fly Traps",
OR(ISNUMBER(SEARCH("uv",E133)),ISNUMBER(SEARCH("fly light",E133)),ISNUMBER(SEARCH("plug-in",E133))),"UV Fly Traps",
ISNUMBER(SEARCH("roach",E133)),"Roach Traps",
ISNUMBER(SEARCH("ant",E133)),"Ant Traps",
ISNUMBER(SEARCH("spider",E133)),"Spider Traps",
ISNUMBER(SEARCH("mosquito",E133)),"Mosquito Traps",
ISNUMBER(SEARCH("beetle",E133)),"Beetle Traps",
ISNUMBER(SEARCH("lantern",E133)),"Lanternfly Control",
OR(ISNUMBER(SEARCH("tree shield",E133)),ISNUMBER(SEARCH("tree banding",E133)),ISNUMBER(SEARCH("insect barrier",E133))),"Tree Barriers",
OR(ISNUMBER(SEARCH("sun &amp; shade",E133)),ISNUMBER(SEARCH("sun and shade",E133))),"Sun &amp; Shade Mix",
ISNUMBER(SEARCH("tall fescue",E133)),"Tall Fescue",
ISNUMBER(SEARCH("bermudagrass",E133)),"Bermudagrass",
ISNUMBER(SEARCH("kentucky",E133)),"Kentucky Bluegrass",
ISNUMBER(SEARCH("zoysia",E133)),"Zoysia",
ISNUMBER(SEARCH("ryegrass",E133)),"Perennial Ryegrass",
ISNUMBER(SEARCH("centipede",E133)),"Centipede Grass",
ISNUMBER(SEARCH("dense shade",E133)),"Dense Shade Mix",
ISNUMBER(SEARCH("southern gold",E133)),"Southern Gold Mix",
ISNUMBER(SEARCH("heat-tolerant blue",E133)),"Heat-Tolerant Blue Mix",
ISNUMBER(SEARCH("high traffic",E133)),"High Traffic Mix",
ISNUMBER(SEARCH("quick fix",E133)),"Quick Fix Mix",
ISNUMBER(SEARCH("starter",E133)),"Starter Fertilizer",
ISNUMBER(SEARCH("weed &amp; feed",E133)),"Weed &amp; Feed",
ISNUMBER(SEARCH("lawn food",E133)),"Lawn Food",
ISNUMBER(SEARCH("triple action",E133)),"Triple Action Fertilizer",
ISNUMBER(SEARCH("green max",E133)),"Green Max Lawn Food",
ISNUMBER(SEARCH("patchmaster",E133)),"PatchMaster Repair",
ISNUMBER(SEARCH("ez seed",E133)),"EZ Seed Repair",
ISNUMBER(SEARCH("rapid grass",E133)),"Rapid Grass",
ISNUMBER(SEARCH("thick'r lawn",E133)),"Thick'R Lawn",
ISNUMBER(SEARCH("fungicide",E133)),"Fungicide",
ISNUMBER(SEARCH("moss",E133)),"Moss Control",
ISNUMBER(SEARCH("perlite",E133)),"Perlite",
ISNUMBER(SEARCH("plant food",E133)),"Plant Food",
ISNUMBER(SEARCH("spreader",E133)),"Spreader",
ISNUMBER(SEARCH("sprayer",E133)),"Sprayer",
ISNUMBER(SEARCH("mower",E133)),"Lawn Mower",
ISNUMBER(SEARCH("sweeper",E133)),"Lawn Sweeper",
OR(ISNUMBER(SEARCH("pruner",E133)),ISNUMBER(SEARCH("trimmer",E133)),ISNUMBER(SEARCH("pole saw",E133))),"Pruning Tools",
TRUE,"Other"
)</f>
        <v>Tall Fescue</v>
      </c>
      <c r="J133" s="7" t="str">
        <f t="shared" si="38"/>
        <v>Grass Seed - Tall Fescue</v>
      </c>
      <c r="K133" s="4">
        <v>1000</v>
      </c>
      <c r="L133" s="4">
        <v>4.2</v>
      </c>
      <c r="M133" s="4">
        <v>3657</v>
      </c>
      <c r="N133" s="4" t="s">
        <v>531</v>
      </c>
      <c r="O133" s="4">
        <f>VLOOKUP(A133,[3]Sheet1!$A:$B,2,0)</f>
        <v>400</v>
      </c>
      <c r="P133" s="4">
        <f>VLOOKUP(A133,[3]Sheet1!$A:$C,3,0)</f>
        <v>300</v>
      </c>
      <c r="Q133" s="4">
        <f>VLOOKUP(A133,[3]Sheet1!$A:$D,4,0)</f>
        <v>700</v>
      </c>
      <c r="R133" s="4">
        <f>VLOOKUP(A133,[3]Sheet1!$A:$E,5,0)</f>
        <v>4000</v>
      </c>
      <c r="S133" s="4">
        <f>VLOOKUP(A133,[3]Sheet1!$A:$F,6,0)</f>
        <v>2000</v>
      </c>
      <c r="T133" s="4">
        <f>VLOOKUP(A133,[3]Sheet1!$A:$G,7,0)</f>
        <v>2000</v>
      </c>
      <c r="U133" s="4">
        <f>VLOOKUP(A133,[3]Sheet1!$A:$I,8,0)</f>
        <v>1000</v>
      </c>
      <c r="V133" s="4">
        <f>VLOOKUP(A133,[3]Sheet1!$A:$J,9,0)</f>
        <v>400</v>
      </c>
      <c r="W133" s="4">
        <f>VLOOKUP(A133,[3]Sheet1!$A:$J,10,0)</f>
        <v>1000</v>
      </c>
      <c r="X133" s="4">
        <f>VLOOKUP(A133,[3]Sheet1!$A:$K,11,0)</f>
        <v>1000</v>
      </c>
      <c r="Y133" s="4">
        <f>VLOOKUP(A133,[3]Sheet1!$A:$L,12,0)</f>
        <v>600</v>
      </c>
      <c r="Z133" s="4">
        <f>VLOOKUP(A133,[3]Sheet1!$A:$M,13,0)</f>
        <v>400</v>
      </c>
      <c r="AA133" s="4">
        <f t="shared" si="32"/>
        <v>13800</v>
      </c>
      <c r="AB133" s="7">
        <f t="shared" si="39"/>
        <v>1150</v>
      </c>
      <c r="AC133" s="15">
        <f t="shared" si="33"/>
        <v>1150</v>
      </c>
      <c r="AD133" s="16">
        <f t="shared" si="34"/>
        <v>413586</v>
      </c>
      <c r="AE133" s="16">
        <f t="shared" si="35"/>
        <v>34465.5</v>
      </c>
      <c r="AF133" s="16">
        <v>8.1199999999999992</v>
      </c>
      <c r="AG133" s="16">
        <v>29.97</v>
      </c>
      <c r="AH133" s="8">
        <f t="shared" si="36"/>
        <v>0.19120000000000004</v>
      </c>
      <c r="AI133" s="8">
        <f t="shared" si="37"/>
        <v>0.66920000000000002</v>
      </c>
      <c r="AJ133" s="10">
        <v>0.5</v>
      </c>
      <c r="AK133" s="10">
        <v>0.5</v>
      </c>
      <c r="AL133" s="16">
        <v>8.1199999999999992</v>
      </c>
      <c r="AM133" s="9">
        <f t="shared" si="40"/>
        <v>4.4954999999999998</v>
      </c>
      <c r="AN133" s="9">
        <f t="shared" si="41"/>
        <v>0.8990999999999999</v>
      </c>
      <c r="AO133" s="9">
        <f t="shared" si="42"/>
        <v>5.9939999999999998</v>
      </c>
      <c r="AP133" s="9">
        <f t="shared" si="43"/>
        <v>0.59940000000000004</v>
      </c>
      <c r="AQ133" s="9">
        <f t="shared" si="44"/>
        <v>5.9939999999999998</v>
      </c>
      <c r="AR133" s="9">
        <f t="shared" si="45"/>
        <v>7.4924999999999997</v>
      </c>
      <c r="AS133" s="11">
        <f t="shared" si="46"/>
        <v>1.9120000000000001</v>
      </c>
      <c r="AT133" s="12">
        <f t="shared" si="47"/>
        <v>0.91300000000000026</v>
      </c>
    </row>
    <row r="134" spans="1:46" ht="16.5" x14ac:dyDescent="0.4">
      <c r="A134" s="4" t="s">
        <v>647</v>
      </c>
      <c r="B134" s="4" t="s">
        <v>513</v>
      </c>
      <c r="C134" s="7" t="s">
        <v>1785</v>
      </c>
      <c r="D134" s="4" t="s">
        <v>648</v>
      </c>
      <c r="E134" s="4" t="s">
        <v>649</v>
      </c>
      <c r="F134" s="4" t="s">
        <v>650</v>
      </c>
      <c r="G134" s="7" t="str">
        <f>VLOOKUP(A134,[1]done!$A:$I,9,0)</f>
        <v>Other - Scotts</v>
      </c>
      <c r="H134" s="7" t="str" cm="1">
        <f t="array" ref="H134">_xlfn.IFS(
OR(ISNUMBER(SEARCH("mouse",E134)),ISNUMBER(SEARCH("rat",E134)),ISNUMBER(SEARCH("mice",E134)),ISNUMBER(SEARCH("rodent",E134))),"Rodent Control",
OR(ISNUMBER(SEARCH("fly",E134)),ISNUMBER(SEARCH("gnat",E134)),ISNUMBER(SEARCH("insect",E134)),ISNUMBER(SEARCH("mosquito",E134))),"Flying Insect Control",
OR(ISNUMBER(SEARCH("roach",E134)),ISNUMBER(SEARCH("ant",E134)),ISNUMBER(SEARCH("spider",E134)),ISNUMBER(SEARCH("cricket",E134)),ISNUMBER(SEARCH("scorpion",E134)),ISNUMBER(SEARCH("centipede",E134)),ISNUMBER(SEARCH("beetle",E134))),"Crawling Insect Control",
OR(ISNUMBER(SEARCH("tree",E134)),ISNUMBER(SEARCH("lantern",E134)),ISNUMBER(SEARCH("garden",E134)),ISNUMBER(SEARCH("plant",E134))),"Garden Pest Control",
OR(ISNUMBER(SEARCH("grass seed",E134)),ISNUMBER(SEARCH("seed mix",E134))),"Grass Seed",
OR(ISNUMBER(SEARCH("lawn food",E134)),ISNUMBER(SEARCH("fertilizer",E134))),"Lawn Fertilizer",
OR(ISNUMBER(SEARCH("patch",E134)),ISNUMBER(SEARCH("repair",E134)),ISNUMBER(SEARCH("thick'r",E134)),ISNUMBER(SEARCH("thick'r lawn",E134)),ISNUMBER(SEARCH("rapid grass",E134))),"Lawn Repair",
OR(ISNUMBER(SEARCH("weed",E134)),ISNUMBER(SEARCH("crabgrass",E134))),"Weed Control",
OR(ISNUMBER(SEARCH("fungicide",E134)),ISNUMBER(SEARCH("moss",E134))),"Disease &amp; Moss Control",
OR(ISNUMBER(SEARCH("plant food",E134)),ISNUMBER(SEARCH("miracid",E134))),"Plant Nutrition",
OR(ISNUMBER(SEARCH("perlite",E134))),"Soil Amendment",
OR(ISNUMBER(SEARCH("spreader",E134)),ISNUMBER(SEARCH("sprayer",E134)),ISNUMBER(SEARCH("mower",E134)),ISNUMBER(SEARCH("sweeper",E134)),ISNUMBER(SEARCH("pruner",E134)),ISNUMBER(SEARCH("trimmer",E134)),ISNUMBER(SEARCH("pole saw",E134))),"Garden Equipment",
TRUE,"Other"
)</f>
        <v>Other</v>
      </c>
      <c r="I134" s="7" t="str" cm="1">
        <f t="array" ref="I134">_xlfn.IFS(
OR(ISNUMBER(SEARCH("glue trap",E134)),ISNUMBER(SEARCH("glue board",E134))),"Glue Traps",
OR(ISNUMBER(SEARCH("snap trap",E134)),ISNUMBER(SEARCH("power-kill",E134)),ISNUMBER(SEARCH("wide pedal",E134)),ISNUMBER(SEARCH("metal pedal",E134))),"Snap Traps",
OR(ISNUMBER(SEARCH("electronic",E134)),ISNUMBER(SEARCH("zapper",E134))),"Electronic Traps",
OR(ISNUMBER(SEARCH("live catch",E134)),ISNUMBER(SEARCH("multi-catch",E134)),ISNUMBER(SEARCH("catch &amp; hold",E134)),ISNUMBER(SEARCH("tin cat",E134))),"Live Catch Traps",
OR(ISNUMBER(SEARCH("bait",E134)),ISNUMBER(SEARCH("poison",E134))),"Bait &amp; Poison",
ISNUMBER(SEARCH("repellent",E134)),"Repellents",
OR(ISNUMBER(SEARCH("fly trap",E134)),ISNUMBER(SEARCH("fly ribbon",E134)),ISNUMBER(SEARCH("fly stick",E134)),ISNUMBER(SEARCH("window fly",E134)),ISNUMBER(SEARCH("fly magnet",E134))),"Fly Traps",
OR(ISNUMBER(SEARCH("uv",E134)),ISNUMBER(SEARCH("fly light",E134)),ISNUMBER(SEARCH("plug-in",E134))),"UV Fly Traps",
ISNUMBER(SEARCH("roach",E134)),"Roach Traps",
ISNUMBER(SEARCH("ant",E134)),"Ant Traps",
ISNUMBER(SEARCH("spider",E134)),"Spider Traps",
ISNUMBER(SEARCH("mosquito",E134)),"Mosquito Traps",
ISNUMBER(SEARCH("beetle",E134)),"Beetle Traps",
ISNUMBER(SEARCH("lantern",E134)),"Lanternfly Control",
OR(ISNUMBER(SEARCH("tree shield",E134)),ISNUMBER(SEARCH("tree banding",E134)),ISNUMBER(SEARCH("insect barrier",E134))),"Tree Barriers",
OR(ISNUMBER(SEARCH("sun &amp; shade",E134)),ISNUMBER(SEARCH("sun and shade",E134))),"Sun &amp; Shade Mix",
ISNUMBER(SEARCH("tall fescue",E134)),"Tall Fescue",
ISNUMBER(SEARCH("bermudagrass",E134)),"Bermudagrass",
ISNUMBER(SEARCH("kentucky",E134)),"Kentucky Bluegrass",
ISNUMBER(SEARCH("zoysia",E134)),"Zoysia",
ISNUMBER(SEARCH("ryegrass",E134)),"Perennial Ryegrass",
ISNUMBER(SEARCH("centipede",E134)),"Centipede Grass",
ISNUMBER(SEARCH("dense shade",E134)),"Dense Shade Mix",
ISNUMBER(SEARCH("southern gold",E134)),"Southern Gold Mix",
ISNUMBER(SEARCH("heat-tolerant blue",E134)),"Heat-Tolerant Blue Mix",
ISNUMBER(SEARCH("high traffic",E134)),"High Traffic Mix",
ISNUMBER(SEARCH("quick fix",E134)),"Quick Fix Mix",
ISNUMBER(SEARCH("starter",E134)),"Starter Fertilizer",
ISNUMBER(SEARCH("weed &amp; feed",E134)),"Weed &amp; Feed",
ISNUMBER(SEARCH("lawn food",E134)),"Lawn Food",
ISNUMBER(SEARCH("triple action",E134)),"Triple Action Fertilizer",
ISNUMBER(SEARCH("green max",E134)),"Green Max Lawn Food",
ISNUMBER(SEARCH("patchmaster",E134)),"PatchMaster Repair",
ISNUMBER(SEARCH("ez seed",E134)),"EZ Seed Repair",
ISNUMBER(SEARCH("rapid grass",E134)),"Rapid Grass",
ISNUMBER(SEARCH("thick'r lawn",E134)),"Thick'R Lawn",
ISNUMBER(SEARCH("fungicide",E134)),"Fungicide",
ISNUMBER(SEARCH("moss",E134)),"Moss Control",
ISNUMBER(SEARCH("perlite",E134)),"Perlite",
ISNUMBER(SEARCH("plant food",E134)),"Plant Food",
ISNUMBER(SEARCH("spreader",E134)),"Spreader",
ISNUMBER(SEARCH("sprayer",E134)),"Sprayer",
ISNUMBER(SEARCH("mower",E134)),"Lawn Mower",
ISNUMBER(SEARCH("sweeper",E134)),"Lawn Sweeper",
OR(ISNUMBER(SEARCH("pruner",E134)),ISNUMBER(SEARCH("trimmer",E134)),ISNUMBER(SEARCH("pole saw",E134))),"Pruning Tools",
TRUE,"Other"
)</f>
        <v>Other</v>
      </c>
      <c r="J134" s="7" t="str">
        <f t="shared" si="38"/>
        <v>Other - Other</v>
      </c>
      <c r="K134" s="4">
        <v>1000</v>
      </c>
      <c r="L134" s="4">
        <v>4.2</v>
      </c>
      <c r="M134" s="4">
        <v>893</v>
      </c>
      <c r="N134" s="4" t="s">
        <v>193</v>
      </c>
      <c r="O134" s="4">
        <f>VLOOKUP(A134,[3]Sheet1!$A:$B,2,0)</f>
        <v>200</v>
      </c>
      <c r="P134" s="4">
        <f>VLOOKUP(A134,[3]Sheet1!$A:$C,3,0)</f>
        <v>200</v>
      </c>
      <c r="Q134" s="4">
        <f>VLOOKUP(A134,[3]Sheet1!$A:$D,4,0)</f>
        <v>2000</v>
      </c>
      <c r="R134" s="4">
        <f>VLOOKUP(A134,[3]Sheet1!$A:$E,5,0)</f>
        <v>5000</v>
      </c>
      <c r="S134" s="4">
        <f>VLOOKUP(A134,[3]Sheet1!$A:$F,6,0)</f>
        <v>9000</v>
      </c>
      <c r="T134" s="4">
        <f>VLOOKUP(A134,[3]Sheet1!$A:$G,7,0)</f>
        <v>2000</v>
      </c>
      <c r="U134" s="4">
        <f>VLOOKUP(A134,[3]Sheet1!$A:$I,8,0)</f>
        <v>4000</v>
      </c>
      <c r="V134" s="4">
        <f>VLOOKUP(A134,[3]Sheet1!$A:$J,9,0)</f>
        <v>800</v>
      </c>
      <c r="W134" s="4">
        <f>VLOOKUP(A134,[3]Sheet1!$A:$J,10,0)</f>
        <v>1000</v>
      </c>
      <c r="X134" s="4">
        <f>VLOOKUP(A134,[3]Sheet1!$A:$K,11,0)</f>
        <v>1000</v>
      </c>
      <c r="Y134" s="4">
        <f>VLOOKUP(A134,[3]Sheet1!$A:$L,12,0)</f>
        <v>800</v>
      </c>
      <c r="Z134" s="4">
        <f>VLOOKUP(A134,[3]Sheet1!$A:$M,13,0)</f>
        <v>200</v>
      </c>
      <c r="AA134" s="4">
        <f t="shared" si="32"/>
        <v>26200</v>
      </c>
      <c r="AB134" s="7">
        <f t="shared" si="39"/>
        <v>2183</v>
      </c>
      <c r="AC134" s="15">
        <f t="shared" si="33"/>
        <v>2183.3333333333335</v>
      </c>
      <c r="AD134" s="16">
        <f t="shared" si="34"/>
        <v>576138</v>
      </c>
      <c r="AE134" s="16">
        <f t="shared" si="35"/>
        <v>48011.5</v>
      </c>
      <c r="AF134" s="16">
        <v>6.13</v>
      </c>
      <c r="AG134" s="16">
        <v>21.99</v>
      </c>
      <c r="AH134" s="8">
        <f t="shared" si="36"/>
        <v>0.11106666666666663</v>
      </c>
      <c r="AI134" s="8">
        <f t="shared" si="37"/>
        <v>0.38873333333333315</v>
      </c>
      <c r="AJ134" s="10">
        <v>0.5</v>
      </c>
      <c r="AK134" s="10">
        <v>0.5</v>
      </c>
      <c r="AL134" s="16">
        <v>6.13</v>
      </c>
      <c r="AM134" s="9">
        <f t="shared" si="40"/>
        <v>3.2984999999999998</v>
      </c>
      <c r="AN134" s="9">
        <f t="shared" si="41"/>
        <v>0.65969999999999995</v>
      </c>
      <c r="AO134" s="9">
        <f t="shared" si="42"/>
        <v>4.3979999999999997</v>
      </c>
      <c r="AP134" s="9">
        <f t="shared" si="43"/>
        <v>0.43979999999999997</v>
      </c>
      <c r="AQ134" s="9">
        <f t="shared" si="44"/>
        <v>4.3979999999999997</v>
      </c>
      <c r="AR134" s="9">
        <f t="shared" si="45"/>
        <v>5.4974999999999996</v>
      </c>
      <c r="AS134" s="11">
        <f t="shared" si="46"/>
        <v>1.1106666666666662</v>
      </c>
      <c r="AT134" s="12">
        <f t="shared" si="47"/>
        <v>0.37766666666666637</v>
      </c>
    </row>
    <row r="135" spans="1:46" ht="16.5" x14ac:dyDescent="0.4">
      <c r="A135" s="4" t="s">
        <v>651</v>
      </c>
      <c r="B135" s="4" t="s">
        <v>513</v>
      </c>
      <c r="C135" s="7" t="s">
        <v>1784</v>
      </c>
      <c r="D135" s="4" t="s">
        <v>652</v>
      </c>
      <c r="E135" s="4" t="s">
        <v>653</v>
      </c>
      <c r="F135" s="4" t="s">
        <v>654</v>
      </c>
      <c r="G135" s="7" t="str">
        <f>VLOOKUP(A135,[1]done!$A:$I,9,0)</f>
        <v>Lawn Fertilizer</v>
      </c>
      <c r="H135" s="7" t="str" cm="1">
        <f t="array" ref="H135">_xlfn.IFS(
OR(ISNUMBER(SEARCH("mouse",E135)),ISNUMBER(SEARCH("rat",E135)),ISNUMBER(SEARCH("mice",E135)),ISNUMBER(SEARCH("rodent",E135))),"Rodent Control",
OR(ISNUMBER(SEARCH("fly",E135)),ISNUMBER(SEARCH("gnat",E135)),ISNUMBER(SEARCH("insect",E135)),ISNUMBER(SEARCH("mosquito",E135))),"Flying Insect Control",
OR(ISNUMBER(SEARCH("roach",E135)),ISNUMBER(SEARCH("ant",E135)),ISNUMBER(SEARCH("spider",E135)),ISNUMBER(SEARCH("cricket",E135)),ISNUMBER(SEARCH("scorpion",E135)),ISNUMBER(SEARCH("centipede",E135)),ISNUMBER(SEARCH("beetle",E135))),"Crawling Insect Control",
OR(ISNUMBER(SEARCH("tree",E135)),ISNUMBER(SEARCH("lantern",E135)),ISNUMBER(SEARCH("garden",E135)),ISNUMBER(SEARCH("plant",E135))),"Garden Pest Control",
OR(ISNUMBER(SEARCH("grass seed",E135)),ISNUMBER(SEARCH("seed mix",E135))),"Grass Seed",
OR(ISNUMBER(SEARCH("lawn food",E135)),ISNUMBER(SEARCH("fertilizer",E135))),"Lawn Fertilizer",
OR(ISNUMBER(SEARCH("patch",E135)),ISNUMBER(SEARCH("repair",E135)),ISNUMBER(SEARCH("thick'r",E135)),ISNUMBER(SEARCH("thick'r lawn",E135)),ISNUMBER(SEARCH("rapid grass",E135))),"Lawn Repair",
OR(ISNUMBER(SEARCH("weed",E135)),ISNUMBER(SEARCH("crabgrass",E135))),"Weed Control",
OR(ISNUMBER(SEARCH("fungicide",E135)),ISNUMBER(SEARCH("moss",E135))),"Disease &amp; Moss Control",
OR(ISNUMBER(SEARCH("plant food",E135)),ISNUMBER(SEARCH("miracid",E135))),"Plant Nutrition",
OR(ISNUMBER(SEARCH("perlite",E135))),"Soil Amendment",
OR(ISNUMBER(SEARCH("spreader",E135)),ISNUMBER(SEARCH("sprayer",E135)),ISNUMBER(SEARCH("mower",E135)),ISNUMBER(SEARCH("sweeper",E135)),ISNUMBER(SEARCH("pruner",E135)),ISNUMBER(SEARCH("trimmer",E135)),ISNUMBER(SEARCH("pole saw",E135))),"Garden Equipment",
TRUE,"Other"
)</f>
        <v>Lawn Fertilizer</v>
      </c>
      <c r="I135" s="7" t="str" cm="1">
        <f t="array" ref="I135">_xlfn.IFS(
OR(ISNUMBER(SEARCH("glue trap",E135)),ISNUMBER(SEARCH("glue board",E135))),"Glue Traps",
OR(ISNUMBER(SEARCH("snap trap",E135)),ISNUMBER(SEARCH("power-kill",E135)),ISNUMBER(SEARCH("wide pedal",E135)),ISNUMBER(SEARCH("metal pedal",E135))),"Snap Traps",
OR(ISNUMBER(SEARCH("electronic",E135)),ISNUMBER(SEARCH("zapper",E135))),"Electronic Traps",
OR(ISNUMBER(SEARCH("live catch",E135)),ISNUMBER(SEARCH("multi-catch",E135)),ISNUMBER(SEARCH("catch &amp; hold",E135)),ISNUMBER(SEARCH("tin cat",E135))),"Live Catch Traps",
OR(ISNUMBER(SEARCH("bait",E135)),ISNUMBER(SEARCH("poison",E135))),"Bait &amp; Poison",
ISNUMBER(SEARCH("repellent",E135)),"Repellents",
OR(ISNUMBER(SEARCH("fly trap",E135)),ISNUMBER(SEARCH("fly ribbon",E135)),ISNUMBER(SEARCH("fly stick",E135)),ISNUMBER(SEARCH("window fly",E135)),ISNUMBER(SEARCH("fly magnet",E135))),"Fly Traps",
OR(ISNUMBER(SEARCH("uv",E135)),ISNUMBER(SEARCH("fly light",E135)),ISNUMBER(SEARCH("plug-in",E135))),"UV Fly Traps",
ISNUMBER(SEARCH("roach",E135)),"Roach Traps",
ISNUMBER(SEARCH("ant",E135)),"Ant Traps",
ISNUMBER(SEARCH("spider",E135)),"Spider Traps",
ISNUMBER(SEARCH("mosquito",E135)),"Mosquito Traps",
ISNUMBER(SEARCH("beetle",E135)),"Beetle Traps",
ISNUMBER(SEARCH("lantern",E135)),"Lanternfly Control",
OR(ISNUMBER(SEARCH("tree shield",E135)),ISNUMBER(SEARCH("tree banding",E135)),ISNUMBER(SEARCH("insect barrier",E135))),"Tree Barriers",
OR(ISNUMBER(SEARCH("sun &amp; shade",E135)),ISNUMBER(SEARCH("sun and shade",E135))),"Sun &amp; Shade Mix",
ISNUMBER(SEARCH("tall fescue",E135)),"Tall Fescue",
ISNUMBER(SEARCH("bermudagrass",E135)),"Bermudagrass",
ISNUMBER(SEARCH("kentucky",E135)),"Kentucky Bluegrass",
ISNUMBER(SEARCH("zoysia",E135)),"Zoysia",
ISNUMBER(SEARCH("ryegrass",E135)),"Perennial Ryegrass",
ISNUMBER(SEARCH("centipede",E135)),"Centipede Grass",
ISNUMBER(SEARCH("dense shade",E135)),"Dense Shade Mix",
ISNUMBER(SEARCH("southern gold",E135)),"Southern Gold Mix",
ISNUMBER(SEARCH("heat-tolerant blue",E135)),"Heat-Tolerant Blue Mix",
ISNUMBER(SEARCH("high traffic",E135)),"High Traffic Mix",
ISNUMBER(SEARCH("quick fix",E135)),"Quick Fix Mix",
ISNUMBER(SEARCH("starter",E135)),"Starter Fertilizer",
ISNUMBER(SEARCH("weed &amp; feed",E135)),"Weed &amp; Feed",
ISNUMBER(SEARCH("lawn food",E135)),"Lawn Food",
ISNUMBER(SEARCH("triple action",E135)),"Triple Action Fertilizer",
ISNUMBER(SEARCH("green max",E135)),"Green Max Lawn Food",
ISNUMBER(SEARCH("patchmaster",E135)),"PatchMaster Repair",
ISNUMBER(SEARCH("ez seed",E135)),"EZ Seed Repair",
ISNUMBER(SEARCH("rapid grass",E135)),"Rapid Grass",
ISNUMBER(SEARCH("thick'r lawn",E135)),"Thick'R Lawn",
ISNUMBER(SEARCH("fungicide",E135)),"Fungicide",
ISNUMBER(SEARCH("moss",E135)),"Moss Control",
ISNUMBER(SEARCH("perlite",E135)),"Perlite",
ISNUMBER(SEARCH("plant food",E135)),"Plant Food",
ISNUMBER(SEARCH("spreader",E135)),"Spreader",
ISNUMBER(SEARCH("sprayer",E135)),"Sprayer",
ISNUMBER(SEARCH("mower",E135)),"Lawn Mower",
ISNUMBER(SEARCH("sweeper",E135)),"Lawn Sweeper",
OR(ISNUMBER(SEARCH("pruner",E135)),ISNUMBER(SEARCH("trimmer",E135)),ISNUMBER(SEARCH("pole saw",E135))),"Pruning Tools",
TRUE,"Other"
)</f>
        <v>Lawn Food</v>
      </c>
      <c r="J135" s="7" t="str">
        <f t="shared" si="38"/>
        <v>Lawn Fertilizer - Lawn Food</v>
      </c>
      <c r="K135" s="4">
        <v>1000</v>
      </c>
      <c r="L135" s="4">
        <v>4.5999999999999996</v>
      </c>
      <c r="M135" s="4">
        <v>8130</v>
      </c>
      <c r="N135" s="4" t="s">
        <v>655</v>
      </c>
      <c r="O135" s="4">
        <f>VLOOKUP(A135,[3]Sheet1!$A:$B,2,0)</f>
        <v>100</v>
      </c>
      <c r="P135" s="4">
        <f>VLOOKUP(A135,[3]Sheet1!$A:$C,3,0)</f>
        <v>100</v>
      </c>
      <c r="Q135" s="4">
        <f>VLOOKUP(A135,[3]Sheet1!$A:$D,4,0)</f>
        <v>1000</v>
      </c>
      <c r="R135" s="4">
        <f>VLOOKUP(A135,[3]Sheet1!$A:$E,5,0)</f>
        <v>4000</v>
      </c>
      <c r="S135" s="4">
        <f>VLOOKUP(A135,[3]Sheet1!$A:$F,6,0)</f>
        <v>4000</v>
      </c>
      <c r="T135" s="4">
        <f>VLOOKUP(A135,[3]Sheet1!$A:$G,7,0)</f>
        <v>3000</v>
      </c>
      <c r="U135" s="4">
        <f>VLOOKUP(A135,[3]Sheet1!$A:$I,8,0)</f>
        <v>3000</v>
      </c>
      <c r="V135" s="4">
        <f>VLOOKUP(A135,[3]Sheet1!$A:$J,9,0)</f>
        <v>2000</v>
      </c>
      <c r="W135" s="4">
        <f>VLOOKUP(A135,[3]Sheet1!$A:$J,10,0)</f>
        <v>2000</v>
      </c>
      <c r="X135" s="4">
        <f>VLOOKUP(A135,[3]Sheet1!$A:$K,11,0)</f>
        <v>200</v>
      </c>
      <c r="Y135" s="4">
        <f>VLOOKUP(A135,[3]Sheet1!$A:$L,12,0)</f>
        <v>200</v>
      </c>
      <c r="Z135" s="4">
        <f>VLOOKUP(A135,[3]Sheet1!$A:$M,13,0)</f>
        <v>100</v>
      </c>
      <c r="AA135" s="4">
        <f t="shared" si="32"/>
        <v>19700</v>
      </c>
      <c r="AB135" s="7">
        <f t="shared" si="39"/>
        <v>1642</v>
      </c>
      <c r="AC135" s="15">
        <f t="shared" si="33"/>
        <v>1641.6666666666667</v>
      </c>
      <c r="AD135" s="16">
        <f t="shared" si="34"/>
        <v>944812</v>
      </c>
      <c r="AE135" s="16">
        <f t="shared" si="35"/>
        <v>78734.333333333343</v>
      </c>
      <c r="AF135" s="16">
        <v>24.34</v>
      </c>
      <c r="AG135" s="16">
        <v>47.96</v>
      </c>
      <c r="AH135" s="8">
        <f t="shared" si="36"/>
        <v>-0.41040000000000004</v>
      </c>
      <c r="AI135" s="8">
        <f t="shared" si="37"/>
        <v>-1.4363999999999999</v>
      </c>
      <c r="AJ135" s="10">
        <v>0.5</v>
      </c>
      <c r="AK135" s="10">
        <v>0.5</v>
      </c>
      <c r="AL135" s="16">
        <v>24.34</v>
      </c>
      <c r="AM135" s="9">
        <f t="shared" si="40"/>
        <v>7.194</v>
      </c>
      <c r="AN135" s="9">
        <f t="shared" si="41"/>
        <v>1.4388000000000001</v>
      </c>
      <c r="AO135" s="9">
        <f t="shared" si="42"/>
        <v>9.5920000000000005</v>
      </c>
      <c r="AP135" s="9">
        <f t="shared" si="43"/>
        <v>0.95920000000000005</v>
      </c>
      <c r="AQ135" s="9">
        <f t="shared" si="44"/>
        <v>9.5920000000000005</v>
      </c>
      <c r="AR135" s="9">
        <f t="shared" si="45"/>
        <v>11.99</v>
      </c>
      <c r="AS135" s="11">
        <f t="shared" si="46"/>
        <v>-4.1040000000000001</v>
      </c>
      <c r="AT135" s="12">
        <f t="shared" si="47"/>
        <v>-5.7026666666666666</v>
      </c>
    </row>
    <row r="136" spans="1:46" ht="16.5" x14ac:dyDescent="0.4">
      <c r="A136" s="4" t="s">
        <v>656</v>
      </c>
      <c r="B136" s="4" t="s">
        <v>513</v>
      </c>
      <c r="C136" s="7" t="s">
        <v>1784</v>
      </c>
      <c r="D136" s="4" t="s">
        <v>657</v>
      </c>
      <c r="E136" s="4" t="s">
        <v>658</v>
      </c>
      <c r="F136" s="4" t="s">
        <v>659</v>
      </c>
      <c r="G136" s="7" t="str">
        <f>VLOOKUP(A136,[1]done!$A:$I,9,0)</f>
        <v>Lawn Fertilizer</v>
      </c>
      <c r="H136" s="7" t="str" cm="1">
        <f t="array" ref="H136">_xlfn.IFS(
OR(ISNUMBER(SEARCH("mouse",E136)),ISNUMBER(SEARCH("rat",E136)),ISNUMBER(SEARCH("mice",E136)),ISNUMBER(SEARCH("rodent",E136))),"Rodent Control",
OR(ISNUMBER(SEARCH("fly",E136)),ISNUMBER(SEARCH("gnat",E136)),ISNUMBER(SEARCH("insect",E136)),ISNUMBER(SEARCH("mosquito",E136))),"Flying Insect Control",
OR(ISNUMBER(SEARCH("roach",E136)),ISNUMBER(SEARCH("ant",E136)),ISNUMBER(SEARCH("spider",E136)),ISNUMBER(SEARCH("cricket",E136)),ISNUMBER(SEARCH("scorpion",E136)),ISNUMBER(SEARCH("centipede",E136)),ISNUMBER(SEARCH("beetle",E136))),"Crawling Insect Control",
OR(ISNUMBER(SEARCH("tree",E136)),ISNUMBER(SEARCH("lantern",E136)),ISNUMBER(SEARCH("garden",E136)),ISNUMBER(SEARCH("plant",E136))),"Garden Pest Control",
OR(ISNUMBER(SEARCH("grass seed",E136)),ISNUMBER(SEARCH("seed mix",E136))),"Grass Seed",
OR(ISNUMBER(SEARCH("lawn food",E136)),ISNUMBER(SEARCH("fertilizer",E136))),"Lawn Fertilizer",
OR(ISNUMBER(SEARCH("patch",E136)),ISNUMBER(SEARCH("repair",E136)),ISNUMBER(SEARCH("thick'r",E136)),ISNUMBER(SEARCH("thick'r lawn",E136)),ISNUMBER(SEARCH("rapid grass",E136))),"Lawn Repair",
OR(ISNUMBER(SEARCH("weed",E136)),ISNUMBER(SEARCH("crabgrass",E136))),"Weed Control",
OR(ISNUMBER(SEARCH("fungicide",E136)),ISNUMBER(SEARCH("moss",E136))),"Disease &amp; Moss Control",
OR(ISNUMBER(SEARCH("plant food",E136)),ISNUMBER(SEARCH("miracid",E136))),"Plant Nutrition",
OR(ISNUMBER(SEARCH("perlite",E136))),"Soil Amendment",
OR(ISNUMBER(SEARCH("spreader",E136)),ISNUMBER(SEARCH("sprayer",E136)),ISNUMBER(SEARCH("mower",E136)),ISNUMBER(SEARCH("sweeper",E136)),ISNUMBER(SEARCH("pruner",E136)),ISNUMBER(SEARCH("trimmer",E136)),ISNUMBER(SEARCH("pole saw",E136))),"Garden Equipment",
TRUE,"Other"
)</f>
        <v>Lawn Repair</v>
      </c>
      <c r="I136" s="7" t="str" cm="1">
        <f t="array" ref="I136">_xlfn.IFS(
OR(ISNUMBER(SEARCH("glue trap",E136)),ISNUMBER(SEARCH("glue board",E136))),"Glue Traps",
OR(ISNUMBER(SEARCH("snap trap",E136)),ISNUMBER(SEARCH("power-kill",E136)),ISNUMBER(SEARCH("wide pedal",E136)),ISNUMBER(SEARCH("metal pedal",E136))),"Snap Traps",
OR(ISNUMBER(SEARCH("electronic",E136)),ISNUMBER(SEARCH("zapper",E136))),"Electronic Traps",
OR(ISNUMBER(SEARCH("live catch",E136)),ISNUMBER(SEARCH("multi-catch",E136)),ISNUMBER(SEARCH("catch &amp; hold",E136)),ISNUMBER(SEARCH("tin cat",E136))),"Live Catch Traps",
OR(ISNUMBER(SEARCH("bait",E136)),ISNUMBER(SEARCH("poison",E136))),"Bait &amp; Poison",
ISNUMBER(SEARCH("repellent",E136)),"Repellents",
OR(ISNUMBER(SEARCH("fly trap",E136)),ISNUMBER(SEARCH("fly ribbon",E136)),ISNUMBER(SEARCH("fly stick",E136)),ISNUMBER(SEARCH("window fly",E136)),ISNUMBER(SEARCH("fly magnet",E136))),"Fly Traps",
OR(ISNUMBER(SEARCH("uv",E136)),ISNUMBER(SEARCH("fly light",E136)),ISNUMBER(SEARCH("plug-in",E136))),"UV Fly Traps",
ISNUMBER(SEARCH("roach",E136)),"Roach Traps",
ISNUMBER(SEARCH("ant",E136)),"Ant Traps",
ISNUMBER(SEARCH("spider",E136)),"Spider Traps",
ISNUMBER(SEARCH("mosquito",E136)),"Mosquito Traps",
ISNUMBER(SEARCH("beetle",E136)),"Beetle Traps",
ISNUMBER(SEARCH("lantern",E136)),"Lanternfly Control",
OR(ISNUMBER(SEARCH("tree shield",E136)),ISNUMBER(SEARCH("tree banding",E136)),ISNUMBER(SEARCH("insect barrier",E136))),"Tree Barriers",
OR(ISNUMBER(SEARCH("sun &amp; shade",E136)),ISNUMBER(SEARCH("sun and shade",E136))),"Sun &amp; Shade Mix",
ISNUMBER(SEARCH("tall fescue",E136)),"Tall Fescue",
ISNUMBER(SEARCH("bermudagrass",E136)),"Bermudagrass",
ISNUMBER(SEARCH("kentucky",E136)),"Kentucky Bluegrass",
ISNUMBER(SEARCH("zoysia",E136)),"Zoysia",
ISNUMBER(SEARCH("ryegrass",E136)),"Perennial Ryegrass",
ISNUMBER(SEARCH("centipede",E136)),"Centipede Grass",
ISNUMBER(SEARCH("dense shade",E136)),"Dense Shade Mix",
ISNUMBER(SEARCH("southern gold",E136)),"Southern Gold Mix",
ISNUMBER(SEARCH("heat-tolerant blue",E136)),"Heat-Tolerant Blue Mix",
ISNUMBER(SEARCH("high traffic",E136)),"High Traffic Mix",
ISNUMBER(SEARCH("quick fix",E136)),"Quick Fix Mix",
ISNUMBER(SEARCH("starter",E136)),"Starter Fertilizer",
ISNUMBER(SEARCH("weed &amp; feed",E136)),"Weed &amp; Feed",
ISNUMBER(SEARCH("lawn food",E136)),"Lawn Food",
ISNUMBER(SEARCH("triple action",E136)),"Triple Action Fertilizer",
ISNUMBER(SEARCH("green max",E136)),"Green Max Lawn Food",
ISNUMBER(SEARCH("patchmaster",E136)),"PatchMaster Repair",
ISNUMBER(SEARCH("ez seed",E136)),"EZ Seed Repair",
ISNUMBER(SEARCH("rapid grass",E136)),"Rapid Grass",
ISNUMBER(SEARCH("thick'r lawn",E136)),"Thick'R Lawn",
ISNUMBER(SEARCH("fungicide",E136)),"Fungicide",
ISNUMBER(SEARCH("moss",E136)),"Moss Control",
ISNUMBER(SEARCH("perlite",E136)),"Perlite",
ISNUMBER(SEARCH("plant food",E136)),"Plant Food",
ISNUMBER(SEARCH("spreader",E136)),"Spreader",
ISNUMBER(SEARCH("sprayer",E136)),"Sprayer",
ISNUMBER(SEARCH("mower",E136)),"Lawn Mower",
ISNUMBER(SEARCH("sweeper",E136)),"Lawn Sweeper",
OR(ISNUMBER(SEARCH("pruner",E136)),ISNUMBER(SEARCH("trimmer",E136)),ISNUMBER(SEARCH("pole saw",E136))),"Pruning Tools",
TRUE,"Other"
)</f>
        <v>Tall Fescue</v>
      </c>
      <c r="J136" s="7" t="str">
        <f t="shared" si="38"/>
        <v>Lawn Repair - Tall Fescue</v>
      </c>
      <c r="K136" s="4">
        <v>1000</v>
      </c>
      <c r="L136" s="4">
        <v>4.0999999999999996</v>
      </c>
      <c r="M136" s="4">
        <v>3754</v>
      </c>
      <c r="N136" s="4" t="s">
        <v>584</v>
      </c>
      <c r="O136" s="4">
        <f>VLOOKUP(A136,[3]Sheet1!$A:$B,2,0)</f>
        <v>0</v>
      </c>
      <c r="P136" s="4">
        <f>VLOOKUP(A136,[3]Sheet1!$A:$C,3,0)</f>
        <v>200</v>
      </c>
      <c r="Q136" s="4">
        <f>VLOOKUP(A136,[3]Sheet1!$A:$D,4,0)</f>
        <v>200</v>
      </c>
      <c r="R136" s="4">
        <f>VLOOKUP(A136,[3]Sheet1!$A:$E,5,0)</f>
        <v>2000</v>
      </c>
      <c r="S136" s="4">
        <f>VLOOKUP(A136,[3]Sheet1!$A:$F,6,0)</f>
        <v>1000</v>
      </c>
      <c r="T136" s="4">
        <f>VLOOKUP(A136,[3]Sheet1!$A:$G,7,0)</f>
        <v>1000</v>
      </c>
      <c r="U136" s="4">
        <f>VLOOKUP(A136,[3]Sheet1!$A:$I,8,0)</f>
        <v>1000</v>
      </c>
      <c r="V136" s="4">
        <f>VLOOKUP(A136,[3]Sheet1!$A:$J,9,0)</f>
        <v>600</v>
      </c>
      <c r="W136" s="4">
        <f>VLOOKUP(A136,[3]Sheet1!$A:$J,10,0)</f>
        <v>600</v>
      </c>
      <c r="X136" s="4">
        <f>VLOOKUP(A136,[3]Sheet1!$A:$K,11,0)</f>
        <v>200</v>
      </c>
      <c r="Y136" s="4">
        <f>VLOOKUP(A136,[3]Sheet1!$A:$L,12,0)</f>
        <v>200</v>
      </c>
      <c r="Z136" s="4">
        <f>VLOOKUP(A136,[3]Sheet1!$A:$M,13,0)</f>
        <v>0</v>
      </c>
      <c r="AA136" s="4">
        <f t="shared" si="32"/>
        <v>7000</v>
      </c>
      <c r="AB136" s="7">
        <f t="shared" si="39"/>
        <v>583</v>
      </c>
      <c r="AC136" s="15">
        <f t="shared" si="33"/>
        <v>583.33333333333337</v>
      </c>
      <c r="AD136" s="16">
        <f t="shared" si="34"/>
        <v>212730</v>
      </c>
      <c r="AE136" s="16">
        <f t="shared" si="35"/>
        <v>17727.5</v>
      </c>
      <c r="AF136" s="16">
        <v>9.7799999999999994</v>
      </c>
      <c r="AG136" s="16">
        <v>30.39</v>
      </c>
      <c r="AH136" s="8">
        <f t="shared" si="36"/>
        <v>9.1733333333333236E-2</v>
      </c>
      <c r="AI136" s="8">
        <f t="shared" si="37"/>
        <v>0.32106666666666628</v>
      </c>
      <c r="AJ136" s="10">
        <v>0.5</v>
      </c>
      <c r="AK136" s="10">
        <v>0.5</v>
      </c>
      <c r="AL136" s="16">
        <v>9.7799999999999994</v>
      </c>
      <c r="AM136" s="9">
        <f t="shared" si="40"/>
        <v>4.5584999999999996</v>
      </c>
      <c r="AN136" s="9">
        <f t="shared" si="41"/>
        <v>0.91169999999999995</v>
      </c>
      <c r="AO136" s="9">
        <f t="shared" si="42"/>
        <v>6.0780000000000003</v>
      </c>
      <c r="AP136" s="9">
        <f t="shared" si="43"/>
        <v>0.60780000000000001</v>
      </c>
      <c r="AQ136" s="9">
        <f t="shared" si="44"/>
        <v>6.0780000000000003</v>
      </c>
      <c r="AR136" s="9">
        <f t="shared" si="45"/>
        <v>7.5975000000000001</v>
      </c>
      <c r="AS136" s="11">
        <f t="shared" si="46"/>
        <v>0.91733333333333233</v>
      </c>
      <c r="AT136" s="12">
        <f t="shared" si="47"/>
        <v>-9.5666666666667524E-2</v>
      </c>
    </row>
    <row r="137" spans="1:46" ht="16.5" x14ac:dyDescent="0.4">
      <c r="A137" s="4" t="s">
        <v>660</v>
      </c>
      <c r="B137" s="4" t="s">
        <v>513</v>
      </c>
      <c r="C137" s="7" t="s">
        <v>1784</v>
      </c>
      <c r="D137" s="4" t="s">
        <v>661</v>
      </c>
      <c r="E137" s="4" t="s">
        <v>662</v>
      </c>
      <c r="F137" s="4" t="s">
        <v>663</v>
      </c>
      <c r="G137" s="7" t="str">
        <f>VLOOKUP(A137,[1]done!$A:$I,9,0)</f>
        <v>Grass Seed</v>
      </c>
      <c r="H137" s="7" t="str" cm="1">
        <f t="array" ref="H137">_xlfn.IFS(
OR(ISNUMBER(SEARCH("mouse",E137)),ISNUMBER(SEARCH("rat",E137)),ISNUMBER(SEARCH("mice",E137)),ISNUMBER(SEARCH("rodent",E137))),"Rodent Control",
OR(ISNUMBER(SEARCH("fly",E137)),ISNUMBER(SEARCH("gnat",E137)),ISNUMBER(SEARCH("insect",E137)),ISNUMBER(SEARCH("mosquito",E137))),"Flying Insect Control",
OR(ISNUMBER(SEARCH("roach",E137)),ISNUMBER(SEARCH("ant",E137)),ISNUMBER(SEARCH("spider",E137)),ISNUMBER(SEARCH("cricket",E137)),ISNUMBER(SEARCH("scorpion",E137)),ISNUMBER(SEARCH("centipede",E137)),ISNUMBER(SEARCH("beetle",E137))),"Crawling Insect Control",
OR(ISNUMBER(SEARCH("tree",E137)),ISNUMBER(SEARCH("lantern",E137)),ISNUMBER(SEARCH("garden",E137)),ISNUMBER(SEARCH("plant",E137))),"Garden Pest Control",
OR(ISNUMBER(SEARCH("grass seed",E137)),ISNUMBER(SEARCH("seed mix",E137))),"Grass Seed",
OR(ISNUMBER(SEARCH("lawn food",E137)),ISNUMBER(SEARCH("fertilizer",E137))),"Lawn Fertilizer",
OR(ISNUMBER(SEARCH("patch",E137)),ISNUMBER(SEARCH("repair",E137)),ISNUMBER(SEARCH("thick'r",E137)),ISNUMBER(SEARCH("thick'r lawn",E137)),ISNUMBER(SEARCH("rapid grass",E137))),"Lawn Repair",
OR(ISNUMBER(SEARCH("weed",E137)),ISNUMBER(SEARCH("crabgrass",E137))),"Weed Control",
OR(ISNUMBER(SEARCH("fungicide",E137)),ISNUMBER(SEARCH("moss",E137))),"Disease &amp; Moss Control",
OR(ISNUMBER(SEARCH("plant food",E137)),ISNUMBER(SEARCH("miracid",E137))),"Plant Nutrition",
OR(ISNUMBER(SEARCH("perlite",E137))),"Soil Amendment",
OR(ISNUMBER(SEARCH("spreader",E137)),ISNUMBER(SEARCH("sprayer",E137)),ISNUMBER(SEARCH("mower",E137)),ISNUMBER(SEARCH("sweeper",E137)),ISNUMBER(SEARCH("pruner",E137)),ISNUMBER(SEARCH("trimmer",E137)),ISNUMBER(SEARCH("pole saw",E137))),"Garden Equipment",
TRUE,"Other"
)</f>
        <v>Grass Seed</v>
      </c>
      <c r="I137" s="7" t="str" cm="1">
        <f t="array" ref="I137">_xlfn.IFS(
OR(ISNUMBER(SEARCH("glue trap",E137)),ISNUMBER(SEARCH("glue board",E137))),"Glue Traps",
OR(ISNUMBER(SEARCH("snap trap",E137)),ISNUMBER(SEARCH("power-kill",E137)),ISNUMBER(SEARCH("wide pedal",E137)),ISNUMBER(SEARCH("metal pedal",E137))),"Snap Traps",
OR(ISNUMBER(SEARCH("electronic",E137)),ISNUMBER(SEARCH("zapper",E137))),"Electronic Traps",
OR(ISNUMBER(SEARCH("live catch",E137)),ISNUMBER(SEARCH("multi-catch",E137)),ISNUMBER(SEARCH("catch &amp; hold",E137)),ISNUMBER(SEARCH("tin cat",E137))),"Live Catch Traps",
OR(ISNUMBER(SEARCH("bait",E137)),ISNUMBER(SEARCH("poison",E137))),"Bait &amp; Poison",
ISNUMBER(SEARCH("repellent",E137)),"Repellents",
OR(ISNUMBER(SEARCH("fly trap",E137)),ISNUMBER(SEARCH("fly ribbon",E137)),ISNUMBER(SEARCH("fly stick",E137)),ISNUMBER(SEARCH("window fly",E137)),ISNUMBER(SEARCH("fly magnet",E137))),"Fly Traps",
OR(ISNUMBER(SEARCH("uv",E137)),ISNUMBER(SEARCH("fly light",E137)),ISNUMBER(SEARCH("plug-in",E137))),"UV Fly Traps",
ISNUMBER(SEARCH("roach",E137)),"Roach Traps",
ISNUMBER(SEARCH("ant",E137)),"Ant Traps",
ISNUMBER(SEARCH("spider",E137)),"Spider Traps",
ISNUMBER(SEARCH("mosquito",E137)),"Mosquito Traps",
ISNUMBER(SEARCH("beetle",E137)),"Beetle Traps",
ISNUMBER(SEARCH("lantern",E137)),"Lanternfly Control",
OR(ISNUMBER(SEARCH("tree shield",E137)),ISNUMBER(SEARCH("tree banding",E137)),ISNUMBER(SEARCH("insect barrier",E137))),"Tree Barriers",
OR(ISNUMBER(SEARCH("sun &amp; shade",E137)),ISNUMBER(SEARCH("sun and shade",E137))),"Sun &amp; Shade Mix",
ISNUMBER(SEARCH("tall fescue",E137)),"Tall Fescue",
ISNUMBER(SEARCH("bermudagrass",E137)),"Bermudagrass",
ISNUMBER(SEARCH("kentucky",E137)),"Kentucky Bluegrass",
ISNUMBER(SEARCH("zoysia",E137)),"Zoysia",
ISNUMBER(SEARCH("ryegrass",E137)),"Perennial Ryegrass",
ISNUMBER(SEARCH("centipede",E137)),"Centipede Grass",
ISNUMBER(SEARCH("dense shade",E137)),"Dense Shade Mix",
ISNUMBER(SEARCH("southern gold",E137)),"Southern Gold Mix",
ISNUMBER(SEARCH("heat-tolerant blue",E137)),"Heat-Tolerant Blue Mix",
ISNUMBER(SEARCH("high traffic",E137)),"High Traffic Mix",
ISNUMBER(SEARCH("quick fix",E137)),"Quick Fix Mix",
ISNUMBER(SEARCH("starter",E137)),"Starter Fertilizer",
ISNUMBER(SEARCH("weed &amp; feed",E137)),"Weed &amp; Feed",
ISNUMBER(SEARCH("lawn food",E137)),"Lawn Food",
ISNUMBER(SEARCH("triple action",E137)),"Triple Action Fertilizer",
ISNUMBER(SEARCH("green max",E137)),"Green Max Lawn Food",
ISNUMBER(SEARCH("patchmaster",E137)),"PatchMaster Repair",
ISNUMBER(SEARCH("ez seed",E137)),"EZ Seed Repair",
ISNUMBER(SEARCH("rapid grass",E137)),"Rapid Grass",
ISNUMBER(SEARCH("thick'r lawn",E137)),"Thick'R Lawn",
ISNUMBER(SEARCH("fungicide",E137)),"Fungicide",
ISNUMBER(SEARCH("moss",E137)),"Moss Control",
ISNUMBER(SEARCH("perlite",E137)),"Perlite",
ISNUMBER(SEARCH("plant food",E137)),"Plant Food",
ISNUMBER(SEARCH("spreader",E137)),"Spreader",
ISNUMBER(SEARCH("sprayer",E137)),"Sprayer",
ISNUMBER(SEARCH("mower",E137)),"Lawn Mower",
ISNUMBER(SEARCH("sweeper",E137)),"Lawn Sweeper",
OR(ISNUMBER(SEARCH("pruner",E137)),ISNUMBER(SEARCH("trimmer",E137)),ISNUMBER(SEARCH("pole saw",E137))),"Pruning Tools",
TRUE,"Other"
)</f>
        <v>Kentucky Bluegrass</v>
      </c>
      <c r="J137" s="7" t="str">
        <f t="shared" si="38"/>
        <v>Grass Seed - Kentucky Bluegrass</v>
      </c>
      <c r="K137" s="4">
        <v>1000</v>
      </c>
      <c r="L137" s="4">
        <v>4.2</v>
      </c>
      <c r="M137" s="4">
        <v>5669</v>
      </c>
      <c r="N137" s="4" t="s">
        <v>531</v>
      </c>
      <c r="O137" s="4">
        <f>VLOOKUP(A137,[3]Sheet1!$A:$B,2,0)</f>
        <v>100</v>
      </c>
      <c r="P137" s="4">
        <f>VLOOKUP(A137,[3]Sheet1!$A:$C,3,0)</f>
        <v>100</v>
      </c>
      <c r="Q137" s="4">
        <f>VLOOKUP(A137,[3]Sheet1!$A:$D,4,0)</f>
        <v>1000</v>
      </c>
      <c r="R137" s="4">
        <f>VLOOKUP(A137,[3]Sheet1!$A:$E,5,0)</f>
        <v>3000</v>
      </c>
      <c r="S137" s="4">
        <f>VLOOKUP(A137,[3]Sheet1!$A:$F,6,0)</f>
        <v>3000</v>
      </c>
      <c r="T137" s="4">
        <f>VLOOKUP(A137,[3]Sheet1!$A:$G,7,0)</f>
        <v>1000</v>
      </c>
      <c r="U137" s="4">
        <f>VLOOKUP(A137,[3]Sheet1!$A:$I,8,0)</f>
        <v>1000</v>
      </c>
      <c r="V137" s="4">
        <f>VLOOKUP(A137,[3]Sheet1!$A:$J,9,0)</f>
        <v>1000</v>
      </c>
      <c r="W137" s="4">
        <f>VLOOKUP(A137,[3]Sheet1!$A:$J,10,0)</f>
        <v>1000</v>
      </c>
      <c r="X137" s="4">
        <f>VLOOKUP(A137,[3]Sheet1!$A:$K,11,0)</f>
        <v>1000</v>
      </c>
      <c r="Y137" s="4">
        <f>VLOOKUP(A137,[3]Sheet1!$A:$L,12,0)</f>
        <v>500</v>
      </c>
      <c r="Z137" s="4">
        <f>VLOOKUP(A137,[3]Sheet1!$A:$M,13,0)</f>
        <v>500</v>
      </c>
      <c r="AA137" s="4">
        <f t="shared" si="32"/>
        <v>13200</v>
      </c>
      <c r="AB137" s="7">
        <f t="shared" si="39"/>
        <v>1100</v>
      </c>
      <c r="AC137" s="15">
        <f t="shared" si="33"/>
        <v>1100</v>
      </c>
      <c r="AD137" s="16">
        <f t="shared" si="34"/>
        <v>462659.99999999994</v>
      </c>
      <c r="AE137" s="16">
        <f t="shared" si="35"/>
        <v>38555</v>
      </c>
      <c r="AF137" s="16">
        <v>8.39</v>
      </c>
      <c r="AG137" s="16">
        <v>35.049999999999997</v>
      </c>
      <c r="AH137" s="8">
        <f t="shared" si="36"/>
        <v>0.30866666666666648</v>
      </c>
      <c r="AI137" s="8">
        <f t="shared" si="37"/>
        <v>1.0803333333333325</v>
      </c>
      <c r="AJ137" s="10">
        <v>0.5</v>
      </c>
      <c r="AK137" s="10">
        <v>0.5</v>
      </c>
      <c r="AL137" s="16">
        <v>8.39</v>
      </c>
      <c r="AM137" s="9">
        <f t="shared" si="40"/>
        <v>5.2574999999999994</v>
      </c>
      <c r="AN137" s="9">
        <f t="shared" si="41"/>
        <v>1.0514999999999999</v>
      </c>
      <c r="AO137" s="9">
        <f t="shared" si="42"/>
        <v>7.01</v>
      </c>
      <c r="AP137" s="9">
        <f t="shared" si="43"/>
        <v>0.70099999999999996</v>
      </c>
      <c r="AQ137" s="9">
        <f t="shared" si="44"/>
        <v>7.01</v>
      </c>
      <c r="AR137" s="9">
        <f t="shared" si="45"/>
        <v>8.7624999999999993</v>
      </c>
      <c r="AS137" s="11">
        <f t="shared" si="46"/>
        <v>3.0866666666666647</v>
      </c>
      <c r="AT137" s="12">
        <f t="shared" si="47"/>
        <v>1.9183333333333319</v>
      </c>
    </row>
    <row r="138" spans="1:46" ht="16.5" x14ac:dyDescent="0.4">
      <c r="A138" s="4" t="s">
        <v>664</v>
      </c>
      <c r="B138" s="4" t="s">
        <v>513</v>
      </c>
      <c r="C138" s="7" t="s">
        <v>513</v>
      </c>
      <c r="D138" s="4" t="s">
        <v>665</v>
      </c>
      <c r="E138" s="4" t="s">
        <v>666</v>
      </c>
      <c r="F138" s="4" t="s">
        <v>667</v>
      </c>
      <c r="G138" s="7" t="str">
        <f>VLOOKUP(A138,[1]done!$A:$I,9,0)</f>
        <v>Weed Control</v>
      </c>
      <c r="H138" s="7" t="str" cm="1">
        <f t="array" ref="H138">_xlfn.IFS(
OR(ISNUMBER(SEARCH("mouse",E138)),ISNUMBER(SEARCH("rat",E138)),ISNUMBER(SEARCH("mice",E138)),ISNUMBER(SEARCH("rodent",E138))),"Rodent Control",
OR(ISNUMBER(SEARCH("fly",E138)),ISNUMBER(SEARCH("gnat",E138)),ISNUMBER(SEARCH("insect",E138)),ISNUMBER(SEARCH("mosquito",E138))),"Flying Insect Control",
OR(ISNUMBER(SEARCH("roach",E138)),ISNUMBER(SEARCH("ant",E138)),ISNUMBER(SEARCH("spider",E138)),ISNUMBER(SEARCH("cricket",E138)),ISNUMBER(SEARCH("scorpion",E138)),ISNUMBER(SEARCH("centipede",E138)),ISNUMBER(SEARCH("beetle",E138))),"Crawling Insect Control",
OR(ISNUMBER(SEARCH("tree",E138)),ISNUMBER(SEARCH("lantern",E138)),ISNUMBER(SEARCH("garden",E138)),ISNUMBER(SEARCH("plant",E138))),"Garden Pest Control",
OR(ISNUMBER(SEARCH("grass seed",E138)),ISNUMBER(SEARCH("seed mix",E138))),"Grass Seed",
OR(ISNUMBER(SEARCH("lawn food",E138)),ISNUMBER(SEARCH("fertilizer",E138))),"Lawn Fertilizer",
OR(ISNUMBER(SEARCH("patch",E138)),ISNUMBER(SEARCH("repair",E138)),ISNUMBER(SEARCH("thick'r",E138)),ISNUMBER(SEARCH("thick'r lawn",E138)),ISNUMBER(SEARCH("rapid grass",E138))),"Lawn Repair",
OR(ISNUMBER(SEARCH("weed",E138)),ISNUMBER(SEARCH("crabgrass",E138))),"Weed Control",
OR(ISNUMBER(SEARCH("fungicide",E138)),ISNUMBER(SEARCH("moss",E138))),"Disease &amp; Moss Control",
OR(ISNUMBER(SEARCH("plant food",E138)),ISNUMBER(SEARCH("miracid",E138))),"Plant Nutrition",
OR(ISNUMBER(SEARCH("perlite",E138))),"Soil Amendment",
OR(ISNUMBER(SEARCH("spreader",E138)),ISNUMBER(SEARCH("sprayer",E138)),ISNUMBER(SEARCH("mower",E138)),ISNUMBER(SEARCH("sweeper",E138)),ISNUMBER(SEARCH("pruner",E138)),ISNUMBER(SEARCH("trimmer",E138)),ISNUMBER(SEARCH("pole saw",E138))),"Garden Equipment",
TRUE,"Other"
)</f>
        <v>Weed Control</v>
      </c>
      <c r="I138" s="7" t="str" cm="1">
        <f t="array" ref="I138">_xlfn.IFS(
OR(ISNUMBER(SEARCH("glue trap",E138)),ISNUMBER(SEARCH("glue board",E138))),"Glue Traps",
OR(ISNUMBER(SEARCH("snap trap",E138)),ISNUMBER(SEARCH("power-kill",E138)),ISNUMBER(SEARCH("wide pedal",E138)),ISNUMBER(SEARCH("metal pedal",E138))),"Snap Traps",
OR(ISNUMBER(SEARCH("electronic",E138)),ISNUMBER(SEARCH("zapper",E138))),"Electronic Traps",
OR(ISNUMBER(SEARCH("live catch",E138)),ISNUMBER(SEARCH("multi-catch",E138)),ISNUMBER(SEARCH("catch &amp; hold",E138)),ISNUMBER(SEARCH("tin cat",E138))),"Live Catch Traps",
OR(ISNUMBER(SEARCH("bait",E138)),ISNUMBER(SEARCH("poison",E138))),"Bait &amp; Poison",
ISNUMBER(SEARCH("repellent",E138)),"Repellents",
OR(ISNUMBER(SEARCH("fly trap",E138)),ISNUMBER(SEARCH("fly ribbon",E138)),ISNUMBER(SEARCH("fly stick",E138)),ISNUMBER(SEARCH("window fly",E138)),ISNUMBER(SEARCH("fly magnet",E138))),"Fly Traps",
OR(ISNUMBER(SEARCH("uv",E138)),ISNUMBER(SEARCH("fly light",E138)),ISNUMBER(SEARCH("plug-in",E138))),"UV Fly Traps",
ISNUMBER(SEARCH("roach",E138)),"Roach Traps",
ISNUMBER(SEARCH("ant",E138)),"Ant Traps",
ISNUMBER(SEARCH("spider",E138)),"Spider Traps",
ISNUMBER(SEARCH("mosquito",E138)),"Mosquito Traps",
ISNUMBER(SEARCH("beetle",E138)),"Beetle Traps",
ISNUMBER(SEARCH("lantern",E138)),"Lanternfly Control",
OR(ISNUMBER(SEARCH("tree shield",E138)),ISNUMBER(SEARCH("tree banding",E138)),ISNUMBER(SEARCH("insect barrier",E138))),"Tree Barriers",
OR(ISNUMBER(SEARCH("sun &amp; shade",E138)),ISNUMBER(SEARCH("sun and shade",E138))),"Sun &amp; Shade Mix",
ISNUMBER(SEARCH("tall fescue",E138)),"Tall Fescue",
ISNUMBER(SEARCH("bermudagrass",E138)),"Bermudagrass",
ISNUMBER(SEARCH("kentucky",E138)),"Kentucky Bluegrass",
ISNUMBER(SEARCH("zoysia",E138)),"Zoysia",
ISNUMBER(SEARCH("ryegrass",E138)),"Perennial Ryegrass",
ISNUMBER(SEARCH("centipede",E138)),"Centipede Grass",
ISNUMBER(SEARCH("dense shade",E138)),"Dense Shade Mix",
ISNUMBER(SEARCH("southern gold",E138)),"Southern Gold Mix",
ISNUMBER(SEARCH("heat-tolerant blue",E138)),"Heat-Tolerant Blue Mix",
ISNUMBER(SEARCH("high traffic",E138)),"High Traffic Mix",
ISNUMBER(SEARCH("quick fix",E138)),"Quick Fix Mix",
ISNUMBER(SEARCH("starter",E138)),"Starter Fertilizer",
ISNUMBER(SEARCH("weed &amp; feed",E138)),"Weed &amp; Feed",
ISNUMBER(SEARCH("lawn food",E138)),"Lawn Food",
ISNUMBER(SEARCH("triple action",E138)),"Triple Action Fertilizer",
ISNUMBER(SEARCH("green max",E138)),"Green Max Lawn Food",
ISNUMBER(SEARCH("patchmaster",E138)),"PatchMaster Repair",
ISNUMBER(SEARCH("ez seed",E138)),"EZ Seed Repair",
ISNUMBER(SEARCH("rapid grass",E138)),"Rapid Grass",
ISNUMBER(SEARCH("thick'r lawn",E138)),"Thick'R Lawn",
ISNUMBER(SEARCH("fungicide",E138)),"Fungicide",
ISNUMBER(SEARCH("moss",E138)),"Moss Control",
ISNUMBER(SEARCH("perlite",E138)),"Perlite",
ISNUMBER(SEARCH("plant food",E138)),"Plant Food",
ISNUMBER(SEARCH("spreader",E138)),"Spreader",
ISNUMBER(SEARCH("sprayer",E138)),"Sprayer",
ISNUMBER(SEARCH("mower",E138)),"Lawn Mower",
ISNUMBER(SEARCH("sweeper",E138)),"Lawn Sweeper",
OR(ISNUMBER(SEARCH("pruner",E138)),ISNUMBER(SEARCH("trimmer",E138)),ISNUMBER(SEARCH("pole saw",E138))),"Pruning Tools",
TRUE,"Other"
)</f>
        <v>Other</v>
      </c>
      <c r="J138" s="7" t="str">
        <f t="shared" si="38"/>
        <v>Weed Control - Other</v>
      </c>
      <c r="K138" s="4">
        <v>1000</v>
      </c>
      <c r="L138" s="4">
        <v>4.2</v>
      </c>
      <c r="M138" s="4">
        <v>9625</v>
      </c>
      <c r="N138" s="4" t="s">
        <v>526</v>
      </c>
      <c r="O138" s="4">
        <f>VLOOKUP(A138,[3]Sheet1!$A:$B,2,0)</f>
        <v>0</v>
      </c>
      <c r="P138" s="4">
        <f>VLOOKUP(A138,[3]Sheet1!$A:$C,3,0)</f>
        <v>0</v>
      </c>
      <c r="Q138" s="4">
        <f>VLOOKUP(A138,[3]Sheet1!$A:$D,4,0)</f>
        <v>10000</v>
      </c>
      <c r="R138" s="4">
        <f>VLOOKUP(A138,[3]Sheet1!$A:$E,5,0)</f>
        <v>6000</v>
      </c>
      <c r="S138" s="4">
        <f>VLOOKUP(A138,[3]Sheet1!$A:$F,6,0)</f>
        <v>4000</v>
      </c>
      <c r="T138" s="4">
        <f>VLOOKUP(A138,[3]Sheet1!$A:$G,7,0)</f>
        <v>1000</v>
      </c>
      <c r="U138" s="4">
        <f>VLOOKUP(A138,[3]Sheet1!$A:$I,8,0)</f>
        <v>750</v>
      </c>
      <c r="V138" s="4">
        <f>VLOOKUP(A138,[3]Sheet1!$A:$J,9,0)</f>
        <v>1000</v>
      </c>
      <c r="W138" s="4">
        <f>VLOOKUP(A138,[3]Sheet1!$A:$J,10,0)</f>
        <v>1000</v>
      </c>
      <c r="X138" s="4">
        <f>VLOOKUP(A138,[3]Sheet1!$A:$K,11,0)</f>
        <v>0</v>
      </c>
      <c r="Y138" s="4">
        <f>VLOOKUP(A138,[3]Sheet1!$A:$L,12,0)</f>
        <v>0</v>
      </c>
      <c r="Z138" s="4">
        <f>VLOOKUP(A138,[3]Sheet1!$A:$M,13,0)</f>
        <v>0</v>
      </c>
      <c r="AA138" s="4">
        <f t="shared" si="32"/>
        <v>23750</v>
      </c>
      <c r="AB138" s="7">
        <f t="shared" si="39"/>
        <v>1979</v>
      </c>
      <c r="AC138" s="15">
        <f t="shared" si="33"/>
        <v>1979.1666666666667</v>
      </c>
      <c r="AD138" s="16">
        <f t="shared" si="34"/>
        <v>593037.5</v>
      </c>
      <c r="AE138" s="16">
        <f t="shared" si="35"/>
        <v>49419.791666666664</v>
      </c>
      <c r="AF138" s="16">
        <v>9.6999999999999993</v>
      </c>
      <c r="AG138" s="16">
        <v>24.97</v>
      </c>
      <c r="AH138" s="8">
        <f t="shared" si="36"/>
        <v>-4.7466666666666657E-2</v>
      </c>
      <c r="AI138" s="8">
        <f t="shared" si="37"/>
        <v>-0.16613333333333327</v>
      </c>
      <c r="AJ138" s="10">
        <v>0.5</v>
      </c>
      <c r="AK138" s="10">
        <v>0.5</v>
      </c>
      <c r="AL138" s="16">
        <v>9.6999999999999993</v>
      </c>
      <c r="AM138" s="9">
        <f t="shared" si="40"/>
        <v>3.7454999999999998</v>
      </c>
      <c r="AN138" s="9">
        <f t="shared" si="41"/>
        <v>0.74909999999999999</v>
      </c>
      <c r="AO138" s="9">
        <f t="shared" si="42"/>
        <v>4.9939999999999998</v>
      </c>
      <c r="AP138" s="9">
        <f t="shared" si="43"/>
        <v>0.49940000000000001</v>
      </c>
      <c r="AQ138" s="9">
        <f t="shared" si="44"/>
        <v>4.9939999999999998</v>
      </c>
      <c r="AR138" s="9">
        <f t="shared" si="45"/>
        <v>6.2424999999999997</v>
      </c>
      <c r="AS138" s="11">
        <f t="shared" si="46"/>
        <v>-0.47466666666666651</v>
      </c>
      <c r="AT138" s="12">
        <f t="shared" si="47"/>
        <v>-1.3069999999999997</v>
      </c>
    </row>
    <row r="139" spans="1:46" ht="16.5" x14ac:dyDescent="0.4">
      <c r="A139" s="4" t="s">
        <v>668</v>
      </c>
      <c r="B139" s="4" t="s">
        <v>513</v>
      </c>
      <c r="C139" s="7" t="s">
        <v>1784</v>
      </c>
      <c r="D139" s="4" t="s">
        <v>669</v>
      </c>
      <c r="E139" s="4" t="s">
        <v>670</v>
      </c>
      <c r="F139" s="4" t="s">
        <v>671</v>
      </c>
      <c r="G139" s="7" t="str">
        <f>VLOOKUP(A139,[1]done!$A:$I,9,0)</f>
        <v>Lawn Fertilizer</v>
      </c>
      <c r="H139" s="7" t="str" cm="1">
        <f t="array" ref="H139">_xlfn.IFS(
OR(ISNUMBER(SEARCH("mouse",E139)),ISNUMBER(SEARCH("rat",E139)),ISNUMBER(SEARCH("mice",E139)),ISNUMBER(SEARCH("rodent",E139))),"Rodent Control",
OR(ISNUMBER(SEARCH("fly",E139)),ISNUMBER(SEARCH("gnat",E139)),ISNUMBER(SEARCH("insect",E139)),ISNUMBER(SEARCH("mosquito",E139))),"Flying Insect Control",
OR(ISNUMBER(SEARCH("roach",E139)),ISNUMBER(SEARCH("ant",E139)),ISNUMBER(SEARCH("spider",E139)),ISNUMBER(SEARCH("cricket",E139)),ISNUMBER(SEARCH("scorpion",E139)),ISNUMBER(SEARCH("centipede",E139)),ISNUMBER(SEARCH("beetle",E139))),"Crawling Insect Control",
OR(ISNUMBER(SEARCH("tree",E139)),ISNUMBER(SEARCH("lantern",E139)),ISNUMBER(SEARCH("garden",E139)),ISNUMBER(SEARCH("plant",E139))),"Garden Pest Control",
OR(ISNUMBER(SEARCH("grass seed",E139)),ISNUMBER(SEARCH("seed mix",E139))),"Grass Seed",
OR(ISNUMBER(SEARCH("lawn food",E139)),ISNUMBER(SEARCH("fertilizer",E139))),"Lawn Fertilizer",
OR(ISNUMBER(SEARCH("patch",E139)),ISNUMBER(SEARCH("repair",E139)),ISNUMBER(SEARCH("thick'r",E139)),ISNUMBER(SEARCH("thick'r lawn",E139)),ISNUMBER(SEARCH("rapid grass",E139))),"Lawn Repair",
OR(ISNUMBER(SEARCH("weed",E139)),ISNUMBER(SEARCH("crabgrass",E139))),"Weed Control",
OR(ISNUMBER(SEARCH("fungicide",E139)),ISNUMBER(SEARCH("moss",E139))),"Disease &amp; Moss Control",
OR(ISNUMBER(SEARCH("plant food",E139)),ISNUMBER(SEARCH("miracid",E139))),"Plant Nutrition",
OR(ISNUMBER(SEARCH("perlite",E139))),"Soil Amendment",
OR(ISNUMBER(SEARCH("spreader",E139)),ISNUMBER(SEARCH("sprayer",E139)),ISNUMBER(SEARCH("mower",E139)),ISNUMBER(SEARCH("sweeper",E139)),ISNUMBER(SEARCH("pruner",E139)),ISNUMBER(SEARCH("trimmer",E139)),ISNUMBER(SEARCH("pole saw",E139))),"Garden Equipment",
TRUE,"Other"
)</f>
        <v>Lawn Repair</v>
      </c>
      <c r="I139" s="7" t="str" cm="1">
        <f t="array" ref="I139">_xlfn.IFS(
OR(ISNUMBER(SEARCH("glue trap",E139)),ISNUMBER(SEARCH("glue board",E139))),"Glue Traps",
OR(ISNUMBER(SEARCH("snap trap",E139)),ISNUMBER(SEARCH("power-kill",E139)),ISNUMBER(SEARCH("wide pedal",E139)),ISNUMBER(SEARCH("metal pedal",E139))),"Snap Traps",
OR(ISNUMBER(SEARCH("electronic",E139)),ISNUMBER(SEARCH("zapper",E139))),"Electronic Traps",
OR(ISNUMBER(SEARCH("live catch",E139)),ISNUMBER(SEARCH("multi-catch",E139)),ISNUMBER(SEARCH("catch &amp; hold",E139)),ISNUMBER(SEARCH("tin cat",E139))),"Live Catch Traps",
OR(ISNUMBER(SEARCH("bait",E139)),ISNUMBER(SEARCH("poison",E139))),"Bait &amp; Poison",
ISNUMBER(SEARCH("repellent",E139)),"Repellents",
OR(ISNUMBER(SEARCH("fly trap",E139)),ISNUMBER(SEARCH("fly ribbon",E139)),ISNUMBER(SEARCH("fly stick",E139)),ISNUMBER(SEARCH("window fly",E139)),ISNUMBER(SEARCH("fly magnet",E139))),"Fly Traps",
OR(ISNUMBER(SEARCH("uv",E139)),ISNUMBER(SEARCH("fly light",E139)),ISNUMBER(SEARCH("plug-in",E139))),"UV Fly Traps",
ISNUMBER(SEARCH("roach",E139)),"Roach Traps",
ISNUMBER(SEARCH("ant",E139)),"Ant Traps",
ISNUMBER(SEARCH("spider",E139)),"Spider Traps",
ISNUMBER(SEARCH("mosquito",E139)),"Mosquito Traps",
ISNUMBER(SEARCH("beetle",E139)),"Beetle Traps",
ISNUMBER(SEARCH("lantern",E139)),"Lanternfly Control",
OR(ISNUMBER(SEARCH("tree shield",E139)),ISNUMBER(SEARCH("tree banding",E139)),ISNUMBER(SEARCH("insect barrier",E139))),"Tree Barriers",
OR(ISNUMBER(SEARCH("sun &amp; shade",E139)),ISNUMBER(SEARCH("sun and shade",E139))),"Sun &amp; Shade Mix",
ISNUMBER(SEARCH("tall fescue",E139)),"Tall Fescue",
ISNUMBER(SEARCH("bermudagrass",E139)),"Bermudagrass",
ISNUMBER(SEARCH("kentucky",E139)),"Kentucky Bluegrass",
ISNUMBER(SEARCH("zoysia",E139)),"Zoysia",
ISNUMBER(SEARCH("ryegrass",E139)),"Perennial Ryegrass",
ISNUMBER(SEARCH("centipede",E139)),"Centipede Grass",
ISNUMBER(SEARCH("dense shade",E139)),"Dense Shade Mix",
ISNUMBER(SEARCH("southern gold",E139)),"Southern Gold Mix",
ISNUMBER(SEARCH("heat-tolerant blue",E139)),"Heat-Tolerant Blue Mix",
ISNUMBER(SEARCH("high traffic",E139)),"High Traffic Mix",
ISNUMBER(SEARCH("quick fix",E139)),"Quick Fix Mix",
ISNUMBER(SEARCH("starter",E139)),"Starter Fertilizer",
ISNUMBER(SEARCH("weed &amp; feed",E139)),"Weed &amp; Feed",
ISNUMBER(SEARCH("lawn food",E139)),"Lawn Food",
ISNUMBER(SEARCH("triple action",E139)),"Triple Action Fertilizer",
ISNUMBER(SEARCH("green max",E139)),"Green Max Lawn Food",
ISNUMBER(SEARCH("patchmaster",E139)),"PatchMaster Repair",
ISNUMBER(SEARCH("ez seed",E139)),"EZ Seed Repair",
ISNUMBER(SEARCH("rapid grass",E139)),"Rapid Grass",
ISNUMBER(SEARCH("thick'r lawn",E139)),"Thick'R Lawn",
ISNUMBER(SEARCH("fungicide",E139)),"Fungicide",
ISNUMBER(SEARCH("moss",E139)),"Moss Control",
ISNUMBER(SEARCH("perlite",E139)),"Perlite",
ISNUMBER(SEARCH("plant food",E139)),"Plant Food",
ISNUMBER(SEARCH("spreader",E139)),"Spreader",
ISNUMBER(SEARCH("sprayer",E139)),"Sprayer",
ISNUMBER(SEARCH("mower",E139)),"Lawn Mower",
ISNUMBER(SEARCH("sweeper",E139)),"Lawn Sweeper",
OR(ISNUMBER(SEARCH("pruner",E139)),ISNUMBER(SEARCH("trimmer",E139)),ISNUMBER(SEARCH("pole saw",E139))),"Pruning Tools",
TRUE,"Other"
)</f>
        <v>Sun &amp; Shade Mix</v>
      </c>
      <c r="J139" s="7" t="str">
        <f t="shared" si="38"/>
        <v>Lawn Repair - Sun &amp; Shade Mix</v>
      </c>
      <c r="K139" s="4">
        <v>1000</v>
      </c>
      <c r="L139" s="4">
        <v>4.2</v>
      </c>
      <c r="M139" s="4">
        <v>9550</v>
      </c>
      <c r="N139" s="4" t="s">
        <v>672</v>
      </c>
      <c r="O139" s="4">
        <f>VLOOKUP(A139,[3]Sheet1!$A:$B,2,0)</f>
        <v>0</v>
      </c>
      <c r="P139" s="4">
        <f>VLOOKUP(A139,[3]Sheet1!$A:$C,3,0)</f>
        <v>50</v>
      </c>
      <c r="Q139" s="4">
        <f>VLOOKUP(A139,[3]Sheet1!$A:$D,4,0)</f>
        <v>200</v>
      </c>
      <c r="R139" s="4">
        <f>VLOOKUP(A139,[3]Sheet1!$A:$E,5,0)</f>
        <v>700</v>
      </c>
      <c r="S139" s="4">
        <f>VLOOKUP(A139,[3]Sheet1!$A:$F,6,0)</f>
        <v>900</v>
      </c>
      <c r="T139" s="4">
        <f>VLOOKUP(A139,[3]Sheet1!$A:$G,7,0)</f>
        <v>700</v>
      </c>
      <c r="U139" s="4">
        <f>VLOOKUP(A139,[3]Sheet1!$A:$I,8,0)</f>
        <v>900</v>
      </c>
      <c r="V139" s="4">
        <f>VLOOKUP(A139,[3]Sheet1!$A:$J,9,0)</f>
        <v>700</v>
      </c>
      <c r="W139" s="4">
        <f>VLOOKUP(A139,[3]Sheet1!$A:$J,10,0)</f>
        <v>900</v>
      </c>
      <c r="X139" s="4">
        <f>VLOOKUP(A139,[3]Sheet1!$A:$K,11,0)</f>
        <v>0</v>
      </c>
      <c r="Y139" s="4">
        <f>VLOOKUP(A139,[3]Sheet1!$A:$L,12,0)</f>
        <v>0</v>
      </c>
      <c r="Z139" s="4">
        <f>VLOOKUP(A139,[3]Sheet1!$A:$M,13,0)</f>
        <v>0</v>
      </c>
      <c r="AA139" s="4">
        <f t="shared" si="32"/>
        <v>5050</v>
      </c>
      <c r="AB139" s="7">
        <f t="shared" si="39"/>
        <v>421</v>
      </c>
      <c r="AC139" s="15">
        <f t="shared" si="33"/>
        <v>420.83333333333331</v>
      </c>
      <c r="AD139" s="16">
        <f t="shared" si="34"/>
        <v>100848.5</v>
      </c>
      <c r="AE139" s="16">
        <f t="shared" si="35"/>
        <v>8404.0416666666661</v>
      </c>
      <c r="AF139" s="16">
        <v>6.31</v>
      </c>
      <c r="AG139" s="16">
        <v>19.97</v>
      </c>
      <c r="AH139" s="8">
        <f t="shared" si="36"/>
        <v>4.5199999999999997E-2</v>
      </c>
      <c r="AI139" s="8">
        <f t="shared" si="37"/>
        <v>0.15819999999999998</v>
      </c>
      <c r="AJ139" s="10">
        <v>0.5</v>
      </c>
      <c r="AK139" s="10">
        <v>0.5</v>
      </c>
      <c r="AL139" s="16">
        <v>6.31</v>
      </c>
      <c r="AM139" s="9">
        <f t="shared" si="40"/>
        <v>2.9954999999999998</v>
      </c>
      <c r="AN139" s="9">
        <f t="shared" si="41"/>
        <v>0.59909999999999997</v>
      </c>
      <c r="AO139" s="9">
        <f t="shared" si="42"/>
        <v>3.9939999999999998</v>
      </c>
      <c r="AP139" s="9">
        <f t="shared" si="43"/>
        <v>0.39939999999999998</v>
      </c>
      <c r="AQ139" s="9">
        <f t="shared" si="44"/>
        <v>3.9939999999999998</v>
      </c>
      <c r="AR139" s="9">
        <f t="shared" si="45"/>
        <v>4.9924999999999997</v>
      </c>
      <c r="AS139" s="11">
        <f t="shared" si="46"/>
        <v>0.45199999999999996</v>
      </c>
      <c r="AT139" s="12">
        <f t="shared" si="47"/>
        <v>-0.21366666666666667</v>
      </c>
    </row>
    <row r="140" spans="1:46" ht="16.5" x14ac:dyDescent="0.4">
      <c r="A140" s="4" t="s">
        <v>673</v>
      </c>
      <c r="B140" s="4" t="s">
        <v>513</v>
      </c>
      <c r="C140" s="7" t="s">
        <v>1784</v>
      </c>
      <c r="D140" s="4" t="s">
        <v>674</v>
      </c>
      <c r="E140" s="4" t="s">
        <v>675</v>
      </c>
      <c r="F140" s="4" t="s">
        <v>676</v>
      </c>
      <c r="G140" s="7" t="str">
        <f>VLOOKUP(A140,[1]done!$A:$I,9,0)</f>
        <v>Lawn Fertilizer</v>
      </c>
      <c r="H140" s="7" t="str" cm="1">
        <f t="array" ref="H140">_xlfn.IFS(
OR(ISNUMBER(SEARCH("mouse",E140)),ISNUMBER(SEARCH("rat",E140)),ISNUMBER(SEARCH("mice",E140)),ISNUMBER(SEARCH("rodent",E140))),"Rodent Control",
OR(ISNUMBER(SEARCH("fly",E140)),ISNUMBER(SEARCH("gnat",E140)),ISNUMBER(SEARCH("insect",E140)),ISNUMBER(SEARCH("mosquito",E140))),"Flying Insect Control",
OR(ISNUMBER(SEARCH("roach",E140)),ISNUMBER(SEARCH("ant",E140)),ISNUMBER(SEARCH("spider",E140)),ISNUMBER(SEARCH("cricket",E140)),ISNUMBER(SEARCH("scorpion",E140)),ISNUMBER(SEARCH("centipede",E140)),ISNUMBER(SEARCH("beetle",E140))),"Crawling Insect Control",
OR(ISNUMBER(SEARCH("tree",E140)),ISNUMBER(SEARCH("lantern",E140)),ISNUMBER(SEARCH("garden",E140)),ISNUMBER(SEARCH("plant",E140))),"Garden Pest Control",
OR(ISNUMBER(SEARCH("grass seed",E140)),ISNUMBER(SEARCH("seed mix",E140))),"Grass Seed",
OR(ISNUMBER(SEARCH("lawn food",E140)),ISNUMBER(SEARCH("fertilizer",E140))),"Lawn Fertilizer",
OR(ISNUMBER(SEARCH("patch",E140)),ISNUMBER(SEARCH("repair",E140)),ISNUMBER(SEARCH("thick'r",E140)),ISNUMBER(SEARCH("thick'r lawn",E140)),ISNUMBER(SEARCH("rapid grass",E140))),"Lawn Repair",
OR(ISNUMBER(SEARCH("weed",E140)),ISNUMBER(SEARCH("crabgrass",E140))),"Weed Control",
OR(ISNUMBER(SEARCH("fungicide",E140)),ISNUMBER(SEARCH("moss",E140))),"Disease &amp; Moss Control",
OR(ISNUMBER(SEARCH("plant food",E140)),ISNUMBER(SEARCH("miracid",E140))),"Plant Nutrition",
OR(ISNUMBER(SEARCH("perlite",E140))),"Soil Amendment",
OR(ISNUMBER(SEARCH("spreader",E140)),ISNUMBER(SEARCH("sprayer",E140)),ISNUMBER(SEARCH("mower",E140)),ISNUMBER(SEARCH("sweeper",E140)),ISNUMBER(SEARCH("pruner",E140)),ISNUMBER(SEARCH("trimmer",E140)),ISNUMBER(SEARCH("pole saw",E140))),"Garden Equipment",
TRUE,"Other"
)</f>
        <v>Other</v>
      </c>
      <c r="I140" s="7" t="str" cm="1">
        <f t="array" ref="I140">_xlfn.IFS(
OR(ISNUMBER(SEARCH("glue trap",E140)),ISNUMBER(SEARCH("glue board",E140))),"Glue Traps",
OR(ISNUMBER(SEARCH("snap trap",E140)),ISNUMBER(SEARCH("power-kill",E140)),ISNUMBER(SEARCH("wide pedal",E140)),ISNUMBER(SEARCH("metal pedal",E140))),"Snap Traps",
OR(ISNUMBER(SEARCH("electronic",E140)),ISNUMBER(SEARCH("zapper",E140))),"Electronic Traps",
OR(ISNUMBER(SEARCH("live catch",E140)),ISNUMBER(SEARCH("multi-catch",E140)),ISNUMBER(SEARCH("catch &amp; hold",E140)),ISNUMBER(SEARCH("tin cat",E140))),"Live Catch Traps",
OR(ISNUMBER(SEARCH("bait",E140)),ISNUMBER(SEARCH("poison",E140))),"Bait &amp; Poison",
ISNUMBER(SEARCH("repellent",E140)),"Repellents",
OR(ISNUMBER(SEARCH("fly trap",E140)),ISNUMBER(SEARCH("fly ribbon",E140)),ISNUMBER(SEARCH("fly stick",E140)),ISNUMBER(SEARCH("window fly",E140)),ISNUMBER(SEARCH("fly magnet",E140))),"Fly Traps",
OR(ISNUMBER(SEARCH("uv",E140)),ISNUMBER(SEARCH("fly light",E140)),ISNUMBER(SEARCH("plug-in",E140))),"UV Fly Traps",
ISNUMBER(SEARCH("roach",E140)),"Roach Traps",
ISNUMBER(SEARCH("ant",E140)),"Ant Traps",
ISNUMBER(SEARCH("spider",E140)),"Spider Traps",
ISNUMBER(SEARCH("mosquito",E140)),"Mosquito Traps",
ISNUMBER(SEARCH("beetle",E140)),"Beetle Traps",
ISNUMBER(SEARCH("lantern",E140)),"Lanternfly Control",
OR(ISNUMBER(SEARCH("tree shield",E140)),ISNUMBER(SEARCH("tree banding",E140)),ISNUMBER(SEARCH("insect barrier",E140))),"Tree Barriers",
OR(ISNUMBER(SEARCH("sun &amp; shade",E140)),ISNUMBER(SEARCH("sun and shade",E140))),"Sun &amp; Shade Mix",
ISNUMBER(SEARCH("tall fescue",E140)),"Tall Fescue",
ISNUMBER(SEARCH("bermudagrass",E140)),"Bermudagrass",
ISNUMBER(SEARCH("kentucky",E140)),"Kentucky Bluegrass",
ISNUMBER(SEARCH("zoysia",E140)),"Zoysia",
ISNUMBER(SEARCH("ryegrass",E140)),"Perennial Ryegrass",
ISNUMBER(SEARCH("centipede",E140)),"Centipede Grass",
ISNUMBER(SEARCH("dense shade",E140)),"Dense Shade Mix",
ISNUMBER(SEARCH("southern gold",E140)),"Southern Gold Mix",
ISNUMBER(SEARCH("heat-tolerant blue",E140)),"Heat-Tolerant Blue Mix",
ISNUMBER(SEARCH("high traffic",E140)),"High Traffic Mix",
ISNUMBER(SEARCH("quick fix",E140)),"Quick Fix Mix",
ISNUMBER(SEARCH("starter",E140)),"Starter Fertilizer",
ISNUMBER(SEARCH("weed &amp; feed",E140)),"Weed &amp; Feed",
ISNUMBER(SEARCH("lawn food",E140)),"Lawn Food",
ISNUMBER(SEARCH("triple action",E140)),"Triple Action Fertilizer",
ISNUMBER(SEARCH("green max",E140)),"Green Max Lawn Food",
ISNUMBER(SEARCH("patchmaster",E140)),"PatchMaster Repair",
ISNUMBER(SEARCH("ez seed",E140)),"EZ Seed Repair",
ISNUMBER(SEARCH("rapid grass",E140)),"Rapid Grass",
ISNUMBER(SEARCH("thick'r lawn",E140)),"Thick'R Lawn",
ISNUMBER(SEARCH("fungicide",E140)),"Fungicide",
ISNUMBER(SEARCH("moss",E140)),"Moss Control",
ISNUMBER(SEARCH("perlite",E140)),"Perlite",
ISNUMBER(SEARCH("plant food",E140)),"Plant Food",
ISNUMBER(SEARCH("spreader",E140)),"Spreader",
ISNUMBER(SEARCH("sprayer",E140)),"Sprayer",
ISNUMBER(SEARCH("mower",E140)),"Lawn Mower",
ISNUMBER(SEARCH("sweeper",E140)),"Lawn Sweeper",
OR(ISNUMBER(SEARCH("pruner",E140)),ISNUMBER(SEARCH("trimmer",E140)),ISNUMBER(SEARCH("pole saw",E140))),"Pruning Tools",
TRUE,"Other"
)</f>
        <v>Triple Action Fertilizer</v>
      </c>
      <c r="J140" s="7" t="str">
        <f t="shared" si="38"/>
        <v>Other - Triple Action Fertilizer</v>
      </c>
      <c r="K140" s="4">
        <v>1000</v>
      </c>
      <c r="L140" s="4">
        <v>4.3</v>
      </c>
      <c r="M140" s="4">
        <v>2405</v>
      </c>
      <c r="N140" s="4" t="s">
        <v>536</v>
      </c>
      <c r="O140" s="4">
        <f>VLOOKUP(A140,[3]Sheet1!$A:$B,2,0)</f>
        <v>100</v>
      </c>
      <c r="P140" s="4">
        <f>VLOOKUP(A140,[3]Sheet1!$A:$C,3,0)</f>
        <v>100</v>
      </c>
      <c r="Q140" s="4">
        <f>VLOOKUP(A140,[3]Sheet1!$A:$D,4,0)</f>
        <v>1000</v>
      </c>
      <c r="R140" s="4">
        <f>VLOOKUP(A140,[3]Sheet1!$A:$E,5,0)</f>
        <v>4000</v>
      </c>
      <c r="S140" s="4">
        <f>VLOOKUP(A140,[3]Sheet1!$A:$F,6,0)</f>
        <v>3000</v>
      </c>
      <c r="T140" s="4">
        <f>VLOOKUP(A140,[3]Sheet1!$A:$G,7,0)</f>
        <v>1000</v>
      </c>
      <c r="U140" s="4">
        <f>VLOOKUP(A140,[3]Sheet1!$A:$I,8,0)</f>
        <v>400</v>
      </c>
      <c r="V140" s="4">
        <f>VLOOKUP(A140,[3]Sheet1!$A:$J,9,0)</f>
        <v>400</v>
      </c>
      <c r="W140" s="4">
        <f>VLOOKUP(A140,[3]Sheet1!$A:$J,10,0)</f>
        <v>1000</v>
      </c>
      <c r="X140" s="4">
        <f>VLOOKUP(A140,[3]Sheet1!$A:$K,11,0)</f>
        <v>900</v>
      </c>
      <c r="Y140" s="4">
        <f>VLOOKUP(A140,[3]Sheet1!$A:$L,12,0)</f>
        <v>100</v>
      </c>
      <c r="Z140" s="4">
        <f>VLOOKUP(A140,[3]Sheet1!$A:$M,13,0)</f>
        <v>100</v>
      </c>
      <c r="AA140" s="4">
        <f t="shared" si="32"/>
        <v>12100</v>
      </c>
      <c r="AB140" s="7">
        <f t="shared" si="39"/>
        <v>1008</v>
      </c>
      <c r="AC140" s="15">
        <f t="shared" si="33"/>
        <v>1008.3333333333334</v>
      </c>
      <c r="AD140" s="16">
        <f t="shared" si="34"/>
        <v>586729</v>
      </c>
      <c r="AE140" s="16">
        <f t="shared" si="35"/>
        <v>48894.083333333336</v>
      </c>
      <c r="AF140" s="16">
        <v>16.18</v>
      </c>
      <c r="AG140" s="16">
        <v>48.49</v>
      </c>
      <c r="AH140" s="8">
        <f t="shared" si="36"/>
        <v>0.14773333333333341</v>
      </c>
      <c r="AI140" s="8">
        <f t="shared" si="37"/>
        <v>0.5170666666666669</v>
      </c>
      <c r="AJ140" s="10">
        <v>0.5</v>
      </c>
      <c r="AK140" s="10">
        <v>0.5</v>
      </c>
      <c r="AL140" s="16">
        <v>16.18</v>
      </c>
      <c r="AM140" s="9">
        <f t="shared" si="40"/>
        <v>7.2735000000000003</v>
      </c>
      <c r="AN140" s="9">
        <f t="shared" si="41"/>
        <v>1.4547000000000001</v>
      </c>
      <c r="AO140" s="9">
        <f t="shared" si="42"/>
        <v>9.6980000000000004</v>
      </c>
      <c r="AP140" s="9">
        <f t="shared" si="43"/>
        <v>0.96980000000000011</v>
      </c>
      <c r="AQ140" s="9">
        <f t="shared" si="44"/>
        <v>9.6980000000000004</v>
      </c>
      <c r="AR140" s="9">
        <f t="shared" si="45"/>
        <v>12.1225</v>
      </c>
      <c r="AS140" s="11">
        <f t="shared" si="46"/>
        <v>1.4773333333333341</v>
      </c>
      <c r="AT140" s="12">
        <f t="shared" si="47"/>
        <v>-0.13899999999999935</v>
      </c>
    </row>
    <row r="141" spans="1:46" ht="16.5" x14ac:dyDescent="0.4">
      <c r="A141" s="4" t="s">
        <v>677</v>
      </c>
      <c r="B141" s="4" t="s">
        <v>513</v>
      </c>
      <c r="C141" s="7" t="s">
        <v>513</v>
      </c>
      <c r="D141" s="4" t="s">
        <v>678</v>
      </c>
      <c r="E141" s="4" t="s">
        <v>679</v>
      </c>
      <c r="F141" s="4" t="s">
        <v>680</v>
      </c>
      <c r="G141" s="7" t="str">
        <f>VLOOKUP(A141,[1]done!$A:$I,9,0)</f>
        <v>Lawn Fertilizer</v>
      </c>
      <c r="H141" s="7" t="str" cm="1">
        <f t="array" ref="H141">_xlfn.IFS(
OR(ISNUMBER(SEARCH("mouse",E141)),ISNUMBER(SEARCH("rat",E141)),ISNUMBER(SEARCH("mice",E141)),ISNUMBER(SEARCH("rodent",E141))),"Rodent Control",
OR(ISNUMBER(SEARCH("fly",E141)),ISNUMBER(SEARCH("gnat",E141)),ISNUMBER(SEARCH("insect",E141)),ISNUMBER(SEARCH("mosquito",E141))),"Flying Insect Control",
OR(ISNUMBER(SEARCH("roach",E141)),ISNUMBER(SEARCH("ant",E141)),ISNUMBER(SEARCH("spider",E141)),ISNUMBER(SEARCH("cricket",E141)),ISNUMBER(SEARCH("scorpion",E141)),ISNUMBER(SEARCH("centipede",E141)),ISNUMBER(SEARCH("beetle",E141))),"Crawling Insect Control",
OR(ISNUMBER(SEARCH("tree",E141)),ISNUMBER(SEARCH("lantern",E141)),ISNUMBER(SEARCH("garden",E141)),ISNUMBER(SEARCH("plant",E141))),"Garden Pest Control",
OR(ISNUMBER(SEARCH("grass seed",E141)),ISNUMBER(SEARCH("seed mix",E141))),"Grass Seed",
OR(ISNUMBER(SEARCH("lawn food",E141)),ISNUMBER(SEARCH("fertilizer",E141))),"Lawn Fertilizer",
OR(ISNUMBER(SEARCH("patch",E141)),ISNUMBER(SEARCH("repair",E141)),ISNUMBER(SEARCH("thick'r",E141)),ISNUMBER(SEARCH("thick'r lawn",E141)),ISNUMBER(SEARCH("rapid grass",E141))),"Lawn Repair",
OR(ISNUMBER(SEARCH("weed",E141)),ISNUMBER(SEARCH("crabgrass",E141))),"Weed Control",
OR(ISNUMBER(SEARCH("fungicide",E141)),ISNUMBER(SEARCH("moss",E141))),"Disease &amp; Moss Control",
OR(ISNUMBER(SEARCH("plant food",E141)),ISNUMBER(SEARCH("miracid",E141))),"Plant Nutrition",
OR(ISNUMBER(SEARCH("perlite",E141))),"Soil Amendment",
OR(ISNUMBER(SEARCH("spreader",E141)),ISNUMBER(SEARCH("sprayer",E141)),ISNUMBER(SEARCH("mower",E141)),ISNUMBER(SEARCH("sweeper",E141)),ISNUMBER(SEARCH("pruner",E141)),ISNUMBER(SEARCH("trimmer",E141)),ISNUMBER(SEARCH("pole saw",E141))),"Garden Equipment",
TRUE,"Other"
)</f>
        <v>Weed Control</v>
      </c>
      <c r="I141" s="7" t="str" cm="1">
        <f t="array" ref="I141">_xlfn.IFS(
OR(ISNUMBER(SEARCH("glue trap",E141)),ISNUMBER(SEARCH("glue board",E141))),"Glue Traps",
OR(ISNUMBER(SEARCH("snap trap",E141)),ISNUMBER(SEARCH("power-kill",E141)),ISNUMBER(SEARCH("wide pedal",E141)),ISNUMBER(SEARCH("metal pedal",E141))),"Snap Traps",
OR(ISNUMBER(SEARCH("electronic",E141)),ISNUMBER(SEARCH("zapper",E141))),"Electronic Traps",
OR(ISNUMBER(SEARCH("live catch",E141)),ISNUMBER(SEARCH("multi-catch",E141)),ISNUMBER(SEARCH("catch &amp; hold",E141)),ISNUMBER(SEARCH("tin cat",E141))),"Live Catch Traps",
OR(ISNUMBER(SEARCH("bait",E141)),ISNUMBER(SEARCH("poison",E141))),"Bait &amp; Poison",
ISNUMBER(SEARCH("repellent",E141)),"Repellents",
OR(ISNUMBER(SEARCH("fly trap",E141)),ISNUMBER(SEARCH("fly ribbon",E141)),ISNUMBER(SEARCH("fly stick",E141)),ISNUMBER(SEARCH("window fly",E141)),ISNUMBER(SEARCH("fly magnet",E141))),"Fly Traps",
OR(ISNUMBER(SEARCH("uv",E141)),ISNUMBER(SEARCH("fly light",E141)),ISNUMBER(SEARCH("plug-in",E141))),"UV Fly Traps",
ISNUMBER(SEARCH("roach",E141)),"Roach Traps",
ISNUMBER(SEARCH("ant",E141)),"Ant Traps",
ISNUMBER(SEARCH("spider",E141)),"Spider Traps",
ISNUMBER(SEARCH("mosquito",E141)),"Mosquito Traps",
ISNUMBER(SEARCH("beetle",E141)),"Beetle Traps",
ISNUMBER(SEARCH("lantern",E141)),"Lanternfly Control",
OR(ISNUMBER(SEARCH("tree shield",E141)),ISNUMBER(SEARCH("tree banding",E141)),ISNUMBER(SEARCH("insect barrier",E141))),"Tree Barriers",
OR(ISNUMBER(SEARCH("sun &amp; shade",E141)),ISNUMBER(SEARCH("sun and shade",E141))),"Sun &amp; Shade Mix",
ISNUMBER(SEARCH("tall fescue",E141)),"Tall Fescue",
ISNUMBER(SEARCH("bermudagrass",E141)),"Bermudagrass",
ISNUMBER(SEARCH("kentucky",E141)),"Kentucky Bluegrass",
ISNUMBER(SEARCH("zoysia",E141)),"Zoysia",
ISNUMBER(SEARCH("ryegrass",E141)),"Perennial Ryegrass",
ISNUMBER(SEARCH("centipede",E141)),"Centipede Grass",
ISNUMBER(SEARCH("dense shade",E141)),"Dense Shade Mix",
ISNUMBER(SEARCH("southern gold",E141)),"Southern Gold Mix",
ISNUMBER(SEARCH("heat-tolerant blue",E141)),"Heat-Tolerant Blue Mix",
ISNUMBER(SEARCH("high traffic",E141)),"High Traffic Mix",
ISNUMBER(SEARCH("quick fix",E141)),"Quick Fix Mix",
ISNUMBER(SEARCH("starter",E141)),"Starter Fertilizer",
ISNUMBER(SEARCH("weed &amp; feed",E141)),"Weed &amp; Feed",
ISNUMBER(SEARCH("lawn food",E141)),"Lawn Food",
ISNUMBER(SEARCH("triple action",E141)),"Triple Action Fertilizer",
ISNUMBER(SEARCH("green max",E141)),"Green Max Lawn Food",
ISNUMBER(SEARCH("patchmaster",E141)),"PatchMaster Repair",
ISNUMBER(SEARCH("ez seed",E141)),"EZ Seed Repair",
ISNUMBER(SEARCH("rapid grass",E141)),"Rapid Grass",
ISNUMBER(SEARCH("thick'r lawn",E141)),"Thick'R Lawn",
ISNUMBER(SEARCH("fungicide",E141)),"Fungicide",
ISNUMBER(SEARCH("moss",E141)),"Moss Control",
ISNUMBER(SEARCH("perlite",E141)),"Perlite",
ISNUMBER(SEARCH("plant food",E141)),"Plant Food",
ISNUMBER(SEARCH("spreader",E141)),"Spreader",
ISNUMBER(SEARCH("sprayer",E141)),"Sprayer",
ISNUMBER(SEARCH("mower",E141)),"Lawn Mower",
ISNUMBER(SEARCH("sweeper",E141)),"Lawn Sweeper",
OR(ISNUMBER(SEARCH("pruner",E141)),ISNUMBER(SEARCH("trimmer",E141)),ISNUMBER(SEARCH("pole saw",E141))),"Pruning Tools",
TRUE,"Other"
)</f>
        <v>Weed &amp; Feed</v>
      </c>
      <c r="J141" s="7" t="str">
        <f t="shared" si="38"/>
        <v>Weed Control - Weed &amp; Feed</v>
      </c>
      <c r="K141" s="4">
        <v>1000</v>
      </c>
      <c r="L141" s="4">
        <v>4.5999999999999996</v>
      </c>
      <c r="M141" s="4">
        <v>177</v>
      </c>
      <c r="N141" s="4" t="s">
        <v>681</v>
      </c>
      <c r="O141" s="4">
        <f>VLOOKUP(A141,[3]Sheet1!$A:$B,2,0)</f>
        <v>50</v>
      </c>
      <c r="P141" s="4">
        <f>VLOOKUP(A141,[3]Sheet1!$A:$C,3,0)</f>
        <v>50</v>
      </c>
      <c r="Q141" s="4">
        <f>VLOOKUP(A141,[3]Sheet1!$A:$D,4,0)</f>
        <v>50</v>
      </c>
      <c r="R141" s="4">
        <f>VLOOKUP(A141,[3]Sheet1!$A:$E,5,0)</f>
        <v>0</v>
      </c>
      <c r="S141" s="4">
        <f>VLOOKUP(A141,[3]Sheet1!$A:$F,6,0)</f>
        <v>0</v>
      </c>
      <c r="T141" s="4">
        <f>VLOOKUP(A141,[3]Sheet1!$A:$G,7,0)</f>
        <v>0</v>
      </c>
      <c r="U141" s="4">
        <f>VLOOKUP(A141,[3]Sheet1!$A:$I,8,0)</f>
        <v>0</v>
      </c>
      <c r="V141" s="4">
        <f>VLOOKUP(A141,[3]Sheet1!$A:$J,9,0)</f>
        <v>100</v>
      </c>
      <c r="W141" s="4">
        <f>VLOOKUP(A141,[3]Sheet1!$A:$J,10,0)</f>
        <v>1000</v>
      </c>
      <c r="X141" s="4">
        <f>VLOOKUP(A141,[3]Sheet1!$A:$K,11,0)</f>
        <v>1000</v>
      </c>
      <c r="Y141" s="4">
        <f>VLOOKUP(A141,[3]Sheet1!$A:$L,12,0)</f>
        <v>1000</v>
      </c>
      <c r="Z141" s="4">
        <f>VLOOKUP(A141,[3]Sheet1!$A:$M,13,0)</f>
        <v>100</v>
      </c>
      <c r="AA141" s="4">
        <f t="shared" si="32"/>
        <v>3350</v>
      </c>
      <c r="AB141" s="7">
        <f t="shared" si="39"/>
        <v>279</v>
      </c>
      <c r="AC141" s="15">
        <f t="shared" si="33"/>
        <v>279.16666666666669</v>
      </c>
      <c r="AD141" s="16">
        <f t="shared" si="34"/>
        <v>108741</v>
      </c>
      <c r="AE141" s="16">
        <f t="shared" si="35"/>
        <v>9061.75</v>
      </c>
      <c r="AF141" s="16">
        <v>10.029999999999999</v>
      </c>
      <c r="AG141" s="16">
        <v>32.46</v>
      </c>
      <c r="AH141" s="8">
        <f t="shared" si="36"/>
        <v>0.13026666666666661</v>
      </c>
      <c r="AI141" s="8">
        <f t="shared" si="37"/>
        <v>0.45593333333333308</v>
      </c>
      <c r="AJ141" s="10">
        <v>0.5</v>
      </c>
      <c r="AK141" s="10">
        <v>0.5</v>
      </c>
      <c r="AL141" s="16">
        <v>10.029999999999999</v>
      </c>
      <c r="AM141" s="9">
        <f t="shared" si="40"/>
        <v>4.8689999999999998</v>
      </c>
      <c r="AN141" s="9">
        <f t="shared" si="41"/>
        <v>0.9738</v>
      </c>
      <c r="AO141" s="9">
        <f t="shared" si="42"/>
        <v>6.4920000000000009</v>
      </c>
      <c r="AP141" s="9">
        <f t="shared" si="43"/>
        <v>0.6492</v>
      </c>
      <c r="AQ141" s="9">
        <f t="shared" si="44"/>
        <v>6.4920000000000009</v>
      </c>
      <c r="AR141" s="9">
        <f t="shared" si="45"/>
        <v>8.1150000000000002</v>
      </c>
      <c r="AS141" s="11">
        <f t="shared" si="46"/>
        <v>1.302666666666666</v>
      </c>
      <c r="AT141" s="12">
        <f t="shared" si="47"/>
        <v>0.22066666666666634</v>
      </c>
    </row>
    <row r="142" spans="1:46" ht="16.5" x14ac:dyDescent="0.4">
      <c r="A142" s="4" t="s">
        <v>682</v>
      </c>
      <c r="B142" s="4" t="s">
        <v>513</v>
      </c>
      <c r="C142" s="7" t="s">
        <v>1784</v>
      </c>
      <c r="D142" s="4" t="s">
        <v>683</v>
      </c>
      <c r="E142" s="4" t="s">
        <v>684</v>
      </c>
      <c r="F142" s="4" t="s">
        <v>685</v>
      </c>
      <c r="G142" s="7" t="str">
        <f>VLOOKUP(A142,[1]done!$A:$I,9,0)</f>
        <v>Lawn Fertilizer</v>
      </c>
      <c r="H142" s="7" t="str" cm="1">
        <f t="array" ref="H142">_xlfn.IFS(
OR(ISNUMBER(SEARCH("mouse",E142)),ISNUMBER(SEARCH("rat",E142)),ISNUMBER(SEARCH("mice",E142)),ISNUMBER(SEARCH("rodent",E142))),"Rodent Control",
OR(ISNUMBER(SEARCH("fly",E142)),ISNUMBER(SEARCH("gnat",E142)),ISNUMBER(SEARCH("insect",E142)),ISNUMBER(SEARCH("mosquito",E142))),"Flying Insect Control",
OR(ISNUMBER(SEARCH("roach",E142)),ISNUMBER(SEARCH("ant",E142)),ISNUMBER(SEARCH("spider",E142)),ISNUMBER(SEARCH("cricket",E142)),ISNUMBER(SEARCH("scorpion",E142)),ISNUMBER(SEARCH("centipede",E142)),ISNUMBER(SEARCH("beetle",E142))),"Crawling Insect Control",
OR(ISNUMBER(SEARCH("tree",E142)),ISNUMBER(SEARCH("lantern",E142)),ISNUMBER(SEARCH("garden",E142)),ISNUMBER(SEARCH("plant",E142))),"Garden Pest Control",
OR(ISNUMBER(SEARCH("grass seed",E142)),ISNUMBER(SEARCH("seed mix",E142))),"Grass Seed",
OR(ISNUMBER(SEARCH("lawn food",E142)),ISNUMBER(SEARCH("fertilizer",E142))),"Lawn Fertilizer",
OR(ISNUMBER(SEARCH("patch",E142)),ISNUMBER(SEARCH("repair",E142)),ISNUMBER(SEARCH("thick'r",E142)),ISNUMBER(SEARCH("thick'r lawn",E142)),ISNUMBER(SEARCH("rapid grass",E142))),"Lawn Repair",
OR(ISNUMBER(SEARCH("weed",E142)),ISNUMBER(SEARCH("crabgrass",E142))),"Weed Control",
OR(ISNUMBER(SEARCH("fungicide",E142)),ISNUMBER(SEARCH("moss",E142))),"Disease &amp; Moss Control",
OR(ISNUMBER(SEARCH("plant food",E142)),ISNUMBER(SEARCH("miracid",E142))),"Plant Nutrition",
OR(ISNUMBER(SEARCH("perlite",E142))),"Soil Amendment",
OR(ISNUMBER(SEARCH("spreader",E142)),ISNUMBER(SEARCH("sprayer",E142)),ISNUMBER(SEARCH("mower",E142)),ISNUMBER(SEARCH("sweeper",E142)),ISNUMBER(SEARCH("pruner",E142)),ISNUMBER(SEARCH("trimmer",E142)),ISNUMBER(SEARCH("pole saw",E142))),"Garden Equipment",
TRUE,"Other"
)</f>
        <v>Lawn Fertilizer</v>
      </c>
      <c r="I142" s="7" t="str" cm="1">
        <f t="array" ref="I142">_xlfn.IFS(
OR(ISNUMBER(SEARCH("glue trap",E142)),ISNUMBER(SEARCH("glue board",E142))),"Glue Traps",
OR(ISNUMBER(SEARCH("snap trap",E142)),ISNUMBER(SEARCH("power-kill",E142)),ISNUMBER(SEARCH("wide pedal",E142)),ISNUMBER(SEARCH("metal pedal",E142))),"Snap Traps",
OR(ISNUMBER(SEARCH("electronic",E142)),ISNUMBER(SEARCH("zapper",E142))),"Electronic Traps",
OR(ISNUMBER(SEARCH("live catch",E142)),ISNUMBER(SEARCH("multi-catch",E142)),ISNUMBER(SEARCH("catch &amp; hold",E142)),ISNUMBER(SEARCH("tin cat",E142))),"Live Catch Traps",
OR(ISNUMBER(SEARCH("bait",E142)),ISNUMBER(SEARCH("poison",E142))),"Bait &amp; Poison",
ISNUMBER(SEARCH("repellent",E142)),"Repellents",
OR(ISNUMBER(SEARCH("fly trap",E142)),ISNUMBER(SEARCH("fly ribbon",E142)),ISNUMBER(SEARCH("fly stick",E142)),ISNUMBER(SEARCH("window fly",E142)),ISNUMBER(SEARCH("fly magnet",E142))),"Fly Traps",
OR(ISNUMBER(SEARCH("uv",E142)),ISNUMBER(SEARCH("fly light",E142)),ISNUMBER(SEARCH("plug-in",E142))),"UV Fly Traps",
ISNUMBER(SEARCH("roach",E142)),"Roach Traps",
ISNUMBER(SEARCH("ant",E142)),"Ant Traps",
ISNUMBER(SEARCH("spider",E142)),"Spider Traps",
ISNUMBER(SEARCH("mosquito",E142)),"Mosquito Traps",
ISNUMBER(SEARCH("beetle",E142)),"Beetle Traps",
ISNUMBER(SEARCH("lantern",E142)),"Lanternfly Control",
OR(ISNUMBER(SEARCH("tree shield",E142)),ISNUMBER(SEARCH("tree banding",E142)),ISNUMBER(SEARCH("insect barrier",E142))),"Tree Barriers",
OR(ISNUMBER(SEARCH("sun &amp; shade",E142)),ISNUMBER(SEARCH("sun and shade",E142))),"Sun &amp; Shade Mix",
ISNUMBER(SEARCH("tall fescue",E142)),"Tall Fescue",
ISNUMBER(SEARCH("bermudagrass",E142)),"Bermudagrass",
ISNUMBER(SEARCH("kentucky",E142)),"Kentucky Bluegrass",
ISNUMBER(SEARCH("zoysia",E142)),"Zoysia",
ISNUMBER(SEARCH("ryegrass",E142)),"Perennial Ryegrass",
ISNUMBER(SEARCH("centipede",E142)),"Centipede Grass",
ISNUMBER(SEARCH("dense shade",E142)),"Dense Shade Mix",
ISNUMBER(SEARCH("southern gold",E142)),"Southern Gold Mix",
ISNUMBER(SEARCH("heat-tolerant blue",E142)),"Heat-Tolerant Blue Mix",
ISNUMBER(SEARCH("high traffic",E142)),"High Traffic Mix",
ISNUMBER(SEARCH("quick fix",E142)),"Quick Fix Mix",
ISNUMBER(SEARCH("starter",E142)),"Starter Fertilizer",
ISNUMBER(SEARCH("weed &amp; feed",E142)),"Weed &amp; Feed",
ISNUMBER(SEARCH("lawn food",E142)),"Lawn Food",
ISNUMBER(SEARCH("triple action",E142)),"Triple Action Fertilizer",
ISNUMBER(SEARCH("green max",E142)),"Green Max Lawn Food",
ISNUMBER(SEARCH("patchmaster",E142)),"PatchMaster Repair",
ISNUMBER(SEARCH("ez seed",E142)),"EZ Seed Repair",
ISNUMBER(SEARCH("rapid grass",E142)),"Rapid Grass",
ISNUMBER(SEARCH("thick'r lawn",E142)),"Thick'R Lawn",
ISNUMBER(SEARCH("fungicide",E142)),"Fungicide",
ISNUMBER(SEARCH("moss",E142)),"Moss Control",
ISNUMBER(SEARCH("perlite",E142)),"Perlite",
ISNUMBER(SEARCH("plant food",E142)),"Plant Food",
ISNUMBER(SEARCH("spreader",E142)),"Spreader",
ISNUMBER(SEARCH("sprayer",E142)),"Sprayer",
ISNUMBER(SEARCH("mower",E142)),"Lawn Mower",
ISNUMBER(SEARCH("sweeper",E142)),"Lawn Sweeper",
OR(ISNUMBER(SEARCH("pruner",E142)),ISNUMBER(SEARCH("trimmer",E142)),ISNUMBER(SEARCH("pole saw",E142))),"Pruning Tools",
TRUE,"Other"
)</f>
        <v>Lawn Food</v>
      </c>
      <c r="J142" s="7" t="str">
        <f t="shared" si="38"/>
        <v>Lawn Fertilizer - Lawn Food</v>
      </c>
      <c r="K142" s="4">
        <v>1000</v>
      </c>
      <c r="L142" s="4">
        <v>4.5999999999999996</v>
      </c>
      <c r="M142" s="4">
        <v>3890</v>
      </c>
      <c r="N142" s="4" t="s">
        <v>526</v>
      </c>
      <c r="O142" s="4">
        <f>VLOOKUP(A142,[3]Sheet1!$A:$B,2,0)</f>
        <v>50</v>
      </c>
      <c r="P142" s="4">
        <f>VLOOKUP(A142,[3]Sheet1!$A:$C,3,0)</f>
        <v>100</v>
      </c>
      <c r="Q142" s="4">
        <f>VLOOKUP(A142,[3]Sheet1!$A:$D,4,0)</f>
        <v>1000</v>
      </c>
      <c r="R142" s="4">
        <f>VLOOKUP(A142,[3]Sheet1!$A:$E,5,0)</f>
        <v>2000</v>
      </c>
      <c r="S142" s="4">
        <f>VLOOKUP(A142,[3]Sheet1!$A:$F,6,0)</f>
        <v>2000</v>
      </c>
      <c r="T142" s="4">
        <f>VLOOKUP(A142,[3]Sheet1!$A:$G,7,0)</f>
        <v>2000</v>
      </c>
      <c r="U142" s="4">
        <f>VLOOKUP(A142,[3]Sheet1!$A:$I,8,0)</f>
        <v>1000</v>
      </c>
      <c r="V142" s="4">
        <f>VLOOKUP(A142,[3]Sheet1!$A:$J,9,0)</f>
        <v>1000</v>
      </c>
      <c r="W142" s="4">
        <f>VLOOKUP(A142,[3]Sheet1!$A:$J,10,0)</f>
        <v>900</v>
      </c>
      <c r="X142" s="4">
        <f>VLOOKUP(A142,[3]Sheet1!$A:$K,11,0)</f>
        <v>200</v>
      </c>
      <c r="Y142" s="4">
        <f>VLOOKUP(A142,[3]Sheet1!$A:$L,12,0)</f>
        <v>100</v>
      </c>
      <c r="Z142" s="4">
        <f>VLOOKUP(A142,[3]Sheet1!$A:$M,13,0)</f>
        <v>50</v>
      </c>
      <c r="AA142" s="4">
        <f t="shared" si="32"/>
        <v>10400</v>
      </c>
      <c r="AB142" s="7">
        <f t="shared" si="39"/>
        <v>867</v>
      </c>
      <c r="AC142" s="15">
        <f t="shared" si="33"/>
        <v>866.66666666666663</v>
      </c>
      <c r="AD142" s="16">
        <f t="shared" si="34"/>
        <v>264992</v>
      </c>
      <c r="AE142" s="16">
        <f t="shared" si="35"/>
        <v>22082.666666666668</v>
      </c>
      <c r="AF142" s="16">
        <v>10.94</v>
      </c>
      <c r="AG142" s="16">
        <v>25.48</v>
      </c>
      <c r="AH142" s="8">
        <f t="shared" si="36"/>
        <v>-0.11653333333333329</v>
      </c>
      <c r="AI142" s="8">
        <f t="shared" si="37"/>
        <v>-0.40786666666666649</v>
      </c>
      <c r="AJ142" s="10">
        <v>0.5</v>
      </c>
      <c r="AK142" s="10">
        <v>0.5</v>
      </c>
      <c r="AL142" s="16">
        <v>10.94</v>
      </c>
      <c r="AM142" s="9">
        <f t="shared" si="40"/>
        <v>3.8220000000000001</v>
      </c>
      <c r="AN142" s="9">
        <f t="shared" si="41"/>
        <v>0.76439999999999997</v>
      </c>
      <c r="AO142" s="9">
        <f t="shared" si="42"/>
        <v>5.0960000000000001</v>
      </c>
      <c r="AP142" s="9">
        <f t="shared" si="43"/>
        <v>0.50960000000000005</v>
      </c>
      <c r="AQ142" s="9">
        <f t="shared" si="44"/>
        <v>5.0960000000000001</v>
      </c>
      <c r="AR142" s="9">
        <f t="shared" si="45"/>
        <v>6.37</v>
      </c>
      <c r="AS142" s="11">
        <f t="shared" si="46"/>
        <v>-1.1653333333333329</v>
      </c>
      <c r="AT142" s="12">
        <f t="shared" si="47"/>
        <v>-2.0146666666666664</v>
      </c>
    </row>
    <row r="143" spans="1:46" ht="16.5" x14ac:dyDescent="0.4">
      <c r="A143" s="4" t="s">
        <v>686</v>
      </c>
      <c r="B143" s="4" t="s">
        <v>513</v>
      </c>
      <c r="C143" s="7" t="s">
        <v>513</v>
      </c>
      <c r="D143" s="4" t="s">
        <v>687</v>
      </c>
      <c r="E143" s="4" t="s">
        <v>688</v>
      </c>
      <c r="F143" s="4" t="s">
        <v>689</v>
      </c>
      <c r="G143" s="7" t="str">
        <f>VLOOKUP(A143,[1]done!$A:$I,9,0)</f>
        <v>Lawn Fertilizer</v>
      </c>
      <c r="H143" s="7" t="str" cm="1">
        <f t="array" ref="H143">_xlfn.IFS(
OR(ISNUMBER(SEARCH("mouse",E143)),ISNUMBER(SEARCH("rat",E143)),ISNUMBER(SEARCH("mice",E143)),ISNUMBER(SEARCH("rodent",E143))),"Rodent Control",
OR(ISNUMBER(SEARCH("fly",E143)),ISNUMBER(SEARCH("gnat",E143)),ISNUMBER(SEARCH("insect",E143)),ISNUMBER(SEARCH("mosquito",E143))),"Flying Insect Control",
OR(ISNUMBER(SEARCH("roach",E143)),ISNUMBER(SEARCH("ant",E143)),ISNUMBER(SEARCH("spider",E143)),ISNUMBER(SEARCH("cricket",E143)),ISNUMBER(SEARCH("scorpion",E143)),ISNUMBER(SEARCH("centipede",E143)),ISNUMBER(SEARCH("beetle",E143))),"Crawling Insect Control",
OR(ISNUMBER(SEARCH("tree",E143)),ISNUMBER(SEARCH("lantern",E143)),ISNUMBER(SEARCH("garden",E143)),ISNUMBER(SEARCH("plant",E143))),"Garden Pest Control",
OR(ISNUMBER(SEARCH("grass seed",E143)),ISNUMBER(SEARCH("seed mix",E143))),"Grass Seed",
OR(ISNUMBER(SEARCH("lawn food",E143)),ISNUMBER(SEARCH("fertilizer",E143))),"Lawn Fertilizer",
OR(ISNUMBER(SEARCH("patch",E143)),ISNUMBER(SEARCH("repair",E143)),ISNUMBER(SEARCH("thick'r",E143)),ISNUMBER(SEARCH("thick'r lawn",E143)),ISNUMBER(SEARCH("rapid grass",E143))),"Lawn Repair",
OR(ISNUMBER(SEARCH("weed",E143)),ISNUMBER(SEARCH("crabgrass",E143))),"Weed Control",
OR(ISNUMBER(SEARCH("fungicide",E143)),ISNUMBER(SEARCH("moss",E143))),"Disease &amp; Moss Control",
OR(ISNUMBER(SEARCH("plant food",E143)),ISNUMBER(SEARCH("miracid",E143))),"Plant Nutrition",
OR(ISNUMBER(SEARCH("perlite",E143))),"Soil Amendment",
OR(ISNUMBER(SEARCH("spreader",E143)),ISNUMBER(SEARCH("sprayer",E143)),ISNUMBER(SEARCH("mower",E143)),ISNUMBER(SEARCH("sweeper",E143)),ISNUMBER(SEARCH("pruner",E143)),ISNUMBER(SEARCH("trimmer",E143)),ISNUMBER(SEARCH("pole saw",E143))),"Garden Equipment",
TRUE,"Other"
)</f>
        <v>Lawn Repair</v>
      </c>
      <c r="I143" s="7" t="str" cm="1">
        <f t="array" ref="I143">_xlfn.IFS(
OR(ISNUMBER(SEARCH("glue trap",E143)),ISNUMBER(SEARCH("glue board",E143))),"Glue Traps",
OR(ISNUMBER(SEARCH("snap trap",E143)),ISNUMBER(SEARCH("power-kill",E143)),ISNUMBER(SEARCH("wide pedal",E143)),ISNUMBER(SEARCH("metal pedal",E143))),"Snap Traps",
OR(ISNUMBER(SEARCH("electronic",E143)),ISNUMBER(SEARCH("zapper",E143))),"Electronic Traps",
OR(ISNUMBER(SEARCH("live catch",E143)),ISNUMBER(SEARCH("multi-catch",E143)),ISNUMBER(SEARCH("catch &amp; hold",E143)),ISNUMBER(SEARCH("tin cat",E143))),"Live Catch Traps",
OR(ISNUMBER(SEARCH("bait",E143)),ISNUMBER(SEARCH("poison",E143))),"Bait &amp; Poison",
ISNUMBER(SEARCH("repellent",E143)),"Repellents",
OR(ISNUMBER(SEARCH("fly trap",E143)),ISNUMBER(SEARCH("fly ribbon",E143)),ISNUMBER(SEARCH("fly stick",E143)),ISNUMBER(SEARCH("window fly",E143)),ISNUMBER(SEARCH("fly magnet",E143))),"Fly Traps",
OR(ISNUMBER(SEARCH("uv",E143)),ISNUMBER(SEARCH("fly light",E143)),ISNUMBER(SEARCH("plug-in",E143))),"UV Fly Traps",
ISNUMBER(SEARCH("roach",E143)),"Roach Traps",
ISNUMBER(SEARCH("ant",E143)),"Ant Traps",
ISNUMBER(SEARCH("spider",E143)),"Spider Traps",
ISNUMBER(SEARCH("mosquito",E143)),"Mosquito Traps",
ISNUMBER(SEARCH("beetle",E143)),"Beetle Traps",
ISNUMBER(SEARCH("lantern",E143)),"Lanternfly Control",
OR(ISNUMBER(SEARCH("tree shield",E143)),ISNUMBER(SEARCH("tree banding",E143)),ISNUMBER(SEARCH("insect barrier",E143))),"Tree Barriers",
OR(ISNUMBER(SEARCH("sun &amp; shade",E143)),ISNUMBER(SEARCH("sun and shade",E143))),"Sun &amp; Shade Mix",
ISNUMBER(SEARCH("tall fescue",E143)),"Tall Fescue",
ISNUMBER(SEARCH("bermudagrass",E143)),"Bermudagrass",
ISNUMBER(SEARCH("kentucky",E143)),"Kentucky Bluegrass",
ISNUMBER(SEARCH("zoysia",E143)),"Zoysia",
ISNUMBER(SEARCH("ryegrass",E143)),"Perennial Ryegrass",
ISNUMBER(SEARCH("centipede",E143)),"Centipede Grass",
ISNUMBER(SEARCH("dense shade",E143)),"Dense Shade Mix",
ISNUMBER(SEARCH("southern gold",E143)),"Southern Gold Mix",
ISNUMBER(SEARCH("heat-tolerant blue",E143)),"Heat-Tolerant Blue Mix",
ISNUMBER(SEARCH("high traffic",E143)),"High Traffic Mix",
ISNUMBER(SEARCH("quick fix",E143)),"Quick Fix Mix",
ISNUMBER(SEARCH("starter",E143)),"Starter Fertilizer",
ISNUMBER(SEARCH("weed &amp; feed",E143)),"Weed &amp; Feed",
ISNUMBER(SEARCH("lawn food",E143)),"Lawn Food",
ISNUMBER(SEARCH("triple action",E143)),"Triple Action Fertilizer",
ISNUMBER(SEARCH("green max",E143)),"Green Max Lawn Food",
ISNUMBER(SEARCH("patchmaster",E143)),"PatchMaster Repair",
ISNUMBER(SEARCH("ez seed",E143)),"EZ Seed Repair",
ISNUMBER(SEARCH("rapid grass",E143)),"Rapid Grass",
ISNUMBER(SEARCH("thick'r lawn",E143)),"Thick'R Lawn",
ISNUMBER(SEARCH("fungicide",E143)),"Fungicide",
ISNUMBER(SEARCH("moss",E143)),"Moss Control",
ISNUMBER(SEARCH("perlite",E143)),"Perlite",
ISNUMBER(SEARCH("plant food",E143)),"Plant Food",
ISNUMBER(SEARCH("spreader",E143)),"Spreader",
ISNUMBER(SEARCH("sprayer",E143)),"Sprayer",
ISNUMBER(SEARCH("mower",E143)),"Lawn Mower",
ISNUMBER(SEARCH("sweeper",E143)),"Lawn Sweeper",
OR(ISNUMBER(SEARCH("pruner",E143)),ISNUMBER(SEARCH("trimmer",E143)),ISNUMBER(SEARCH("pole saw",E143))),"Pruning Tools",
TRUE,"Other"
)</f>
        <v>Bermudagrass</v>
      </c>
      <c r="J143" s="7" t="str">
        <f t="shared" si="38"/>
        <v>Lawn Repair - Bermudagrass</v>
      </c>
      <c r="K143" s="4">
        <v>1000</v>
      </c>
      <c r="L143" s="4">
        <v>3.9</v>
      </c>
      <c r="M143" s="4">
        <v>2018</v>
      </c>
      <c r="N143" s="4" t="s">
        <v>584</v>
      </c>
      <c r="O143" s="4">
        <f>VLOOKUP(A143,[3]Sheet1!$A:$B,2,0)</f>
        <v>200</v>
      </c>
      <c r="P143" s="4">
        <f>VLOOKUP(A143,[3]Sheet1!$A:$C,3,0)</f>
        <v>200</v>
      </c>
      <c r="Q143" s="4">
        <f>VLOOKUP(A143,[3]Sheet1!$A:$D,4,0)</f>
        <v>1000</v>
      </c>
      <c r="R143" s="4">
        <f>VLOOKUP(A143,[3]Sheet1!$A:$E,5,0)</f>
        <v>1000</v>
      </c>
      <c r="S143" s="4">
        <f>VLOOKUP(A143,[3]Sheet1!$A:$F,6,0)</f>
        <v>1000</v>
      </c>
      <c r="T143" s="4">
        <f>VLOOKUP(A143,[3]Sheet1!$A:$G,7,0)</f>
        <v>2000</v>
      </c>
      <c r="U143" s="4">
        <f>VLOOKUP(A143,[3]Sheet1!$A:$I,8,0)</f>
        <v>1000</v>
      </c>
      <c r="V143" s="4">
        <f>VLOOKUP(A143,[3]Sheet1!$A:$J,9,0)</f>
        <v>1000</v>
      </c>
      <c r="W143" s="4">
        <f>VLOOKUP(A143,[3]Sheet1!$A:$J,10,0)</f>
        <v>1000</v>
      </c>
      <c r="X143" s="4">
        <f>VLOOKUP(A143,[3]Sheet1!$A:$K,11,0)</f>
        <v>0</v>
      </c>
      <c r="Y143" s="4">
        <f>VLOOKUP(A143,[3]Sheet1!$A:$L,12,0)</f>
        <v>0</v>
      </c>
      <c r="Z143" s="4">
        <f>VLOOKUP(A143,[3]Sheet1!$A:$M,13,0)</f>
        <v>200</v>
      </c>
      <c r="AA143" s="4">
        <f t="shared" si="32"/>
        <v>8600</v>
      </c>
      <c r="AB143" s="7">
        <f t="shared" si="39"/>
        <v>717</v>
      </c>
      <c r="AC143" s="15">
        <f t="shared" si="33"/>
        <v>716.66666666666663</v>
      </c>
      <c r="AD143" s="16">
        <f t="shared" si="34"/>
        <v>335314</v>
      </c>
      <c r="AE143" s="16">
        <f t="shared" si="35"/>
        <v>27942.833333333332</v>
      </c>
      <c r="AF143" s="16">
        <v>9.6199999999999992</v>
      </c>
      <c r="AG143" s="16">
        <v>38.99</v>
      </c>
      <c r="AH143" s="8">
        <f t="shared" si="36"/>
        <v>0.33173333333333344</v>
      </c>
      <c r="AI143" s="8">
        <f t="shared" si="37"/>
        <v>1.1610666666666669</v>
      </c>
      <c r="AJ143" s="10">
        <v>0.5</v>
      </c>
      <c r="AK143" s="10">
        <v>0.5</v>
      </c>
      <c r="AL143" s="16">
        <v>9.6199999999999992</v>
      </c>
      <c r="AM143" s="9">
        <f t="shared" si="40"/>
        <v>5.8485000000000005</v>
      </c>
      <c r="AN143" s="9">
        <f t="shared" si="41"/>
        <v>1.1697</v>
      </c>
      <c r="AO143" s="9">
        <f t="shared" si="42"/>
        <v>7.7980000000000009</v>
      </c>
      <c r="AP143" s="9">
        <f t="shared" si="43"/>
        <v>0.77980000000000005</v>
      </c>
      <c r="AQ143" s="9">
        <f t="shared" si="44"/>
        <v>7.7980000000000009</v>
      </c>
      <c r="AR143" s="9">
        <f t="shared" si="45"/>
        <v>9.7475000000000005</v>
      </c>
      <c r="AS143" s="11">
        <f t="shared" si="46"/>
        <v>3.3173333333333344</v>
      </c>
      <c r="AT143" s="12">
        <f t="shared" si="47"/>
        <v>2.0176666666666683</v>
      </c>
    </row>
    <row r="144" spans="1:46" ht="16.5" x14ac:dyDescent="0.4">
      <c r="A144" s="4" t="s">
        <v>690</v>
      </c>
      <c r="B144" s="4" t="s">
        <v>513</v>
      </c>
      <c r="C144" s="7" t="s">
        <v>1787</v>
      </c>
      <c r="D144" s="4" t="s">
        <v>691</v>
      </c>
      <c r="E144" s="4" t="s">
        <v>692</v>
      </c>
      <c r="F144" s="4" t="s">
        <v>693</v>
      </c>
      <c r="G144" s="7" t="str">
        <f>VLOOKUP(A144,[1]done!$A:$I,9,0)</f>
        <v>Other crawling insects</v>
      </c>
      <c r="H144" s="7" t="str" cm="1">
        <f t="array" ref="H144">_xlfn.IFS(
OR(ISNUMBER(SEARCH("mouse",E144)),ISNUMBER(SEARCH("rat",E144)),ISNUMBER(SEARCH("mice",E144)),ISNUMBER(SEARCH("rodent",E144))),"Rodent Control",
OR(ISNUMBER(SEARCH("fly",E144)),ISNUMBER(SEARCH("gnat",E144)),ISNUMBER(SEARCH("insect",E144)),ISNUMBER(SEARCH("mosquito",E144))),"Flying Insect Control",
OR(ISNUMBER(SEARCH("roach",E144)),ISNUMBER(SEARCH("ant",E144)),ISNUMBER(SEARCH("spider",E144)),ISNUMBER(SEARCH("cricket",E144)),ISNUMBER(SEARCH("scorpion",E144)),ISNUMBER(SEARCH("centipede",E144)),ISNUMBER(SEARCH("beetle",E144))),"Crawling Insect Control",
OR(ISNUMBER(SEARCH("tree",E144)),ISNUMBER(SEARCH("lantern",E144)),ISNUMBER(SEARCH("garden",E144)),ISNUMBER(SEARCH("plant",E144))),"Garden Pest Control",
OR(ISNUMBER(SEARCH("grass seed",E144)),ISNUMBER(SEARCH("seed mix",E144))),"Grass Seed",
OR(ISNUMBER(SEARCH("lawn food",E144)),ISNUMBER(SEARCH("fertilizer",E144))),"Lawn Fertilizer",
OR(ISNUMBER(SEARCH("patch",E144)),ISNUMBER(SEARCH("repair",E144)),ISNUMBER(SEARCH("thick'r",E144)),ISNUMBER(SEARCH("thick'r lawn",E144)),ISNUMBER(SEARCH("rapid grass",E144))),"Lawn Repair",
OR(ISNUMBER(SEARCH("weed",E144)),ISNUMBER(SEARCH("crabgrass",E144))),"Weed Control",
OR(ISNUMBER(SEARCH("fungicide",E144)),ISNUMBER(SEARCH("moss",E144))),"Disease &amp; Moss Control",
OR(ISNUMBER(SEARCH("plant food",E144)),ISNUMBER(SEARCH("miracid",E144))),"Plant Nutrition",
OR(ISNUMBER(SEARCH("perlite",E144))),"Soil Amendment",
OR(ISNUMBER(SEARCH("spreader",E144)),ISNUMBER(SEARCH("sprayer",E144)),ISNUMBER(SEARCH("mower",E144)),ISNUMBER(SEARCH("sweeper",E144)),ISNUMBER(SEARCH("pruner",E144)),ISNUMBER(SEARCH("trimmer",E144)),ISNUMBER(SEARCH("pole saw",E144))),"Garden Equipment",
TRUE,"Other"
)</f>
        <v>Crawling Insect Control</v>
      </c>
      <c r="I144" s="7" t="str" cm="1">
        <f t="array" ref="I144">_xlfn.IFS(
OR(ISNUMBER(SEARCH("glue trap",E144)),ISNUMBER(SEARCH("glue board",E144))),"Glue Traps",
OR(ISNUMBER(SEARCH("snap trap",E144)),ISNUMBER(SEARCH("power-kill",E144)),ISNUMBER(SEARCH("wide pedal",E144)),ISNUMBER(SEARCH("metal pedal",E144))),"Snap Traps",
OR(ISNUMBER(SEARCH("electronic",E144)),ISNUMBER(SEARCH("zapper",E144))),"Electronic Traps",
OR(ISNUMBER(SEARCH("live catch",E144)),ISNUMBER(SEARCH("multi-catch",E144)),ISNUMBER(SEARCH("catch &amp; hold",E144)),ISNUMBER(SEARCH("tin cat",E144))),"Live Catch Traps",
OR(ISNUMBER(SEARCH("bait",E144)),ISNUMBER(SEARCH("poison",E144))),"Bait &amp; Poison",
ISNUMBER(SEARCH("repellent",E144)),"Repellents",
OR(ISNUMBER(SEARCH("fly trap",E144)),ISNUMBER(SEARCH("fly ribbon",E144)),ISNUMBER(SEARCH("fly stick",E144)),ISNUMBER(SEARCH("window fly",E144)),ISNUMBER(SEARCH("fly magnet",E144))),"Fly Traps",
OR(ISNUMBER(SEARCH("uv",E144)),ISNUMBER(SEARCH("fly light",E144)),ISNUMBER(SEARCH("plug-in",E144))),"UV Fly Traps",
ISNUMBER(SEARCH("roach",E144)),"Roach Traps",
ISNUMBER(SEARCH("ant",E144)),"Ant Traps",
ISNUMBER(SEARCH("spider",E144)),"Spider Traps",
ISNUMBER(SEARCH("mosquito",E144)),"Mosquito Traps",
ISNUMBER(SEARCH("beetle",E144)),"Beetle Traps",
ISNUMBER(SEARCH("lantern",E144)),"Lanternfly Control",
OR(ISNUMBER(SEARCH("tree shield",E144)),ISNUMBER(SEARCH("tree banding",E144)),ISNUMBER(SEARCH("insect barrier",E144))),"Tree Barriers",
OR(ISNUMBER(SEARCH("sun &amp; shade",E144)),ISNUMBER(SEARCH("sun and shade",E144))),"Sun &amp; Shade Mix",
ISNUMBER(SEARCH("tall fescue",E144)),"Tall Fescue",
ISNUMBER(SEARCH("bermudagrass",E144)),"Bermudagrass",
ISNUMBER(SEARCH("kentucky",E144)),"Kentucky Bluegrass",
ISNUMBER(SEARCH("zoysia",E144)),"Zoysia",
ISNUMBER(SEARCH("ryegrass",E144)),"Perennial Ryegrass",
ISNUMBER(SEARCH("centipede",E144)),"Centipede Grass",
ISNUMBER(SEARCH("dense shade",E144)),"Dense Shade Mix",
ISNUMBER(SEARCH("southern gold",E144)),"Southern Gold Mix",
ISNUMBER(SEARCH("heat-tolerant blue",E144)),"Heat-Tolerant Blue Mix",
ISNUMBER(SEARCH("high traffic",E144)),"High Traffic Mix",
ISNUMBER(SEARCH("quick fix",E144)),"Quick Fix Mix",
ISNUMBER(SEARCH("starter",E144)),"Starter Fertilizer",
ISNUMBER(SEARCH("weed &amp; feed",E144)),"Weed &amp; Feed",
ISNUMBER(SEARCH("lawn food",E144)),"Lawn Food",
ISNUMBER(SEARCH("triple action",E144)),"Triple Action Fertilizer",
ISNUMBER(SEARCH("green max",E144)),"Green Max Lawn Food",
ISNUMBER(SEARCH("patchmaster",E144)),"PatchMaster Repair",
ISNUMBER(SEARCH("ez seed",E144)),"EZ Seed Repair",
ISNUMBER(SEARCH("rapid grass",E144)),"Rapid Grass",
ISNUMBER(SEARCH("thick'r lawn",E144)),"Thick'R Lawn",
ISNUMBER(SEARCH("fungicide",E144)),"Fungicide",
ISNUMBER(SEARCH("moss",E144)),"Moss Control",
ISNUMBER(SEARCH("perlite",E144)),"Perlite",
ISNUMBER(SEARCH("plant food",E144)),"Plant Food",
ISNUMBER(SEARCH("spreader",E144)),"Spreader",
ISNUMBER(SEARCH("sprayer",E144)),"Sprayer",
ISNUMBER(SEARCH("mower",E144)),"Lawn Mower",
ISNUMBER(SEARCH("sweeper",E144)),"Lawn Sweeper",
OR(ISNUMBER(SEARCH("pruner",E144)),ISNUMBER(SEARCH("trimmer",E144)),ISNUMBER(SEARCH("pole saw",E144))),"Pruning Tools",
TRUE,"Other"
)</f>
        <v>Ant Traps</v>
      </c>
      <c r="J144" s="7" t="str">
        <f t="shared" si="38"/>
        <v>Crawling Insect Control - Ant Traps</v>
      </c>
      <c r="K144" s="4">
        <v>1000</v>
      </c>
      <c r="L144" s="4">
        <v>4.5999999999999996</v>
      </c>
      <c r="M144" s="4">
        <v>1449</v>
      </c>
      <c r="N144" s="4" t="s">
        <v>694</v>
      </c>
      <c r="O144" s="4">
        <f>VLOOKUP(A144,[3]Sheet1!$A:$B,2,0)</f>
        <v>600</v>
      </c>
      <c r="P144" s="4">
        <f>VLOOKUP(A144,[3]Sheet1!$A:$C,3,0)</f>
        <v>1000</v>
      </c>
      <c r="Q144" s="4">
        <f>VLOOKUP(A144,[3]Sheet1!$A:$D,4,0)</f>
        <v>3000</v>
      </c>
      <c r="R144" s="4">
        <f>VLOOKUP(A144,[3]Sheet1!$A:$E,5,0)</f>
        <v>4000</v>
      </c>
      <c r="S144" s="4">
        <f>VLOOKUP(A144,[3]Sheet1!$A:$F,6,0)</f>
        <v>3000</v>
      </c>
      <c r="T144" s="4">
        <f>VLOOKUP(A144,[3]Sheet1!$A:$G,7,0)</f>
        <v>6000</v>
      </c>
      <c r="U144" s="4">
        <f>VLOOKUP(A144,[3]Sheet1!$A:$I,8,0)</f>
        <v>2000</v>
      </c>
      <c r="V144" s="4">
        <f>VLOOKUP(A144,[3]Sheet1!$A:$J,9,0)</f>
        <v>2000</v>
      </c>
      <c r="W144" s="4">
        <f>VLOOKUP(A144,[3]Sheet1!$A:$J,10,0)</f>
        <v>1000</v>
      </c>
      <c r="X144" s="4">
        <f>VLOOKUP(A144,[3]Sheet1!$A:$K,11,0)</f>
        <v>1000</v>
      </c>
      <c r="Y144" s="4">
        <f>VLOOKUP(A144,[3]Sheet1!$A:$L,12,0)</f>
        <v>600</v>
      </c>
      <c r="Z144" s="4">
        <f>VLOOKUP(A144,[3]Sheet1!$A:$M,13,0)</f>
        <v>400</v>
      </c>
      <c r="AA144" s="4">
        <f t="shared" si="32"/>
        <v>24600</v>
      </c>
      <c r="AB144" s="7">
        <f t="shared" si="39"/>
        <v>2050</v>
      </c>
      <c r="AC144" s="15">
        <f t="shared" si="33"/>
        <v>2050</v>
      </c>
      <c r="AD144" s="16">
        <f t="shared" si="34"/>
        <v>294954</v>
      </c>
      <c r="AE144" s="16">
        <f t="shared" si="35"/>
        <v>24579.5</v>
      </c>
      <c r="AF144" s="16">
        <v>7.3</v>
      </c>
      <c r="AG144" s="16">
        <v>11.99</v>
      </c>
      <c r="AH144" s="8">
        <f t="shared" si="36"/>
        <v>-0.2336</v>
      </c>
      <c r="AI144" s="8">
        <f t="shared" si="37"/>
        <v>-0.81759999999999988</v>
      </c>
      <c r="AJ144" s="10">
        <v>0.5</v>
      </c>
      <c r="AK144" s="10">
        <v>0.5</v>
      </c>
      <c r="AL144" s="16">
        <v>7.3</v>
      </c>
      <c r="AM144" s="9">
        <f t="shared" si="40"/>
        <v>1.7985</v>
      </c>
      <c r="AN144" s="9">
        <f t="shared" si="41"/>
        <v>0.35970000000000002</v>
      </c>
      <c r="AO144" s="9">
        <f t="shared" si="42"/>
        <v>2.3980000000000001</v>
      </c>
      <c r="AP144" s="9">
        <f t="shared" si="43"/>
        <v>0.23980000000000001</v>
      </c>
      <c r="AQ144" s="9">
        <f t="shared" si="44"/>
        <v>2.3980000000000001</v>
      </c>
      <c r="AR144" s="9">
        <f t="shared" si="45"/>
        <v>2.9975000000000001</v>
      </c>
      <c r="AS144" s="11">
        <f t="shared" si="46"/>
        <v>-2.3359999999999999</v>
      </c>
      <c r="AT144" s="12">
        <f t="shared" si="47"/>
        <v>-2.7356666666666669</v>
      </c>
    </row>
    <row r="145" spans="1:46" ht="16.5" x14ac:dyDescent="0.4">
      <c r="A145" s="4" t="s">
        <v>695</v>
      </c>
      <c r="B145" s="4" t="s">
        <v>513</v>
      </c>
      <c r="C145" s="7" t="s">
        <v>1784</v>
      </c>
      <c r="D145" s="4" t="s">
        <v>696</v>
      </c>
      <c r="E145" s="4" t="s">
        <v>697</v>
      </c>
      <c r="F145" s="4" t="s">
        <v>698</v>
      </c>
      <c r="G145" s="7" t="str">
        <f>VLOOKUP(A145,[1]done!$A:$I,9,0)</f>
        <v>Lawn Fertilizer</v>
      </c>
      <c r="H145" s="7" t="str" cm="1">
        <f t="array" ref="H145">_xlfn.IFS(
OR(ISNUMBER(SEARCH("mouse",E145)),ISNUMBER(SEARCH("rat",E145)),ISNUMBER(SEARCH("mice",E145)),ISNUMBER(SEARCH("rodent",E145))),"Rodent Control",
OR(ISNUMBER(SEARCH("fly",E145)),ISNUMBER(SEARCH("gnat",E145)),ISNUMBER(SEARCH("insect",E145)),ISNUMBER(SEARCH("mosquito",E145))),"Flying Insect Control",
OR(ISNUMBER(SEARCH("roach",E145)),ISNUMBER(SEARCH("ant",E145)),ISNUMBER(SEARCH("spider",E145)),ISNUMBER(SEARCH("cricket",E145)),ISNUMBER(SEARCH("scorpion",E145)),ISNUMBER(SEARCH("centipede",E145)),ISNUMBER(SEARCH("beetle",E145))),"Crawling Insect Control",
OR(ISNUMBER(SEARCH("tree",E145)),ISNUMBER(SEARCH("lantern",E145)),ISNUMBER(SEARCH("garden",E145)),ISNUMBER(SEARCH("plant",E145))),"Garden Pest Control",
OR(ISNUMBER(SEARCH("grass seed",E145)),ISNUMBER(SEARCH("seed mix",E145))),"Grass Seed",
OR(ISNUMBER(SEARCH("lawn food",E145)),ISNUMBER(SEARCH("fertilizer",E145))),"Lawn Fertilizer",
OR(ISNUMBER(SEARCH("patch",E145)),ISNUMBER(SEARCH("repair",E145)),ISNUMBER(SEARCH("thick'r",E145)),ISNUMBER(SEARCH("thick'r lawn",E145)),ISNUMBER(SEARCH("rapid grass",E145))),"Lawn Repair",
OR(ISNUMBER(SEARCH("weed",E145)),ISNUMBER(SEARCH("crabgrass",E145))),"Weed Control",
OR(ISNUMBER(SEARCH("fungicide",E145)),ISNUMBER(SEARCH("moss",E145))),"Disease &amp; Moss Control",
OR(ISNUMBER(SEARCH("plant food",E145)),ISNUMBER(SEARCH("miracid",E145))),"Plant Nutrition",
OR(ISNUMBER(SEARCH("perlite",E145))),"Soil Amendment",
OR(ISNUMBER(SEARCH("spreader",E145)),ISNUMBER(SEARCH("sprayer",E145)),ISNUMBER(SEARCH("mower",E145)),ISNUMBER(SEARCH("sweeper",E145)),ISNUMBER(SEARCH("pruner",E145)),ISNUMBER(SEARCH("trimmer",E145)),ISNUMBER(SEARCH("pole saw",E145))),"Garden Equipment",
TRUE,"Other"
)</f>
        <v>Lawn Repair</v>
      </c>
      <c r="I145" s="7" t="str" cm="1">
        <f t="array" ref="I145">_xlfn.IFS(
OR(ISNUMBER(SEARCH("glue trap",E145)),ISNUMBER(SEARCH("glue board",E145))),"Glue Traps",
OR(ISNUMBER(SEARCH("snap trap",E145)),ISNUMBER(SEARCH("power-kill",E145)),ISNUMBER(SEARCH("wide pedal",E145)),ISNUMBER(SEARCH("metal pedal",E145))),"Snap Traps",
OR(ISNUMBER(SEARCH("electronic",E145)),ISNUMBER(SEARCH("zapper",E145))),"Electronic Traps",
OR(ISNUMBER(SEARCH("live catch",E145)),ISNUMBER(SEARCH("multi-catch",E145)),ISNUMBER(SEARCH("catch &amp; hold",E145)),ISNUMBER(SEARCH("tin cat",E145))),"Live Catch Traps",
OR(ISNUMBER(SEARCH("bait",E145)),ISNUMBER(SEARCH("poison",E145))),"Bait &amp; Poison",
ISNUMBER(SEARCH("repellent",E145)),"Repellents",
OR(ISNUMBER(SEARCH("fly trap",E145)),ISNUMBER(SEARCH("fly ribbon",E145)),ISNUMBER(SEARCH("fly stick",E145)),ISNUMBER(SEARCH("window fly",E145)),ISNUMBER(SEARCH("fly magnet",E145))),"Fly Traps",
OR(ISNUMBER(SEARCH("uv",E145)),ISNUMBER(SEARCH("fly light",E145)),ISNUMBER(SEARCH("plug-in",E145))),"UV Fly Traps",
ISNUMBER(SEARCH("roach",E145)),"Roach Traps",
ISNUMBER(SEARCH("ant",E145)),"Ant Traps",
ISNUMBER(SEARCH("spider",E145)),"Spider Traps",
ISNUMBER(SEARCH("mosquito",E145)),"Mosquito Traps",
ISNUMBER(SEARCH("beetle",E145)),"Beetle Traps",
ISNUMBER(SEARCH("lantern",E145)),"Lanternfly Control",
OR(ISNUMBER(SEARCH("tree shield",E145)),ISNUMBER(SEARCH("tree banding",E145)),ISNUMBER(SEARCH("insect barrier",E145))),"Tree Barriers",
OR(ISNUMBER(SEARCH("sun &amp; shade",E145)),ISNUMBER(SEARCH("sun and shade",E145))),"Sun &amp; Shade Mix",
ISNUMBER(SEARCH("tall fescue",E145)),"Tall Fescue",
ISNUMBER(SEARCH("bermudagrass",E145)),"Bermudagrass",
ISNUMBER(SEARCH("kentucky",E145)),"Kentucky Bluegrass",
ISNUMBER(SEARCH("zoysia",E145)),"Zoysia",
ISNUMBER(SEARCH("ryegrass",E145)),"Perennial Ryegrass",
ISNUMBER(SEARCH("centipede",E145)),"Centipede Grass",
ISNUMBER(SEARCH("dense shade",E145)),"Dense Shade Mix",
ISNUMBER(SEARCH("southern gold",E145)),"Southern Gold Mix",
ISNUMBER(SEARCH("heat-tolerant blue",E145)),"Heat-Tolerant Blue Mix",
ISNUMBER(SEARCH("high traffic",E145)),"High Traffic Mix",
ISNUMBER(SEARCH("quick fix",E145)),"Quick Fix Mix",
ISNUMBER(SEARCH("starter",E145)),"Starter Fertilizer",
ISNUMBER(SEARCH("weed &amp; feed",E145)),"Weed &amp; Feed",
ISNUMBER(SEARCH("lawn food",E145)),"Lawn Food",
ISNUMBER(SEARCH("triple action",E145)),"Triple Action Fertilizer",
ISNUMBER(SEARCH("green max",E145)),"Green Max Lawn Food",
ISNUMBER(SEARCH("patchmaster",E145)),"PatchMaster Repair",
ISNUMBER(SEARCH("ez seed",E145)),"EZ Seed Repair",
ISNUMBER(SEARCH("rapid grass",E145)),"Rapid Grass",
ISNUMBER(SEARCH("thick'r lawn",E145)),"Thick'R Lawn",
ISNUMBER(SEARCH("fungicide",E145)),"Fungicide",
ISNUMBER(SEARCH("moss",E145)),"Moss Control",
ISNUMBER(SEARCH("perlite",E145)),"Perlite",
ISNUMBER(SEARCH("plant food",E145)),"Plant Food",
ISNUMBER(SEARCH("spreader",E145)),"Spreader",
ISNUMBER(SEARCH("sprayer",E145)),"Sprayer",
ISNUMBER(SEARCH("mower",E145)),"Lawn Mower",
ISNUMBER(SEARCH("sweeper",E145)),"Lawn Sweeper",
OR(ISNUMBER(SEARCH("pruner",E145)),ISNUMBER(SEARCH("trimmer",E145)),ISNUMBER(SEARCH("pole saw",E145))),"Pruning Tools",
TRUE,"Other"
)</f>
        <v>Sun &amp; Shade Mix</v>
      </c>
      <c r="J145" s="7" t="str">
        <f t="shared" si="38"/>
        <v>Lawn Repair - Sun &amp; Shade Mix</v>
      </c>
      <c r="K145" s="4">
        <v>1000</v>
      </c>
      <c r="L145" s="4">
        <v>3.9</v>
      </c>
      <c r="M145" s="4">
        <v>6093</v>
      </c>
      <c r="N145" s="4" t="s">
        <v>699</v>
      </c>
      <c r="O145" s="4">
        <f>VLOOKUP(A145,[3]Sheet1!$A:$B,2,0)</f>
        <v>100</v>
      </c>
      <c r="P145" s="4">
        <f>VLOOKUP(A145,[3]Sheet1!$A:$C,3,0)</f>
        <v>200</v>
      </c>
      <c r="Q145" s="4">
        <f>VLOOKUP(A145,[3]Sheet1!$A:$D,4,0)</f>
        <v>1000</v>
      </c>
      <c r="R145" s="4">
        <f>VLOOKUP(A145,[3]Sheet1!$A:$E,5,0)</f>
        <v>3000</v>
      </c>
      <c r="S145" s="4">
        <f>VLOOKUP(A145,[3]Sheet1!$A:$F,6,0)</f>
        <v>3000</v>
      </c>
      <c r="T145" s="4">
        <f>VLOOKUP(A145,[3]Sheet1!$A:$G,7,0)</f>
        <v>2000</v>
      </c>
      <c r="U145" s="4">
        <f>VLOOKUP(A145,[3]Sheet1!$A:$I,8,0)</f>
        <v>2000</v>
      </c>
      <c r="V145" s="4">
        <f>VLOOKUP(A145,[3]Sheet1!$A:$J,9,0)</f>
        <v>1000</v>
      </c>
      <c r="W145" s="4">
        <f>VLOOKUP(A145,[3]Sheet1!$A:$J,10,0)</f>
        <v>1000</v>
      </c>
      <c r="X145" s="4">
        <f>VLOOKUP(A145,[3]Sheet1!$A:$K,11,0)</f>
        <v>1000</v>
      </c>
      <c r="Y145" s="4">
        <f>VLOOKUP(A145,[3]Sheet1!$A:$L,12,0)</f>
        <v>500</v>
      </c>
      <c r="Z145" s="4">
        <f>VLOOKUP(A145,[3]Sheet1!$A:$M,13,0)</f>
        <v>100</v>
      </c>
      <c r="AA145" s="4">
        <f t="shared" si="32"/>
        <v>14900</v>
      </c>
      <c r="AB145" s="7">
        <f t="shared" si="39"/>
        <v>1242</v>
      </c>
      <c r="AC145" s="15">
        <f t="shared" si="33"/>
        <v>1241.6666666666667</v>
      </c>
      <c r="AD145" s="16">
        <f t="shared" si="34"/>
        <v>223351</v>
      </c>
      <c r="AE145" s="16">
        <f t="shared" si="35"/>
        <v>18612.583333333336</v>
      </c>
      <c r="AF145" s="16">
        <v>6.48</v>
      </c>
      <c r="AG145" s="16">
        <v>14.99</v>
      </c>
      <c r="AH145" s="8">
        <f t="shared" si="36"/>
        <v>-9.8933333333333401E-2</v>
      </c>
      <c r="AI145" s="8">
        <f t="shared" si="37"/>
        <v>-0.34626666666666689</v>
      </c>
      <c r="AJ145" s="10">
        <v>0.5</v>
      </c>
      <c r="AK145" s="10">
        <v>0.5</v>
      </c>
      <c r="AL145" s="16">
        <v>6.48</v>
      </c>
      <c r="AM145" s="9">
        <f t="shared" si="40"/>
        <v>2.2484999999999999</v>
      </c>
      <c r="AN145" s="9">
        <f t="shared" si="41"/>
        <v>0.44969999999999999</v>
      </c>
      <c r="AO145" s="9">
        <f t="shared" si="42"/>
        <v>2.9980000000000002</v>
      </c>
      <c r="AP145" s="9">
        <f t="shared" si="43"/>
        <v>0.29980000000000001</v>
      </c>
      <c r="AQ145" s="9">
        <f t="shared" si="44"/>
        <v>2.9980000000000002</v>
      </c>
      <c r="AR145" s="9">
        <f t="shared" si="45"/>
        <v>3.7475000000000001</v>
      </c>
      <c r="AS145" s="11">
        <f t="shared" si="46"/>
        <v>-0.98933333333333395</v>
      </c>
      <c r="AT145" s="12">
        <f t="shared" si="47"/>
        <v>-1.4890000000000005</v>
      </c>
    </row>
    <row r="146" spans="1:46" ht="16.5" x14ac:dyDescent="0.4">
      <c r="A146" s="4" t="s">
        <v>700</v>
      </c>
      <c r="B146" s="4" t="s">
        <v>513</v>
      </c>
      <c r="C146" s="7" t="s">
        <v>1784</v>
      </c>
      <c r="D146" s="4" t="s">
        <v>701</v>
      </c>
      <c r="E146" s="4" t="s">
        <v>702</v>
      </c>
      <c r="F146" s="4" t="s">
        <v>703</v>
      </c>
      <c r="G146" s="7" t="str">
        <f>VLOOKUP(A146,[1]done!$A:$I,9,0)</f>
        <v>Weed Control</v>
      </c>
      <c r="H146" s="7" t="str" cm="1">
        <f t="array" ref="H146">_xlfn.IFS(
OR(ISNUMBER(SEARCH("mouse",E146)),ISNUMBER(SEARCH("rat",E146)),ISNUMBER(SEARCH("mice",E146)),ISNUMBER(SEARCH("rodent",E146))),"Rodent Control",
OR(ISNUMBER(SEARCH("fly",E146)),ISNUMBER(SEARCH("gnat",E146)),ISNUMBER(SEARCH("insect",E146)),ISNUMBER(SEARCH("mosquito",E146))),"Flying Insect Control",
OR(ISNUMBER(SEARCH("roach",E146)),ISNUMBER(SEARCH("ant",E146)),ISNUMBER(SEARCH("spider",E146)),ISNUMBER(SEARCH("cricket",E146)),ISNUMBER(SEARCH("scorpion",E146)),ISNUMBER(SEARCH("centipede",E146)),ISNUMBER(SEARCH("beetle",E146))),"Crawling Insect Control",
OR(ISNUMBER(SEARCH("tree",E146)),ISNUMBER(SEARCH("lantern",E146)),ISNUMBER(SEARCH("garden",E146)),ISNUMBER(SEARCH("plant",E146))),"Garden Pest Control",
OR(ISNUMBER(SEARCH("grass seed",E146)),ISNUMBER(SEARCH("seed mix",E146))),"Grass Seed",
OR(ISNUMBER(SEARCH("lawn food",E146)),ISNUMBER(SEARCH("fertilizer",E146))),"Lawn Fertilizer",
OR(ISNUMBER(SEARCH("patch",E146)),ISNUMBER(SEARCH("repair",E146)),ISNUMBER(SEARCH("thick'r",E146)),ISNUMBER(SEARCH("thick'r lawn",E146)),ISNUMBER(SEARCH("rapid grass",E146))),"Lawn Repair",
OR(ISNUMBER(SEARCH("weed",E146)),ISNUMBER(SEARCH("crabgrass",E146))),"Weed Control",
OR(ISNUMBER(SEARCH("fungicide",E146)),ISNUMBER(SEARCH("moss",E146))),"Disease &amp; Moss Control",
OR(ISNUMBER(SEARCH("plant food",E146)),ISNUMBER(SEARCH("miracid",E146))),"Plant Nutrition",
OR(ISNUMBER(SEARCH("perlite",E146))),"Soil Amendment",
OR(ISNUMBER(SEARCH("spreader",E146)),ISNUMBER(SEARCH("sprayer",E146)),ISNUMBER(SEARCH("mower",E146)),ISNUMBER(SEARCH("sweeper",E146)),ISNUMBER(SEARCH("pruner",E146)),ISNUMBER(SEARCH("trimmer",E146)),ISNUMBER(SEARCH("pole saw",E146))),"Garden Equipment",
TRUE,"Other"
)</f>
        <v>Weed Control</v>
      </c>
      <c r="I146" s="7" t="str" cm="1">
        <f t="array" ref="I146">_xlfn.IFS(
OR(ISNUMBER(SEARCH("glue trap",E146)),ISNUMBER(SEARCH("glue board",E146))),"Glue Traps",
OR(ISNUMBER(SEARCH("snap trap",E146)),ISNUMBER(SEARCH("power-kill",E146)),ISNUMBER(SEARCH("wide pedal",E146)),ISNUMBER(SEARCH("metal pedal",E146))),"Snap Traps",
OR(ISNUMBER(SEARCH("electronic",E146)),ISNUMBER(SEARCH("zapper",E146))),"Electronic Traps",
OR(ISNUMBER(SEARCH("live catch",E146)),ISNUMBER(SEARCH("multi-catch",E146)),ISNUMBER(SEARCH("catch &amp; hold",E146)),ISNUMBER(SEARCH("tin cat",E146))),"Live Catch Traps",
OR(ISNUMBER(SEARCH("bait",E146)),ISNUMBER(SEARCH("poison",E146))),"Bait &amp; Poison",
ISNUMBER(SEARCH("repellent",E146)),"Repellents",
OR(ISNUMBER(SEARCH("fly trap",E146)),ISNUMBER(SEARCH("fly ribbon",E146)),ISNUMBER(SEARCH("fly stick",E146)),ISNUMBER(SEARCH("window fly",E146)),ISNUMBER(SEARCH("fly magnet",E146))),"Fly Traps",
OR(ISNUMBER(SEARCH("uv",E146)),ISNUMBER(SEARCH("fly light",E146)),ISNUMBER(SEARCH("plug-in",E146))),"UV Fly Traps",
ISNUMBER(SEARCH("roach",E146)),"Roach Traps",
ISNUMBER(SEARCH("ant",E146)),"Ant Traps",
ISNUMBER(SEARCH("spider",E146)),"Spider Traps",
ISNUMBER(SEARCH("mosquito",E146)),"Mosquito Traps",
ISNUMBER(SEARCH("beetle",E146)),"Beetle Traps",
ISNUMBER(SEARCH("lantern",E146)),"Lanternfly Control",
OR(ISNUMBER(SEARCH("tree shield",E146)),ISNUMBER(SEARCH("tree banding",E146)),ISNUMBER(SEARCH("insect barrier",E146))),"Tree Barriers",
OR(ISNUMBER(SEARCH("sun &amp; shade",E146)),ISNUMBER(SEARCH("sun and shade",E146))),"Sun &amp; Shade Mix",
ISNUMBER(SEARCH("tall fescue",E146)),"Tall Fescue",
ISNUMBER(SEARCH("bermudagrass",E146)),"Bermudagrass",
ISNUMBER(SEARCH("kentucky",E146)),"Kentucky Bluegrass",
ISNUMBER(SEARCH("zoysia",E146)),"Zoysia",
ISNUMBER(SEARCH("ryegrass",E146)),"Perennial Ryegrass",
ISNUMBER(SEARCH("centipede",E146)),"Centipede Grass",
ISNUMBER(SEARCH("dense shade",E146)),"Dense Shade Mix",
ISNUMBER(SEARCH("southern gold",E146)),"Southern Gold Mix",
ISNUMBER(SEARCH("heat-tolerant blue",E146)),"Heat-Tolerant Blue Mix",
ISNUMBER(SEARCH("high traffic",E146)),"High Traffic Mix",
ISNUMBER(SEARCH("quick fix",E146)),"Quick Fix Mix",
ISNUMBER(SEARCH("starter",E146)),"Starter Fertilizer",
ISNUMBER(SEARCH("weed &amp; feed",E146)),"Weed &amp; Feed",
ISNUMBER(SEARCH("lawn food",E146)),"Lawn Food",
ISNUMBER(SEARCH("triple action",E146)),"Triple Action Fertilizer",
ISNUMBER(SEARCH("green max",E146)),"Green Max Lawn Food",
ISNUMBER(SEARCH("patchmaster",E146)),"PatchMaster Repair",
ISNUMBER(SEARCH("ez seed",E146)),"EZ Seed Repair",
ISNUMBER(SEARCH("rapid grass",E146)),"Rapid Grass",
ISNUMBER(SEARCH("thick'r lawn",E146)),"Thick'R Lawn",
ISNUMBER(SEARCH("fungicide",E146)),"Fungicide",
ISNUMBER(SEARCH("moss",E146)),"Moss Control",
ISNUMBER(SEARCH("perlite",E146)),"Perlite",
ISNUMBER(SEARCH("plant food",E146)),"Plant Food",
ISNUMBER(SEARCH("spreader",E146)),"Spreader",
ISNUMBER(SEARCH("sprayer",E146)),"Sprayer",
ISNUMBER(SEARCH("mower",E146)),"Lawn Mower",
ISNUMBER(SEARCH("sweeper",E146)),"Lawn Sweeper",
OR(ISNUMBER(SEARCH("pruner",E146)),ISNUMBER(SEARCH("trimmer",E146)),ISNUMBER(SEARCH("pole saw",E146))),"Pruning Tools",
TRUE,"Other"
)</f>
        <v>Other</v>
      </c>
      <c r="J146" s="7" t="str">
        <f t="shared" si="38"/>
        <v>Weed Control - Other</v>
      </c>
      <c r="K146" s="4">
        <v>1000</v>
      </c>
      <c r="L146" s="4">
        <v>4</v>
      </c>
      <c r="M146" s="4">
        <v>1852</v>
      </c>
      <c r="N146" s="4" t="s">
        <v>704</v>
      </c>
      <c r="O146" s="4">
        <f>VLOOKUP(A146,[3]Sheet1!$A:$B,2,0)</f>
        <v>0</v>
      </c>
      <c r="P146" s="4">
        <f>VLOOKUP(A146,[3]Sheet1!$A:$C,3,0)</f>
        <v>100</v>
      </c>
      <c r="Q146" s="4">
        <f>VLOOKUP(A146,[3]Sheet1!$A:$D,4,0)</f>
        <v>1000</v>
      </c>
      <c r="R146" s="4">
        <f>VLOOKUP(A146,[3]Sheet1!$A:$E,5,0)</f>
        <v>2000</v>
      </c>
      <c r="S146" s="4">
        <f>VLOOKUP(A146,[3]Sheet1!$A:$F,6,0)</f>
        <v>3000</v>
      </c>
      <c r="T146" s="4">
        <f>VLOOKUP(A146,[3]Sheet1!$A:$G,7,0)</f>
        <v>2000</v>
      </c>
      <c r="U146" s="4">
        <f>VLOOKUP(A146,[3]Sheet1!$A:$I,8,0)</f>
        <v>1000</v>
      </c>
      <c r="V146" s="4">
        <f>VLOOKUP(A146,[3]Sheet1!$A:$J,9,0)</f>
        <v>1000</v>
      </c>
      <c r="W146" s="4">
        <f>VLOOKUP(A146,[3]Sheet1!$A:$J,10,0)</f>
        <v>1000</v>
      </c>
      <c r="X146" s="4">
        <f>VLOOKUP(A146,[3]Sheet1!$A:$K,11,0)</f>
        <v>0</v>
      </c>
      <c r="Y146" s="4">
        <f>VLOOKUP(A146,[3]Sheet1!$A:$L,12,0)</f>
        <v>0</v>
      </c>
      <c r="Z146" s="4">
        <f>VLOOKUP(A146,[3]Sheet1!$A:$M,13,0)</f>
        <v>100</v>
      </c>
      <c r="AA146" s="4">
        <f t="shared" si="32"/>
        <v>11200</v>
      </c>
      <c r="AB146" s="7">
        <f t="shared" si="39"/>
        <v>933</v>
      </c>
      <c r="AC146" s="15">
        <f t="shared" si="33"/>
        <v>933.33333333333337</v>
      </c>
      <c r="AD146" s="16">
        <f t="shared" si="34"/>
        <v>272272</v>
      </c>
      <c r="AE146" s="16">
        <f t="shared" si="35"/>
        <v>22689.333333333332</v>
      </c>
      <c r="AF146" s="16">
        <v>15</v>
      </c>
      <c r="AG146" s="16">
        <v>24.31</v>
      </c>
      <c r="AH146" s="8">
        <f t="shared" si="36"/>
        <v>-0.41840000000000011</v>
      </c>
      <c r="AI146" s="8">
        <f t="shared" si="37"/>
        <v>-1.4644000000000004</v>
      </c>
      <c r="AJ146" s="10">
        <v>0.5</v>
      </c>
      <c r="AK146" s="10">
        <v>0.5</v>
      </c>
      <c r="AL146" s="16">
        <v>15</v>
      </c>
      <c r="AM146" s="9">
        <f t="shared" si="40"/>
        <v>3.6464999999999996</v>
      </c>
      <c r="AN146" s="9">
        <f t="shared" si="41"/>
        <v>0.72929999999999995</v>
      </c>
      <c r="AO146" s="9">
        <f t="shared" si="42"/>
        <v>4.8620000000000001</v>
      </c>
      <c r="AP146" s="9">
        <f t="shared" si="43"/>
        <v>0.48619999999999997</v>
      </c>
      <c r="AQ146" s="9">
        <f t="shared" si="44"/>
        <v>4.8620000000000001</v>
      </c>
      <c r="AR146" s="9">
        <f t="shared" si="45"/>
        <v>6.0774999999999997</v>
      </c>
      <c r="AS146" s="11">
        <f t="shared" si="46"/>
        <v>-4.1840000000000011</v>
      </c>
      <c r="AT146" s="12">
        <f t="shared" si="47"/>
        <v>-4.9943333333333344</v>
      </c>
    </row>
    <row r="147" spans="1:46" ht="16.5" x14ac:dyDescent="0.4">
      <c r="A147" s="4" t="s">
        <v>705</v>
      </c>
      <c r="B147" s="4" t="s">
        <v>513</v>
      </c>
      <c r="C147" s="7" t="s">
        <v>1784</v>
      </c>
      <c r="D147" s="4" t="s">
        <v>706</v>
      </c>
      <c r="E147" s="4" t="s">
        <v>707</v>
      </c>
      <c r="F147" s="4" t="s">
        <v>708</v>
      </c>
      <c r="G147" s="7" t="str">
        <f>VLOOKUP(A147,[1]done!$A:$I,9,0)</f>
        <v>Other crawling insects</v>
      </c>
      <c r="H147" s="7" t="str" cm="1">
        <f t="array" ref="H147">_xlfn.IFS(
OR(ISNUMBER(SEARCH("mouse",E147)),ISNUMBER(SEARCH("rat",E147)),ISNUMBER(SEARCH("mice",E147)),ISNUMBER(SEARCH("rodent",E147))),"Rodent Control",
OR(ISNUMBER(SEARCH("fly",E147)),ISNUMBER(SEARCH("gnat",E147)),ISNUMBER(SEARCH("insect",E147)),ISNUMBER(SEARCH("mosquito",E147))),"Flying Insect Control",
OR(ISNUMBER(SEARCH("roach",E147)),ISNUMBER(SEARCH("ant",E147)),ISNUMBER(SEARCH("spider",E147)),ISNUMBER(SEARCH("cricket",E147)),ISNUMBER(SEARCH("scorpion",E147)),ISNUMBER(SEARCH("centipede",E147)),ISNUMBER(SEARCH("beetle",E147))),"Crawling Insect Control",
OR(ISNUMBER(SEARCH("tree",E147)),ISNUMBER(SEARCH("lantern",E147)),ISNUMBER(SEARCH("garden",E147)),ISNUMBER(SEARCH("plant",E147))),"Garden Pest Control",
OR(ISNUMBER(SEARCH("grass seed",E147)),ISNUMBER(SEARCH("seed mix",E147))),"Grass Seed",
OR(ISNUMBER(SEARCH("lawn food",E147)),ISNUMBER(SEARCH("fertilizer",E147))),"Lawn Fertilizer",
OR(ISNUMBER(SEARCH("patch",E147)),ISNUMBER(SEARCH("repair",E147)),ISNUMBER(SEARCH("thick'r",E147)),ISNUMBER(SEARCH("thick'r lawn",E147)),ISNUMBER(SEARCH("rapid grass",E147))),"Lawn Repair",
OR(ISNUMBER(SEARCH("weed",E147)),ISNUMBER(SEARCH("crabgrass",E147))),"Weed Control",
OR(ISNUMBER(SEARCH("fungicide",E147)),ISNUMBER(SEARCH("moss",E147))),"Disease &amp; Moss Control",
OR(ISNUMBER(SEARCH("plant food",E147)),ISNUMBER(SEARCH("miracid",E147))),"Plant Nutrition",
OR(ISNUMBER(SEARCH("perlite",E147))),"Soil Amendment",
OR(ISNUMBER(SEARCH("spreader",E147)),ISNUMBER(SEARCH("sprayer",E147)),ISNUMBER(SEARCH("mower",E147)),ISNUMBER(SEARCH("sweeper",E147)),ISNUMBER(SEARCH("pruner",E147)),ISNUMBER(SEARCH("trimmer",E147)),ISNUMBER(SEARCH("pole saw",E147))),"Garden Equipment",
TRUE,"Other"
)</f>
        <v>Crawling Insect Control</v>
      </c>
      <c r="I147" s="7" t="str" cm="1">
        <f t="array" ref="I147">_xlfn.IFS(
OR(ISNUMBER(SEARCH("glue trap",E147)),ISNUMBER(SEARCH("glue board",E147))),"Glue Traps",
OR(ISNUMBER(SEARCH("snap trap",E147)),ISNUMBER(SEARCH("power-kill",E147)),ISNUMBER(SEARCH("wide pedal",E147)),ISNUMBER(SEARCH("metal pedal",E147))),"Snap Traps",
OR(ISNUMBER(SEARCH("electronic",E147)),ISNUMBER(SEARCH("zapper",E147))),"Electronic Traps",
OR(ISNUMBER(SEARCH("live catch",E147)),ISNUMBER(SEARCH("multi-catch",E147)),ISNUMBER(SEARCH("catch &amp; hold",E147)),ISNUMBER(SEARCH("tin cat",E147))),"Live Catch Traps",
OR(ISNUMBER(SEARCH("bait",E147)),ISNUMBER(SEARCH("poison",E147))),"Bait &amp; Poison",
ISNUMBER(SEARCH("repellent",E147)),"Repellents",
OR(ISNUMBER(SEARCH("fly trap",E147)),ISNUMBER(SEARCH("fly ribbon",E147)),ISNUMBER(SEARCH("fly stick",E147)),ISNUMBER(SEARCH("window fly",E147)),ISNUMBER(SEARCH("fly magnet",E147))),"Fly Traps",
OR(ISNUMBER(SEARCH("uv",E147)),ISNUMBER(SEARCH("fly light",E147)),ISNUMBER(SEARCH("plug-in",E147))),"UV Fly Traps",
ISNUMBER(SEARCH("roach",E147)),"Roach Traps",
ISNUMBER(SEARCH("ant",E147)),"Ant Traps",
ISNUMBER(SEARCH("spider",E147)),"Spider Traps",
ISNUMBER(SEARCH("mosquito",E147)),"Mosquito Traps",
ISNUMBER(SEARCH("beetle",E147)),"Beetle Traps",
ISNUMBER(SEARCH("lantern",E147)),"Lanternfly Control",
OR(ISNUMBER(SEARCH("tree shield",E147)),ISNUMBER(SEARCH("tree banding",E147)),ISNUMBER(SEARCH("insect barrier",E147))),"Tree Barriers",
OR(ISNUMBER(SEARCH("sun &amp; shade",E147)),ISNUMBER(SEARCH("sun and shade",E147))),"Sun &amp; Shade Mix",
ISNUMBER(SEARCH("tall fescue",E147)),"Tall Fescue",
ISNUMBER(SEARCH("bermudagrass",E147)),"Bermudagrass",
ISNUMBER(SEARCH("kentucky",E147)),"Kentucky Bluegrass",
ISNUMBER(SEARCH("zoysia",E147)),"Zoysia",
ISNUMBER(SEARCH("ryegrass",E147)),"Perennial Ryegrass",
ISNUMBER(SEARCH("centipede",E147)),"Centipede Grass",
ISNUMBER(SEARCH("dense shade",E147)),"Dense Shade Mix",
ISNUMBER(SEARCH("southern gold",E147)),"Southern Gold Mix",
ISNUMBER(SEARCH("heat-tolerant blue",E147)),"Heat-Tolerant Blue Mix",
ISNUMBER(SEARCH("high traffic",E147)),"High Traffic Mix",
ISNUMBER(SEARCH("quick fix",E147)),"Quick Fix Mix",
ISNUMBER(SEARCH("starter",E147)),"Starter Fertilizer",
ISNUMBER(SEARCH("weed &amp; feed",E147)),"Weed &amp; Feed",
ISNUMBER(SEARCH("lawn food",E147)),"Lawn Food",
ISNUMBER(SEARCH("triple action",E147)),"Triple Action Fertilizer",
ISNUMBER(SEARCH("green max",E147)),"Green Max Lawn Food",
ISNUMBER(SEARCH("patchmaster",E147)),"PatchMaster Repair",
ISNUMBER(SEARCH("ez seed",E147)),"EZ Seed Repair",
ISNUMBER(SEARCH("rapid grass",E147)),"Rapid Grass",
ISNUMBER(SEARCH("thick'r lawn",E147)),"Thick'R Lawn",
ISNUMBER(SEARCH("fungicide",E147)),"Fungicide",
ISNUMBER(SEARCH("moss",E147)),"Moss Control",
ISNUMBER(SEARCH("perlite",E147)),"Perlite",
ISNUMBER(SEARCH("plant food",E147)),"Plant Food",
ISNUMBER(SEARCH("spreader",E147)),"Spreader",
ISNUMBER(SEARCH("sprayer",E147)),"Sprayer",
ISNUMBER(SEARCH("mower",E147)),"Lawn Mower",
ISNUMBER(SEARCH("sweeper",E147)),"Lawn Sweeper",
OR(ISNUMBER(SEARCH("pruner",E147)),ISNUMBER(SEARCH("trimmer",E147)),ISNUMBER(SEARCH("pole saw",E147))),"Pruning Tools",
TRUE,"Other"
)</f>
        <v>Ant Traps</v>
      </c>
      <c r="J147" s="7" t="str">
        <f t="shared" si="38"/>
        <v>Crawling Insect Control - Ant Traps</v>
      </c>
      <c r="K147" s="4">
        <v>1000</v>
      </c>
      <c r="L147" s="4">
        <v>4.5999999999999996</v>
      </c>
      <c r="M147" s="4">
        <v>4593</v>
      </c>
      <c r="N147" s="4" t="s">
        <v>709</v>
      </c>
      <c r="O147" s="4">
        <f>VLOOKUP(A147,[3]Sheet1!$A:$B,2,0)</f>
        <v>400</v>
      </c>
      <c r="P147" s="4">
        <f>VLOOKUP(A147,[3]Sheet1!$A:$C,3,0)</f>
        <v>500</v>
      </c>
      <c r="Q147" s="4">
        <f>VLOOKUP(A147,[3]Sheet1!$A:$D,4,0)</f>
        <v>1000</v>
      </c>
      <c r="R147" s="4">
        <f>VLOOKUP(A147,[3]Sheet1!$A:$E,5,0)</f>
        <v>2000</v>
      </c>
      <c r="S147" s="4">
        <f>VLOOKUP(A147,[3]Sheet1!$A:$F,6,0)</f>
        <v>1000</v>
      </c>
      <c r="T147" s="4">
        <f>VLOOKUP(A147,[3]Sheet1!$A:$G,7,0)</f>
        <v>2000</v>
      </c>
      <c r="U147" s="4">
        <f>VLOOKUP(A147,[3]Sheet1!$A:$I,8,0)</f>
        <v>2000</v>
      </c>
      <c r="V147" s="4">
        <f>VLOOKUP(A147,[3]Sheet1!$A:$J,9,0)</f>
        <v>1000</v>
      </c>
      <c r="W147" s="4">
        <f>VLOOKUP(A147,[3]Sheet1!$A:$J,10,0)</f>
        <v>1000</v>
      </c>
      <c r="X147" s="4">
        <f>VLOOKUP(A147,[3]Sheet1!$A:$K,11,0)</f>
        <v>1000</v>
      </c>
      <c r="Y147" s="4">
        <f>VLOOKUP(A147,[3]Sheet1!$A:$L,12,0)</f>
        <v>600</v>
      </c>
      <c r="Z147" s="4">
        <f>VLOOKUP(A147,[3]Sheet1!$A:$M,13,0)</f>
        <v>500</v>
      </c>
      <c r="AA147" s="4">
        <f t="shared" si="32"/>
        <v>13000</v>
      </c>
      <c r="AB147" s="7">
        <f t="shared" si="39"/>
        <v>1083</v>
      </c>
      <c r="AC147" s="15">
        <f t="shared" si="33"/>
        <v>1083.3333333333333</v>
      </c>
      <c r="AD147" s="16">
        <f t="shared" si="34"/>
        <v>312650</v>
      </c>
      <c r="AE147" s="16">
        <f t="shared" si="35"/>
        <v>26054.166666666664</v>
      </c>
      <c r="AF147" s="16">
        <v>6.13</v>
      </c>
      <c r="AG147" s="16">
        <v>24.05</v>
      </c>
      <c r="AH147" s="8">
        <f t="shared" si="36"/>
        <v>0.16599999999999995</v>
      </c>
      <c r="AI147" s="8">
        <f t="shared" si="37"/>
        <v>0.58099999999999974</v>
      </c>
      <c r="AJ147" s="10">
        <v>0.5</v>
      </c>
      <c r="AK147" s="10">
        <v>0.5</v>
      </c>
      <c r="AL147" s="16">
        <v>6.13</v>
      </c>
      <c r="AM147" s="9">
        <f t="shared" si="40"/>
        <v>3.6074999999999999</v>
      </c>
      <c r="AN147" s="9">
        <f t="shared" si="41"/>
        <v>0.72150000000000003</v>
      </c>
      <c r="AO147" s="9">
        <f t="shared" si="42"/>
        <v>4.8100000000000005</v>
      </c>
      <c r="AP147" s="9">
        <f t="shared" si="43"/>
        <v>0.48100000000000004</v>
      </c>
      <c r="AQ147" s="9">
        <f t="shared" si="44"/>
        <v>4.8100000000000005</v>
      </c>
      <c r="AR147" s="9">
        <f t="shared" si="45"/>
        <v>6.0125000000000002</v>
      </c>
      <c r="AS147" s="11">
        <f t="shared" si="46"/>
        <v>1.6599999999999995</v>
      </c>
      <c r="AT147" s="12">
        <f t="shared" si="47"/>
        <v>0.85833333333333306</v>
      </c>
    </row>
    <row r="148" spans="1:46" ht="16.5" x14ac:dyDescent="0.4">
      <c r="A148" s="4" t="s">
        <v>710</v>
      </c>
      <c r="B148" s="4" t="s">
        <v>513</v>
      </c>
      <c r="C148" s="7" t="s">
        <v>1785</v>
      </c>
      <c r="D148" s="4" t="s">
        <v>711</v>
      </c>
      <c r="E148" s="4" t="s">
        <v>712</v>
      </c>
      <c r="F148" s="4" t="s">
        <v>713</v>
      </c>
      <c r="G148" s="7" t="str">
        <f>VLOOKUP(A148,[1]done!$A:$I,9,0)</f>
        <v>Grass Seed</v>
      </c>
      <c r="H148" s="7" t="str" cm="1">
        <f t="array" ref="H148">_xlfn.IFS(
OR(ISNUMBER(SEARCH("mouse",E148)),ISNUMBER(SEARCH("rat",E148)),ISNUMBER(SEARCH("mice",E148)),ISNUMBER(SEARCH("rodent",E148))),"Rodent Control",
OR(ISNUMBER(SEARCH("fly",E148)),ISNUMBER(SEARCH("gnat",E148)),ISNUMBER(SEARCH("insect",E148)),ISNUMBER(SEARCH("mosquito",E148))),"Flying Insect Control",
OR(ISNUMBER(SEARCH("roach",E148)),ISNUMBER(SEARCH("ant",E148)),ISNUMBER(SEARCH("spider",E148)),ISNUMBER(SEARCH("cricket",E148)),ISNUMBER(SEARCH("scorpion",E148)),ISNUMBER(SEARCH("centipede",E148)),ISNUMBER(SEARCH("beetle",E148))),"Crawling Insect Control",
OR(ISNUMBER(SEARCH("tree",E148)),ISNUMBER(SEARCH("lantern",E148)),ISNUMBER(SEARCH("garden",E148)),ISNUMBER(SEARCH("plant",E148))),"Garden Pest Control",
OR(ISNUMBER(SEARCH("grass seed",E148)),ISNUMBER(SEARCH("seed mix",E148))),"Grass Seed",
OR(ISNUMBER(SEARCH("lawn food",E148)),ISNUMBER(SEARCH("fertilizer",E148))),"Lawn Fertilizer",
OR(ISNUMBER(SEARCH("patch",E148)),ISNUMBER(SEARCH("repair",E148)),ISNUMBER(SEARCH("thick'r",E148)),ISNUMBER(SEARCH("thick'r lawn",E148)),ISNUMBER(SEARCH("rapid grass",E148))),"Lawn Repair",
OR(ISNUMBER(SEARCH("weed",E148)),ISNUMBER(SEARCH("crabgrass",E148))),"Weed Control",
OR(ISNUMBER(SEARCH("fungicide",E148)),ISNUMBER(SEARCH("moss",E148))),"Disease &amp; Moss Control",
OR(ISNUMBER(SEARCH("plant food",E148)),ISNUMBER(SEARCH("miracid",E148))),"Plant Nutrition",
OR(ISNUMBER(SEARCH("perlite",E148))),"Soil Amendment",
OR(ISNUMBER(SEARCH("spreader",E148)),ISNUMBER(SEARCH("sprayer",E148)),ISNUMBER(SEARCH("mower",E148)),ISNUMBER(SEARCH("sweeper",E148)),ISNUMBER(SEARCH("pruner",E148)),ISNUMBER(SEARCH("trimmer",E148)),ISNUMBER(SEARCH("pole saw",E148))),"Garden Equipment",
TRUE,"Other"
)</f>
        <v>Grass Seed</v>
      </c>
      <c r="I148" s="7" t="str" cm="1">
        <f t="array" ref="I148">_xlfn.IFS(
OR(ISNUMBER(SEARCH("glue trap",E148)),ISNUMBER(SEARCH("glue board",E148))),"Glue Traps",
OR(ISNUMBER(SEARCH("snap trap",E148)),ISNUMBER(SEARCH("power-kill",E148)),ISNUMBER(SEARCH("wide pedal",E148)),ISNUMBER(SEARCH("metal pedal",E148))),"Snap Traps",
OR(ISNUMBER(SEARCH("electronic",E148)),ISNUMBER(SEARCH("zapper",E148))),"Electronic Traps",
OR(ISNUMBER(SEARCH("live catch",E148)),ISNUMBER(SEARCH("multi-catch",E148)),ISNUMBER(SEARCH("catch &amp; hold",E148)),ISNUMBER(SEARCH("tin cat",E148))),"Live Catch Traps",
OR(ISNUMBER(SEARCH("bait",E148)),ISNUMBER(SEARCH("poison",E148))),"Bait &amp; Poison",
ISNUMBER(SEARCH("repellent",E148)),"Repellents",
OR(ISNUMBER(SEARCH("fly trap",E148)),ISNUMBER(SEARCH("fly ribbon",E148)),ISNUMBER(SEARCH("fly stick",E148)),ISNUMBER(SEARCH("window fly",E148)),ISNUMBER(SEARCH("fly magnet",E148))),"Fly Traps",
OR(ISNUMBER(SEARCH("uv",E148)),ISNUMBER(SEARCH("fly light",E148)),ISNUMBER(SEARCH("plug-in",E148))),"UV Fly Traps",
ISNUMBER(SEARCH("roach",E148)),"Roach Traps",
ISNUMBER(SEARCH("ant",E148)),"Ant Traps",
ISNUMBER(SEARCH("spider",E148)),"Spider Traps",
ISNUMBER(SEARCH("mosquito",E148)),"Mosquito Traps",
ISNUMBER(SEARCH("beetle",E148)),"Beetle Traps",
ISNUMBER(SEARCH("lantern",E148)),"Lanternfly Control",
OR(ISNUMBER(SEARCH("tree shield",E148)),ISNUMBER(SEARCH("tree banding",E148)),ISNUMBER(SEARCH("insect barrier",E148))),"Tree Barriers",
OR(ISNUMBER(SEARCH("sun &amp; shade",E148)),ISNUMBER(SEARCH("sun and shade",E148))),"Sun &amp; Shade Mix",
ISNUMBER(SEARCH("tall fescue",E148)),"Tall Fescue",
ISNUMBER(SEARCH("bermudagrass",E148)),"Bermudagrass",
ISNUMBER(SEARCH("kentucky",E148)),"Kentucky Bluegrass",
ISNUMBER(SEARCH("zoysia",E148)),"Zoysia",
ISNUMBER(SEARCH("ryegrass",E148)),"Perennial Ryegrass",
ISNUMBER(SEARCH("centipede",E148)),"Centipede Grass",
ISNUMBER(SEARCH("dense shade",E148)),"Dense Shade Mix",
ISNUMBER(SEARCH("southern gold",E148)),"Southern Gold Mix",
ISNUMBER(SEARCH("heat-tolerant blue",E148)),"Heat-Tolerant Blue Mix",
ISNUMBER(SEARCH("high traffic",E148)),"High Traffic Mix",
ISNUMBER(SEARCH("quick fix",E148)),"Quick Fix Mix",
ISNUMBER(SEARCH("starter",E148)),"Starter Fertilizer",
ISNUMBER(SEARCH("weed &amp; feed",E148)),"Weed &amp; Feed",
ISNUMBER(SEARCH("lawn food",E148)),"Lawn Food",
ISNUMBER(SEARCH("triple action",E148)),"Triple Action Fertilizer",
ISNUMBER(SEARCH("green max",E148)),"Green Max Lawn Food",
ISNUMBER(SEARCH("patchmaster",E148)),"PatchMaster Repair",
ISNUMBER(SEARCH("ez seed",E148)),"EZ Seed Repair",
ISNUMBER(SEARCH("rapid grass",E148)),"Rapid Grass",
ISNUMBER(SEARCH("thick'r lawn",E148)),"Thick'R Lawn",
ISNUMBER(SEARCH("fungicide",E148)),"Fungicide",
ISNUMBER(SEARCH("moss",E148)),"Moss Control",
ISNUMBER(SEARCH("perlite",E148)),"Perlite",
ISNUMBER(SEARCH("plant food",E148)),"Plant Food",
ISNUMBER(SEARCH("spreader",E148)),"Spreader",
ISNUMBER(SEARCH("sprayer",E148)),"Sprayer",
ISNUMBER(SEARCH("mower",E148)),"Lawn Mower",
ISNUMBER(SEARCH("sweeper",E148)),"Lawn Sweeper",
OR(ISNUMBER(SEARCH("pruner",E148)),ISNUMBER(SEARCH("trimmer",E148)),ISNUMBER(SEARCH("pole saw",E148))),"Pruning Tools",
TRUE,"Other"
)</f>
        <v>Tall Fescue</v>
      </c>
      <c r="J148" s="7" t="str">
        <f t="shared" si="38"/>
        <v>Grass Seed - Tall Fescue</v>
      </c>
      <c r="K148" s="4">
        <v>900</v>
      </c>
      <c r="L148" s="4">
        <v>4.0999999999999996</v>
      </c>
      <c r="M148" s="4">
        <v>352</v>
      </c>
      <c r="N148" s="4" t="s">
        <v>193</v>
      </c>
      <c r="O148" s="4">
        <f>VLOOKUP(A148,[3]Sheet1!$A:$B,2,0)</f>
        <v>0</v>
      </c>
      <c r="P148" s="4">
        <f>VLOOKUP(A148,[3]Sheet1!$A:$C,3,0)</f>
        <v>50</v>
      </c>
      <c r="Q148" s="4">
        <f>VLOOKUP(A148,[3]Sheet1!$A:$D,4,0)</f>
        <v>1000</v>
      </c>
      <c r="R148" s="4">
        <f>VLOOKUP(A148,[3]Sheet1!$A:$E,5,0)</f>
        <v>1000</v>
      </c>
      <c r="S148" s="4">
        <f>VLOOKUP(A148,[3]Sheet1!$A:$F,6,0)</f>
        <v>1000</v>
      </c>
      <c r="T148" s="4">
        <f>VLOOKUP(A148,[3]Sheet1!$A:$G,7,0)</f>
        <v>600</v>
      </c>
      <c r="U148" s="4">
        <f>VLOOKUP(A148,[3]Sheet1!$A:$I,8,0)</f>
        <v>1000</v>
      </c>
      <c r="V148" s="4">
        <f>VLOOKUP(A148,[3]Sheet1!$A:$J,9,0)</f>
        <v>700</v>
      </c>
      <c r="W148" s="4">
        <f>VLOOKUP(A148,[3]Sheet1!$A:$J,10,0)</f>
        <v>800</v>
      </c>
      <c r="X148" s="4">
        <f>VLOOKUP(A148,[3]Sheet1!$A:$K,11,0)</f>
        <v>1000</v>
      </c>
      <c r="Y148" s="4">
        <f>VLOOKUP(A148,[3]Sheet1!$A:$L,12,0)</f>
        <v>200</v>
      </c>
      <c r="Z148" s="4">
        <f>VLOOKUP(A148,[3]Sheet1!$A:$M,13,0)</f>
        <v>50</v>
      </c>
      <c r="AA148" s="4">
        <f t="shared" si="32"/>
        <v>7400</v>
      </c>
      <c r="AB148" s="7">
        <f t="shared" si="39"/>
        <v>617</v>
      </c>
      <c r="AC148" s="15">
        <f t="shared" si="33"/>
        <v>616.66666666666663</v>
      </c>
      <c r="AD148" s="16">
        <f t="shared" si="34"/>
        <v>181966</v>
      </c>
      <c r="AE148" s="16">
        <f t="shared" si="35"/>
        <v>15163.833333333332</v>
      </c>
      <c r="AF148" s="16">
        <v>9.0399999999999991</v>
      </c>
      <c r="AG148" s="16">
        <v>24.59</v>
      </c>
      <c r="AH148" s="8">
        <f t="shared" si="36"/>
        <v>-1.3599999999999982E-2</v>
      </c>
      <c r="AI148" s="8">
        <f t="shared" si="37"/>
        <v>-4.7599999999999934E-2</v>
      </c>
      <c r="AJ148" s="10">
        <v>0.5</v>
      </c>
      <c r="AK148" s="10">
        <v>0.5</v>
      </c>
      <c r="AL148" s="16">
        <v>9.0399999999999991</v>
      </c>
      <c r="AM148" s="9">
        <f t="shared" si="40"/>
        <v>3.6884999999999999</v>
      </c>
      <c r="AN148" s="9">
        <f t="shared" si="41"/>
        <v>0.73770000000000002</v>
      </c>
      <c r="AO148" s="9">
        <f t="shared" si="42"/>
        <v>4.9180000000000001</v>
      </c>
      <c r="AP148" s="9">
        <f t="shared" si="43"/>
        <v>0.49180000000000001</v>
      </c>
      <c r="AQ148" s="9">
        <f t="shared" si="44"/>
        <v>4.9180000000000001</v>
      </c>
      <c r="AR148" s="9">
        <f t="shared" si="45"/>
        <v>6.1475</v>
      </c>
      <c r="AS148" s="11">
        <f t="shared" si="46"/>
        <v>-0.13599999999999982</v>
      </c>
      <c r="AT148" s="12">
        <f t="shared" si="47"/>
        <v>-0.95566666666666633</v>
      </c>
    </row>
    <row r="149" spans="1:46" ht="16.5" x14ac:dyDescent="0.4">
      <c r="A149" s="4" t="s">
        <v>714</v>
      </c>
      <c r="B149" s="4" t="s">
        <v>513</v>
      </c>
      <c r="C149" s="7" t="s">
        <v>1784</v>
      </c>
      <c r="D149" s="4" t="s">
        <v>715</v>
      </c>
      <c r="E149" s="4" t="s">
        <v>716</v>
      </c>
      <c r="F149" s="4" t="s">
        <v>717</v>
      </c>
      <c r="G149" s="7" t="str">
        <f>VLOOKUP(A149,[1]done!$A:$I,9,0)</f>
        <v>Weed Control</v>
      </c>
      <c r="H149" s="7" t="str" cm="1">
        <f t="array" ref="H149">_xlfn.IFS(
OR(ISNUMBER(SEARCH("mouse",E149)),ISNUMBER(SEARCH("rat",E149)),ISNUMBER(SEARCH("mice",E149)),ISNUMBER(SEARCH("rodent",E149))),"Rodent Control",
OR(ISNUMBER(SEARCH("fly",E149)),ISNUMBER(SEARCH("gnat",E149)),ISNUMBER(SEARCH("insect",E149)),ISNUMBER(SEARCH("mosquito",E149))),"Flying Insect Control",
OR(ISNUMBER(SEARCH("roach",E149)),ISNUMBER(SEARCH("ant",E149)),ISNUMBER(SEARCH("spider",E149)),ISNUMBER(SEARCH("cricket",E149)),ISNUMBER(SEARCH("scorpion",E149)),ISNUMBER(SEARCH("centipede",E149)),ISNUMBER(SEARCH("beetle",E149))),"Crawling Insect Control",
OR(ISNUMBER(SEARCH("tree",E149)),ISNUMBER(SEARCH("lantern",E149)),ISNUMBER(SEARCH("garden",E149)),ISNUMBER(SEARCH("plant",E149))),"Garden Pest Control",
OR(ISNUMBER(SEARCH("grass seed",E149)),ISNUMBER(SEARCH("seed mix",E149))),"Grass Seed",
OR(ISNUMBER(SEARCH("lawn food",E149)),ISNUMBER(SEARCH("fertilizer",E149))),"Lawn Fertilizer",
OR(ISNUMBER(SEARCH("patch",E149)),ISNUMBER(SEARCH("repair",E149)),ISNUMBER(SEARCH("thick'r",E149)),ISNUMBER(SEARCH("thick'r lawn",E149)),ISNUMBER(SEARCH("rapid grass",E149))),"Lawn Repair",
OR(ISNUMBER(SEARCH("weed",E149)),ISNUMBER(SEARCH("crabgrass",E149))),"Weed Control",
OR(ISNUMBER(SEARCH("fungicide",E149)),ISNUMBER(SEARCH("moss",E149))),"Disease &amp; Moss Control",
OR(ISNUMBER(SEARCH("plant food",E149)),ISNUMBER(SEARCH("miracid",E149))),"Plant Nutrition",
OR(ISNUMBER(SEARCH("perlite",E149))),"Soil Amendment",
OR(ISNUMBER(SEARCH("spreader",E149)),ISNUMBER(SEARCH("sprayer",E149)),ISNUMBER(SEARCH("mower",E149)),ISNUMBER(SEARCH("sweeper",E149)),ISNUMBER(SEARCH("pruner",E149)),ISNUMBER(SEARCH("trimmer",E149)),ISNUMBER(SEARCH("pole saw",E149))),"Garden Equipment",
TRUE,"Other"
)</f>
        <v>Weed Control</v>
      </c>
      <c r="I149" s="7" t="str" cm="1">
        <f t="array" ref="I149">_xlfn.IFS(
OR(ISNUMBER(SEARCH("glue trap",E149)),ISNUMBER(SEARCH("glue board",E149))),"Glue Traps",
OR(ISNUMBER(SEARCH("snap trap",E149)),ISNUMBER(SEARCH("power-kill",E149)),ISNUMBER(SEARCH("wide pedal",E149)),ISNUMBER(SEARCH("metal pedal",E149))),"Snap Traps",
OR(ISNUMBER(SEARCH("electronic",E149)),ISNUMBER(SEARCH("zapper",E149))),"Electronic Traps",
OR(ISNUMBER(SEARCH("live catch",E149)),ISNUMBER(SEARCH("multi-catch",E149)),ISNUMBER(SEARCH("catch &amp; hold",E149)),ISNUMBER(SEARCH("tin cat",E149))),"Live Catch Traps",
OR(ISNUMBER(SEARCH("bait",E149)),ISNUMBER(SEARCH("poison",E149))),"Bait &amp; Poison",
ISNUMBER(SEARCH("repellent",E149)),"Repellents",
OR(ISNUMBER(SEARCH("fly trap",E149)),ISNUMBER(SEARCH("fly ribbon",E149)),ISNUMBER(SEARCH("fly stick",E149)),ISNUMBER(SEARCH("window fly",E149)),ISNUMBER(SEARCH("fly magnet",E149))),"Fly Traps",
OR(ISNUMBER(SEARCH("uv",E149)),ISNUMBER(SEARCH("fly light",E149)),ISNUMBER(SEARCH("plug-in",E149))),"UV Fly Traps",
ISNUMBER(SEARCH("roach",E149)),"Roach Traps",
ISNUMBER(SEARCH("ant",E149)),"Ant Traps",
ISNUMBER(SEARCH("spider",E149)),"Spider Traps",
ISNUMBER(SEARCH("mosquito",E149)),"Mosquito Traps",
ISNUMBER(SEARCH("beetle",E149)),"Beetle Traps",
ISNUMBER(SEARCH("lantern",E149)),"Lanternfly Control",
OR(ISNUMBER(SEARCH("tree shield",E149)),ISNUMBER(SEARCH("tree banding",E149)),ISNUMBER(SEARCH("insect barrier",E149))),"Tree Barriers",
OR(ISNUMBER(SEARCH("sun &amp; shade",E149)),ISNUMBER(SEARCH("sun and shade",E149))),"Sun &amp; Shade Mix",
ISNUMBER(SEARCH("tall fescue",E149)),"Tall Fescue",
ISNUMBER(SEARCH("bermudagrass",E149)),"Bermudagrass",
ISNUMBER(SEARCH("kentucky",E149)),"Kentucky Bluegrass",
ISNUMBER(SEARCH("zoysia",E149)),"Zoysia",
ISNUMBER(SEARCH("ryegrass",E149)),"Perennial Ryegrass",
ISNUMBER(SEARCH("centipede",E149)),"Centipede Grass",
ISNUMBER(SEARCH("dense shade",E149)),"Dense Shade Mix",
ISNUMBER(SEARCH("southern gold",E149)),"Southern Gold Mix",
ISNUMBER(SEARCH("heat-tolerant blue",E149)),"Heat-Tolerant Blue Mix",
ISNUMBER(SEARCH("high traffic",E149)),"High Traffic Mix",
ISNUMBER(SEARCH("quick fix",E149)),"Quick Fix Mix",
ISNUMBER(SEARCH("starter",E149)),"Starter Fertilizer",
ISNUMBER(SEARCH("weed &amp; feed",E149)),"Weed &amp; Feed",
ISNUMBER(SEARCH("lawn food",E149)),"Lawn Food",
ISNUMBER(SEARCH("triple action",E149)),"Triple Action Fertilizer",
ISNUMBER(SEARCH("green max",E149)),"Green Max Lawn Food",
ISNUMBER(SEARCH("patchmaster",E149)),"PatchMaster Repair",
ISNUMBER(SEARCH("ez seed",E149)),"EZ Seed Repair",
ISNUMBER(SEARCH("rapid grass",E149)),"Rapid Grass",
ISNUMBER(SEARCH("thick'r lawn",E149)),"Thick'R Lawn",
ISNUMBER(SEARCH("fungicide",E149)),"Fungicide",
ISNUMBER(SEARCH("moss",E149)),"Moss Control",
ISNUMBER(SEARCH("perlite",E149)),"Perlite",
ISNUMBER(SEARCH("plant food",E149)),"Plant Food",
ISNUMBER(SEARCH("spreader",E149)),"Spreader",
ISNUMBER(SEARCH("sprayer",E149)),"Sprayer",
ISNUMBER(SEARCH("mower",E149)),"Lawn Mower",
ISNUMBER(SEARCH("sweeper",E149)),"Lawn Sweeper",
OR(ISNUMBER(SEARCH("pruner",E149)),ISNUMBER(SEARCH("trimmer",E149)),ISNUMBER(SEARCH("pole saw",E149))),"Pruning Tools",
TRUE,"Other"
)</f>
        <v>Other</v>
      </c>
      <c r="J149" s="7" t="str">
        <f t="shared" si="38"/>
        <v>Weed Control - Other</v>
      </c>
      <c r="K149" s="4">
        <v>900</v>
      </c>
      <c r="L149" s="4">
        <v>4.2</v>
      </c>
      <c r="M149" s="4">
        <v>9625</v>
      </c>
      <c r="N149" s="4" t="s">
        <v>718</v>
      </c>
      <c r="O149" s="4">
        <f>VLOOKUP(A149,[3]Sheet1!$A:$B,2,0)</f>
        <v>200</v>
      </c>
      <c r="P149" s="4">
        <f>VLOOKUP(A149,[3]Sheet1!$A:$C,3,0)</f>
        <v>1000</v>
      </c>
      <c r="Q149" s="4">
        <f>VLOOKUP(A149,[3]Sheet1!$A:$D,4,0)</f>
        <v>2000</v>
      </c>
      <c r="R149" s="4">
        <f>VLOOKUP(A149,[3]Sheet1!$A:$E,5,0)</f>
        <v>7000</v>
      </c>
      <c r="S149" s="4">
        <f>VLOOKUP(A149,[3]Sheet1!$A:$F,6,0)</f>
        <v>1000</v>
      </c>
      <c r="T149" s="4">
        <f>VLOOKUP(A149,[3]Sheet1!$A:$G,7,0)</f>
        <v>200</v>
      </c>
      <c r="U149" s="4">
        <f>VLOOKUP(A149,[3]Sheet1!$A:$I,8,0)</f>
        <v>200</v>
      </c>
      <c r="V149" s="4">
        <f>VLOOKUP(A149,[3]Sheet1!$A:$J,9,0)</f>
        <v>200</v>
      </c>
      <c r="W149" s="4">
        <f>VLOOKUP(A149,[3]Sheet1!$A:$J,10,0)</f>
        <v>800</v>
      </c>
      <c r="X149" s="4">
        <f>VLOOKUP(A149,[3]Sheet1!$A:$K,11,0)</f>
        <v>600</v>
      </c>
      <c r="Y149" s="4">
        <f>VLOOKUP(A149,[3]Sheet1!$A:$L,12,0)</f>
        <v>200</v>
      </c>
      <c r="Z149" s="4">
        <f>VLOOKUP(A149,[3]Sheet1!$A:$M,13,0)</f>
        <v>200</v>
      </c>
      <c r="AA149" s="4">
        <f t="shared" si="32"/>
        <v>13600</v>
      </c>
      <c r="AB149" s="7">
        <f t="shared" si="39"/>
        <v>1133</v>
      </c>
      <c r="AC149" s="15">
        <f t="shared" si="33"/>
        <v>1133.3333333333333</v>
      </c>
      <c r="AD149" s="16">
        <f t="shared" si="34"/>
        <v>747320</v>
      </c>
      <c r="AE149" s="16">
        <f t="shared" si="35"/>
        <v>62276.666666666664</v>
      </c>
      <c r="AF149" s="16">
        <v>17.36</v>
      </c>
      <c r="AG149" s="16">
        <v>54.95</v>
      </c>
      <c r="AH149" s="8">
        <f t="shared" si="36"/>
        <v>0.24133333333333318</v>
      </c>
      <c r="AI149" s="8">
        <f t="shared" si="37"/>
        <v>0.84466666666666612</v>
      </c>
      <c r="AJ149" s="10">
        <v>0.5</v>
      </c>
      <c r="AK149" s="10">
        <v>0.5</v>
      </c>
      <c r="AL149" s="16">
        <v>17.36</v>
      </c>
      <c r="AM149" s="9">
        <f t="shared" si="40"/>
        <v>8.2424999999999997</v>
      </c>
      <c r="AN149" s="9">
        <f t="shared" si="41"/>
        <v>1.6485000000000001</v>
      </c>
      <c r="AO149" s="9">
        <f t="shared" si="42"/>
        <v>10.990000000000002</v>
      </c>
      <c r="AP149" s="9">
        <f t="shared" si="43"/>
        <v>1.099</v>
      </c>
      <c r="AQ149" s="9">
        <f t="shared" si="44"/>
        <v>10.990000000000002</v>
      </c>
      <c r="AR149" s="9">
        <f t="shared" si="45"/>
        <v>13.737500000000001</v>
      </c>
      <c r="AS149" s="11">
        <f t="shared" si="46"/>
        <v>2.4133333333333318</v>
      </c>
      <c r="AT149" s="12">
        <f t="shared" si="47"/>
        <v>0.58166666666666578</v>
      </c>
    </row>
    <row r="150" spans="1:46" ht="16.5" x14ac:dyDescent="0.4">
      <c r="A150" s="4" t="s">
        <v>719</v>
      </c>
      <c r="B150" s="4" t="s">
        <v>513</v>
      </c>
      <c r="C150" s="7" t="s">
        <v>1784</v>
      </c>
      <c r="D150" s="4" t="s">
        <v>720</v>
      </c>
      <c r="E150" s="4" t="s">
        <v>721</v>
      </c>
      <c r="F150" s="4" t="s">
        <v>722</v>
      </c>
      <c r="G150" s="7" t="str">
        <f>VLOOKUP(A150,[1]done!$A:$I,9,0)</f>
        <v>Lawn Fertilizer</v>
      </c>
      <c r="H150" s="7" t="str" cm="1">
        <f t="array" ref="H150">_xlfn.IFS(
OR(ISNUMBER(SEARCH("mouse",E150)),ISNUMBER(SEARCH("rat",E150)),ISNUMBER(SEARCH("mice",E150)),ISNUMBER(SEARCH("rodent",E150))),"Rodent Control",
OR(ISNUMBER(SEARCH("fly",E150)),ISNUMBER(SEARCH("gnat",E150)),ISNUMBER(SEARCH("insect",E150)),ISNUMBER(SEARCH("mosquito",E150))),"Flying Insect Control",
OR(ISNUMBER(SEARCH("roach",E150)),ISNUMBER(SEARCH("ant",E150)),ISNUMBER(SEARCH("spider",E150)),ISNUMBER(SEARCH("cricket",E150)),ISNUMBER(SEARCH("scorpion",E150)),ISNUMBER(SEARCH("centipede",E150)),ISNUMBER(SEARCH("beetle",E150))),"Crawling Insect Control",
OR(ISNUMBER(SEARCH("tree",E150)),ISNUMBER(SEARCH("lantern",E150)),ISNUMBER(SEARCH("garden",E150)),ISNUMBER(SEARCH("plant",E150))),"Garden Pest Control",
OR(ISNUMBER(SEARCH("grass seed",E150)),ISNUMBER(SEARCH("seed mix",E150))),"Grass Seed",
OR(ISNUMBER(SEARCH("lawn food",E150)),ISNUMBER(SEARCH("fertilizer",E150))),"Lawn Fertilizer",
OR(ISNUMBER(SEARCH("patch",E150)),ISNUMBER(SEARCH("repair",E150)),ISNUMBER(SEARCH("thick'r",E150)),ISNUMBER(SEARCH("thick'r lawn",E150)),ISNUMBER(SEARCH("rapid grass",E150))),"Lawn Repair",
OR(ISNUMBER(SEARCH("weed",E150)),ISNUMBER(SEARCH("crabgrass",E150))),"Weed Control",
OR(ISNUMBER(SEARCH("fungicide",E150)),ISNUMBER(SEARCH("moss",E150))),"Disease &amp; Moss Control",
OR(ISNUMBER(SEARCH("plant food",E150)),ISNUMBER(SEARCH("miracid",E150))),"Plant Nutrition",
OR(ISNUMBER(SEARCH("perlite",E150))),"Soil Amendment",
OR(ISNUMBER(SEARCH("spreader",E150)),ISNUMBER(SEARCH("sprayer",E150)),ISNUMBER(SEARCH("mower",E150)),ISNUMBER(SEARCH("sweeper",E150)),ISNUMBER(SEARCH("pruner",E150)),ISNUMBER(SEARCH("trimmer",E150)),ISNUMBER(SEARCH("pole saw",E150))),"Garden Equipment",
TRUE,"Other"
)</f>
        <v>Other</v>
      </c>
      <c r="I150" s="7" t="str" cm="1">
        <f t="array" ref="I150">_xlfn.IFS(
OR(ISNUMBER(SEARCH("glue trap",E150)),ISNUMBER(SEARCH("glue board",E150))),"Glue Traps",
OR(ISNUMBER(SEARCH("snap trap",E150)),ISNUMBER(SEARCH("power-kill",E150)),ISNUMBER(SEARCH("wide pedal",E150)),ISNUMBER(SEARCH("metal pedal",E150))),"Snap Traps",
OR(ISNUMBER(SEARCH("electronic",E150)),ISNUMBER(SEARCH("zapper",E150))),"Electronic Traps",
OR(ISNUMBER(SEARCH("live catch",E150)),ISNUMBER(SEARCH("multi-catch",E150)),ISNUMBER(SEARCH("catch &amp; hold",E150)),ISNUMBER(SEARCH("tin cat",E150))),"Live Catch Traps",
OR(ISNUMBER(SEARCH("bait",E150)),ISNUMBER(SEARCH("poison",E150))),"Bait &amp; Poison",
ISNUMBER(SEARCH("repellent",E150)),"Repellents",
OR(ISNUMBER(SEARCH("fly trap",E150)),ISNUMBER(SEARCH("fly ribbon",E150)),ISNUMBER(SEARCH("fly stick",E150)),ISNUMBER(SEARCH("window fly",E150)),ISNUMBER(SEARCH("fly magnet",E150))),"Fly Traps",
OR(ISNUMBER(SEARCH("uv",E150)),ISNUMBER(SEARCH("fly light",E150)),ISNUMBER(SEARCH("plug-in",E150))),"UV Fly Traps",
ISNUMBER(SEARCH("roach",E150)),"Roach Traps",
ISNUMBER(SEARCH("ant",E150)),"Ant Traps",
ISNUMBER(SEARCH("spider",E150)),"Spider Traps",
ISNUMBER(SEARCH("mosquito",E150)),"Mosquito Traps",
ISNUMBER(SEARCH("beetle",E150)),"Beetle Traps",
ISNUMBER(SEARCH("lantern",E150)),"Lanternfly Control",
OR(ISNUMBER(SEARCH("tree shield",E150)),ISNUMBER(SEARCH("tree banding",E150)),ISNUMBER(SEARCH("insect barrier",E150))),"Tree Barriers",
OR(ISNUMBER(SEARCH("sun &amp; shade",E150)),ISNUMBER(SEARCH("sun and shade",E150))),"Sun &amp; Shade Mix",
ISNUMBER(SEARCH("tall fescue",E150)),"Tall Fescue",
ISNUMBER(SEARCH("bermudagrass",E150)),"Bermudagrass",
ISNUMBER(SEARCH("kentucky",E150)),"Kentucky Bluegrass",
ISNUMBER(SEARCH("zoysia",E150)),"Zoysia",
ISNUMBER(SEARCH("ryegrass",E150)),"Perennial Ryegrass",
ISNUMBER(SEARCH("centipede",E150)),"Centipede Grass",
ISNUMBER(SEARCH("dense shade",E150)),"Dense Shade Mix",
ISNUMBER(SEARCH("southern gold",E150)),"Southern Gold Mix",
ISNUMBER(SEARCH("heat-tolerant blue",E150)),"Heat-Tolerant Blue Mix",
ISNUMBER(SEARCH("high traffic",E150)),"High Traffic Mix",
ISNUMBER(SEARCH("quick fix",E150)),"Quick Fix Mix",
ISNUMBER(SEARCH("starter",E150)),"Starter Fertilizer",
ISNUMBER(SEARCH("weed &amp; feed",E150)),"Weed &amp; Feed",
ISNUMBER(SEARCH("lawn food",E150)),"Lawn Food",
ISNUMBER(SEARCH("triple action",E150)),"Triple Action Fertilizer",
ISNUMBER(SEARCH("green max",E150)),"Green Max Lawn Food",
ISNUMBER(SEARCH("patchmaster",E150)),"PatchMaster Repair",
ISNUMBER(SEARCH("ez seed",E150)),"EZ Seed Repair",
ISNUMBER(SEARCH("rapid grass",E150)),"Rapid Grass",
ISNUMBER(SEARCH("thick'r lawn",E150)),"Thick'R Lawn",
ISNUMBER(SEARCH("fungicide",E150)),"Fungicide",
ISNUMBER(SEARCH("moss",E150)),"Moss Control",
ISNUMBER(SEARCH("perlite",E150)),"Perlite",
ISNUMBER(SEARCH("plant food",E150)),"Plant Food",
ISNUMBER(SEARCH("spreader",E150)),"Spreader",
ISNUMBER(SEARCH("sprayer",E150)),"Sprayer",
ISNUMBER(SEARCH("mower",E150)),"Lawn Mower",
ISNUMBER(SEARCH("sweeper",E150)),"Lawn Sweeper",
OR(ISNUMBER(SEARCH("pruner",E150)),ISNUMBER(SEARCH("trimmer",E150)),ISNUMBER(SEARCH("pole saw",E150))),"Pruning Tools",
TRUE,"Other"
)</f>
        <v>Triple Action Fertilizer</v>
      </c>
      <c r="J150" s="7" t="str">
        <f t="shared" si="38"/>
        <v>Other - Triple Action Fertilizer</v>
      </c>
      <c r="K150" s="4">
        <v>900</v>
      </c>
      <c r="L150" s="4">
        <v>4.4000000000000004</v>
      </c>
      <c r="M150" s="4">
        <v>2108</v>
      </c>
      <c r="N150" s="4" t="s">
        <v>536</v>
      </c>
      <c r="O150" s="4">
        <f>VLOOKUP(A150,[3]Sheet1!$A:$B,2,0)</f>
        <v>250</v>
      </c>
      <c r="P150" s="4">
        <f>VLOOKUP(A150,[3]Sheet1!$A:$C,3,0)</f>
        <v>500</v>
      </c>
      <c r="Q150" s="4">
        <f>VLOOKUP(A150,[3]Sheet1!$A:$D,4,0)</f>
        <v>2000</v>
      </c>
      <c r="R150" s="4">
        <f>VLOOKUP(A150,[3]Sheet1!$A:$E,5,0)</f>
        <v>8000</v>
      </c>
      <c r="S150" s="4">
        <f>VLOOKUP(A150,[3]Sheet1!$A:$F,6,0)</f>
        <v>7000</v>
      </c>
      <c r="T150" s="4">
        <f>VLOOKUP(A150,[3]Sheet1!$A:$G,7,0)</f>
        <v>2000</v>
      </c>
      <c r="U150" s="4">
        <f>VLOOKUP(A150,[3]Sheet1!$A:$I,8,0)</f>
        <v>2000</v>
      </c>
      <c r="V150" s="4">
        <f>VLOOKUP(A150,[3]Sheet1!$A:$J,9,0)</f>
        <v>1000</v>
      </c>
      <c r="W150" s="4">
        <f>VLOOKUP(A150,[3]Sheet1!$A:$J,10,0)</f>
        <v>1000</v>
      </c>
      <c r="X150" s="4">
        <f>VLOOKUP(A150,[3]Sheet1!$A:$K,11,0)</f>
        <v>1000</v>
      </c>
      <c r="Y150" s="4">
        <f>VLOOKUP(A150,[3]Sheet1!$A:$L,12,0)</f>
        <v>500</v>
      </c>
      <c r="Z150" s="4">
        <f>VLOOKUP(A150,[3]Sheet1!$A:$M,13,0)</f>
        <v>250</v>
      </c>
      <c r="AA150" s="4">
        <f t="shared" si="32"/>
        <v>25500</v>
      </c>
      <c r="AB150" s="7">
        <f t="shared" si="39"/>
        <v>2125</v>
      </c>
      <c r="AC150" s="15">
        <f t="shared" si="33"/>
        <v>2125</v>
      </c>
      <c r="AD150" s="16">
        <f t="shared" si="34"/>
        <v>956760.00000000012</v>
      </c>
      <c r="AE150" s="16">
        <f t="shared" si="35"/>
        <v>79730</v>
      </c>
      <c r="AF150" s="16">
        <v>10.029999999999999</v>
      </c>
      <c r="AG150" s="16">
        <v>37.520000000000003</v>
      </c>
      <c r="AH150" s="8">
        <f t="shared" si="36"/>
        <v>0.26519999999999999</v>
      </c>
      <c r="AI150" s="8">
        <f t="shared" si="37"/>
        <v>0.9281999999999998</v>
      </c>
      <c r="AJ150" s="10">
        <v>0.5</v>
      </c>
      <c r="AK150" s="10">
        <v>0.5</v>
      </c>
      <c r="AL150" s="16">
        <v>10.029999999999999</v>
      </c>
      <c r="AM150" s="9">
        <f t="shared" si="40"/>
        <v>5.6280000000000001</v>
      </c>
      <c r="AN150" s="9">
        <f t="shared" si="41"/>
        <v>1.1256000000000002</v>
      </c>
      <c r="AO150" s="9">
        <f t="shared" si="42"/>
        <v>7.5040000000000013</v>
      </c>
      <c r="AP150" s="9">
        <f t="shared" si="43"/>
        <v>0.75040000000000007</v>
      </c>
      <c r="AQ150" s="9">
        <f t="shared" si="44"/>
        <v>7.5040000000000013</v>
      </c>
      <c r="AR150" s="9">
        <f t="shared" si="45"/>
        <v>9.3800000000000008</v>
      </c>
      <c r="AS150" s="11">
        <f t="shared" si="46"/>
        <v>2.6519999999999997</v>
      </c>
      <c r="AT150" s="12">
        <f t="shared" si="47"/>
        <v>1.4013333333333335</v>
      </c>
    </row>
    <row r="151" spans="1:46" ht="16.5" x14ac:dyDescent="0.4">
      <c r="A151" s="4" t="s">
        <v>723</v>
      </c>
      <c r="B151" s="4" t="s">
        <v>513</v>
      </c>
      <c r="C151" s="7" t="s">
        <v>513</v>
      </c>
      <c r="D151" s="4" t="s">
        <v>724</v>
      </c>
      <c r="E151" s="4" t="s">
        <v>725</v>
      </c>
      <c r="F151" s="4" t="s">
        <v>726</v>
      </c>
      <c r="G151" s="7" t="str">
        <f>VLOOKUP(A151,[1]done!$A:$I,9,0)</f>
        <v>Lawn Fertilizer</v>
      </c>
      <c r="H151" s="7" t="str" cm="1">
        <f t="array" ref="H151">_xlfn.IFS(
OR(ISNUMBER(SEARCH("mouse",E151)),ISNUMBER(SEARCH("rat",E151)),ISNUMBER(SEARCH("mice",E151)),ISNUMBER(SEARCH("rodent",E151))),"Rodent Control",
OR(ISNUMBER(SEARCH("fly",E151)),ISNUMBER(SEARCH("gnat",E151)),ISNUMBER(SEARCH("insect",E151)),ISNUMBER(SEARCH("mosquito",E151))),"Flying Insect Control",
OR(ISNUMBER(SEARCH("roach",E151)),ISNUMBER(SEARCH("ant",E151)),ISNUMBER(SEARCH("spider",E151)),ISNUMBER(SEARCH("cricket",E151)),ISNUMBER(SEARCH("scorpion",E151)),ISNUMBER(SEARCH("centipede",E151)),ISNUMBER(SEARCH("beetle",E151))),"Crawling Insect Control",
OR(ISNUMBER(SEARCH("tree",E151)),ISNUMBER(SEARCH("lantern",E151)),ISNUMBER(SEARCH("garden",E151)),ISNUMBER(SEARCH("plant",E151))),"Garden Pest Control",
OR(ISNUMBER(SEARCH("grass seed",E151)),ISNUMBER(SEARCH("seed mix",E151))),"Grass Seed",
OR(ISNUMBER(SEARCH("lawn food",E151)),ISNUMBER(SEARCH("fertilizer",E151))),"Lawn Fertilizer",
OR(ISNUMBER(SEARCH("patch",E151)),ISNUMBER(SEARCH("repair",E151)),ISNUMBER(SEARCH("thick'r",E151)),ISNUMBER(SEARCH("thick'r lawn",E151)),ISNUMBER(SEARCH("rapid grass",E151))),"Lawn Repair",
OR(ISNUMBER(SEARCH("weed",E151)),ISNUMBER(SEARCH("crabgrass",E151))),"Weed Control",
OR(ISNUMBER(SEARCH("fungicide",E151)),ISNUMBER(SEARCH("moss",E151))),"Disease &amp; Moss Control",
OR(ISNUMBER(SEARCH("plant food",E151)),ISNUMBER(SEARCH("miracid",E151))),"Plant Nutrition",
OR(ISNUMBER(SEARCH("perlite",E151))),"Soil Amendment",
OR(ISNUMBER(SEARCH("spreader",E151)),ISNUMBER(SEARCH("sprayer",E151)),ISNUMBER(SEARCH("mower",E151)),ISNUMBER(SEARCH("sweeper",E151)),ISNUMBER(SEARCH("pruner",E151)),ISNUMBER(SEARCH("trimmer",E151)),ISNUMBER(SEARCH("pole saw",E151))),"Garden Equipment",
TRUE,"Other"
)</f>
        <v>Lawn Fertilizer</v>
      </c>
      <c r="I151" s="7" t="str" cm="1">
        <f t="array" ref="I151">_xlfn.IFS(
OR(ISNUMBER(SEARCH("glue trap",E151)),ISNUMBER(SEARCH("glue board",E151))),"Glue Traps",
OR(ISNUMBER(SEARCH("snap trap",E151)),ISNUMBER(SEARCH("power-kill",E151)),ISNUMBER(SEARCH("wide pedal",E151)),ISNUMBER(SEARCH("metal pedal",E151))),"Snap Traps",
OR(ISNUMBER(SEARCH("electronic",E151)),ISNUMBER(SEARCH("zapper",E151))),"Electronic Traps",
OR(ISNUMBER(SEARCH("live catch",E151)),ISNUMBER(SEARCH("multi-catch",E151)),ISNUMBER(SEARCH("catch &amp; hold",E151)),ISNUMBER(SEARCH("tin cat",E151))),"Live Catch Traps",
OR(ISNUMBER(SEARCH("bait",E151)),ISNUMBER(SEARCH("poison",E151))),"Bait &amp; Poison",
ISNUMBER(SEARCH("repellent",E151)),"Repellents",
OR(ISNUMBER(SEARCH("fly trap",E151)),ISNUMBER(SEARCH("fly ribbon",E151)),ISNUMBER(SEARCH("fly stick",E151)),ISNUMBER(SEARCH("window fly",E151)),ISNUMBER(SEARCH("fly magnet",E151))),"Fly Traps",
OR(ISNUMBER(SEARCH("uv",E151)),ISNUMBER(SEARCH("fly light",E151)),ISNUMBER(SEARCH("plug-in",E151))),"UV Fly Traps",
ISNUMBER(SEARCH("roach",E151)),"Roach Traps",
ISNUMBER(SEARCH("ant",E151)),"Ant Traps",
ISNUMBER(SEARCH("spider",E151)),"Spider Traps",
ISNUMBER(SEARCH("mosquito",E151)),"Mosquito Traps",
ISNUMBER(SEARCH("beetle",E151)),"Beetle Traps",
ISNUMBER(SEARCH("lantern",E151)),"Lanternfly Control",
OR(ISNUMBER(SEARCH("tree shield",E151)),ISNUMBER(SEARCH("tree banding",E151)),ISNUMBER(SEARCH("insect barrier",E151))),"Tree Barriers",
OR(ISNUMBER(SEARCH("sun &amp; shade",E151)),ISNUMBER(SEARCH("sun and shade",E151))),"Sun &amp; Shade Mix",
ISNUMBER(SEARCH("tall fescue",E151)),"Tall Fescue",
ISNUMBER(SEARCH("bermudagrass",E151)),"Bermudagrass",
ISNUMBER(SEARCH("kentucky",E151)),"Kentucky Bluegrass",
ISNUMBER(SEARCH("zoysia",E151)),"Zoysia",
ISNUMBER(SEARCH("ryegrass",E151)),"Perennial Ryegrass",
ISNUMBER(SEARCH("centipede",E151)),"Centipede Grass",
ISNUMBER(SEARCH("dense shade",E151)),"Dense Shade Mix",
ISNUMBER(SEARCH("southern gold",E151)),"Southern Gold Mix",
ISNUMBER(SEARCH("heat-tolerant blue",E151)),"Heat-Tolerant Blue Mix",
ISNUMBER(SEARCH("high traffic",E151)),"High Traffic Mix",
ISNUMBER(SEARCH("quick fix",E151)),"Quick Fix Mix",
ISNUMBER(SEARCH("starter",E151)),"Starter Fertilizer",
ISNUMBER(SEARCH("weed &amp; feed",E151)),"Weed &amp; Feed",
ISNUMBER(SEARCH("lawn food",E151)),"Lawn Food",
ISNUMBER(SEARCH("triple action",E151)),"Triple Action Fertilizer",
ISNUMBER(SEARCH("green max",E151)),"Green Max Lawn Food",
ISNUMBER(SEARCH("patchmaster",E151)),"PatchMaster Repair",
ISNUMBER(SEARCH("ez seed",E151)),"EZ Seed Repair",
ISNUMBER(SEARCH("rapid grass",E151)),"Rapid Grass",
ISNUMBER(SEARCH("thick'r lawn",E151)),"Thick'R Lawn",
ISNUMBER(SEARCH("fungicide",E151)),"Fungicide",
ISNUMBER(SEARCH("moss",E151)),"Moss Control",
ISNUMBER(SEARCH("perlite",E151)),"Perlite",
ISNUMBER(SEARCH("plant food",E151)),"Plant Food",
ISNUMBER(SEARCH("spreader",E151)),"Spreader",
ISNUMBER(SEARCH("sprayer",E151)),"Sprayer",
ISNUMBER(SEARCH("mower",E151)),"Lawn Mower",
ISNUMBER(SEARCH("sweeper",E151)),"Lawn Sweeper",
OR(ISNUMBER(SEARCH("pruner",E151)),ISNUMBER(SEARCH("trimmer",E151)),ISNUMBER(SEARCH("pole saw",E151))),"Pruning Tools",
TRUE,"Other"
)</f>
        <v>Lawn Food</v>
      </c>
      <c r="J151" s="7" t="str">
        <f t="shared" si="38"/>
        <v>Lawn Fertilizer - Lawn Food</v>
      </c>
      <c r="K151" s="4">
        <v>800</v>
      </c>
      <c r="L151" s="4">
        <v>4.5999999999999996</v>
      </c>
      <c r="M151" s="4">
        <v>13859</v>
      </c>
      <c r="N151" s="4" t="s">
        <v>526</v>
      </c>
      <c r="O151" s="4">
        <f>VLOOKUP(A151,[3]Sheet1!$A:$B,2,0)</f>
        <v>0</v>
      </c>
      <c r="P151" s="4">
        <f>VLOOKUP(A151,[3]Sheet1!$A:$C,3,0)</f>
        <v>0</v>
      </c>
      <c r="Q151" s="4">
        <f>VLOOKUP(A151,[3]Sheet1!$A:$D,4,0)</f>
        <v>0</v>
      </c>
      <c r="R151" s="4">
        <f>VLOOKUP(A151,[3]Sheet1!$A:$E,5,0)</f>
        <v>0</v>
      </c>
      <c r="S151" s="4">
        <f>VLOOKUP(A151,[3]Sheet1!$A:$F,6,0)</f>
        <v>0</v>
      </c>
      <c r="T151" s="4">
        <f>VLOOKUP(A151,[3]Sheet1!$A:$G,7,0)</f>
        <v>0</v>
      </c>
      <c r="U151" s="4">
        <f>VLOOKUP(A151,[3]Sheet1!$A:$I,8,0)</f>
        <v>0</v>
      </c>
      <c r="V151" s="4">
        <f>VLOOKUP(A151,[3]Sheet1!$A:$J,9,0)</f>
        <v>100</v>
      </c>
      <c r="W151" s="4">
        <f>VLOOKUP(A151,[3]Sheet1!$A:$J,10,0)</f>
        <v>500</v>
      </c>
      <c r="X151" s="4">
        <f>VLOOKUP(A151,[3]Sheet1!$A:$K,11,0)</f>
        <v>0</v>
      </c>
      <c r="Y151" s="4">
        <f>VLOOKUP(A151,[3]Sheet1!$A:$L,12,0)</f>
        <v>0</v>
      </c>
      <c r="Z151" s="4">
        <f>VLOOKUP(A151,[3]Sheet1!$A:$M,13,0)</f>
        <v>0</v>
      </c>
      <c r="AA151" s="4">
        <f t="shared" si="32"/>
        <v>600</v>
      </c>
      <c r="AB151" s="7">
        <f t="shared" si="39"/>
        <v>50</v>
      </c>
      <c r="AC151" s="15">
        <f t="shared" si="33"/>
        <v>50</v>
      </c>
      <c r="AD151" s="16">
        <f t="shared" si="34"/>
        <v>23892</v>
      </c>
      <c r="AE151" s="16">
        <f t="shared" si="35"/>
        <v>1991</v>
      </c>
      <c r="AF151" s="16">
        <v>10.36</v>
      </c>
      <c r="AG151" s="16">
        <v>39.82</v>
      </c>
      <c r="AH151" s="8">
        <f t="shared" si="36"/>
        <v>0.30453333333333332</v>
      </c>
      <c r="AI151" s="8">
        <f t="shared" si="37"/>
        <v>1.0658666666666665</v>
      </c>
      <c r="AJ151" s="10">
        <v>0.5</v>
      </c>
      <c r="AK151" s="10">
        <v>0.5</v>
      </c>
      <c r="AL151" s="16">
        <v>10.36</v>
      </c>
      <c r="AM151" s="9">
        <f t="shared" si="40"/>
        <v>5.9729999999999999</v>
      </c>
      <c r="AN151" s="9">
        <f t="shared" si="41"/>
        <v>1.1945999999999999</v>
      </c>
      <c r="AO151" s="9">
        <f t="shared" si="42"/>
        <v>7.9640000000000004</v>
      </c>
      <c r="AP151" s="9">
        <f t="shared" si="43"/>
        <v>0.7964</v>
      </c>
      <c r="AQ151" s="9">
        <f t="shared" si="44"/>
        <v>7.9640000000000004</v>
      </c>
      <c r="AR151" s="9">
        <f t="shared" si="45"/>
        <v>9.9550000000000001</v>
      </c>
      <c r="AS151" s="11">
        <f t="shared" si="46"/>
        <v>3.0453333333333332</v>
      </c>
      <c r="AT151" s="12">
        <f t="shared" si="47"/>
        <v>1.718</v>
      </c>
    </row>
    <row r="152" spans="1:46" ht="16.5" x14ac:dyDescent="0.4">
      <c r="A152" s="4" t="s">
        <v>727</v>
      </c>
      <c r="B152" s="4" t="s">
        <v>513</v>
      </c>
      <c r="C152" s="7" t="s">
        <v>1784</v>
      </c>
      <c r="D152" s="4" t="s">
        <v>728</v>
      </c>
      <c r="E152" s="4" t="s">
        <v>729</v>
      </c>
      <c r="F152" s="4" t="s">
        <v>730</v>
      </c>
      <c r="G152" s="7" t="str">
        <f>VLOOKUP(A152,[1]done!$A:$I,9,0)</f>
        <v>Lawn Fertilizer</v>
      </c>
      <c r="H152" s="7" t="str" cm="1">
        <f t="array" ref="H152">_xlfn.IFS(
OR(ISNUMBER(SEARCH("mouse",E152)),ISNUMBER(SEARCH("rat",E152)),ISNUMBER(SEARCH("mice",E152)),ISNUMBER(SEARCH("rodent",E152))),"Rodent Control",
OR(ISNUMBER(SEARCH("fly",E152)),ISNUMBER(SEARCH("gnat",E152)),ISNUMBER(SEARCH("insect",E152)),ISNUMBER(SEARCH("mosquito",E152))),"Flying Insect Control",
OR(ISNUMBER(SEARCH("roach",E152)),ISNUMBER(SEARCH("ant",E152)),ISNUMBER(SEARCH("spider",E152)),ISNUMBER(SEARCH("cricket",E152)),ISNUMBER(SEARCH("scorpion",E152)),ISNUMBER(SEARCH("centipede",E152)),ISNUMBER(SEARCH("beetle",E152))),"Crawling Insect Control",
OR(ISNUMBER(SEARCH("tree",E152)),ISNUMBER(SEARCH("lantern",E152)),ISNUMBER(SEARCH("garden",E152)),ISNUMBER(SEARCH("plant",E152))),"Garden Pest Control",
OR(ISNUMBER(SEARCH("grass seed",E152)),ISNUMBER(SEARCH("seed mix",E152))),"Grass Seed",
OR(ISNUMBER(SEARCH("lawn food",E152)),ISNUMBER(SEARCH("fertilizer",E152))),"Lawn Fertilizer",
OR(ISNUMBER(SEARCH("patch",E152)),ISNUMBER(SEARCH("repair",E152)),ISNUMBER(SEARCH("thick'r",E152)),ISNUMBER(SEARCH("thick'r lawn",E152)),ISNUMBER(SEARCH("rapid grass",E152))),"Lawn Repair",
OR(ISNUMBER(SEARCH("weed",E152)),ISNUMBER(SEARCH("crabgrass",E152))),"Weed Control",
OR(ISNUMBER(SEARCH("fungicide",E152)),ISNUMBER(SEARCH("moss",E152))),"Disease &amp; Moss Control",
OR(ISNUMBER(SEARCH("plant food",E152)),ISNUMBER(SEARCH("miracid",E152))),"Plant Nutrition",
OR(ISNUMBER(SEARCH("perlite",E152))),"Soil Amendment",
OR(ISNUMBER(SEARCH("spreader",E152)),ISNUMBER(SEARCH("sprayer",E152)),ISNUMBER(SEARCH("mower",E152)),ISNUMBER(SEARCH("sweeper",E152)),ISNUMBER(SEARCH("pruner",E152)),ISNUMBER(SEARCH("trimmer",E152)),ISNUMBER(SEARCH("pole saw",E152))),"Garden Equipment",
TRUE,"Other"
)</f>
        <v>Lawn Repair</v>
      </c>
      <c r="I152" s="7" t="str" cm="1">
        <f t="array" ref="I152">_xlfn.IFS(
OR(ISNUMBER(SEARCH("glue trap",E152)),ISNUMBER(SEARCH("glue board",E152))),"Glue Traps",
OR(ISNUMBER(SEARCH("snap trap",E152)),ISNUMBER(SEARCH("power-kill",E152)),ISNUMBER(SEARCH("wide pedal",E152)),ISNUMBER(SEARCH("metal pedal",E152))),"Snap Traps",
OR(ISNUMBER(SEARCH("electronic",E152)),ISNUMBER(SEARCH("zapper",E152))),"Electronic Traps",
OR(ISNUMBER(SEARCH("live catch",E152)),ISNUMBER(SEARCH("multi-catch",E152)),ISNUMBER(SEARCH("catch &amp; hold",E152)),ISNUMBER(SEARCH("tin cat",E152))),"Live Catch Traps",
OR(ISNUMBER(SEARCH("bait",E152)),ISNUMBER(SEARCH("poison",E152))),"Bait &amp; Poison",
ISNUMBER(SEARCH("repellent",E152)),"Repellents",
OR(ISNUMBER(SEARCH("fly trap",E152)),ISNUMBER(SEARCH("fly ribbon",E152)),ISNUMBER(SEARCH("fly stick",E152)),ISNUMBER(SEARCH("window fly",E152)),ISNUMBER(SEARCH("fly magnet",E152))),"Fly Traps",
OR(ISNUMBER(SEARCH("uv",E152)),ISNUMBER(SEARCH("fly light",E152)),ISNUMBER(SEARCH("plug-in",E152))),"UV Fly Traps",
ISNUMBER(SEARCH("roach",E152)),"Roach Traps",
ISNUMBER(SEARCH("ant",E152)),"Ant Traps",
ISNUMBER(SEARCH("spider",E152)),"Spider Traps",
ISNUMBER(SEARCH("mosquito",E152)),"Mosquito Traps",
ISNUMBER(SEARCH("beetle",E152)),"Beetle Traps",
ISNUMBER(SEARCH("lantern",E152)),"Lanternfly Control",
OR(ISNUMBER(SEARCH("tree shield",E152)),ISNUMBER(SEARCH("tree banding",E152)),ISNUMBER(SEARCH("insect barrier",E152))),"Tree Barriers",
OR(ISNUMBER(SEARCH("sun &amp; shade",E152)),ISNUMBER(SEARCH("sun and shade",E152))),"Sun &amp; Shade Mix",
ISNUMBER(SEARCH("tall fescue",E152)),"Tall Fescue",
ISNUMBER(SEARCH("bermudagrass",E152)),"Bermudagrass",
ISNUMBER(SEARCH("kentucky",E152)),"Kentucky Bluegrass",
ISNUMBER(SEARCH("zoysia",E152)),"Zoysia",
ISNUMBER(SEARCH("ryegrass",E152)),"Perennial Ryegrass",
ISNUMBER(SEARCH("centipede",E152)),"Centipede Grass",
ISNUMBER(SEARCH("dense shade",E152)),"Dense Shade Mix",
ISNUMBER(SEARCH("southern gold",E152)),"Southern Gold Mix",
ISNUMBER(SEARCH("heat-tolerant blue",E152)),"Heat-Tolerant Blue Mix",
ISNUMBER(SEARCH("high traffic",E152)),"High Traffic Mix",
ISNUMBER(SEARCH("quick fix",E152)),"Quick Fix Mix",
ISNUMBER(SEARCH("starter",E152)),"Starter Fertilizer",
ISNUMBER(SEARCH("weed &amp; feed",E152)),"Weed &amp; Feed",
ISNUMBER(SEARCH("lawn food",E152)),"Lawn Food",
ISNUMBER(SEARCH("triple action",E152)),"Triple Action Fertilizer",
ISNUMBER(SEARCH("green max",E152)),"Green Max Lawn Food",
ISNUMBER(SEARCH("patchmaster",E152)),"PatchMaster Repair",
ISNUMBER(SEARCH("ez seed",E152)),"EZ Seed Repair",
ISNUMBER(SEARCH("rapid grass",E152)),"Rapid Grass",
ISNUMBER(SEARCH("thick'r lawn",E152)),"Thick'R Lawn",
ISNUMBER(SEARCH("fungicide",E152)),"Fungicide",
ISNUMBER(SEARCH("moss",E152)),"Moss Control",
ISNUMBER(SEARCH("perlite",E152)),"Perlite",
ISNUMBER(SEARCH("plant food",E152)),"Plant Food",
ISNUMBER(SEARCH("spreader",E152)),"Spreader",
ISNUMBER(SEARCH("sprayer",E152)),"Sprayer",
ISNUMBER(SEARCH("mower",E152)),"Lawn Mower",
ISNUMBER(SEARCH("sweeper",E152)),"Lawn Sweeper",
OR(ISNUMBER(SEARCH("pruner",E152)),ISNUMBER(SEARCH("trimmer",E152)),ISNUMBER(SEARCH("pole saw",E152))),"Pruning Tools",
TRUE,"Other"
)</f>
        <v>Sun &amp; Shade Mix</v>
      </c>
      <c r="J152" s="7" t="str">
        <f t="shared" si="38"/>
        <v>Lawn Repair - Sun &amp; Shade Mix</v>
      </c>
      <c r="K152" s="4">
        <v>800</v>
      </c>
      <c r="L152" s="4">
        <v>4.2</v>
      </c>
      <c r="M152" s="4">
        <v>13295</v>
      </c>
      <c r="N152" s="4" t="s">
        <v>731</v>
      </c>
      <c r="O152" s="4">
        <f>VLOOKUP(A152,[3]Sheet1!$A:$B,2,0)</f>
        <v>100</v>
      </c>
      <c r="P152" s="4">
        <f>VLOOKUP(A152,[3]Sheet1!$A:$C,3,0)</f>
        <v>100</v>
      </c>
      <c r="Q152" s="4">
        <f>VLOOKUP(A152,[3]Sheet1!$A:$D,4,0)</f>
        <v>1000</v>
      </c>
      <c r="R152" s="4">
        <f>VLOOKUP(A152,[3]Sheet1!$A:$E,5,0)</f>
        <v>2000</v>
      </c>
      <c r="S152" s="4">
        <f>VLOOKUP(A152,[3]Sheet1!$A:$F,6,0)</f>
        <v>2000</v>
      </c>
      <c r="T152" s="4">
        <f>VLOOKUP(A152,[3]Sheet1!$A:$G,7,0)</f>
        <v>3000</v>
      </c>
      <c r="U152" s="4">
        <f>VLOOKUP(A152,[3]Sheet1!$A:$I,8,0)</f>
        <v>900</v>
      </c>
      <c r="V152" s="4">
        <f>VLOOKUP(A152,[3]Sheet1!$A:$J,9,0)</f>
        <v>800</v>
      </c>
      <c r="W152" s="4">
        <f>VLOOKUP(A152,[3]Sheet1!$A:$J,10,0)</f>
        <v>1000</v>
      </c>
      <c r="X152" s="4">
        <f>VLOOKUP(A152,[3]Sheet1!$A:$K,11,0)</f>
        <v>1000</v>
      </c>
      <c r="Y152" s="4">
        <f>VLOOKUP(A152,[3]Sheet1!$A:$L,12,0)</f>
        <v>200</v>
      </c>
      <c r="Z152" s="4">
        <f>VLOOKUP(A152,[3]Sheet1!$A:$M,13,0)</f>
        <v>100</v>
      </c>
      <c r="AA152" s="4">
        <f t="shared" si="32"/>
        <v>12200</v>
      </c>
      <c r="AB152" s="7">
        <f t="shared" si="39"/>
        <v>1017</v>
      </c>
      <c r="AC152" s="15">
        <f t="shared" si="33"/>
        <v>1016.6666666666666</v>
      </c>
      <c r="AD152" s="16">
        <f t="shared" si="34"/>
        <v>730536</v>
      </c>
      <c r="AE152" s="16">
        <f t="shared" si="35"/>
        <v>60878</v>
      </c>
      <c r="AF152" s="16">
        <v>17.649999999999999</v>
      </c>
      <c r="AG152" s="16">
        <v>59.88</v>
      </c>
      <c r="AH152" s="8">
        <f t="shared" si="36"/>
        <v>0.35346666666666654</v>
      </c>
      <c r="AI152" s="8">
        <f t="shared" si="37"/>
        <v>1.2371333333333328</v>
      </c>
      <c r="AJ152" s="10">
        <v>0.5</v>
      </c>
      <c r="AK152" s="10">
        <v>0.5</v>
      </c>
      <c r="AL152" s="16">
        <v>17.649999999999999</v>
      </c>
      <c r="AM152" s="9">
        <f t="shared" si="40"/>
        <v>8.9819999999999993</v>
      </c>
      <c r="AN152" s="9">
        <f t="shared" si="41"/>
        <v>1.7964</v>
      </c>
      <c r="AO152" s="9">
        <f t="shared" si="42"/>
        <v>11.976000000000001</v>
      </c>
      <c r="AP152" s="9">
        <f t="shared" si="43"/>
        <v>1.1976</v>
      </c>
      <c r="AQ152" s="9">
        <f t="shared" si="44"/>
        <v>11.976000000000001</v>
      </c>
      <c r="AR152" s="9">
        <f t="shared" si="45"/>
        <v>14.97</v>
      </c>
      <c r="AS152" s="11">
        <f t="shared" si="46"/>
        <v>3.5346666666666651</v>
      </c>
      <c r="AT152" s="12">
        <f t="shared" si="47"/>
        <v>1.5386666666666653</v>
      </c>
    </row>
    <row r="153" spans="1:46" ht="16.5" x14ac:dyDescent="0.4">
      <c r="A153" s="4" t="s">
        <v>732</v>
      </c>
      <c r="B153" s="4" t="s">
        <v>513</v>
      </c>
      <c r="C153" s="7" t="s">
        <v>1784</v>
      </c>
      <c r="D153" s="4" t="s">
        <v>733</v>
      </c>
      <c r="E153" s="4" t="s">
        <v>734</v>
      </c>
      <c r="F153" s="4" t="s">
        <v>735</v>
      </c>
      <c r="G153" s="7" t="str">
        <f>VLOOKUP(A153,[1]done!$A:$I,9,0)</f>
        <v>Lawn Fertilizer</v>
      </c>
      <c r="H153" s="7" t="str" cm="1">
        <f t="array" ref="H153">_xlfn.IFS(
OR(ISNUMBER(SEARCH("mouse",E153)),ISNUMBER(SEARCH("rat",E153)),ISNUMBER(SEARCH("mice",E153)),ISNUMBER(SEARCH("rodent",E153))),"Rodent Control",
OR(ISNUMBER(SEARCH("fly",E153)),ISNUMBER(SEARCH("gnat",E153)),ISNUMBER(SEARCH("insect",E153)),ISNUMBER(SEARCH("mosquito",E153))),"Flying Insect Control",
OR(ISNUMBER(SEARCH("roach",E153)),ISNUMBER(SEARCH("ant",E153)),ISNUMBER(SEARCH("spider",E153)),ISNUMBER(SEARCH("cricket",E153)),ISNUMBER(SEARCH("scorpion",E153)),ISNUMBER(SEARCH("centipede",E153)),ISNUMBER(SEARCH("beetle",E153))),"Crawling Insect Control",
OR(ISNUMBER(SEARCH("tree",E153)),ISNUMBER(SEARCH("lantern",E153)),ISNUMBER(SEARCH("garden",E153)),ISNUMBER(SEARCH("plant",E153))),"Garden Pest Control",
OR(ISNUMBER(SEARCH("grass seed",E153)),ISNUMBER(SEARCH("seed mix",E153))),"Grass Seed",
OR(ISNUMBER(SEARCH("lawn food",E153)),ISNUMBER(SEARCH("fertilizer",E153))),"Lawn Fertilizer",
OR(ISNUMBER(SEARCH("patch",E153)),ISNUMBER(SEARCH("repair",E153)),ISNUMBER(SEARCH("thick'r",E153)),ISNUMBER(SEARCH("thick'r lawn",E153)),ISNUMBER(SEARCH("rapid grass",E153))),"Lawn Repair",
OR(ISNUMBER(SEARCH("weed",E153)),ISNUMBER(SEARCH("crabgrass",E153))),"Weed Control",
OR(ISNUMBER(SEARCH("fungicide",E153)),ISNUMBER(SEARCH("moss",E153))),"Disease &amp; Moss Control",
OR(ISNUMBER(SEARCH("plant food",E153)),ISNUMBER(SEARCH("miracid",E153))),"Plant Nutrition",
OR(ISNUMBER(SEARCH("perlite",E153))),"Soil Amendment",
OR(ISNUMBER(SEARCH("spreader",E153)),ISNUMBER(SEARCH("sprayer",E153)),ISNUMBER(SEARCH("mower",E153)),ISNUMBER(SEARCH("sweeper",E153)),ISNUMBER(SEARCH("pruner",E153)),ISNUMBER(SEARCH("trimmer",E153)),ISNUMBER(SEARCH("pole saw",E153))),"Garden Equipment",
TRUE,"Other"
)</f>
        <v>Weed Control</v>
      </c>
      <c r="I153" s="7" t="str" cm="1">
        <f t="array" ref="I153">_xlfn.IFS(
OR(ISNUMBER(SEARCH("glue trap",E153)),ISNUMBER(SEARCH("glue board",E153))),"Glue Traps",
OR(ISNUMBER(SEARCH("snap trap",E153)),ISNUMBER(SEARCH("power-kill",E153)),ISNUMBER(SEARCH("wide pedal",E153)),ISNUMBER(SEARCH("metal pedal",E153))),"Snap Traps",
OR(ISNUMBER(SEARCH("electronic",E153)),ISNUMBER(SEARCH("zapper",E153))),"Electronic Traps",
OR(ISNUMBER(SEARCH("live catch",E153)),ISNUMBER(SEARCH("multi-catch",E153)),ISNUMBER(SEARCH("catch &amp; hold",E153)),ISNUMBER(SEARCH("tin cat",E153))),"Live Catch Traps",
OR(ISNUMBER(SEARCH("bait",E153)),ISNUMBER(SEARCH("poison",E153))),"Bait &amp; Poison",
ISNUMBER(SEARCH("repellent",E153)),"Repellents",
OR(ISNUMBER(SEARCH("fly trap",E153)),ISNUMBER(SEARCH("fly ribbon",E153)),ISNUMBER(SEARCH("fly stick",E153)),ISNUMBER(SEARCH("window fly",E153)),ISNUMBER(SEARCH("fly magnet",E153))),"Fly Traps",
OR(ISNUMBER(SEARCH("uv",E153)),ISNUMBER(SEARCH("fly light",E153)),ISNUMBER(SEARCH("plug-in",E153))),"UV Fly Traps",
ISNUMBER(SEARCH("roach",E153)),"Roach Traps",
ISNUMBER(SEARCH("ant",E153)),"Ant Traps",
ISNUMBER(SEARCH("spider",E153)),"Spider Traps",
ISNUMBER(SEARCH("mosquito",E153)),"Mosquito Traps",
ISNUMBER(SEARCH("beetle",E153)),"Beetle Traps",
ISNUMBER(SEARCH("lantern",E153)),"Lanternfly Control",
OR(ISNUMBER(SEARCH("tree shield",E153)),ISNUMBER(SEARCH("tree banding",E153)),ISNUMBER(SEARCH("insect barrier",E153))),"Tree Barriers",
OR(ISNUMBER(SEARCH("sun &amp; shade",E153)),ISNUMBER(SEARCH("sun and shade",E153))),"Sun &amp; Shade Mix",
ISNUMBER(SEARCH("tall fescue",E153)),"Tall Fescue",
ISNUMBER(SEARCH("bermudagrass",E153)),"Bermudagrass",
ISNUMBER(SEARCH("kentucky",E153)),"Kentucky Bluegrass",
ISNUMBER(SEARCH("zoysia",E153)),"Zoysia",
ISNUMBER(SEARCH("ryegrass",E153)),"Perennial Ryegrass",
ISNUMBER(SEARCH("centipede",E153)),"Centipede Grass",
ISNUMBER(SEARCH("dense shade",E153)),"Dense Shade Mix",
ISNUMBER(SEARCH("southern gold",E153)),"Southern Gold Mix",
ISNUMBER(SEARCH("heat-tolerant blue",E153)),"Heat-Tolerant Blue Mix",
ISNUMBER(SEARCH("high traffic",E153)),"High Traffic Mix",
ISNUMBER(SEARCH("quick fix",E153)),"Quick Fix Mix",
ISNUMBER(SEARCH("starter",E153)),"Starter Fertilizer",
ISNUMBER(SEARCH("weed &amp; feed",E153)),"Weed &amp; Feed",
ISNUMBER(SEARCH("lawn food",E153)),"Lawn Food",
ISNUMBER(SEARCH("triple action",E153)),"Triple Action Fertilizer",
ISNUMBER(SEARCH("green max",E153)),"Green Max Lawn Food",
ISNUMBER(SEARCH("patchmaster",E153)),"PatchMaster Repair",
ISNUMBER(SEARCH("ez seed",E153)),"EZ Seed Repair",
ISNUMBER(SEARCH("rapid grass",E153)),"Rapid Grass",
ISNUMBER(SEARCH("thick'r lawn",E153)),"Thick'R Lawn",
ISNUMBER(SEARCH("fungicide",E153)),"Fungicide",
ISNUMBER(SEARCH("moss",E153)),"Moss Control",
ISNUMBER(SEARCH("perlite",E153)),"Perlite",
ISNUMBER(SEARCH("plant food",E153)),"Plant Food",
ISNUMBER(SEARCH("spreader",E153)),"Spreader",
ISNUMBER(SEARCH("sprayer",E153)),"Sprayer",
ISNUMBER(SEARCH("mower",E153)),"Lawn Mower",
ISNUMBER(SEARCH("sweeper",E153)),"Lawn Sweeper",
OR(ISNUMBER(SEARCH("pruner",E153)),ISNUMBER(SEARCH("trimmer",E153)),ISNUMBER(SEARCH("pole saw",E153))),"Pruning Tools",
TRUE,"Other"
)</f>
        <v>Weed &amp; Feed</v>
      </c>
      <c r="J153" s="7" t="str">
        <f t="shared" si="38"/>
        <v>Weed Control - Weed &amp; Feed</v>
      </c>
      <c r="K153" s="4">
        <v>800</v>
      </c>
      <c r="L153" s="4">
        <v>4.4000000000000004</v>
      </c>
      <c r="M153" s="4">
        <v>36931</v>
      </c>
      <c r="N153" s="4" t="s">
        <v>540</v>
      </c>
      <c r="O153" s="4">
        <f>VLOOKUP(A153,[3]Sheet1!$A:$B,2,0)</f>
        <v>0</v>
      </c>
      <c r="P153" s="4">
        <f>VLOOKUP(A153,[3]Sheet1!$A:$C,3,0)</f>
        <v>250</v>
      </c>
      <c r="Q153" s="4">
        <f>VLOOKUP(A153,[3]Sheet1!$A:$D,4,0)</f>
        <v>1000</v>
      </c>
      <c r="R153" s="4">
        <f>VLOOKUP(A153,[3]Sheet1!$A:$E,5,0)</f>
        <v>2000</v>
      </c>
      <c r="S153" s="4">
        <f>VLOOKUP(A153,[3]Sheet1!$A:$F,6,0)</f>
        <v>10000</v>
      </c>
      <c r="T153" s="4">
        <f>VLOOKUP(A153,[3]Sheet1!$A:$G,7,0)</f>
        <v>1000</v>
      </c>
      <c r="U153" s="4">
        <f>VLOOKUP(A153,[3]Sheet1!$A:$I,8,0)</f>
        <v>1000</v>
      </c>
      <c r="V153" s="4">
        <f>VLOOKUP(A153,[3]Sheet1!$A:$J,9,0)</f>
        <v>1000</v>
      </c>
      <c r="W153" s="4">
        <f>VLOOKUP(A153,[3]Sheet1!$A:$J,10,0)</f>
        <v>1000</v>
      </c>
      <c r="X153" s="4">
        <f>VLOOKUP(A153,[3]Sheet1!$A:$K,11,0)</f>
        <v>500</v>
      </c>
      <c r="Y153" s="4">
        <f>VLOOKUP(A153,[3]Sheet1!$A:$L,12,0)</f>
        <v>250</v>
      </c>
      <c r="Z153" s="4">
        <f>VLOOKUP(A153,[3]Sheet1!$A:$M,13,0)</f>
        <v>0</v>
      </c>
      <c r="AA153" s="4">
        <f t="shared" si="32"/>
        <v>18000</v>
      </c>
      <c r="AB153" s="7">
        <f t="shared" si="39"/>
        <v>1500</v>
      </c>
      <c r="AC153" s="15">
        <f t="shared" si="33"/>
        <v>1500</v>
      </c>
      <c r="AD153" s="16">
        <f t="shared" si="34"/>
        <v>1170000</v>
      </c>
      <c r="AE153" s="16">
        <f t="shared" si="35"/>
        <v>97500</v>
      </c>
      <c r="AF153" s="16">
        <v>23.16</v>
      </c>
      <c r="AG153" s="16">
        <v>65</v>
      </c>
      <c r="AH153" s="8">
        <f t="shared" si="36"/>
        <v>0.12266666666666666</v>
      </c>
      <c r="AI153" s="8">
        <f t="shared" si="37"/>
        <v>0.42933333333333329</v>
      </c>
      <c r="AJ153" s="10">
        <v>0.5</v>
      </c>
      <c r="AK153" s="10">
        <v>0.5</v>
      </c>
      <c r="AL153" s="16">
        <v>23.16</v>
      </c>
      <c r="AM153" s="9">
        <f t="shared" si="40"/>
        <v>9.75</v>
      </c>
      <c r="AN153" s="9">
        <f t="shared" si="41"/>
        <v>1.95</v>
      </c>
      <c r="AO153" s="9">
        <f t="shared" si="42"/>
        <v>13</v>
      </c>
      <c r="AP153" s="9">
        <f t="shared" si="43"/>
        <v>1.3</v>
      </c>
      <c r="AQ153" s="9">
        <f t="shared" si="44"/>
        <v>13</v>
      </c>
      <c r="AR153" s="9">
        <f t="shared" si="45"/>
        <v>16.25</v>
      </c>
      <c r="AS153" s="11">
        <f t="shared" si="46"/>
        <v>1.2266666666666666</v>
      </c>
      <c r="AT153" s="12">
        <f t="shared" si="47"/>
        <v>-0.94000000000000006</v>
      </c>
    </row>
    <row r="154" spans="1:46" ht="16.5" x14ac:dyDescent="0.4">
      <c r="A154" s="4" t="s">
        <v>736</v>
      </c>
      <c r="B154" s="4" t="s">
        <v>513</v>
      </c>
      <c r="C154" s="7" t="s">
        <v>1784</v>
      </c>
      <c r="D154" s="4" t="s">
        <v>737</v>
      </c>
      <c r="E154" s="4" t="s">
        <v>738</v>
      </c>
      <c r="F154" s="4" t="s">
        <v>739</v>
      </c>
      <c r="G154" s="7" t="str">
        <f>VLOOKUP(A154,[1]done!$A:$I,9,0)</f>
        <v>Lawn Fertilizer</v>
      </c>
      <c r="H154" s="7" t="str" cm="1">
        <f t="array" ref="H154">_xlfn.IFS(
OR(ISNUMBER(SEARCH("mouse",E154)),ISNUMBER(SEARCH("rat",E154)),ISNUMBER(SEARCH("mice",E154)),ISNUMBER(SEARCH("rodent",E154))),"Rodent Control",
OR(ISNUMBER(SEARCH("fly",E154)),ISNUMBER(SEARCH("gnat",E154)),ISNUMBER(SEARCH("insect",E154)),ISNUMBER(SEARCH("mosquito",E154))),"Flying Insect Control",
OR(ISNUMBER(SEARCH("roach",E154)),ISNUMBER(SEARCH("ant",E154)),ISNUMBER(SEARCH("spider",E154)),ISNUMBER(SEARCH("cricket",E154)),ISNUMBER(SEARCH("scorpion",E154)),ISNUMBER(SEARCH("centipede",E154)),ISNUMBER(SEARCH("beetle",E154))),"Crawling Insect Control",
OR(ISNUMBER(SEARCH("tree",E154)),ISNUMBER(SEARCH("lantern",E154)),ISNUMBER(SEARCH("garden",E154)),ISNUMBER(SEARCH("plant",E154))),"Garden Pest Control",
OR(ISNUMBER(SEARCH("grass seed",E154)),ISNUMBER(SEARCH("seed mix",E154))),"Grass Seed",
OR(ISNUMBER(SEARCH("lawn food",E154)),ISNUMBER(SEARCH("fertilizer",E154))),"Lawn Fertilizer",
OR(ISNUMBER(SEARCH("patch",E154)),ISNUMBER(SEARCH("repair",E154)),ISNUMBER(SEARCH("thick'r",E154)),ISNUMBER(SEARCH("thick'r lawn",E154)),ISNUMBER(SEARCH("rapid grass",E154))),"Lawn Repair",
OR(ISNUMBER(SEARCH("weed",E154)),ISNUMBER(SEARCH("crabgrass",E154))),"Weed Control",
OR(ISNUMBER(SEARCH("fungicide",E154)),ISNUMBER(SEARCH("moss",E154))),"Disease &amp; Moss Control",
OR(ISNUMBER(SEARCH("plant food",E154)),ISNUMBER(SEARCH("miracid",E154))),"Plant Nutrition",
OR(ISNUMBER(SEARCH("perlite",E154))),"Soil Amendment",
OR(ISNUMBER(SEARCH("spreader",E154)),ISNUMBER(SEARCH("sprayer",E154)),ISNUMBER(SEARCH("mower",E154)),ISNUMBER(SEARCH("sweeper",E154)),ISNUMBER(SEARCH("pruner",E154)),ISNUMBER(SEARCH("trimmer",E154)),ISNUMBER(SEARCH("pole saw",E154))),"Garden Equipment",
TRUE,"Other"
)</f>
        <v>Weed Control</v>
      </c>
      <c r="I154" s="7" t="str" cm="1">
        <f t="array" ref="I154">_xlfn.IFS(
OR(ISNUMBER(SEARCH("glue trap",E154)),ISNUMBER(SEARCH("glue board",E154))),"Glue Traps",
OR(ISNUMBER(SEARCH("snap trap",E154)),ISNUMBER(SEARCH("power-kill",E154)),ISNUMBER(SEARCH("wide pedal",E154)),ISNUMBER(SEARCH("metal pedal",E154))),"Snap Traps",
OR(ISNUMBER(SEARCH("electronic",E154)),ISNUMBER(SEARCH("zapper",E154))),"Electronic Traps",
OR(ISNUMBER(SEARCH("live catch",E154)),ISNUMBER(SEARCH("multi-catch",E154)),ISNUMBER(SEARCH("catch &amp; hold",E154)),ISNUMBER(SEARCH("tin cat",E154))),"Live Catch Traps",
OR(ISNUMBER(SEARCH("bait",E154)),ISNUMBER(SEARCH("poison",E154))),"Bait &amp; Poison",
ISNUMBER(SEARCH("repellent",E154)),"Repellents",
OR(ISNUMBER(SEARCH("fly trap",E154)),ISNUMBER(SEARCH("fly ribbon",E154)),ISNUMBER(SEARCH("fly stick",E154)),ISNUMBER(SEARCH("window fly",E154)),ISNUMBER(SEARCH("fly magnet",E154))),"Fly Traps",
OR(ISNUMBER(SEARCH("uv",E154)),ISNUMBER(SEARCH("fly light",E154)),ISNUMBER(SEARCH("plug-in",E154))),"UV Fly Traps",
ISNUMBER(SEARCH("roach",E154)),"Roach Traps",
ISNUMBER(SEARCH("ant",E154)),"Ant Traps",
ISNUMBER(SEARCH("spider",E154)),"Spider Traps",
ISNUMBER(SEARCH("mosquito",E154)),"Mosquito Traps",
ISNUMBER(SEARCH("beetle",E154)),"Beetle Traps",
ISNUMBER(SEARCH("lantern",E154)),"Lanternfly Control",
OR(ISNUMBER(SEARCH("tree shield",E154)),ISNUMBER(SEARCH("tree banding",E154)),ISNUMBER(SEARCH("insect barrier",E154))),"Tree Barriers",
OR(ISNUMBER(SEARCH("sun &amp; shade",E154)),ISNUMBER(SEARCH("sun and shade",E154))),"Sun &amp; Shade Mix",
ISNUMBER(SEARCH("tall fescue",E154)),"Tall Fescue",
ISNUMBER(SEARCH("bermudagrass",E154)),"Bermudagrass",
ISNUMBER(SEARCH("kentucky",E154)),"Kentucky Bluegrass",
ISNUMBER(SEARCH("zoysia",E154)),"Zoysia",
ISNUMBER(SEARCH("ryegrass",E154)),"Perennial Ryegrass",
ISNUMBER(SEARCH("centipede",E154)),"Centipede Grass",
ISNUMBER(SEARCH("dense shade",E154)),"Dense Shade Mix",
ISNUMBER(SEARCH("southern gold",E154)),"Southern Gold Mix",
ISNUMBER(SEARCH("heat-tolerant blue",E154)),"Heat-Tolerant Blue Mix",
ISNUMBER(SEARCH("high traffic",E154)),"High Traffic Mix",
ISNUMBER(SEARCH("quick fix",E154)),"Quick Fix Mix",
ISNUMBER(SEARCH("starter",E154)),"Starter Fertilizer",
ISNUMBER(SEARCH("weed &amp; feed",E154)),"Weed &amp; Feed",
ISNUMBER(SEARCH("lawn food",E154)),"Lawn Food",
ISNUMBER(SEARCH("triple action",E154)),"Triple Action Fertilizer",
ISNUMBER(SEARCH("green max",E154)),"Green Max Lawn Food",
ISNUMBER(SEARCH("patchmaster",E154)),"PatchMaster Repair",
ISNUMBER(SEARCH("ez seed",E154)),"EZ Seed Repair",
ISNUMBER(SEARCH("rapid grass",E154)),"Rapid Grass",
ISNUMBER(SEARCH("thick'r lawn",E154)),"Thick'R Lawn",
ISNUMBER(SEARCH("fungicide",E154)),"Fungicide",
ISNUMBER(SEARCH("moss",E154)),"Moss Control",
ISNUMBER(SEARCH("perlite",E154)),"Perlite",
ISNUMBER(SEARCH("plant food",E154)),"Plant Food",
ISNUMBER(SEARCH("spreader",E154)),"Spreader",
ISNUMBER(SEARCH("sprayer",E154)),"Sprayer",
ISNUMBER(SEARCH("mower",E154)),"Lawn Mower",
ISNUMBER(SEARCH("sweeper",E154)),"Lawn Sweeper",
OR(ISNUMBER(SEARCH("pruner",E154)),ISNUMBER(SEARCH("trimmer",E154)),ISNUMBER(SEARCH("pole saw",E154))),"Pruning Tools",
TRUE,"Other"
)</f>
        <v>Weed &amp; Feed</v>
      </c>
      <c r="J154" s="7" t="str">
        <f t="shared" si="38"/>
        <v>Weed Control - Weed &amp; Feed</v>
      </c>
      <c r="K154" s="4">
        <v>800</v>
      </c>
      <c r="L154" s="4">
        <v>4.4000000000000004</v>
      </c>
      <c r="M154" s="4">
        <v>36931</v>
      </c>
      <c r="N154" s="4" t="s">
        <v>655</v>
      </c>
      <c r="O154" s="4">
        <f>VLOOKUP(A154,[3]Sheet1!$A:$B,2,0)</f>
        <v>0</v>
      </c>
      <c r="P154" s="4">
        <f>VLOOKUP(A154,[3]Sheet1!$A:$C,3,0)</f>
        <v>0</v>
      </c>
      <c r="Q154" s="4">
        <f>VLOOKUP(A154,[3]Sheet1!$A:$D,4,0)</f>
        <v>7000</v>
      </c>
      <c r="R154" s="4">
        <f>VLOOKUP(A154,[3]Sheet1!$A:$E,5,0)</f>
        <v>10000</v>
      </c>
      <c r="S154" s="4">
        <f>VLOOKUP(A154,[3]Sheet1!$A:$F,6,0)</f>
        <v>4000</v>
      </c>
      <c r="T154" s="4">
        <f>VLOOKUP(A154,[3]Sheet1!$A:$G,7,0)</f>
        <v>4000</v>
      </c>
      <c r="U154" s="4">
        <f>VLOOKUP(A154,[3]Sheet1!$A:$I,8,0)</f>
        <v>1000</v>
      </c>
      <c r="V154" s="4">
        <f>VLOOKUP(A154,[3]Sheet1!$A:$J,9,0)</f>
        <v>750</v>
      </c>
      <c r="W154" s="4">
        <f>VLOOKUP(A154,[3]Sheet1!$A:$J,10,0)</f>
        <v>750</v>
      </c>
      <c r="X154" s="4">
        <f>VLOOKUP(A154,[3]Sheet1!$A:$K,11,0)</f>
        <v>0</v>
      </c>
      <c r="Y154" s="4">
        <f>VLOOKUP(A154,[3]Sheet1!$A:$L,12,0)</f>
        <v>0</v>
      </c>
      <c r="Z154" s="4">
        <f>VLOOKUP(A154,[3]Sheet1!$A:$M,13,0)</f>
        <v>0</v>
      </c>
      <c r="AA154" s="4">
        <f t="shared" si="32"/>
        <v>27500</v>
      </c>
      <c r="AB154" s="7">
        <f t="shared" si="39"/>
        <v>2292</v>
      </c>
      <c r="AC154" s="15">
        <f t="shared" si="33"/>
        <v>2291.6666666666665</v>
      </c>
      <c r="AD154" s="16">
        <f t="shared" si="34"/>
        <v>2474725</v>
      </c>
      <c r="AE154" s="16">
        <f t="shared" si="35"/>
        <v>206227.08333333331</v>
      </c>
      <c r="AF154" s="16">
        <v>27.33</v>
      </c>
      <c r="AG154" s="16">
        <v>89.99</v>
      </c>
      <c r="AH154" s="8">
        <f t="shared" si="36"/>
        <v>0.51106666666666623</v>
      </c>
      <c r="AI154" s="8">
        <f t="shared" si="37"/>
        <v>1.7887333333333317</v>
      </c>
      <c r="AJ154" s="10">
        <v>0.5</v>
      </c>
      <c r="AK154" s="10">
        <v>0.5</v>
      </c>
      <c r="AL154" s="16">
        <v>27.33</v>
      </c>
      <c r="AM154" s="9">
        <f t="shared" si="40"/>
        <v>13.498499999999998</v>
      </c>
      <c r="AN154" s="9">
        <f t="shared" si="41"/>
        <v>2.6996999999999995</v>
      </c>
      <c r="AO154" s="9">
        <f t="shared" si="42"/>
        <v>17.998000000000001</v>
      </c>
      <c r="AP154" s="9">
        <f t="shared" si="43"/>
        <v>1.7997999999999998</v>
      </c>
      <c r="AQ154" s="9">
        <f t="shared" si="44"/>
        <v>17.998000000000001</v>
      </c>
      <c r="AR154" s="9">
        <f t="shared" si="45"/>
        <v>22.497499999999999</v>
      </c>
      <c r="AS154" s="11">
        <f t="shared" si="46"/>
        <v>5.1106666666666625</v>
      </c>
      <c r="AT154" s="12">
        <f t="shared" si="47"/>
        <v>2.1109999999999971</v>
      </c>
    </row>
    <row r="155" spans="1:46" ht="16.5" x14ac:dyDescent="0.4">
      <c r="A155" s="4" t="s">
        <v>740</v>
      </c>
      <c r="B155" s="4" t="s">
        <v>513</v>
      </c>
      <c r="C155" s="7" t="s">
        <v>1784</v>
      </c>
      <c r="D155" s="4" t="s">
        <v>741</v>
      </c>
      <c r="E155" s="4" t="s">
        <v>742</v>
      </c>
      <c r="F155" s="4" t="s">
        <v>743</v>
      </c>
      <c r="G155" s="7" t="str">
        <f>VLOOKUP(A155,[1]done!$A:$I,9,0)</f>
        <v>Lawn Fertilizer</v>
      </c>
      <c r="H155" s="7" t="str" cm="1">
        <f t="array" ref="H155">_xlfn.IFS(
OR(ISNUMBER(SEARCH("mouse",E155)),ISNUMBER(SEARCH("rat",E155)),ISNUMBER(SEARCH("mice",E155)),ISNUMBER(SEARCH("rodent",E155))),"Rodent Control",
OR(ISNUMBER(SEARCH("fly",E155)),ISNUMBER(SEARCH("gnat",E155)),ISNUMBER(SEARCH("insect",E155)),ISNUMBER(SEARCH("mosquito",E155))),"Flying Insect Control",
OR(ISNUMBER(SEARCH("roach",E155)),ISNUMBER(SEARCH("ant",E155)),ISNUMBER(SEARCH("spider",E155)),ISNUMBER(SEARCH("cricket",E155)),ISNUMBER(SEARCH("scorpion",E155)),ISNUMBER(SEARCH("centipede",E155)),ISNUMBER(SEARCH("beetle",E155))),"Crawling Insect Control",
OR(ISNUMBER(SEARCH("tree",E155)),ISNUMBER(SEARCH("lantern",E155)),ISNUMBER(SEARCH("garden",E155)),ISNUMBER(SEARCH("plant",E155))),"Garden Pest Control",
OR(ISNUMBER(SEARCH("grass seed",E155)),ISNUMBER(SEARCH("seed mix",E155))),"Grass Seed",
OR(ISNUMBER(SEARCH("lawn food",E155)),ISNUMBER(SEARCH("fertilizer",E155))),"Lawn Fertilizer",
OR(ISNUMBER(SEARCH("patch",E155)),ISNUMBER(SEARCH("repair",E155)),ISNUMBER(SEARCH("thick'r",E155)),ISNUMBER(SEARCH("thick'r lawn",E155)),ISNUMBER(SEARCH("rapid grass",E155))),"Lawn Repair",
OR(ISNUMBER(SEARCH("weed",E155)),ISNUMBER(SEARCH("crabgrass",E155))),"Weed Control",
OR(ISNUMBER(SEARCH("fungicide",E155)),ISNUMBER(SEARCH("moss",E155))),"Disease &amp; Moss Control",
OR(ISNUMBER(SEARCH("plant food",E155)),ISNUMBER(SEARCH("miracid",E155))),"Plant Nutrition",
OR(ISNUMBER(SEARCH("perlite",E155))),"Soil Amendment",
OR(ISNUMBER(SEARCH("spreader",E155)),ISNUMBER(SEARCH("sprayer",E155)),ISNUMBER(SEARCH("mower",E155)),ISNUMBER(SEARCH("sweeper",E155)),ISNUMBER(SEARCH("pruner",E155)),ISNUMBER(SEARCH("trimmer",E155)),ISNUMBER(SEARCH("pole saw",E155))),"Garden Equipment",
TRUE,"Other"
)</f>
        <v>Lawn Repair</v>
      </c>
      <c r="I155" s="7" t="str" cm="1">
        <f t="array" ref="I155">_xlfn.IFS(
OR(ISNUMBER(SEARCH("glue trap",E155)),ISNUMBER(SEARCH("glue board",E155))),"Glue Traps",
OR(ISNUMBER(SEARCH("snap trap",E155)),ISNUMBER(SEARCH("power-kill",E155)),ISNUMBER(SEARCH("wide pedal",E155)),ISNUMBER(SEARCH("metal pedal",E155))),"Snap Traps",
OR(ISNUMBER(SEARCH("electronic",E155)),ISNUMBER(SEARCH("zapper",E155))),"Electronic Traps",
OR(ISNUMBER(SEARCH("live catch",E155)),ISNUMBER(SEARCH("multi-catch",E155)),ISNUMBER(SEARCH("catch &amp; hold",E155)),ISNUMBER(SEARCH("tin cat",E155))),"Live Catch Traps",
OR(ISNUMBER(SEARCH("bait",E155)),ISNUMBER(SEARCH("poison",E155))),"Bait &amp; Poison",
ISNUMBER(SEARCH("repellent",E155)),"Repellents",
OR(ISNUMBER(SEARCH("fly trap",E155)),ISNUMBER(SEARCH("fly ribbon",E155)),ISNUMBER(SEARCH("fly stick",E155)),ISNUMBER(SEARCH("window fly",E155)),ISNUMBER(SEARCH("fly magnet",E155))),"Fly Traps",
OR(ISNUMBER(SEARCH("uv",E155)),ISNUMBER(SEARCH("fly light",E155)),ISNUMBER(SEARCH("plug-in",E155))),"UV Fly Traps",
ISNUMBER(SEARCH("roach",E155)),"Roach Traps",
ISNUMBER(SEARCH("ant",E155)),"Ant Traps",
ISNUMBER(SEARCH("spider",E155)),"Spider Traps",
ISNUMBER(SEARCH("mosquito",E155)),"Mosquito Traps",
ISNUMBER(SEARCH("beetle",E155)),"Beetle Traps",
ISNUMBER(SEARCH("lantern",E155)),"Lanternfly Control",
OR(ISNUMBER(SEARCH("tree shield",E155)),ISNUMBER(SEARCH("tree banding",E155)),ISNUMBER(SEARCH("insect barrier",E155))),"Tree Barriers",
OR(ISNUMBER(SEARCH("sun &amp; shade",E155)),ISNUMBER(SEARCH("sun and shade",E155))),"Sun &amp; Shade Mix",
ISNUMBER(SEARCH("tall fescue",E155)),"Tall Fescue",
ISNUMBER(SEARCH("bermudagrass",E155)),"Bermudagrass",
ISNUMBER(SEARCH("kentucky",E155)),"Kentucky Bluegrass",
ISNUMBER(SEARCH("zoysia",E155)),"Zoysia",
ISNUMBER(SEARCH("ryegrass",E155)),"Perennial Ryegrass",
ISNUMBER(SEARCH("centipede",E155)),"Centipede Grass",
ISNUMBER(SEARCH("dense shade",E155)),"Dense Shade Mix",
ISNUMBER(SEARCH("southern gold",E155)),"Southern Gold Mix",
ISNUMBER(SEARCH("heat-tolerant blue",E155)),"Heat-Tolerant Blue Mix",
ISNUMBER(SEARCH("high traffic",E155)),"High Traffic Mix",
ISNUMBER(SEARCH("quick fix",E155)),"Quick Fix Mix",
ISNUMBER(SEARCH("starter",E155)),"Starter Fertilizer",
ISNUMBER(SEARCH("weed &amp; feed",E155)),"Weed &amp; Feed",
ISNUMBER(SEARCH("lawn food",E155)),"Lawn Food",
ISNUMBER(SEARCH("triple action",E155)),"Triple Action Fertilizer",
ISNUMBER(SEARCH("green max",E155)),"Green Max Lawn Food",
ISNUMBER(SEARCH("patchmaster",E155)),"PatchMaster Repair",
ISNUMBER(SEARCH("ez seed",E155)),"EZ Seed Repair",
ISNUMBER(SEARCH("rapid grass",E155)),"Rapid Grass",
ISNUMBER(SEARCH("thick'r lawn",E155)),"Thick'R Lawn",
ISNUMBER(SEARCH("fungicide",E155)),"Fungicide",
ISNUMBER(SEARCH("moss",E155)),"Moss Control",
ISNUMBER(SEARCH("perlite",E155)),"Perlite",
ISNUMBER(SEARCH("plant food",E155)),"Plant Food",
ISNUMBER(SEARCH("spreader",E155)),"Spreader",
ISNUMBER(SEARCH("sprayer",E155)),"Sprayer",
ISNUMBER(SEARCH("mower",E155)),"Lawn Mower",
ISNUMBER(SEARCH("sweeper",E155)),"Lawn Sweeper",
OR(ISNUMBER(SEARCH("pruner",E155)),ISNUMBER(SEARCH("trimmer",E155)),ISNUMBER(SEARCH("pole saw",E155))),"Pruning Tools",
TRUE,"Other"
)</f>
        <v>Sun &amp; Shade Mix</v>
      </c>
      <c r="J155" s="7" t="str">
        <f t="shared" si="38"/>
        <v>Lawn Repair - Sun &amp; Shade Mix</v>
      </c>
      <c r="K155" s="4">
        <v>800</v>
      </c>
      <c r="L155" s="4">
        <v>3.9</v>
      </c>
      <c r="M155" s="4">
        <v>7830</v>
      </c>
      <c r="N155" s="4" t="s">
        <v>744</v>
      </c>
      <c r="O155" s="4">
        <f>VLOOKUP(A155,[3]Sheet1!$A:$B,2,0)</f>
        <v>100</v>
      </c>
      <c r="P155" s="4">
        <f>VLOOKUP(A155,[3]Sheet1!$A:$C,3,0)</f>
        <v>100</v>
      </c>
      <c r="Q155" s="4">
        <f>VLOOKUP(A155,[3]Sheet1!$A:$D,4,0)</f>
        <v>1000</v>
      </c>
      <c r="R155" s="4">
        <f>VLOOKUP(A155,[3]Sheet1!$A:$E,5,0)</f>
        <v>4000</v>
      </c>
      <c r="S155" s="4">
        <f>VLOOKUP(A155,[3]Sheet1!$A:$F,6,0)</f>
        <v>5000</v>
      </c>
      <c r="T155" s="4">
        <f>VLOOKUP(A155,[3]Sheet1!$A:$G,7,0)</f>
        <v>3000</v>
      </c>
      <c r="U155" s="4">
        <f>VLOOKUP(A155,[3]Sheet1!$A:$I,8,0)</f>
        <v>1000</v>
      </c>
      <c r="V155" s="4">
        <f>VLOOKUP(A155,[3]Sheet1!$A:$J,9,0)</f>
        <v>1000</v>
      </c>
      <c r="W155" s="4">
        <f>VLOOKUP(A155,[3]Sheet1!$A:$J,10,0)</f>
        <v>700</v>
      </c>
      <c r="X155" s="4">
        <f>VLOOKUP(A155,[3]Sheet1!$A:$K,11,0)</f>
        <v>1000</v>
      </c>
      <c r="Y155" s="4">
        <f>VLOOKUP(A155,[3]Sheet1!$A:$L,12,0)</f>
        <v>300</v>
      </c>
      <c r="Z155" s="4">
        <f>VLOOKUP(A155,[3]Sheet1!$A:$M,13,0)</f>
        <v>100</v>
      </c>
      <c r="AA155" s="4">
        <f t="shared" si="32"/>
        <v>17300</v>
      </c>
      <c r="AB155" s="7">
        <f t="shared" si="39"/>
        <v>1442</v>
      </c>
      <c r="AC155" s="15">
        <f t="shared" si="33"/>
        <v>1441.6666666666667</v>
      </c>
      <c r="AD155" s="16">
        <f t="shared" si="34"/>
        <v>457931</v>
      </c>
      <c r="AE155" s="16">
        <f t="shared" si="35"/>
        <v>38160.916666666664</v>
      </c>
      <c r="AF155" s="16">
        <v>9.6199999999999992</v>
      </c>
      <c r="AG155" s="16">
        <v>26.47</v>
      </c>
      <c r="AH155" s="8">
        <f t="shared" si="36"/>
        <v>-2.1333333333334536E-3</v>
      </c>
      <c r="AI155" s="8">
        <f t="shared" si="37"/>
        <v>-7.4666666666670873E-3</v>
      </c>
      <c r="AJ155" s="10">
        <v>0.5</v>
      </c>
      <c r="AK155" s="10">
        <v>0.5</v>
      </c>
      <c r="AL155" s="16">
        <v>9.6199999999999992</v>
      </c>
      <c r="AM155" s="9">
        <f t="shared" si="40"/>
        <v>3.9704999999999995</v>
      </c>
      <c r="AN155" s="9">
        <f t="shared" si="41"/>
        <v>0.79409999999999992</v>
      </c>
      <c r="AO155" s="9">
        <f t="shared" si="42"/>
        <v>5.2940000000000005</v>
      </c>
      <c r="AP155" s="9">
        <f t="shared" si="43"/>
        <v>0.52939999999999998</v>
      </c>
      <c r="AQ155" s="9">
        <f t="shared" si="44"/>
        <v>5.2940000000000005</v>
      </c>
      <c r="AR155" s="9">
        <f t="shared" si="45"/>
        <v>6.6174999999999997</v>
      </c>
      <c r="AS155" s="11">
        <f t="shared" si="46"/>
        <v>-2.1333333333334537E-2</v>
      </c>
      <c r="AT155" s="12">
        <f t="shared" si="47"/>
        <v>-0.9036666666666674</v>
      </c>
    </row>
    <row r="156" spans="1:46" ht="16.5" x14ac:dyDescent="0.4">
      <c r="A156" s="4" t="s">
        <v>745</v>
      </c>
      <c r="B156" s="4" t="s">
        <v>513</v>
      </c>
      <c r="C156" s="7" t="s">
        <v>1784</v>
      </c>
      <c r="D156" s="4" t="s">
        <v>746</v>
      </c>
      <c r="E156" s="4" t="s">
        <v>747</v>
      </c>
      <c r="F156" s="4" t="s">
        <v>748</v>
      </c>
      <c r="G156" s="7" t="str">
        <f>VLOOKUP(A156,[1]done!$A:$I,9,0)</f>
        <v>Other - Scotts</v>
      </c>
      <c r="H156" s="7" t="str" cm="1">
        <f t="array" ref="H156">_xlfn.IFS(
OR(ISNUMBER(SEARCH("mouse",E156)),ISNUMBER(SEARCH("rat",E156)),ISNUMBER(SEARCH("mice",E156)),ISNUMBER(SEARCH("rodent",E156))),"Rodent Control",
OR(ISNUMBER(SEARCH("fly",E156)),ISNUMBER(SEARCH("gnat",E156)),ISNUMBER(SEARCH("insect",E156)),ISNUMBER(SEARCH("mosquito",E156))),"Flying Insect Control",
OR(ISNUMBER(SEARCH("roach",E156)),ISNUMBER(SEARCH("ant",E156)),ISNUMBER(SEARCH("spider",E156)),ISNUMBER(SEARCH("cricket",E156)),ISNUMBER(SEARCH("scorpion",E156)),ISNUMBER(SEARCH("centipede",E156)),ISNUMBER(SEARCH("beetle",E156))),"Crawling Insect Control",
OR(ISNUMBER(SEARCH("tree",E156)),ISNUMBER(SEARCH("lantern",E156)),ISNUMBER(SEARCH("garden",E156)),ISNUMBER(SEARCH("plant",E156))),"Garden Pest Control",
OR(ISNUMBER(SEARCH("grass seed",E156)),ISNUMBER(SEARCH("seed mix",E156))),"Grass Seed",
OR(ISNUMBER(SEARCH("lawn food",E156)),ISNUMBER(SEARCH("fertilizer",E156))),"Lawn Fertilizer",
OR(ISNUMBER(SEARCH("patch",E156)),ISNUMBER(SEARCH("repair",E156)),ISNUMBER(SEARCH("thick'r",E156)),ISNUMBER(SEARCH("thick'r lawn",E156)),ISNUMBER(SEARCH("rapid grass",E156))),"Lawn Repair",
OR(ISNUMBER(SEARCH("weed",E156)),ISNUMBER(SEARCH("crabgrass",E156))),"Weed Control",
OR(ISNUMBER(SEARCH("fungicide",E156)),ISNUMBER(SEARCH("moss",E156))),"Disease &amp; Moss Control",
OR(ISNUMBER(SEARCH("plant food",E156)),ISNUMBER(SEARCH("miracid",E156))),"Plant Nutrition",
OR(ISNUMBER(SEARCH("perlite",E156))),"Soil Amendment",
OR(ISNUMBER(SEARCH("spreader",E156)),ISNUMBER(SEARCH("sprayer",E156)),ISNUMBER(SEARCH("mower",E156)),ISNUMBER(SEARCH("sweeper",E156)),ISNUMBER(SEARCH("pruner",E156)),ISNUMBER(SEARCH("trimmer",E156)),ISNUMBER(SEARCH("pole saw",E156))),"Garden Equipment",
TRUE,"Other"
)</f>
        <v>Soil Amendment</v>
      </c>
      <c r="I156" s="7" t="str" cm="1">
        <f t="array" ref="I156">_xlfn.IFS(
OR(ISNUMBER(SEARCH("glue trap",E156)),ISNUMBER(SEARCH("glue board",E156))),"Glue Traps",
OR(ISNUMBER(SEARCH("snap trap",E156)),ISNUMBER(SEARCH("power-kill",E156)),ISNUMBER(SEARCH("wide pedal",E156)),ISNUMBER(SEARCH("metal pedal",E156))),"Snap Traps",
OR(ISNUMBER(SEARCH("electronic",E156)),ISNUMBER(SEARCH("zapper",E156))),"Electronic Traps",
OR(ISNUMBER(SEARCH("live catch",E156)),ISNUMBER(SEARCH("multi-catch",E156)),ISNUMBER(SEARCH("catch &amp; hold",E156)),ISNUMBER(SEARCH("tin cat",E156))),"Live Catch Traps",
OR(ISNUMBER(SEARCH("bait",E156)),ISNUMBER(SEARCH("poison",E156))),"Bait &amp; Poison",
ISNUMBER(SEARCH("repellent",E156)),"Repellents",
OR(ISNUMBER(SEARCH("fly trap",E156)),ISNUMBER(SEARCH("fly ribbon",E156)),ISNUMBER(SEARCH("fly stick",E156)),ISNUMBER(SEARCH("window fly",E156)),ISNUMBER(SEARCH("fly magnet",E156))),"Fly Traps",
OR(ISNUMBER(SEARCH("uv",E156)),ISNUMBER(SEARCH("fly light",E156)),ISNUMBER(SEARCH("plug-in",E156))),"UV Fly Traps",
ISNUMBER(SEARCH("roach",E156)),"Roach Traps",
ISNUMBER(SEARCH("ant",E156)),"Ant Traps",
ISNUMBER(SEARCH("spider",E156)),"Spider Traps",
ISNUMBER(SEARCH("mosquito",E156)),"Mosquito Traps",
ISNUMBER(SEARCH("beetle",E156)),"Beetle Traps",
ISNUMBER(SEARCH("lantern",E156)),"Lanternfly Control",
OR(ISNUMBER(SEARCH("tree shield",E156)),ISNUMBER(SEARCH("tree banding",E156)),ISNUMBER(SEARCH("insect barrier",E156))),"Tree Barriers",
OR(ISNUMBER(SEARCH("sun &amp; shade",E156)),ISNUMBER(SEARCH("sun and shade",E156))),"Sun &amp; Shade Mix",
ISNUMBER(SEARCH("tall fescue",E156)),"Tall Fescue",
ISNUMBER(SEARCH("bermudagrass",E156)),"Bermudagrass",
ISNUMBER(SEARCH("kentucky",E156)),"Kentucky Bluegrass",
ISNUMBER(SEARCH("zoysia",E156)),"Zoysia",
ISNUMBER(SEARCH("ryegrass",E156)),"Perennial Ryegrass",
ISNUMBER(SEARCH("centipede",E156)),"Centipede Grass",
ISNUMBER(SEARCH("dense shade",E156)),"Dense Shade Mix",
ISNUMBER(SEARCH("southern gold",E156)),"Southern Gold Mix",
ISNUMBER(SEARCH("heat-tolerant blue",E156)),"Heat-Tolerant Blue Mix",
ISNUMBER(SEARCH("high traffic",E156)),"High Traffic Mix",
ISNUMBER(SEARCH("quick fix",E156)),"Quick Fix Mix",
ISNUMBER(SEARCH("starter",E156)),"Starter Fertilizer",
ISNUMBER(SEARCH("weed &amp; feed",E156)),"Weed &amp; Feed",
ISNUMBER(SEARCH("lawn food",E156)),"Lawn Food",
ISNUMBER(SEARCH("triple action",E156)),"Triple Action Fertilizer",
ISNUMBER(SEARCH("green max",E156)),"Green Max Lawn Food",
ISNUMBER(SEARCH("patchmaster",E156)),"PatchMaster Repair",
ISNUMBER(SEARCH("ez seed",E156)),"EZ Seed Repair",
ISNUMBER(SEARCH("rapid grass",E156)),"Rapid Grass",
ISNUMBER(SEARCH("thick'r lawn",E156)),"Thick'R Lawn",
ISNUMBER(SEARCH("fungicide",E156)),"Fungicide",
ISNUMBER(SEARCH("moss",E156)),"Moss Control",
ISNUMBER(SEARCH("perlite",E156)),"Perlite",
ISNUMBER(SEARCH("plant food",E156)),"Plant Food",
ISNUMBER(SEARCH("spreader",E156)),"Spreader",
ISNUMBER(SEARCH("sprayer",E156)),"Sprayer",
ISNUMBER(SEARCH("mower",E156)),"Lawn Mower",
ISNUMBER(SEARCH("sweeper",E156)),"Lawn Sweeper",
OR(ISNUMBER(SEARCH("pruner",E156)),ISNUMBER(SEARCH("trimmer",E156)),ISNUMBER(SEARCH("pole saw",E156))),"Pruning Tools",
TRUE,"Other"
)</f>
        <v>Perlite</v>
      </c>
      <c r="J156" s="7" t="str">
        <f t="shared" si="38"/>
        <v>Soil Amendment - Perlite</v>
      </c>
      <c r="K156" s="4">
        <v>800</v>
      </c>
      <c r="L156" s="4">
        <v>4.8</v>
      </c>
      <c r="M156" s="4">
        <v>11804</v>
      </c>
      <c r="N156" s="4" t="s">
        <v>193</v>
      </c>
      <c r="O156" s="4">
        <f>VLOOKUP(A156,[3]Sheet1!$A:$B,2,0)</f>
        <v>0</v>
      </c>
      <c r="P156" s="4">
        <f>VLOOKUP(A156,[3]Sheet1!$A:$C,3,0)</f>
        <v>0</v>
      </c>
      <c r="Q156" s="4">
        <f>VLOOKUP(A156,[3]Sheet1!$A:$D,4,0)</f>
        <v>0</v>
      </c>
      <c r="R156" s="4">
        <f>VLOOKUP(A156,[3]Sheet1!$A:$E,5,0)</f>
        <v>3000</v>
      </c>
      <c r="S156" s="4">
        <f>VLOOKUP(A156,[3]Sheet1!$A:$F,6,0)</f>
        <v>50</v>
      </c>
      <c r="T156" s="4">
        <f>VLOOKUP(A156,[3]Sheet1!$A:$G,7,0)</f>
        <v>0</v>
      </c>
      <c r="U156" s="4">
        <f>VLOOKUP(A156,[3]Sheet1!$A:$I,8,0)</f>
        <v>300</v>
      </c>
      <c r="V156" s="4">
        <f>VLOOKUP(A156,[3]Sheet1!$A:$J,9,0)</f>
        <v>2000</v>
      </c>
      <c r="W156" s="4">
        <f>VLOOKUP(A156,[3]Sheet1!$A:$J,10,0)</f>
        <v>600</v>
      </c>
      <c r="X156" s="4">
        <f>VLOOKUP(A156,[3]Sheet1!$A:$K,11,0)</f>
        <v>0</v>
      </c>
      <c r="Y156" s="4">
        <f>VLOOKUP(A156,[3]Sheet1!$A:$L,12,0)</f>
        <v>0</v>
      </c>
      <c r="Z156" s="4">
        <f>VLOOKUP(A156,[3]Sheet1!$A:$M,13,0)</f>
        <v>0</v>
      </c>
      <c r="AA156" s="4">
        <f t="shared" si="32"/>
        <v>5950</v>
      </c>
      <c r="AB156" s="7">
        <f t="shared" si="39"/>
        <v>496</v>
      </c>
      <c r="AC156" s="15">
        <f t="shared" si="33"/>
        <v>495.83333333333331</v>
      </c>
      <c r="AD156" s="16">
        <f t="shared" si="34"/>
        <v>37425.5</v>
      </c>
      <c r="AE156" s="16">
        <f t="shared" si="35"/>
        <v>3118.7916666666665</v>
      </c>
      <c r="AF156" s="16">
        <v>8.27</v>
      </c>
      <c r="AG156" s="16">
        <v>6.29</v>
      </c>
      <c r="AH156" s="8">
        <f t="shared" si="36"/>
        <v>-0.45026666666666665</v>
      </c>
      <c r="AI156" s="8">
        <f t="shared" si="37"/>
        <v>-1.5759333333333332</v>
      </c>
      <c r="AJ156" s="10">
        <v>0.5</v>
      </c>
      <c r="AK156" s="10">
        <v>0.5</v>
      </c>
      <c r="AL156" s="16">
        <v>8.27</v>
      </c>
      <c r="AM156" s="9">
        <f t="shared" si="40"/>
        <v>0.94350000000000001</v>
      </c>
      <c r="AN156" s="9">
        <f t="shared" si="41"/>
        <v>0.18870000000000001</v>
      </c>
      <c r="AO156" s="9">
        <f t="shared" si="42"/>
        <v>1.258</v>
      </c>
      <c r="AP156" s="9">
        <f t="shared" si="43"/>
        <v>0.1258</v>
      </c>
      <c r="AQ156" s="9">
        <f t="shared" si="44"/>
        <v>1.258</v>
      </c>
      <c r="AR156" s="9">
        <f t="shared" si="45"/>
        <v>1.5725</v>
      </c>
      <c r="AS156" s="11">
        <f t="shared" si="46"/>
        <v>-4.5026666666666664</v>
      </c>
      <c r="AT156" s="12">
        <f t="shared" si="47"/>
        <v>-4.7123333333333326</v>
      </c>
    </row>
    <row r="157" spans="1:46" ht="16.5" x14ac:dyDescent="0.4">
      <c r="A157" s="4" t="s">
        <v>749</v>
      </c>
      <c r="B157" s="4" t="s">
        <v>513</v>
      </c>
      <c r="C157" s="7" t="s">
        <v>513</v>
      </c>
      <c r="D157" s="4" t="s">
        <v>750</v>
      </c>
      <c r="E157" s="4" t="s">
        <v>751</v>
      </c>
      <c r="F157" s="4" t="s">
        <v>752</v>
      </c>
      <c r="G157" s="7" t="str">
        <f>VLOOKUP(A157,[1]done!$A:$I,9,0)</f>
        <v>Lawn Fertilizer</v>
      </c>
      <c r="H157" s="7" t="str" cm="1">
        <f t="array" ref="H157">_xlfn.IFS(
OR(ISNUMBER(SEARCH("mouse",E157)),ISNUMBER(SEARCH("rat",E157)),ISNUMBER(SEARCH("mice",E157)),ISNUMBER(SEARCH("rodent",E157))),"Rodent Control",
OR(ISNUMBER(SEARCH("fly",E157)),ISNUMBER(SEARCH("gnat",E157)),ISNUMBER(SEARCH("insect",E157)),ISNUMBER(SEARCH("mosquito",E157))),"Flying Insect Control",
OR(ISNUMBER(SEARCH("roach",E157)),ISNUMBER(SEARCH("ant",E157)),ISNUMBER(SEARCH("spider",E157)),ISNUMBER(SEARCH("cricket",E157)),ISNUMBER(SEARCH("scorpion",E157)),ISNUMBER(SEARCH("centipede",E157)),ISNUMBER(SEARCH("beetle",E157))),"Crawling Insect Control",
OR(ISNUMBER(SEARCH("tree",E157)),ISNUMBER(SEARCH("lantern",E157)),ISNUMBER(SEARCH("garden",E157)),ISNUMBER(SEARCH("plant",E157))),"Garden Pest Control",
OR(ISNUMBER(SEARCH("grass seed",E157)),ISNUMBER(SEARCH("seed mix",E157))),"Grass Seed",
OR(ISNUMBER(SEARCH("lawn food",E157)),ISNUMBER(SEARCH("fertilizer",E157))),"Lawn Fertilizer",
OR(ISNUMBER(SEARCH("patch",E157)),ISNUMBER(SEARCH("repair",E157)),ISNUMBER(SEARCH("thick'r",E157)),ISNUMBER(SEARCH("thick'r lawn",E157)),ISNUMBER(SEARCH("rapid grass",E157))),"Lawn Repair",
OR(ISNUMBER(SEARCH("weed",E157)),ISNUMBER(SEARCH("crabgrass",E157))),"Weed Control",
OR(ISNUMBER(SEARCH("fungicide",E157)),ISNUMBER(SEARCH("moss",E157))),"Disease &amp; Moss Control",
OR(ISNUMBER(SEARCH("plant food",E157)),ISNUMBER(SEARCH("miracid",E157))),"Plant Nutrition",
OR(ISNUMBER(SEARCH("perlite",E157))),"Soil Amendment",
OR(ISNUMBER(SEARCH("spreader",E157)),ISNUMBER(SEARCH("sprayer",E157)),ISNUMBER(SEARCH("mower",E157)),ISNUMBER(SEARCH("sweeper",E157)),ISNUMBER(SEARCH("pruner",E157)),ISNUMBER(SEARCH("trimmer",E157)),ISNUMBER(SEARCH("pole saw",E157))),"Garden Equipment",
TRUE,"Other"
)</f>
        <v>Lawn Fertilizer</v>
      </c>
      <c r="I157" s="7" t="str" cm="1">
        <f t="array" ref="I157">_xlfn.IFS(
OR(ISNUMBER(SEARCH("glue trap",E157)),ISNUMBER(SEARCH("glue board",E157))),"Glue Traps",
OR(ISNUMBER(SEARCH("snap trap",E157)),ISNUMBER(SEARCH("power-kill",E157)),ISNUMBER(SEARCH("wide pedal",E157)),ISNUMBER(SEARCH("metal pedal",E157))),"Snap Traps",
OR(ISNUMBER(SEARCH("electronic",E157)),ISNUMBER(SEARCH("zapper",E157))),"Electronic Traps",
OR(ISNUMBER(SEARCH("live catch",E157)),ISNUMBER(SEARCH("multi-catch",E157)),ISNUMBER(SEARCH("catch &amp; hold",E157)),ISNUMBER(SEARCH("tin cat",E157))),"Live Catch Traps",
OR(ISNUMBER(SEARCH("bait",E157)),ISNUMBER(SEARCH("poison",E157))),"Bait &amp; Poison",
ISNUMBER(SEARCH("repellent",E157)),"Repellents",
OR(ISNUMBER(SEARCH("fly trap",E157)),ISNUMBER(SEARCH("fly ribbon",E157)),ISNUMBER(SEARCH("fly stick",E157)),ISNUMBER(SEARCH("window fly",E157)),ISNUMBER(SEARCH("fly magnet",E157))),"Fly Traps",
OR(ISNUMBER(SEARCH("uv",E157)),ISNUMBER(SEARCH("fly light",E157)),ISNUMBER(SEARCH("plug-in",E157))),"UV Fly Traps",
ISNUMBER(SEARCH("roach",E157)),"Roach Traps",
ISNUMBER(SEARCH("ant",E157)),"Ant Traps",
ISNUMBER(SEARCH("spider",E157)),"Spider Traps",
ISNUMBER(SEARCH("mosquito",E157)),"Mosquito Traps",
ISNUMBER(SEARCH("beetle",E157)),"Beetle Traps",
ISNUMBER(SEARCH("lantern",E157)),"Lanternfly Control",
OR(ISNUMBER(SEARCH("tree shield",E157)),ISNUMBER(SEARCH("tree banding",E157)),ISNUMBER(SEARCH("insect barrier",E157))),"Tree Barriers",
OR(ISNUMBER(SEARCH("sun &amp; shade",E157)),ISNUMBER(SEARCH("sun and shade",E157))),"Sun &amp; Shade Mix",
ISNUMBER(SEARCH("tall fescue",E157)),"Tall Fescue",
ISNUMBER(SEARCH("bermudagrass",E157)),"Bermudagrass",
ISNUMBER(SEARCH("kentucky",E157)),"Kentucky Bluegrass",
ISNUMBER(SEARCH("zoysia",E157)),"Zoysia",
ISNUMBER(SEARCH("ryegrass",E157)),"Perennial Ryegrass",
ISNUMBER(SEARCH("centipede",E157)),"Centipede Grass",
ISNUMBER(SEARCH("dense shade",E157)),"Dense Shade Mix",
ISNUMBER(SEARCH("southern gold",E157)),"Southern Gold Mix",
ISNUMBER(SEARCH("heat-tolerant blue",E157)),"Heat-Tolerant Blue Mix",
ISNUMBER(SEARCH("high traffic",E157)),"High Traffic Mix",
ISNUMBER(SEARCH("quick fix",E157)),"Quick Fix Mix",
ISNUMBER(SEARCH("starter",E157)),"Starter Fertilizer",
ISNUMBER(SEARCH("weed &amp; feed",E157)),"Weed &amp; Feed",
ISNUMBER(SEARCH("lawn food",E157)),"Lawn Food",
ISNUMBER(SEARCH("triple action",E157)),"Triple Action Fertilizer",
ISNUMBER(SEARCH("green max",E157)),"Green Max Lawn Food",
ISNUMBER(SEARCH("patchmaster",E157)),"PatchMaster Repair",
ISNUMBER(SEARCH("ez seed",E157)),"EZ Seed Repair",
ISNUMBER(SEARCH("rapid grass",E157)),"Rapid Grass",
ISNUMBER(SEARCH("thick'r lawn",E157)),"Thick'R Lawn",
ISNUMBER(SEARCH("fungicide",E157)),"Fungicide",
ISNUMBER(SEARCH("moss",E157)),"Moss Control",
ISNUMBER(SEARCH("perlite",E157)),"Perlite",
ISNUMBER(SEARCH("plant food",E157)),"Plant Food",
ISNUMBER(SEARCH("spreader",E157)),"Spreader",
ISNUMBER(SEARCH("sprayer",E157)),"Sprayer",
ISNUMBER(SEARCH("mower",E157)),"Lawn Mower",
ISNUMBER(SEARCH("sweeper",E157)),"Lawn Sweeper",
OR(ISNUMBER(SEARCH("pruner",E157)),ISNUMBER(SEARCH("trimmer",E157)),ISNUMBER(SEARCH("pole saw",E157))),"Pruning Tools",
TRUE,"Other"
)</f>
        <v>Lawn Food</v>
      </c>
      <c r="J157" s="7" t="str">
        <f t="shared" si="38"/>
        <v>Lawn Fertilizer - Lawn Food</v>
      </c>
      <c r="K157" s="4">
        <v>800</v>
      </c>
      <c r="L157" s="4">
        <v>4.2</v>
      </c>
      <c r="M157" s="4">
        <v>495</v>
      </c>
      <c r="N157" s="4" t="s">
        <v>753</v>
      </c>
      <c r="O157" s="4">
        <f>VLOOKUP(A157,[3]Sheet1!$A:$B,2,0)</f>
        <v>300</v>
      </c>
      <c r="P157" s="4">
        <f>VLOOKUP(A157,[3]Sheet1!$A:$C,3,0)</f>
        <v>400</v>
      </c>
      <c r="Q157" s="4">
        <f>VLOOKUP(A157,[3]Sheet1!$A:$D,4,0)</f>
        <v>2000</v>
      </c>
      <c r="R157" s="4">
        <f>VLOOKUP(A157,[3]Sheet1!$A:$E,5,0)</f>
        <v>2000</v>
      </c>
      <c r="S157" s="4">
        <f>VLOOKUP(A157,[3]Sheet1!$A:$F,6,0)</f>
        <v>2000</v>
      </c>
      <c r="T157" s="4">
        <f>VLOOKUP(A157,[3]Sheet1!$A:$G,7,0)</f>
        <v>3000</v>
      </c>
      <c r="U157" s="4">
        <f>VLOOKUP(A157,[3]Sheet1!$A:$I,8,0)</f>
        <v>2000</v>
      </c>
      <c r="V157" s="4">
        <f>VLOOKUP(A157,[3]Sheet1!$A:$J,9,0)</f>
        <v>1000</v>
      </c>
      <c r="W157" s="4">
        <f>VLOOKUP(A157,[3]Sheet1!$A:$J,10,0)</f>
        <v>900</v>
      </c>
      <c r="X157" s="4">
        <f>VLOOKUP(A157,[3]Sheet1!$A:$K,11,0)</f>
        <v>1000</v>
      </c>
      <c r="Y157" s="4">
        <f>VLOOKUP(A157,[3]Sheet1!$A:$L,12,0)</f>
        <v>500</v>
      </c>
      <c r="Z157" s="4">
        <f>VLOOKUP(A157,[3]Sheet1!$A:$M,13,0)</f>
        <v>200</v>
      </c>
      <c r="AA157" s="4">
        <f t="shared" si="32"/>
        <v>15300</v>
      </c>
      <c r="AB157" s="7">
        <f t="shared" si="39"/>
        <v>1275</v>
      </c>
      <c r="AC157" s="15">
        <f t="shared" si="33"/>
        <v>1275</v>
      </c>
      <c r="AD157" s="16">
        <f t="shared" si="34"/>
        <v>367047</v>
      </c>
      <c r="AE157" s="16">
        <f t="shared" si="35"/>
        <v>30587.249999999996</v>
      </c>
      <c r="AF157" s="16">
        <v>7.3</v>
      </c>
      <c r="AG157" s="16">
        <v>23.99</v>
      </c>
      <c r="AH157" s="8">
        <f t="shared" si="36"/>
        <v>8.6399999999999907E-2</v>
      </c>
      <c r="AI157" s="8">
        <f t="shared" si="37"/>
        <v>0.30239999999999961</v>
      </c>
      <c r="AJ157" s="10">
        <v>0.5</v>
      </c>
      <c r="AK157" s="10">
        <v>0.5</v>
      </c>
      <c r="AL157" s="16">
        <v>7.3</v>
      </c>
      <c r="AM157" s="9">
        <f t="shared" si="40"/>
        <v>3.5984999999999996</v>
      </c>
      <c r="AN157" s="9">
        <f t="shared" si="41"/>
        <v>0.7196999999999999</v>
      </c>
      <c r="AO157" s="9">
        <f t="shared" si="42"/>
        <v>4.798</v>
      </c>
      <c r="AP157" s="9">
        <f t="shared" si="43"/>
        <v>0.4798</v>
      </c>
      <c r="AQ157" s="9">
        <f t="shared" si="44"/>
        <v>4.798</v>
      </c>
      <c r="AR157" s="9">
        <f t="shared" si="45"/>
        <v>5.9974999999999996</v>
      </c>
      <c r="AS157" s="11">
        <f t="shared" si="46"/>
        <v>0.86399999999999899</v>
      </c>
      <c r="AT157" s="12">
        <f t="shared" si="47"/>
        <v>6.4333333333332618E-2</v>
      </c>
    </row>
    <row r="158" spans="1:46" ht="16.5" x14ac:dyDescent="0.4">
      <c r="A158" s="4" t="s">
        <v>754</v>
      </c>
      <c r="B158" s="4" t="s">
        <v>513</v>
      </c>
      <c r="C158" s="7" t="s">
        <v>1784</v>
      </c>
      <c r="D158" s="4" t="s">
        <v>755</v>
      </c>
      <c r="E158" s="4" t="s">
        <v>756</v>
      </c>
      <c r="F158" s="4" t="s">
        <v>757</v>
      </c>
      <c r="G158" s="7" t="str">
        <f>VLOOKUP(A158,[1]done!$A:$I,9,0)</f>
        <v>Grass Seed</v>
      </c>
      <c r="H158" s="7" t="str" cm="1">
        <f t="array" ref="H158">_xlfn.IFS(
OR(ISNUMBER(SEARCH("mouse",E158)),ISNUMBER(SEARCH("rat",E158)),ISNUMBER(SEARCH("mice",E158)),ISNUMBER(SEARCH("rodent",E158))),"Rodent Control",
OR(ISNUMBER(SEARCH("fly",E158)),ISNUMBER(SEARCH("gnat",E158)),ISNUMBER(SEARCH("insect",E158)),ISNUMBER(SEARCH("mosquito",E158))),"Flying Insect Control",
OR(ISNUMBER(SEARCH("roach",E158)),ISNUMBER(SEARCH("ant",E158)),ISNUMBER(SEARCH("spider",E158)),ISNUMBER(SEARCH("cricket",E158)),ISNUMBER(SEARCH("scorpion",E158)),ISNUMBER(SEARCH("centipede",E158)),ISNUMBER(SEARCH("beetle",E158))),"Crawling Insect Control",
OR(ISNUMBER(SEARCH("tree",E158)),ISNUMBER(SEARCH("lantern",E158)),ISNUMBER(SEARCH("garden",E158)),ISNUMBER(SEARCH("plant",E158))),"Garden Pest Control",
OR(ISNUMBER(SEARCH("grass seed",E158)),ISNUMBER(SEARCH("seed mix",E158))),"Grass Seed",
OR(ISNUMBER(SEARCH("lawn food",E158)),ISNUMBER(SEARCH("fertilizer",E158))),"Lawn Fertilizer",
OR(ISNUMBER(SEARCH("patch",E158)),ISNUMBER(SEARCH("repair",E158)),ISNUMBER(SEARCH("thick'r",E158)),ISNUMBER(SEARCH("thick'r lawn",E158)),ISNUMBER(SEARCH("rapid grass",E158))),"Lawn Repair",
OR(ISNUMBER(SEARCH("weed",E158)),ISNUMBER(SEARCH("crabgrass",E158))),"Weed Control",
OR(ISNUMBER(SEARCH("fungicide",E158)),ISNUMBER(SEARCH("moss",E158))),"Disease &amp; Moss Control",
OR(ISNUMBER(SEARCH("plant food",E158)),ISNUMBER(SEARCH("miracid",E158))),"Plant Nutrition",
OR(ISNUMBER(SEARCH("perlite",E158))),"Soil Amendment",
OR(ISNUMBER(SEARCH("spreader",E158)),ISNUMBER(SEARCH("sprayer",E158)),ISNUMBER(SEARCH("mower",E158)),ISNUMBER(SEARCH("sweeper",E158)),ISNUMBER(SEARCH("pruner",E158)),ISNUMBER(SEARCH("trimmer",E158)),ISNUMBER(SEARCH("pole saw",E158))),"Garden Equipment",
TRUE,"Other"
)</f>
        <v>Grass Seed</v>
      </c>
      <c r="I158" s="7" t="str" cm="1">
        <f t="array" ref="I158">_xlfn.IFS(
OR(ISNUMBER(SEARCH("glue trap",E158)),ISNUMBER(SEARCH("glue board",E158))),"Glue Traps",
OR(ISNUMBER(SEARCH("snap trap",E158)),ISNUMBER(SEARCH("power-kill",E158)),ISNUMBER(SEARCH("wide pedal",E158)),ISNUMBER(SEARCH("metal pedal",E158))),"Snap Traps",
OR(ISNUMBER(SEARCH("electronic",E158)),ISNUMBER(SEARCH("zapper",E158))),"Electronic Traps",
OR(ISNUMBER(SEARCH("live catch",E158)),ISNUMBER(SEARCH("multi-catch",E158)),ISNUMBER(SEARCH("catch &amp; hold",E158)),ISNUMBER(SEARCH("tin cat",E158))),"Live Catch Traps",
OR(ISNUMBER(SEARCH("bait",E158)),ISNUMBER(SEARCH("poison",E158))),"Bait &amp; Poison",
ISNUMBER(SEARCH("repellent",E158)),"Repellents",
OR(ISNUMBER(SEARCH("fly trap",E158)),ISNUMBER(SEARCH("fly ribbon",E158)),ISNUMBER(SEARCH("fly stick",E158)),ISNUMBER(SEARCH("window fly",E158)),ISNUMBER(SEARCH("fly magnet",E158))),"Fly Traps",
OR(ISNUMBER(SEARCH("uv",E158)),ISNUMBER(SEARCH("fly light",E158)),ISNUMBER(SEARCH("plug-in",E158))),"UV Fly Traps",
ISNUMBER(SEARCH("roach",E158)),"Roach Traps",
ISNUMBER(SEARCH("ant",E158)),"Ant Traps",
ISNUMBER(SEARCH("spider",E158)),"Spider Traps",
ISNUMBER(SEARCH("mosquito",E158)),"Mosquito Traps",
ISNUMBER(SEARCH("beetle",E158)),"Beetle Traps",
ISNUMBER(SEARCH("lantern",E158)),"Lanternfly Control",
OR(ISNUMBER(SEARCH("tree shield",E158)),ISNUMBER(SEARCH("tree banding",E158)),ISNUMBER(SEARCH("insect barrier",E158))),"Tree Barriers",
OR(ISNUMBER(SEARCH("sun &amp; shade",E158)),ISNUMBER(SEARCH("sun and shade",E158))),"Sun &amp; Shade Mix",
ISNUMBER(SEARCH("tall fescue",E158)),"Tall Fescue",
ISNUMBER(SEARCH("bermudagrass",E158)),"Bermudagrass",
ISNUMBER(SEARCH("kentucky",E158)),"Kentucky Bluegrass",
ISNUMBER(SEARCH("zoysia",E158)),"Zoysia",
ISNUMBER(SEARCH("ryegrass",E158)),"Perennial Ryegrass",
ISNUMBER(SEARCH("centipede",E158)),"Centipede Grass",
ISNUMBER(SEARCH("dense shade",E158)),"Dense Shade Mix",
ISNUMBER(SEARCH("southern gold",E158)),"Southern Gold Mix",
ISNUMBER(SEARCH("heat-tolerant blue",E158)),"Heat-Tolerant Blue Mix",
ISNUMBER(SEARCH("high traffic",E158)),"High Traffic Mix",
ISNUMBER(SEARCH("quick fix",E158)),"Quick Fix Mix",
ISNUMBER(SEARCH("starter",E158)),"Starter Fertilizer",
ISNUMBER(SEARCH("weed &amp; feed",E158)),"Weed &amp; Feed",
ISNUMBER(SEARCH("lawn food",E158)),"Lawn Food",
ISNUMBER(SEARCH("triple action",E158)),"Triple Action Fertilizer",
ISNUMBER(SEARCH("green max",E158)),"Green Max Lawn Food",
ISNUMBER(SEARCH("patchmaster",E158)),"PatchMaster Repair",
ISNUMBER(SEARCH("ez seed",E158)),"EZ Seed Repair",
ISNUMBER(SEARCH("rapid grass",E158)),"Rapid Grass",
ISNUMBER(SEARCH("thick'r lawn",E158)),"Thick'R Lawn",
ISNUMBER(SEARCH("fungicide",E158)),"Fungicide",
ISNUMBER(SEARCH("moss",E158)),"Moss Control",
ISNUMBER(SEARCH("perlite",E158)),"Perlite",
ISNUMBER(SEARCH("plant food",E158)),"Plant Food",
ISNUMBER(SEARCH("spreader",E158)),"Spreader",
ISNUMBER(SEARCH("sprayer",E158)),"Sprayer",
ISNUMBER(SEARCH("mower",E158)),"Lawn Mower",
ISNUMBER(SEARCH("sweeper",E158)),"Lawn Sweeper",
OR(ISNUMBER(SEARCH("pruner",E158)),ISNUMBER(SEARCH("trimmer",E158)),ISNUMBER(SEARCH("pole saw",E158))),"Pruning Tools",
TRUE,"Other"
)</f>
        <v>Kentucky Bluegrass</v>
      </c>
      <c r="J158" s="7" t="str">
        <f t="shared" si="38"/>
        <v>Grass Seed - Kentucky Bluegrass</v>
      </c>
      <c r="K158" s="4">
        <v>800</v>
      </c>
      <c r="L158" s="4">
        <v>4.0999999999999996</v>
      </c>
      <c r="M158" s="4">
        <v>631</v>
      </c>
      <c r="N158" s="4" t="s">
        <v>758</v>
      </c>
      <c r="O158" s="4">
        <f>VLOOKUP(A158,[3]Sheet1!$A:$B,2,0)</f>
        <v>0</v>
      </c>
      <c r="P158" s="4">
        <f>VLOOKUP(A158,[3]Sheet1!$A:$C,3,0)</f>
        <v>100</v>
      </c>
      <c r="Q158" s="4">
        <f>VLOOKUP(A158,[3]Sheet1!$A:$D,4,0)</f>
        <v>200</v>
      </c>
      <c r="R158" s="4">
        <f>VLOOKUP(A158,[3]Sheet1!$A:$E,5,0)</f>
        <v>3000</v>
      </c>
      <c r="S158" s="4">
        <f>VLOOKUP(A158,[3]Sheet1!$A:$F,6,0)</f>
        <v>1000</v>
      </c>
      <c r="T158" s="4">
        <f>VLOOKUP(A158,[3]Sheet1!$A:$G,7,0)</f>
        <v>700</v>
      </c>
      <c r="U158" s="4">
        <f>VLOOKUP(A158,[3]Sheet1!$A:$I,8,0)</f>
        <v>2000</v>
      </c>
      <c r="V158" s="4">
        <f>VLOOKUP(A158,[3]Sheet1!$A:$J,9,0)</f>
        <v>700</v>
      </c>
      <c r="W158" s="4">
        <f>VLOOKUP(A158,[3]Sheet1!$A:$J,10,0)</f>
        <v>1000</v>
      </c>
      <c r="X158" s="4">
        <f>VLOOKUP(A158,[3]Sheet1!$A:$K,11,0)</f>
        <v>200</v>
      </c>
      <c r="Y158" s="4">
        <f>VLOOKUP(A158,[3]Sheet1!$A:$L,12,0)</f>
        <v>300</v>
      </c>
      <c r="Z158" s="4">
        <f>VLOOKUP(A158,[3]Sheet1!$A:$M,13,0)</f>
        <v>100</v>
      </c>
      <c r="AA158" s="4">
        <f t="shared" si="32"/>
        <v>9300</v>
      </c>
      <c r="AB158" s="7">
        <f t="shared" si="39"/>
        <v>775</v>
      </c>
      <c r="AC158" s="15">
        <f t="shared" si="33"/>
        <v>775</v>
      </c>
      <c r="AD158" s="16">
        <f t="shared" si="34"/>
        <v>495132</v>
      </c>
      <c r="AE158" s="16">
        <f t="shared" si="35"/>
        <v>41261</v>
      </c>
      <c r="AF158" s="16">
        <v>17.36</v>
      </c>
      <c r="AG158" s="16">
        <v>53.24</v>
      </c>
      <c r="AH158" s="8">
        <f t="shared" si="36"/>
        <v>0.1957333333333332</v>
      </c>
      <c r="AI158" s="8">
        <f t="shared" si="37"/>
        <v>0.68506666666666616</v>
      </c>
      <c r="AJ158" s="10">
        <v>0.5</v>
      </c>
      <c r="AK158" s="10">
        <v>0.5</v>
      </c>
      <c r="AL158" s="16">
        <v>17.36</v>
      </c>
      <c r="AM158" s="9">
        <f t="shared" si="40"/>
        <v>7.9859999999999998</v>
      </c>
      <c r="AN158" s="9">
        <f t="shared" si="41"/>
        <v>1.5972</v>
      </c>
      <c r="AO158" s="9">
        <f t="shared" si="42"/>
        <v>10.648000000000001</v>
      </c>
      <c r="AP158" s="9">
        <f t="shared" si="43"/>
        <v>1.0648</v>
      </c>
      <c r="AQ158" s="9">
        <f t="shared" si="44"/>
        <v>10.648000000000001</v>
      </c>
      <c r="AR158" s="9">
        <f t="shared" si="45"/>
        <v>13.31</v>
      </c>
      <c r="AS158" s="11">
        <f t="shared" si="46"/>
        <v>1.957333333333332</v>
      </c>
      <c r="AT158" s="12">
        <f t="shared" si="47"/>
        <v>0.18266666666666609</v>
      </c>
    </row>
    <row r="159" spans="1:46" ht="16.5" x14ac:dyDescent="0.4">
      <c r="A159" s="4" t="s">
        <v>759</v>
      </c>
      <c r="B159" s="4" t="s">
        <v>513</v>
      </c>
      <c r="C159" s="7" t="s">
        <v>513</v>
      </c>
      <c r="D159" s="4" t="s">
        <v>760</v>
      </c>
      <c r="E159" s="4" t="s">
        <v>761</v>
      </c>
      <c r="F159" s="4" t="s">
        <v>762</v>
      </c>
      <c r="G159" s="7" t="str">
        <f>VLOOKUP(A159,[1]done!$A:$I,9,0)</f>
        <v>Grass Seed</v>
      </c>
      <c r="H159" s="7" t="str" cm="1">
        <f t="array" ref="H159">_xlfn.IFS(
OR(ISNUMBER(SEARCH("mouse",E159)),ISNUMBER(SEARCH("rat",E159)),ISNUMBER(SEARCH("mice",E159)),ISNUMBER(SEARCH("rodent",E159))),"Rodent Control",
OR(ISNUMBER(SEARCH("fly",E159)),ISNUMBER(SEARCH("gnat",E159)),ISNUMBER(SEARCH("insect",E159)),ISNUMBER(SEARCH("mosquito",E159))),"Flying Insect Control",
OR(ISNUMBER(SEARCH("roach",E159)),ISNUMBER(SEARCH("ant",E159)),ISNUMBER(SEARCH("spider",E159)),ISNUMBER(SEARCH("cricket",E159)),ISNUMBER(SEARCH("scorpion",E159)),ISNUMBER(SEARCH("centipede",E159)),ISNUMBER(SEARCH("beetle",E159))),"Crawling Insect Control",
OR(ISNUMBER(SEARCH("tree",E159)),ISNUMBER(SEARCH("lantern",E159)),ISNUMBER(SEARCH("garden",E159)),ISNUMBER(SEARCH("plant",E159))),"Garden Pest Control",
OR(ISNUMBER(SEARCH("grass seed",E159)),ISNUMBER(SEARCH("seed mix",E159))),"Grass Seed",
OR(ISNUMBER(SEARCH("lawn food",E159)),ISNUMBER(SEARCH("fertilizer",E159))),"Lawn Fertilizer",
OR(ISNUMBER(SEARCH("patch",E159)),ISNUMBER(SEARCH("repair",E159)),ISNUMBER(SEARCH("thick'r",E159)),ISNUMBER(SEARCH("thick'r lawn",E159)),ISNUMBER(SEARCH("rapid grass",E159))),"Lawn Repair",
OR(ISNUMBER(SEARCH("weed",E159)),ISNUMBER(SEARCH("crabgrass",E159))),"Weed Control",
OR(ISNUMBER(SEARCH("fungicide",E159)),ISNUMBER(SEARCH("moss",E159))),"Disease &amp; Moss Control",
OR(ISNUMBER(SEARCH("plant food",E159)),ISNUMBER(SEARCH("miracid",E159))),"Plant Nutrition",
OR(ISNUMBER(SEARCH("perlite",E159))),"Soil Amendment",
OR(ISNUMBER(SEARCH("spreader",E159)),ISNUMBER(SEARCH("sprayer",E159)),ISNUMBER(SEARCH("mower",E159)),ISNUMBER(SEARCH("sweeper",E159)),ISNUMBER(SEARCH("pruner",E159)),ISNUMBER(SEARCH("trimmer",E159)),ISNUMBER(SEARCH("pole saw",E159))),"Garden Equipment",
TRUE,"Other"
)</f>
        <v>Grass Seed</v>
      </c>
      <c r="I159" s="7" t="str" cm="1">
        <f t="array" ref="I159">_xlfn.IFS(
OR(ISNUMBER(SEARCH("glue trap",E159)),ISNUMBER(SEARCH("glue board",E159))),"Glue Traps",
OR(ISNUMBER(SEARCH("snap trap",E159)),ISNUMBER(SEARCH("power-kill",E159)),ISNUMBER(SEARCH("wide pedal",E159)),ISNUMBER(SEARCH("metal pedal",E159))),"Snap Traps",
OR(ISNUMBER(SEARCH("electronic",E159)),ISNUMBER(SEARCH("zapper",E159))),"Electronic Traps",
OR(ISNUMBER(SEARCH("live catch",E159)),ISNUMBER(SEARCH("multi-catch",E159)),ISNUMBER(SEARCH("catch &amp; hold",E159)),ISNUMBER(SEARCH("tin cat",E159))),"Live Catch Traps",
OR(ISNUMBER(SEARCH("bait",E159)),ISNUMBER(SEARCH("poison",E159))),"Bait &amp; Poison",
ISNUMBER(SEARCH("repellent",E159)),"Repellents",
OR(ISNUMBER(SEARCH("fly trap",E159)),ISNUMBER(SEARCH("fly ribbon",E159)),ISNUMBER(SEARCH("fly stick",E159)),ISNUMBER(SEARCH("window fly",E159)),ISNUMBER(SEARCH("fly magnet",E159))),"Fly Traps",
OR(ISNUMBER(SEARCH("uv",E159)),ISNUMBER(SEARCH("fly light",E159)),ISNUMBER(SEARCH("plug-in",E159))),"UV Fly Traps",
ISNUMBER(SEARCH("roach",E159)),"Roach Traps",
ISNUMBER(SEARCH("ant",E159)),"Ant Traps",
ISNUMBER(SEARCH("spider",E159)),"Spider Traps",
ISNUMBER(SEARCH("mosquito",E159)),"Mosquito Traps",
ISNUMBER(SEARCH("beetle",E159)),"Beetle Traps",
ISNUMBER(SEARCH("lantern",E159)),"Lanternfly Control",
OR(ISNUMBER(SEARCH("tree shield",E159)),ISNUMBER(SEARCH("tree banding",E159)),ISNUMBER(SEARCH("insect barrier",E159))),"Tree Barriers",
OR(ISNUMBER(SEARCH("sun &amp; shade",E159)),ISNUMBER(SEARCH("sun and shade",E159))),"Sun &amp; Shade Mix",
ISNUMBER(SEARCH("tall fescue",E159)),"Tall Fescue",
ISNUMBER(SEARCH("bermudagrass",E159)),"Bermudagrass",
ISNUMBER(SEARCH("kentucky",E159)),"Kentucky Bluegrass",
ISNUMBER(SEARCH("zoysia",E159)),"Zoysia",
ISNUMBER(SEARCH("ryegrass",E159)),"Perennial Ryegrass",
ISNUMBER(SEARCH("centipede",E159)),"Centipede Grass",
ISNUMBER(SEARCH("dense shade",E159)),"Dense Shade Mix",
ISNUMBER(SEARCH("southern gold",E159)),"Southern Gold Mix",
ISNUMBER(SEARCH("heat-tolerant blue",E159)),"Heat-Tolerant Blue Mix",
ISNUMBER(SEARCH("high traffic",E159)),"High Traffic Mix",
ISNUMBER(SEARCH("quick fix",E159)),"Quick Fix Mix",
ISNUMBER(SEARCH("starter",E159)),"Starter Fertilizer",
ISNUMBER(SEARCH("weed &amp; feed",E159)),"Weed &amp; Feed",
ISNUMBER(SEARCH("lawn food",E159)),"Lawn Food",
ISNUMBER(SEARCH("triple action",E159)),"Triple Action Fertilizer",
ISNUMBER(SEARCH("green max",E159)),"Green Max Lawn Food",
ISNUMBER(SEARCH("patchmaster",E159)),"PatchMaster Repair",
ISNUMBER(SEARCH("ez seed",E159)),"EZ Seed Repair",
ISNUMBER(SEARCH("rapid grass",E159)),"Rapid Grass",
ISNUMBER(SEARCH("thick'r lawn",E159)),"Thick'R Lawn",
ISNUMBER(SEARCH("fungicide",E159)),"Fungicide",
ISNUMBER(SEARCH("moss",E159)),"Moss Control",
ISNUMBER(SEARCH("perlite",E159)),"Perlite",
ISNUMBER(SEARCH("plant food",E159)),"Plant Food",
ISNUMBER(SEARCH("spreader",E159)),"Spreader",
ISNUMBER(SEARCH("sprayer",E159)),"Sprayer",
ISNUMBER(SEARCH("mower",E159)),"Lawn Mower",
ISNUMBER(SEARCH("sweeper",E159)),"Lawn Sweeper",
OR(ISNUMBER(SEARCH("pruner",E159)),ISNUMBER(SEARCH("trimmer",E159)),ISNUMBER(SEARCH("pole saw",E159))),"Pruning Tools",
TRUE,"Other"
)</f>
        <v>Other</v>
      </c>
      <c r="J159" s="7" t="str">
        <f t="shared" si="38"/>
        <v>Grass Seed - Other</v>
      </c>
      <c r="K159" s="4">
        <v>700</v>
      </c>
      <c r="L159" s="4">
        <v>4.3</v>
      </c>
      <c r="M159" s="4">
        <v>2269</v>
      </c>
      <c r="N159" s="4" t="s">
        <v>672</v>
      </c>
      <c r="O159" s="4">
        <f>VLOOKUP(A159,[3]Sheet1!$A:$B,2,0)</f>
        <v>50</v>
      </c>
      <c r="P159" s="4">
        <f>VLOOKUP(A159,[3]Sheet1!$A:$C,3,0)</f>
        <v>0</v>
      </c>
      <c r="Q159" s="4">
        <f>VLOOKUP(A159,[3]Sheet1!$A:$D,4,0)</f>
        <v>0</v>
      </c>
      <c r="R159" s="4">
        <f>VLOOKUP(A159,[3]Sheet1!$A:$E,5,0)</f>
        <v>0</v>
      </c>
      <c r="S159" s="4">
        <f>VLOOKUP(A159,[3]Sheet1!$A:$F,6,0)</f>
        <v>0</v>
      </c>
      <c r="T159" s="4">
        <f>VLOOKUP(A159,[3]Sheet1!$A:$G,7,0)</f>
        <v>0</v>
      </c>
      <c r="U159" s="4">
        <f>VLOOKUP(A159,[3]Sheet1!$A:$I,8,0)</f>
        <v>0</v>
      </c>
      <c r="V159" s="4">
        <f>VLOOKUP(A159,[3]Sheet1!$A:$J,9,0)</f>
        <v>50</v>
      </c>
      <c r="W159" s="4">
        <f>VLOOKUP(A159,[3]Sheet1!$A:$J,10,0)</f>
        <v>100</v>
      </c>
      <c r="X159" s="4">
        <f>VLOOKUP(A159,[3]Sheet1!$A:$K,11,0)</f>
        <v>1000</v>
      </c>
      <c r="Y159" s="4">
        <f>VLOOKUP(A159,[3]Sheet1!$A:$L,12,0)</f>
        <v>1000</v>
      </c>
      <c r="Z159" s="4">
        <f>VLOOKUP(A159,[3]Sheet1!$A:$M,13,0)</f>
        <v>200</v>
      </c>
      <c r="AA159" s="4">
        <f t="shared" si="32"/>
        <v>2400</v>
      </c>
      <c r="AB159" s="7">
        <f t="shared" si="39"/>
        <v>200</v>
      </c>
      <c r="AC159" s="15">
        <f t="shared" si="33"/>
        <v>200</v>
      </c>
      <c r="AD159" s="16">
        <f t="shared" si="34"/>
        <v>52608.000000000007</v>
      </c>
      <c r="AE159" s="16">
        <f t="shared" si="35"/>
        <v>4384</v>
      </c>
      <c r="AF159" s="16">
        <v>6.18</v>
      </c>
      <c r="AG159" s="16">
        <v>21.92</v>
      </c>
      <c r="AH159" s="8">
        <f t="shared" si="36"/>
        <v>0.10586666666666673</v>
      </c>
      <c r="AI159" s="8">
        <f t="shared" si="37"/>
        <v>0.37053333333333355</v>
      </c>
      <c r="AJ159" s="10">
        <v>0.5</v>
      </c>
      <c r="AK159" s="10">
        <v>0.5</v>
      </c>
      <c r="AL159" s="16">
        <v>6.18</v>
      </c>
      <c r="AM159" s="9">
        <f t="shared" si="40"/>
        <v>3.2880000000000003</v>
      </c>
      <c r="AN159" s="9">
        <f t="shared" si="41"/>
        <v>0.65760000000000007</v>
      </c>
      <c r="AO159" s="9">
        <f t="shared" si="42"/>
        <v>4.3840000000000003</v>
      </c>
      <c r="AP159" s="9">
        <f t="shared" si="43"/>
        <v>0.43840000000000007</v>
      </c>
      <c r="AQ159" s="9">
        <f t="shared" si="44"/>
        <v>4.3840000000000003</v>
      </c>
      <c r="AR159" s="9">
        <f t="shared" si="45"/>
        <v>5.48</v>
      </c>
      <c r="AS159" s="11">
        <f t="shared" si="46"/>
        <v>1.0586666666666673</v>
      </c>
      <c r="AT159" s="12">
        <f t="shared" si="47"/>
        <v>0.32800000000000057</v>
      </c>
    </row>
    <row r="160" spans="1:46" ht="16.5" x14ac:dyDescent="0.4">
      <c r="A160" s="4" t="s">
        <v>763</v>
      </c>
      <c r="B160" s="4" t="s">
        <v>513</v>
      </c>
      <c r="C160" s="7" t="s">
        <v>1784</v>
      </c>
      <c r="D160" s="4" t="s">
        <v>764</v>
      </c>
      <c r="E160" s="4" t="s">
        <v>765</v>
      </c>
      <c r="F160" s="4" t="s">
        <v>766</v>
      </c>
      <c r="G160" s="7" t="str">
        <f>VLOOKUP(A160,[1]done!$A:$I,9,0)</f>
        <v>Lawn Fertilizer</v>
      </c>
      <c r="H160" s="7" t="str" cm="1">
        <f t="array" ref="H160">_xlfn.IFS(
OR(ISNUMBER(SEARCH("mouse",E160)),ISNUMBER(SEARCH("rat",E160)),ISNUMBER(SEARCH("mice",E160)),ISNUMBER(SEARCH("rodent",E160))),"Rodent Control",
OR(ISNUMBER(SEARCH("fly",E160)),ISNUMBER(SEARCH("gnat",E160)),ISNUMBER(SEARCH("insect",E160)),ISNUMBER(SEARCH("mosquito",E160))),"Flying Insect Control",
OR(ISNUMBER(SEARCH("roach",E160)),ISNUMBER(SEARCH("ant",E160)),ISNUMBER(SEARCH("spider",E160)),ISNUMBER(SEARCH("cricket",E160)),ISNUMBER(SEARCH("scorpion",E160)),ISNUMBER(SEARCH("centipede",E160)),ISNUMBER(SEARCH("beetle",E160))),"Crawling Insect Control",
OR(ISNUMBER(SEARCH("tree",E160)),ISNUMBER(SEARCH("lantern",E160)),ISNUMBER(SEARCH("garden",E160)),ISNUMBER(SEARCH("plant",E160))),"Garden Pest Control",
OR(ISNUMBER(SEARCH("grass seed",E160)),ISNUMBER(SEARCH("seed mix",E160))),"Grass Seed",
OR(ISNUMBER(SEARCH("lawn food",E160)),ISNUMBER(SEARCH("fertilizer",E160))),"Lawn Fertilizer",
OR(ISNUMBER(SEARCH("patch",E160)),ISNUMBER(SEARCH("repair",E160)),ISNUMBER(SEARCH("thick'r",E160)),ISNUMBER(SEARCH("thick'r lawn",E160)),ISNUMBER(SEARCH("rapid grass",E160))),"Lawn Repair",
OR(ISNUMBER(SEARCH("weed",E160)),ISNUMBER(SEARCH("crabgrass",E160))),"Weed Control",
OR(ISNUMBER(SEARCH("fungicide",E160)),ISNUMBER(SEARCH("moss",E160))),"Disease &amp; Moss Control",
OR(ISNUMBER(SEARCH("plant food",E160)),ISNUMBER(SEARCH("miracid",E160))),"Plant Nutrition",
OR(ISNUMBER(SEARCH("perlite",E160))),"Soil Amendment",
OR(ISNUMBER(SEARCH("spreader",E160)),ISNUMBER(SEARCH("sprayer",E160)),ISNUMBER(SEARCH("mower",E160)),ISNUMBER(SEARCH("sweeper",E160)),ISNUMBER(SEARCH("pruner",E160)),ISNUMBER(SEARCH("trimmer",E160)),ISNUMBER(SEARCH("pole saw",E160))),"Garden Equipment",
TRUE,"Other"
)</f>
        <v>Other</v>
      </c>
      <c r="I160" s="7" t="str" cm="1">
        <f t="array" ref="I160">_xlfn.IFS(
OR(ISNUMBER(SEARCH("glue trap",E160)),ISNUMBER(SEARCH("glue board",E160))),"Glue Traps",
OR(ISNUMBER(SEARCH("snap trap",E160)),ISNUMBER(SEARCH("power-kill",E160)),ISNUMBER(SEARCH("wide pedal",E160)),ISNUMBER(SEARCH("metal pedal",E160))),"Snap Traps",
OR(ISNUMBER(SEARCH("electronic",E160)),ISNUMBER(SEARCH("zapper",E160))),"Electronic Traps",
OR(ISNUMBER(SEARCH("live catch",E160)),ISNUMBER(SEARCH("multi-catch",E160)),ISNUMBER(SEARCH("catch &amp; hold",E160)),ISNUMBER(SEARCH("tin cat",E160))),"Live Catch Traps",
OR(ISNUMBER(SEARCH("bait",E160)),ISNUMBER(SEARCH("poison",E160))),"Bait &amp; Poison",
ISNUMBER(SEARCH("repellent",E160)),"Repellents",
OR(ISNUMBER(SEARCH("fly trap",E160)),ISNUMBER(SEARCH("fly ribbon",E160)),ISNUMBER(SEARCH("fly stick",E160)),ISNUMBER(SEARCH("window fly",E160)),ISNUMBER(SEARCH("fly magnet",E160))),"Fly Traps",
OR(ISNUMBER(SEARCH("uv",E160)),ISNUMBER(SEARCH("fly light",E160)),ISNUMBER(SEARCH("plug-in",E160))),"UV Fly Traps",
ISNUMBER(SEARCH("roach",E160)),"Roach Traps",
ISNUMBER(SEARCH("ant",E160)),"Ant Traps",
ISNUMBER(SEARCH("spider",E160)),"Spider Traps",
ISNUMBER(SEARCH("mosquito",E160)),"Mosquito Traps",
ISNUMBER(SEARCH("beetle",E160)),"Beetle Traps",
ISNUMBER(SEARCH("lantern",E160)),"Lanternfly Control",
OR(ISNUMBER(SEARCH("tree shield",E160)),ISNUMBER(SEARCH("tree banding",E160)),ISNUMBER(SEARCH("insect barrier",E160))),"Tree Barriers",
OR(ISNUMBER(SEARCH("sun &amp; shade",E160)),ISNUMBER(SEARCH("sun and shade",E160))),"Sun &amp; Shade Mix",
ISNUMBER(SEARCH("tall fescue",E160)),"Tall Fescue",
ISNUMBER(SEARCH("bermudagrass",E160)),"Bermudagrass",
ISNUMBER(SEARCH("kentucky",E160)),"Kentucky Bluegrass",
ISNUMBER(SEARCH("zoysia",E160)),"Zoysia",
ISNUMBER(SEARCH("ryegrass",E160)),"Perennial Ryegrass",
ISNUMBER(SEARCH("centipede",E160)),"Centipede Grass",
ISNUMBER(SEARCH("dense shade",E160)),"Dense Shade Mix",
ISNUMBER(SEARCH("southern gold",E160)),"Southern Gold Mix",
ISNUMBER(SEARCH("heat-tolerant blue",E160)),"Heat-Tolerant Blue Mix",
ISNUMBER(SEARCH("high traffic",E160)),"High Traffic Mix",
ISNUMBER(SEARCH("quick fix",E160)),"Quick Fix Mix",
ISNUMBER(SEARCH("starter",E160)),"Starter Fertilizer",
ISNUMBER(SEARCH("weed &amp; feed",E160)),"Weed &amp; Feed",
ISNUMBER(SEARCH("lawn food",E160)),"Lawn Food",
ISNUMBER(SEARCH("triple action",E160)),"Triple Action Fertilizer",
ISNUMBER(SEARCH("green max",E160)),"Green Max Lawn Food",
ISNUMBER(SEARCH("patchmaster",E160)),"PatchMaster Repair",
ISNUMBER(SEARCH("ez seed",E160)),"EZ Seed Repair",
ISNUMBER(SEARCH("rapid grass",E160)),"Rapid Grass",
ISNUMBER(SEARCH("thick'r lawn",E160)),"Thick'R Lawn",
ISNUMBER(SEARCH("fungicide",E160)),"Fungicide",
ISNUMBER(SEARCH("moss",E160)),"Moss Control",
ISNUMBER(SEARCH("perlite",E160)),"Perlite",
ISNUMBER(SEARCH("plant food",E160)),"Plant Food",
ISNUMBER(SEARCH("spreader",E160)),"Spreader",
ISNUMBER(SEARCH("sprayer",E160)),"Sprayer",
ISNUMBER(SEARCH("mower",E160)),"Lawn Mower",
ISNUMBER(SEARCH("sweeper",E160)),"Lawn Sweeper",
OR(ISNUMBER(SEARCH("pruner",E160)),ISNUMBER(SEARCH("trimmer",E160)),ISNUMBER(SEARCH("pole saw",E160))),"Pruning Tools",
TRUE,"Other"
)</f>
        <v>Triple Action Fertilizer</v>
      </c>
      <c r="J160" s="7" t="str">
        <f t="shared" si="38"/>
        <v>Other - Triple Action Fertilizer</v>
      </c>
      <c r="K160" s="4">
        <v>700</v>
      </c>
      <c r="L160" s="4">
        <v>4.3</v>
      </c>
      <c r="M160" s="4">
        <v>2404</v>
      </c>
      <c r="N160" s="4" t="s">
        <v>624</v>
      </c>
      <c r="O160" s="4">
        <f>VLOOKUP(A160,[3]Sheet1!$A:$B,2,0)</f>
        <v>100</v>
      </c>
      <c r="P160" s="4">
        <f>VLOOKUP(A160,[3]Sheet1!$A:$C,3,0)</f>
        <v>100</v>
      </c>
      <c r="Q160" s="4">
        <f>VLOOKUP(A160,[3]Sheet1!$A:$D,4,0)</f>
        <v>1000</v>
      </c>
      <c r="R160" s="4">
        <f>VLOOKUP(A160,[3]Sheet1!$A:$E,5,0)</f>
        <v>3000</v>
      </c>
      <c r="S160" s="4">
        <f>VLOOKUP(A160,[3]Sheet1!$A:$F,6,0)</f>
        <v>2000</v>
      </c>
      <c r="T160" s="4">
        <f>VLOOKUP(A160,[3]Sheet1!$A:$G,7,0)</f>
        <v>2000</v>
      </c>
      <c r="U160" s="4">
        <f>VLOOKUP(A160,[3]Sheet1!$A:$I,8,0)</f>
        <v>1000</v>
      </c>
      <c r="V160" s="4">
        <f>VLOOKUP(A160,[3]Sheet1!$A:$J,9,0)</f>
        <v>500</v>
      </c>
      <c r="W160" s="4">
        <f>VLOOKUP(A160,[3]Sheet1!$A:$J,10,0)</f>
        <v>700</v>
      </c>
      <c r="X160" s="4">
        <f>VLOOKUP(A160,[3]Sheet1!$A:$K,11,0)</f>
        <v>700</v>
      </c>
      <c r="Y160" s="4">
        <f>VLOOKUP(A160,[3]Sheet1!$A:$L,12,0)</f>
        <v>100</v>
      </c>
      <c r="Z160" s="4">
        <f>VLOOKUP(A160,[3]Sheet1!$A:$M,13,0)</f>
        <v>100</v>
      </c>
      <c r="AA160" s="4">
        <f t="shared" si="32"/>
        <v>11300</v>
      </c>
      <c r="AB160" s="7">
        <f t="shared" si="39"/>
        <v>942</v>
      </c>
      <c r="AC160" s="15">
        <f t="shared" si="33"/>
        <v>941.66666666666663</v>
      </c>
      <c r="AD160" s="16">
        <f t="shared" si="34"/>
        <v>310298</v>
      </c>
      <c r="AE160" s="16">
        <f t="shared" si="35"/>
        <v>25858.166666666668</v>
      </c>
      <c r="AF160" s="16">
        <v>7.71</v>
      </c>
      <c r="AG160" s="16">
        <v>27.46</v>
      </c>
      <c r="AH160" s="8">
        <f t="shared" si="36"/>
        <v>0.1515999999999999</v>
      </c>
      <c r="AI160" s="8">
        <f t="shared" si="37"/>
        <v>0.53059999999999963</v>
      </c>
      <c r="AJ160" s="10">
        <v>0.5</v>
      </c>
      <c r="AK160" s="10">
        <v>0.5</v>
      </c>
      <c r="AL160" s="16">
        <v>7.71</v>
      </c>
      <c r="AM160" s="9">
        <f t="shared" si="40"/>
        <v>4.1189999999999998</v>
      </c>
      <c r="AN160" s="9">
        <f t="shared" si="41"/>
        <v>0.82379999999999998</v>
      </c>
      <c r="AO160" s="9">
        <f t="shared" si="42"/>
        <v>5.4920000000000009</v>
      </c>
      <c r="AP160" s="9">
        <f t="shared" si="43"/>
        <v>0.54920000000000002</v>
      </c>
      <c r="AQ160" s="9">
        <f t="shared" si="44"/>
        <v>5.4920000000000009</v>
      </c>
      <c r="AR160" s="9">
        <f t="shared" si="45"/>
        <v>6.8650000000000002</v>
      </c>
      <c r="AS160" s="11">
        <f t="shared" si="46"/>
        <v>1.5159999999999989</v>
      </c>
      <c r="AT160" s="12">
        <f t="shared" si="47"/>
        <v>0.6006666666666659</v>
      </c>
    </row>
    <row r="161" spans="1:46" ht="16.5" x14ac:dyDescent="0.4">
      <c r="A161" s="4" t="s">
        <v>767</v>
      </c>
      <c r="B161" s="4" t="s">
        <v>513</v>
      </c>
      <c r="C161" s="7" t="s">
        <v>1784</v>
      </c>
      <c r="D161" s="4" t="s">
        <v>768</v>
      </c>
      <c r="E161" s="4" t="s">
        <v>769</v>
      </c>
      <c r="F161" s="4" t="s">
        <v>770</v>
      </c>
      <c r="G161" s="7" t="str">
        <f>VLOOKUP(A161,[1]done!$A:$I,9,0)</f>
        <v>Lawn Fertilizer</v>
      </c>
      <c r="H161" s="7" t="str" cm="1">
        <f t="array" ref="H161">_xlfn.IFS(
OR(ISNUMBER(SEARCH("mouse",E161)),ISNUMBER(SEARCH("rat",E161)),ISNUMBER(SEARCH("mice",E161)),ISNUMBER(SEARCH("rodent",E161))),"Rodent Control",
OR(ISNUMBER(SEARCH("fly",E161)),ISNUMBER(SEARCH("gnat",E161)),ISNUMBER(SEARCH("insect",E161)),ISNUMBER(SEARCH("mosquito",E161))),"Flying Insect Control",
OR(ISNUMBER(SEARCH("roach",E161)),ISNUMBER(SEARCH("ant",E161)),ISNUMBER(SEARCH("spider",E161)),ISNUMBER(SEARCH("cricket",E161)),ISNUMBER(SEARCH("scorpion",E161)),ISNUMBER(SEARCH("centipede",E161)),ISNUMBER(SEARCH("beetle",E161))),"Crawling Insect Control",
OR(ISNUMBER(SEARCH("tree",E161)),ISNUMBER(SEARCH("lantern",E161)),ISNUMBER(SEARCH("garden",E161)),ISNUMBER(SEARCH("plant",E161))),"Garden Pest Control",
OR(ISNUMBER(SEARCH("grass seed",E161)),ISNUMBER(SEARCH("seed mix",E161))),"Grass Seed",
OR(ISNUMBER(SEARCH("lawn food",E161)),ISNUMBER(SEARCH("fertilizer",E161))),"Lawn Fertilizer",
OR(ISNUMBER(SEARCH("patch",E161)),ISNUMBER(SEARCH("repair",E161)),ISNUMBER(SEARCH("thick'r",E161)),ISNUMBER(SEARCH("thick'r lawn",E161)),ISNUMBER(SEARCH("rapid grass",E161))),"Lawn Repair",
OR(ISNUMBER(SEARCH("weed",E161)),ISNUMBER(SEARCH("crabgrass",E161))),"Weed Control",
OR(ISNUMBER(SEARCH("fungicide",E161)),ISNUMBER(SEARCH("moss",E161))),"Disease &amp; Moss Control",
OR(ISNUMBER(SEARCH("plant food",E161)),ISNUMBER(SEARCH("miracid",E161))),"Plant Nutrition",
OR(ISNUMBER(SEARCH("perlite",E161))),"Soil Amendment",
OR(ISNUMBER(SEARCH("spreader",E161)),ISNUMBER(SEARCH("sprayer",E161)),ISNUMBER(SEARCH("mower",E161)),ISNUMBER(SEARCH("sweeper",E161)),ISNUMBER(SEARCH("pruner",E161)),ISNUMBER(SEARCH("trimmer",E161)),ISNUMBER(SEARCH("pole saw",E161))),"Garden Equipment",
TRUE,"Other"
)</f>
        <v>Lawn Fertilizer</v>
      </c>
      <c r="I161" s="7" t="str" cm="1">
        <f t="array" ref="I161">_xlfn.IFS(
OR(ISNUMBER(SEARCH("glue trap",E161)),ISNUMBER(SEARCH("glue board",E161))),"Glue Traps",
OR(ISNUMBER(SEARCH("snap trap",E161)),ISNUMBER(SEARCH("power-kill",E161)),ISNUMBER(SEARCH("wide pedal",E161)),ISNUMBER(SEARCH("metal pedal",E161))),"Snap Traps",
OR(ISNUMBER(SEARCH("electronic",E161)),ISNUMBER(SEARCH("zapper",E161))),"Electronic Traps",
OR(ISNUMBER(SEARCH("live catch",E161)),ISNUMBER(SEARCH("multi-catch",E161)),ISNUMBER(SEARCH("catch &amp; hold",E161)),ISNUMBER(SEARCH("tin cat",E161))),"Live Catch Traps",
OR(ISNUMBER(SEARCH("bait",E161)),ISNUMBER(SEARCH("poison",E161))),"Bait &amp; Poison",
ISNUMBER(SEARCH("repellent",E161)),"Repellents",
OR(ISNUMBER(SEARCH("fly trap",E161)),ISNUMBER(SEARCH("fly ribbon",E161)),ISNUMBER(SEARCH("fly stick",E161)),ISNUMBER(SEARCH("window fly",E161)),ISNUMBER(SEARCH("fly magnet",E161))),"Fly Traps",
OR(ISNUMBER(SEARCH("uv",E161)),ISNUMBER(SEARCH("fly light",E161)),ISNUMBER(SEARCH("plug-in",E161))),"UV Fly Traps",
ISNUMBER(SEARCH("roach",E161)),"Roach Traps",
ISNUMBER(SEARCH("ant",E161)),"Ant Traps",
ISNUMBER(SEARCH("spider",E161)),"Spider Traps",
ISNUMBER(SEARCH("mosquito",E161)),"Mosquito Traps",
ISNUMBER(SEARCH("beetle",E161)),"Beetle Traps",
ISNUMBER(SEARCH("lantern",E161)),"Lanternfly Control",
OR(ISNUMBER(SEARCH("tree shield",E161)),ISNUMBER(SEARCH("tree banding",E161)),ISNUMBER(SEARCH("insect barrier",E161))),"Tree Barriers",
OR(ISNUMBER(SEARCH("sun &amp; shade",E161)),ISNUMBER(SEARCH("sun and shade",E161))),"Sun &amp; Shade Mix",
ISNUMBER(SEARCH("tall fescue",E161)),"Tall Fescue",
ISNUMBER(SEARCH("bermudagrass",E161)),"Bermudagrass",
ISNUMBER(SEARCH("kentucky",E161)),"Kentucky Bluegrass",
ISNUMBER(SEARCH("zoysia",E161)),"Zoysia",
ISNUMBER(SEARCH("ryegrass",E161)),"Perennial Ryegrass",
ISNUMBER(SEARCH("centipede",E161)),"Centipede Grass",
ISNUMBER(SEARCH("dense shade",E161)),"Dense Shade Mix",
ISNUMBER(SEARCH("southern gold",E161)),"Southern Gold Mix",
ISNUMBER(SEARCH("heat-tolerant blue",E161)),"Heat-Tolerant Blue Mix",
ISNUMBER(SEARCH("high traffic",E161)),"High Traffic Mix",
ISNUMBER(SEARCH("quick fix",E161)),"Quick Fix Mix",
ISNUMBER(SEARCH("starter",E161)),"Starter Fertilizer",
ISNUMBER(SEARCH("weed &amp; feed",E161)),"Weed &amp; Feed",
ISNUMBER(SEARCH("lawn food",E161)),"Lawn Food",
ISNUMBER(SEARCH("triple action",E161)),"Triple Action Fertilizer",
ISNUMBER(SEARCH("green max",E161)),"Green Max Lawn Food",
ISNUMBER(SEARCH("patchmaster",E161)),"PatchMaster Repair",
ISNUMBER(SEARCH("ez seed",E161)),"EZ Seed Repair",
ISNUMBER(SEARCH("rapid grass",E161)),"Rapid Grass",
ISNUMBER(SEARCH("thick'r lawn",E161)),"Thick'R Lawn",
ISNUMBER(SEARCH("fungicide",E161)),"Fungicide",
ISNUMBER(SEARCH("moss",E161)),"Moss Control",
ISNUMBER(SEARCH("perlite",E161)),"Perlite",
ISNUMBER(SEARCH("plant food",E161)),"Plant Food",
ISNUMBER(SEARCH("spreader",E161)),"Spreader",
ISNUMBER(SEARCH("sprayer",E161)),"Sprayer",
ISNUMBER(SEARCH("mower",E161)),"Lawn Mower",
ISNUMBER(SEARCH("sweeper",E161)),"Lawn Sweeper",
OR(ISNUMBER(SEARCH("pruner",E161)),ISNUMBER(SEARCH("trimmer",E161)),ISNUMBER(SEARCH("pole saw",E161))),"Pruning Tools",
TRUE,"Other"
)</f>
        <v>Lawn Food</v>
      </c>
      <c r="J161" s="7" t="str">
        <f t="shared" si="38"/>
        <v>Lawn Fertilizer - Lawn Food</v>
      </c>
      <c r="K161" s="4">
        <v>700</v>
      </c>
      <c r="L161" s="4">
        <v>4.2</v>
      </c>
      <c r="M161" s="4">
        <v>95</v>
      </c>
      <c r="N161" s="4" t="s">
        <v>771</v>
      </c>
      <c r="O161" s="4">
        <f>VLOOKUP(A161,[3]Sheet1!$A:$B,2,0)</f>
        <v>0</v>
      </c>
      <c r="P161" s="4">
        <f>VLOOKUP(A161,[3]Sheet1!$A:$C,3,0)</f>
        <v>0</v>
      </c>
      <c r="Q161" s="4">
        <f>VLOOKUP(A161,[3]Sheet1!$A:$D,4,0)</f>
        <v>0</v>
      </c>
      <c r="R161" s="4">
        <f>VLOOKUP(A161,[3]Sheet1!$A:$E,5,0)</f>
        <v>300</v>
      </c>
      <c r="S161" s="4">
        <f>VLOOKUP(A161,[3]Sheet1!$A:$F,6,0)</f>
        <v>400</v>
      </c>
      <c r="T161" s="4">
        <f>VLOOKUP(A161,[3]Sheet1!$A:$G,7,0)</f>
        <v>500</v>
      </c>
      <c r="U161" s="4">
        <f>VLOOKUP(A161,[3]Sheet1!$A:$I,8,0)</f>
        <v>500</v>
      </c>
      <c r="V161" s="4">
        <f>VLOOKUP(A161,[3]Sheet1!$A:$J,9,0)</f>
        <v>500</v>
      </c>
      <c r="W161" s="4">
        <f>VLOOKUP(A161,[3]Sheet1!$A:$J,10,0)</f>
        <v>800</v>
      </c>
      <c r="X161" s="4">
        <f>VLOOKUP(A161,[3]Sheet1!$A:$K,11,0)</f>
        <v>0</v>
      </c>
      <c r="Y161" s="4">
        <f>VLOOKUP(A161,[3]Sheet1!$A:$L,12,0)</f>
        <v>0</v>
      </c>
      <c r="Z161" s="4">
        <f>VLOOKUP(A161,[3]Sheet1!$A:$M,13,0)</f>
        <v>0</v>
      </c>
      <c r="AA161" s="4">
        <f t="shared" si="32"/>
        <v>3000</v>
      </c>
      <c r="AB161" s="7">
        <f t="shared" si="39"/>
        <v>250</v>
      </c>
      <c r="AC161" s="15">
        <f t="shared" si="33"/>
        <v>250</v>
      </c>
      <c r="AD161" s="16">
        <f t="shared" si="34"/>
        <v>44970</v>
      </c>
      <c r="AE161" s="16">
        <f t="shared" si="35"/>
        <v>3747.5</v>
      </c>
      <c r="AF161" s="16">
        <v>6.9</v>
      </c>
      <c r="AG161" s="16">
        <v>14.99</v>
      </c>
      <c r="AH161" s="8">
        <f t="shared" si="36"/>
        <v>-0.1269333333333334</v>
      </c>
      <c r="AI161" s="8">
        <f t="shared" si="37"/>
        <v>-0.44426666666666681</v>
      </c>
      <c r="AJ161" s="10">
        <v>0.5</v>
      </c>
      <c r="AK161" s="10">
        <v>0.5</v>
      </c>
      <c r="AL161" s="16">
        <v>6.9</v>
      </c>
      <c r="AM161" s="9">
        <f t="shared" si="40"/>
        <v>2.2484999999999999</v>
      </c>
      <c r="AN161" s="9">
        <f t="shared" si="41"/>
        <v>0.44969999999999999</v>
      </c>
      <c r="AO161" s="9">
        <f t="shared" si="42"/>
        <v>2.9980000000000002</v>
      </c>
      <c r="AP161" s="9">
        <f t="shared" si="43"/>
        <v>0.29980000000000001</v>
      </c>
      <c r="AQ161" s="9">
        <f t="shared" si="44"/>
        <v>2.9980000000000002</v>
      </c>
      <c r="AR161" s="9">
        <f t="shared" si="45"/>
        <v>3.7475000000000001</v>
      </c>
      <c r="AS161" s="11">
        <f t="shared" si="46"/>
        <v>-1.2693333333333339</v>
      </c>
      <c r="AT161" s="12">
        <f t="shared" si="47"/>
        <v>-1.7690000000000003</v>
      </c>
    </row>
    <row r="162" spans="1:46" ht="16.5" x14ac:dyDescent="0.4">
      <c r="A162" s="4" t="s">
        <v>772</v>
      </c>
      <c r="B162" s="4" t="s">
        <v>513</v>
      </c>
      <c r="C162" s="7" t="s">
        <v>1784</v>
      </c>
      <c r="D162" s="4" t="s">
        <v>773</v>
      </c>
      <c r="E162" s="4" t="s">
        <v>769</v>
      </c>
      <c r="F162" s="4" t="s">
        <v>774</v>
      </c>
      <c r="G162" s="7" t="str">
        <f>VLOOKUP(A162,[1]done!$A:$I,9,0)</f>
        <v>Lawn Fertilizer</v>
      </c>
      <c r="H162" s="7" t="str" cm="1">
        <f t="array" ref="H162">_xlfn.IFS(
OR(ISNUMBER(SEARCH("mouse",E162)),ISNUMBER(SEARCH("rat",E162)),ISNUMBER(SEARCH("mice",E162)),ISNUMBER(SEARCH("rodent",E162))),"Rodent Control",
OR(ISNUMBER(SEARCH("fly",E162)),ISNUMBER(SEARCH("gnat",E162)),ISNUMBER(SEARCH("insect",E162)),ISNUMBER(SEARCH("mosquito",E162))),"Flying Insect Control",
OR(ISNUMBER(SEARCH("roach",E162)),ISNUMBER(SEARCH("ant",E162)),ISNUMBER(SEARCH("spider",E162)),ISNUMBER(SEARCH("cricket",E162)),ISNUMBER(SEARCH("scorpion",E162)),ISNUMBER(SEARCH("centipede",E162)),ISNUMBER(SEARCH("beetle",E162))),"Crawling Insect Control",
OR(ISNUMBER(SEARCH("tree",E162)),ISNUMBER(SEARCH("lantern",E162)),ISNUMBER(SEARCH("garden",E162)),ISNUMBER(SEARCH("plant",E162))),"Garden Pest Control",
OR(ISNUMBER(SEARCH("grass seed",E162)),ISNUMBER(SEARCH("seed mix",E162))),"Grass Seed",
OR(ISNUMBER(SEARCH("lawn food",E162)),ISNUMBER(SEARCH("fertilizer",E162))),"Lawn Fertilizer",
OR(ISNUMBER(SEARCH("patch",E162)),ISNUMBER(SEARCH("repair",E162)),ISNUMBER(SEARCH("thick'r",E162)),ISNUMBER(SEARCH("thick'r lawn",E162)),ISNUMBER(SEARCH("rapid grass",E162))),"Lawn Repair",
OR(ISNUMBER(SEARCH("weed",E162)),ISNUMBER(SEARCH("crabgrass",E162))),"Weed Control",
OR(ISNUMBER(SEARCH("fungicide",E162)),ISNUMBER(SEARCH("moss",E162))),"Disease &amp; Moss Control",
OR(ISNUMBER(SEARCH("plant food",E162)),ISNUMBER(SEARCH("miracid",E162))),"Plant Nutrition",
OR(ISNUMBER(SEARCH("perlite",E162))),"Soil Amendment",
OR(ISNUMBER(SEARCH("spreader",E162)),ISNUMBER(SEARCH("sprayer",E162)),ISNUMBER(SEARCH("mower",E162)),ISNUMBER(SEARCH("sweeper",E162)),ISNUMBER(SEARCH("pruner",E162)),ISNUMBER(SEARCH("trimmer",E162)),ISNUMBER(SEARCH("pole saw",E162))),"Garden Equipment",
TRUE,"Other"
)</f>
        <v>Lawn Fertilizer</v>
      </c>
      <c r="I162" s="7" t="str" cm="1">
        <f t="array" ref="I162">_xlfn.IFS(
OR(ISNUMBER(SEARCH("glue trap",E162)),ISNUMBER(SEARCH("glue board",E162))),"Glue Traps",
OR(ISNUMBER(SEARCH("snap trap",E162)),ISNUMBER(SEARCH("power-kill",E162)),ISNUMBER(SEARCH("wide pedal",E162)),ISNUMBER(SEARCH("metal pedal",E162))),"Snap Traps",
OR(ISNUMBER(SEARCH("electronic",E162)),ISNUMBER(SEARCH("zapper",E162))),"Electronic Traps",
OR(ISNUMBER(SEARCH("live catch",E162)),ISNUMBER(SEARCH("multi-catch",E162)),ISNUMBER(SEARCH("catch &amp; hold",E162)),ISNUMBER(SEARCH("tin cat",E162))),"Live Catch Traps",
OR(ISNUMBER(SEARCH("bait",E162)),ISNUMBER(SEARCH("poison",E162))),"Bait &amp; Poison",
ISNUMBER(SEARCH("repellent",E162)),"Repellents",
OR(ISNUMBER(SEARCH("fly trap",E162)),ISNUMBER(SEARCH("fly ribbon",E162)),ISNUMBER(SEARCH("fly stick",E162)),ISNUMBER(SEARCH("window fly",E162)),ISNUMBER(SEARCH("fly magnet",E162))),"Fly Traps",
OR(ISNUMBER(SEARCH("uv",E162)),ISNUMBER(SEARCH("fly light",E162)),ISNUMBER(SEARCH("plug-in",E162))),"UV Fly Traps",
ISNUMBER(SEARCH("roach",E162)),"Roach Traps",
ISNUMBER(SEARCH("ant",E162)),"Ant Traps",
ISNUMBER(SEARCH("spider",E162)),"Spider Traps",
ISNUMBER(SEARCH("mosquito",E162)),"Mosquito Traps",
ISNUMBER(SEARCH("beetle",E162)),"Beetle Traps",
ISNUMBER(SEARCH("lantern",E162)),"Lanternfly Control",
OR(ISNUMBER(SEARCH("tree shield",E162)),ISNUMBER(SEARCH("tree banding",E162)),ISNUMBER(SEARCH("insect barrier",E162))),"Tree Barriers",
OR(ISNUMBER(SEARCH("sun &amp; shade",E162)),ISNUMBER(SEARCH("sun and shade",E162))),"Sun &amp; Shade Mix",
ISNUMBER(SEARCH("tall fescue",E162)),"Tall Fescue",
ISNUMBER(SEARCH("bermudagrass",E162)),"Bermudagrass",
ISNUMBER(SEARCH("kentucky",E162)),"Kentucky Bluegrass",
ISNUMBER(SEARCH("zoysia",E162)),"Zoysia",
ISNUMBER(SEARCH("ryegrass",E162)),"Perennial Ryegrass",
ISNUMBER(SEARCH("centipede",E162)),"Centipede Grass",
ISNUMBER(SEARCH("dense shade",E162)),"Dense Shade Mix",
ISNUMBER(SEARCH("southern gold",E162)),"Southern Gold Mix",
ISNUMBER(SEARCH("heat-tolerant blue",E162)),"Heat-Tolerant Blue Mix",
ISNUMBER(SEARCH("high traffic",E162)),"High Traffic Mix",
ISNUMBER(SEARCH("quick fix",E162)),"Quick Fix Mix",
ISNUMBER(SEARCH("starter",E162)),"Starter Fertilizer",
ISNUMBER(SEARCH("weed &amp; feed",E162)),"Weed &amp; Feed",
ISNUMBER(SEARCH("lawn food",E162)),"Lawn Food",
ISNUMBER(SEARCH("triple action",E162)),"Triple Action Fertilizer",
ISNUMBER(SEARCH("green max",E162)),"Green Max Lawn Food",
ISNUMBER(SEARCH("patchmaster",E162)),"PatchMaster Repair",
ISNUMBER(SEARCH("ez seed",E162)),"EZ Seed Repair",
ISNUMBER(SEARCH("rapid grass",E162)),"Rapid Grass",
ISNUMBER(SEARCH("thick'r lawn",E162)),"Thick'R Lawn",
ISNUMBER(SEARCH("fungicide",E162)),"Fungicide",
ISNUMBER(SEARCH("moss",E162)),"Moss Control",
ISNUMBER(SEARCH("perlite",E162)),"Perlite",
ISNUMBER(SEARCH("plant food",E162)),"Plant Food",
ISNUMBER(SEARCH("spreader",E162)),"Spreader",
ISNUMBER(SEARCH("sprayer",E162)),"Sprayer",
ISNUMBER(SEARCH("mower",E162)),"Lawn Mower",
ISNUMBER(SEARCH("sweeper",E162)),"Lawn Sweeper",
OR(ISNUMBER(SEARCH("pruner",E162)),ISNUMBER(SEARCH("trimmer",E162)),ISNUMBER(SEARCH("pole saw",E162))),"Pruning Tools",
TRUE,"Other"
)</f>
        <v>Lawn Food</v>
      </c>
      <c r="J162" s="7" t="str">
        <f t="shared" si="38"/>
        <v>Lawn Fertilizer - Lawn Food</v>
      </c>
      <c r="K162" s="4">
        <v>600</v>
      </c>
      <c r="L162" s="4">
        <v>4.2</v>
      </c>
      <c r="M162" s="4">
        <v>247</v>
      </c>
      <c r="N162" s="4" t="s">
        <v>775</v>
      </c>
      <c r="O162" s="4">
        <f>VLOOKUP(A162,[3]Sheet1!$A:$B,2,0)</f>
        <v>0</v>
      </c>
      <c r="P162" s="4">
        <f>VLOOKUP(A162,[3]Sheet1!$A:$C,3,0)</f>
        <v>0</v>
      </c>
      <c r="Q162" s="4">
        <f>VLOOKUP(A162,[3]Sheet1!$A:$D,4,0)</f>
        <v>0</v>
      </c>
      <c r="R162" s="4">
        <f>VLOOKUP(A162,[3]Sheet1!$A:$E,5,0)</f>
        <v>2000</v>
      </c>
      <c r="S162" s="4">
        <f>VLOOKUP(A162,[3]Sheet1!$A:$F,6,0)</f>
        <v>2000</v>
      </c>
      <c r="T162" s="4">
        <f>VLOOKUP(A162,[3]Sheet1!$A:$G,7,0)</f>
        <v>2000</v>
      </c>
      <c r="U162" s="4">
        <f>VLOOKUP(A162,[3]Sheet1!$A:$I,8,0)</f>
        <v>1000</v>
      </c>
      <c r="V162" s="4">
        <f>VLOOKUP(A162,[3]Sheet1!$A:$J,9,0)</f>
        <v>800</v>
      </c>
      <c r="W162" s="4">
        <f>VLOOKUP(A162,[3]Sheet1!$A:$J,10,0)</f>
        <v>600</v>
      </c>
      <c r="X162" s="4">
        <f>VLOOKUP(A162,[3]Sheet1!$A:$K,11,0)</f>
        <v>0</v>
      </c>
      <c r="Y162" s="4">
        <f>VLOOKUP(A162,[3]Sheet1!$A:$L,12,0)</f>
        <v>0</v>
      </c>
      <c r="Z162" s="4">
        <f>VLOOKUP(A162,[3]Sheet1!$A:$M,13,0)</f>
        <v>0</v>
      </c>
      <c r="AA162" s="4">
        <f t="shared" si="32"/>
        <v>8400</v>
      </c>
      <c r="AB162" s="7">
        <f t="shared" si="39"/>
        <v>700</v>
      </c>
      <c r="AC162" s="15">
        <f t="shared" si="33"/>
        <v>700</v>
      </c>
      <c r="AD162" s="16">
        <f t="shared" si="34"/>
        <v>235116</v>
      </c>
      <c r="AE162" s="16">
        <f t="shared" si="35"/>
        <v>19593</v>
      </c>
      <c r="AF162" s="16">
        <v>7.3</v>
      </c>
      <c r="AG162" s="16">
        <v>27.99</v>
      </c>
      <c r="AH162" s="8">
        <f t="shared" si="36"/>
        <v>0.19306666666666644</v>
      </c>
      <c r="AI162" s="8">
        <f t="shared" si="37"/>
        <v>0.67573333333333252</v>
      </c>
      <c r="AJ162" s="10">
        <v>0.5</v>
      </c>
      <c r="AK162" s="10">
        <v>0.5</v>
      </c>
      <c r="AL162" s="16">
        <v>7.3</v>
      </c>
      <c r="AM162" s="9">
        <f t="shared" si="40"/>
        <v>4.1984999999999992</v>
      </c>
      <c r="AN162" s="9">
        <f t="shared" si="41"/>
        <v>0.83969999999999989</v>
      </c>
      <c r="AO162" s="9">
        <f t="shared" si="42"/>
        <v>5.5979999999999999</v>
      </c>
      <c r="AP162" s="9">
        <f t="shared" si="43"/>
        <v>0.55979999999999996</v>
      </c>
      <c r="AQ162" s="9">
        <f t="shared" si="44"/>
        <v>5.5979999999999999</v>
      </c>
      <c r="AR162" s="9">
        <f t="shared" si="45"/>
        <v>6.9974999999999996</v>
      </c>
      <c r="AS162" s="11">
        <f t="shared" si="46"/>
        <v>1.9306666666666643</v>
      </c>
      <c r="AT162" s="12">
        <f t="shared" si="47"/>
        <v>0.99766666666666437</v>
      </c>
    </row>
    <row r="163" spans="1:46" ht="16.5" x14ac:dyDescent="0.4">
      <c r="A163" s="4" t="s">
        <v>776</v>
      </c>
      <c r="B163" s="4" t="s">
        <v>513</v>
      </c>
      <c r="C163" s="7" t="s">
        <v>1784</v>
      </c>
      <c r="D163" s="4" t="s">
        <v>777</v>
      </c>
      <c r="E163" s="4" t="s">
        <v>778</v>
      </c>
      <c r="F163" s="4" t="s">
        <v>779</v>
      </c>
      <c r="G163" s="7" t="str">
        <f>VLOOKUP(A163,[1]done!$A:$I,9,0)</f>
        <v>Lawn Fertilizer</v>
      </c>
      <c r="H163" s="7" t="str" cm="1">
        <f t="array" ref="H163">_xlfn.IFS(
OR(ISNUMBER(SEARCH("mouse",E163)),ISNUMBER(SEARCH("rat",E163)),ISNUMBER(SEARCH("mice",E163)),ISNUMBER(SEARCH("rodent",E163))),"Rodent Control",
OR(ISNUMBER(SEARCH("fly",E163)),ISNUMBER(SEARCH("gnat",E163)),ISNUMBER(SEARCH("insect",E163)),ISNUMBER(SEARCH("mosquito",E163))),"Flying Insect Control",
OR(ISNUMBER(SEARCH("roach",E163)),ISNUMBER(SEARCH("ant",E163)),ISNUMBER(SEARCH("spider",E163)),ISNUMBER(SEARCH("cricket",E163)),ISNUMBER(SEARCH("scorpion",E163)),ISNUMBER(SEARCH("centipede",E163)),ISNUMBER(SEARCH("beetle",E163))),"Crawling Insect Control",
OR(ISNUMBER(SEARCH("tree",E163)),ISNUMBER(SEARCH("lantern",E163)),ISNUMBER(SEARCH("garden",E163)),ISNUMBER(SEARCH("plant",E163))),"Garden Pest Control",
OR(ISNUMBER(SEARCH("grass seed",E163)),ISNUMBER(SEARCH("seed mix",E163))),"Grass Seed",
OR(ISNUMBER(SEARCH("lawn food",E163)),ISNUMBER(SEARCH("fertilizer",E163))),"Lawn Fertilizer",
OR(ISNUMBER(SEARCH("patch",E163)),ISNUMBER(SEARCH("repair",E163)),ISNUMBER(SEARCH("thick'r",E163)),ISNUMBER(SEARCH("thick'r lawn",E163)),ISNUMBER(SEARCH("rapid grass",E163))),"Lawn Repair",
OR(ISNUMBER(SEARCH("weed",E163)),ISNUMBER(SEARCH("crabgrass",E163))),"Weed Control",
OR(ISNUMBER(SEARCH("fungicide",E163)),ISNUMBER(SEARCH("moss",E163))),"Disease &amp; Moss Control",
OR(ISNUMBER(SEARCH("plant food",E163)),ISNUMBER(SEARCH("miracid",E163))),"Plant Nutrition",
OR(ISNUMBER(SEARCH("perlite",E163))),"Soil Amendment",
OR(ISNUMBER(SEARCH("spreader",E163)),ISNUMBER(SEARCH("sprayer",E163)),ISNUMBER(SEARCH("mower",E163)),ISNUMBER(SEARCH("sweeper",E163)),ISNUMBER(SEARCH("pruner",E163)),ISNUMBER(SEARCH("trimmer",E163)),ISNUMBER(SEARCH("pole saw",E163))),"Garden Equipment",
TRUE,"Other"
)</f>
        <v>Lawn Fertilizer</v>
      </c>
      <c r="I163" s="7" t="str" cm="1">
        <f t="array" ref="I163">_xlfn.IFS(
OR(ISNUMBER(SEARCH("glue trap",E163)),ISNUMBER(SEARCH("glue board",E163))),"Glue Traps",
OR(ISNUMBER(SEARCH("snap trap",E163)),ISNUMBER(SEARCH("power-kill",E163)),ISNUMBER(SEARCH("wide pedal",E163)),ISNUMBER(SEARCH("metal pedal",E163))),"Snap Traps",
OR(ISNUMBER(SEARCH("electronic",E163)),ISNUMBER(SEARCH("zapper",E163))),"Electronic Traps",
OR(ISNUMBER(SEARCH("live catch",E163)),ISNUMBER(SEARCH("multi-catch",E163)),ISNUMBER(SEARCH("catch &amp; hold",E163)),ISNUMBER(SEARCH("tin cat",E163))),"Live Catch Traps",
OR(ISNUMBER(SEARCH("bait",E163)),ISNUMBER(SEARCH("poison",E163))),"Bait &amp; Poison",
ISNUMBER(SEARCH("repellent",E163)),"Repellents",
OR(ISNUMBER(SEARCH("fly trap",E163)),ISNUMBER(SEARCH("fly ribbon",E163)),ISNUMBER(SEARCH("fly stick",E163)),ISNUMBER(SEARCH("window fly",E163)),ISNUMBER(SEARCH("fly magnet",E163))),"Fly Traps",
OR(ISNUMBER(SEARCH("uv",E163)),ISNUMBER(SEARCH("fly light",E163)),ISNUMBER(SEARCH("plug-in",E163))),"UV Fly Traps",
ISNUMBER(SEARCH("roach",E163)),"Roach Traps",
ISNUMBER(SEARCH("ant",E163)),"Ant Traps",
ISNUMBER(SEARCH("spider",E163)),"Spider Traps",
ISNUMBER(SEARCH("mosquito",E163)),"Mosquito Traps",
ISNUMBER(SEARCH("beetle",E163)),"Beetle Traps",
ISNUMBER(SEARCH("lantern",E163)),"Lanternfly Control",
OR(ISNUMBER(SEARCH("tree shield",E163)),ISNUMBER(SEARCH("tree banding",E163)),ISNUMBER(SEARCH("insect barrier",E163))),"Tree Barriers",
OR(ISNUMBER(SEARCH("sun &amp; shade",E163)),ISNUMBER(SEARCH("sun and shade",E163))),"Sun &amp; Shade Mix",
ISNUMBER(SEARCH("tall fescue",E163)),"Tall Fescue",
ISNUMBER(SEARCH("bermudagrass",E163)),"Bermudagrass",
ISNUMBER(SEARCH("kentucky",E163)),"Kentucky Bluegrass",
ISNUMBER(SEARCH("zoysia",E163)),"Zoysia",
ISNUMBER(SEARCH("ryegrass",E163)),"Perennial Ryegrass",
ISNUMBER(SEARCH("centipede",E163)),"Centipede Grass",
ISNUMBER(SEARCH("dense shade",E163)),"Dense Shade Mix",
ISNUMBER(SEARCH("southern gold",E163)),"Southern Gold Mix",
ISNUMBER(SEARCH("heat-tolerant blue",E163)),"Heat-Tolerant Blue Mix",
ISNUMBER(SEARCH("high traffic",E163)),"High Traffic Mix",
ISNUMBER(SEARCH("quick fix",E163)),"Quick Fix Mix",
ISNUMBER(SEARCH("starter",E163)),"Starter Fertilizer",
ISNUMBER(SEARCH("weed &amp; feed",E163)),"Weed &amp; Feed",
ISNUMBER(SEARCH("lawn food",E163)),"Lawn Food",
ISNUMBER(SEARCH("triple action",E163)),"Triple Action Fertilizer",
ISNUMBER(SEARCH("green max",E163)),"Green Max Lawn Food",
ISNUMBER(SEARCH("patchmaster",E163)),"PatchMaster Repair",
ISNUMBER(SEARCH("ez seed",E163)),"EZ Seed Repair",
ISNUMBER(SEARCH("rapid grass",E163)),"Rapid Grass",
ISNUMBER(SEARCH("thick'r lawn",E163)),"Thick'R Lawn",
ISNUMBER(SEARCH("fungicide",E163)),"Fungicide",
ISNUMBER(SEARCH("moss",E163)),"Moss Control",
ISNUMBER(SEARCH("perlite",E163)),"Perlite",
ISNUMBER(SEARCH("plant food",E163)),"Plant Food",
ISNUMBER(SEARCH("spreader",E163)),"Spreader",
ISNUMBER(SEARCH("sprayer",E163)),"Sprayer",
ISNUMBER(SEARCH("mower",E163)),"Lawn Mower",
ISNUMBER(SEARCH("sweeper",E163)),"Lawn Sweeper",
OR(ISNUMBER(SEARCH("pruner",E163)),ISNUMBER(SEARCH("trimmer",E163)),ISNUMBER(SEARCH("pole saw",E163))),"Pruning Tools",
TRUE,"Other"
)</f>
        <v>Lawn Food</v>
      </c>
      <c r="J163" s="7" t="str">
        <f t="shared" si="38"/>
        <v>Lawn Fertilizer - Lawn Food</v>
      </c>
      <c r="K163" s="4">
        <v>600</v>
      </c>
      <c r="L163" s="4">
        <v>4</v>
      </c>
      <c r="M163" s="4">
        <v>276</v>
      </c>
      <c r="N163" s="4" t="s">
        <v>775</v>
      </c>
      <c r="O163" s="4">
        <f>VLOOKUP(A163,[3]Sheet1!$A:$B,2,0)</f>
        <v>0</v>
      </c>
      <c r="P163" s="4">
        <f>VLOOKUP(A163,[3]Sheet1!$A:$C,3,0)</f>
        <v>0</v>
      </c>
      <c r="Q163" s="4">
        <f>VLOOKUP(A163,[3]Sheet1!$A:$D,4,0)</f>
        <v>0</v>
      </c>
      <c r="R163" s="4">
        <f>VLOOKUP(A163,[3]Sheet1!$A:$E,5,0)</f>
        <v>1000</v>
      </c>
      <c r="S163" s="4">
        <f>VLOOKUP(A163,[3]Sheet1!$A:$F,6,0)</f>
        <v>2000</v>
      </c>
      <c r="T163" s="4">
        <f>VLOOKUP(A163,[3]Sheet1!$A:$G,7,0)</f>
        <v>1000</v>
      </c>
      <c r="U163" s="4">
        <f>VLOOKUP(A163,[3]Sheet1!$A:$I,8,0)</f>
        <v>1000</v>
      </c>
      <c r="V163" s="4">
        <f>VLOOKUP(A163,[3]Sheet1!$A:$J,9,0)</f>
        <v>1000</v>
      </c>
      <c r="W163" s="4">
        <f>VLOOKUP(A163,[3]Sheet1!$A:$J,10,0)</f>
        <v>700</v>
      </c>
      <c r="X163" s="4">
        <f>VLOOKUP(A163,[3]Sheet1!$A:$K,11,0)</f>
        <v>0</v>
      </c>
      <c r="Y163" s="4">
        <f>VLOOKUP(A163,[3]Sheet1!$A:$L,12,0)</f>
        <v>0</v>
      </c>
      <c r="Z163" s="4">
        <f>VLOOKUP(A163,[3]Sheet1!$A:$M,13,0)</f>
        <v>0</v>
      </c>
      <c r="AA163" s="4">
        <f t="shared" si="32"/>
        <v>6700</v>
      </c>
      <c r="AB163" s="7">
        <f t="shared" si="39"/>
        <v>558</v>
      </c>
      <c r="AC163" s="15">
        <f t="shared" si="33"/>
        <v>558.33333333333337</v>
      </c>
      <c r="AD163" s="16">
        <f t="shared" si="34"/>
        <v>107535</v>
      </c>
      <c r="AE163" s="16">
        <f t="shared" si="35"/>
        <v>8961.2500000000018</v>
      </c>
      <c r="AF163" s="16">
        <v>7.3</v>
      </c>
      <c r="AG163" s="16">
        <v>16.05</v>
      </c>
      <c r="AH163" s="8">
        <f t="shared" si="36"/>
        <v>-0.1253333333333333</v>
      </c>
      <c r="AI163" s="8">
        <f t="shared" si="37"/>
        <v>-0.43866666666666648</v>
      </c>
      <c r="AJ163" s="10">
        <v>0.5</v>
      </c>
      <c r="AK163" s="10">
        <v>0.5</v>
      </c>
      <c r="AL163" s="16">
        <v>7.3</v>
      </c>
      <c r="AM163" s="9">
        <f t="shared" si="40"/>
        <v>2.4075000000000002</v>
      </c>
      <c r="AN163" s="9">
        <f t="shared" si="41"/>
        <v>0.48149999999999998</v>
      </c>
      <c r="AO163" s="9">
        <f t="shared" si="42"/>
        <v>3.2100000000000004</v>
      </c>
      <c r="AP163" s="9">
        <f t="shared" si="43"/>
        <v>0.32100000000000001</v>
      </c>
      <c r="AQ163" s="9">
        <f t="shared" si="44"/>
        <v>3.2100000000000004</v>
      </c>
      <c r="AR163" s="9">
        <f t="shared" si="45"/>
        <v>4.0125000000000002</v>
      </c>
      <c r="AS163" s="11">
        <f t="shared" si="46"/>
        <v>-1.253333333333333</v>
      </c>
      <c r="AT163" s="12">
        <f t="shared" si="47"/>
        <v>-1.7883333333333329</v>
      </c>
    </row>
    <row r="164" spans="1:46" ht="16.5" x14ac:dyDescent="0.4">
      <c r="A164" s="4" t="s">
        <v>780</v>
      </c>
      <c r="B164" s="4" t="s">
        <v>513</v>
      </c>
      <c r="C164" s="7" t="s">
        <v>1784</v>
      </c>
      <c r="D164" s="4" t="s">
        <v>781</v>
      </c>
      <c r="E164" s="4" t="s">
        <v>782</v>
      </c>
      <c r="F164" s="4" t="s">
        <v>783</v>
      </c>
      <c r="G164" s="7" t="str">
        <f>VLOOKUP(A164,[1]done!$A:$I,9,0)</f>
        <v>Lawn Fertilizer</v>
      </c>
      <c r="H164" s="7" t="str" cm="1">
        <f t="array" ref="H164">_xlfn.IFS(
OR(ISNUMBER(SEARCH("mouse",E164)),ISNUMBER(SEARCH("rat",E164)),ISNUMBER(SEARCH("mice",E164)),ISNUMBER(SEARCH("rodent",E164))),"Rodent Control",
OR(ISNUMBER(SEARCH("fly",E164)),ISNUMBER(SEARCH("gnat",E164)),ISNUMBER(SEARCH("insect",E164)),ISNUMBER(SEARCH("mosquito",E164))),"Flying Insect Control",
OR(ISNUMBER(SEARCH("roach",E164)),ISNUMBER(SEARCH("ant",E164)),ISNUMBER(SEARCH("spider",E164)),ISNUMBER(SEARCH("cricket",E164)),ISNUMBER(SEARCH("scorpion",E164)),ISNUMBER(SEARCH("centipede",E164)),ISNUMBER(SEARCH("beetle",E164))),"Crawling Insect Control",
OR(ISNUMBER(SEARCH("tree",E164)),ISNUMBER(SEARCH("lantern",E164)),ISNUMBER(SEARCH("garden",E164)),ISNUMBER(SEARCH("plant",E164))),"Garden Pest Control",
OR(ISNUMBER(SEARCH("grass seed",E164)),ISNUMBER(SEARCH("seed mix",E164))),"Grass Seed",
OR(ISNUMBER(SEARCH("lawn food",E164)),ISNUMBER(SEARCH("fertilizer",E164))),"Lawn Fertilizer",
OR(ISNUMBER(SEARCH("patch",E164)),ISNUMBER(SEARCH("repair",E164)),ISNUMBER(SEARCH("thick'r",E164)),ISNUMBER(SEARCH("thick'r lawn",E164)),ISNUMBER(SEARCH("rapid grass",E164))),"Lawn Repair",
OR(ISNUMBER(SEARCH("weed",E164)),ISNUMBER(SEARCH("crabgrass",E164))),"Weed Control",
OR(ISNUMBER(SEARCH("fungicide",E164)),ISNUMBER(SEARCH("moss",E164))),"Disease &amp; Moss Control",
OR(ISNUMBER(SEARCH("plant food",E164)),ISNUMBER(SEARCH("miracid",E164))),"Plant Nutrition",
OR(ISNUMBER(SEARCH("perlite",E164))),"Soil Amendment",
OR(ISNUMBER(SEARCH("spreader",E164)),ISNUMBER(SEARCH("sprayer",E164)),ISNUMBER(SEARCH("mower",E164)),ISNUMBER(SEARCH("sweeper",E164)),ISNUMBER(SEARCH("pruner",E164)),ISNUMBER(SEARCH("trimmer",E164)),ISNUMBER(SEARCH("pole saw",E164))),"Garden Equipment",
TRUE,"Other"
)</f>
        <v>Lawn Fertilizer</v>
      </c>
      <c r="I164" s="7" t="str" cm="1">
        <f t="array" ref="I164">_xlfn.IFS(
OR(ISNUMBER(SEARCH("glue trap",E164)),ISNUMBER(SEARCH("glue board",E164))),"Glue Traps",
OR(ISNUMBER(SEARCH("snap trap",E164)),ISNUMBER(SEARCH("power-kill",E164)),ISNUMBER(SEARCH("wide pedal",E164)),ISNUMBER(SEARCH("metal pedal",E164))),"Snap Traps",
OR(ISNUMBER(SEARCH("electronic",E164)),ISNUMBER(SEARCH("zapper",E164))),"Electronic Traps",
OR(ISNUMBER(SEARCH("live catch",E164)),ISNUMBER(SEARCH("multi-catch",E164)),ISNUMBER(SEARCH("catch &amp; hold",E164)),ISNUMBER(SEARCH("tin cat",E164))),"Live Catch Traps",
OR(ISNUMBER(SEARCH("bait",E164)),ISNUMBER(SEARCH("poison",E164))),"Bait &amp; Poison",
ISNUMBER(SEARCH("repellent",E164)),"Repellents",
OR(ISNUMBER(SEARCH("fly trap",E164)),ISNUMBER(SEARCH("fly ribbon",E164)),ISNUMBER(SEARCH("fly stick",E164)),ISNUMBER(SEARCH("window fly",E164)),ISNUMBER(SEARCH("fly magnet",E164))),"Fly Traps",
OR(ISNUMBER(SEARCH("uv",E164)),ISNUMBER(SEARCH("fly light",E164)),ISNUMBER(SEARCH("plug-in",E164))),"UV Fly Traps",
ISNUMBER(SEARCH("roach",E164)),"Roach Traps",
ISNUMBER(SEARCH("ant",E164)),"Ant Traps",
ISNUMBER(SEARCH("spider",E164)),"Spider Traps",
ISNUMBER(SEARCH("mosquito",E164)),"Mosquito Traps",
ISNUMBER(SEARCH("beetle",E164)),"Beetle Traps",
ISNUMBER(SEARCH("lantern",E164)),"Lanternfly Control",
OR(ISNUMBER(SEARCH("tree shield",E164)),ISNUMBER(SEARCH("tree banding",E164)),ISNUMBER(SEARCH("insect barrier",E164))),"Tree Barriers",
OR(ISNUMBER(SEARCH("sun &amp; shade",E164)),ISNUMBER(SEARCH("sun and shade",E164))),"Sun &amp; Shade Mix",
ISNUMBER(SEARCH("tall fescue",E164)),"Tall Fescue",
ISNUMBER(SEARCH("bermudagrass",E164)),"Bermudagrass",
ISNUMBER(SEARCH("kentucky",E164)),"Kentucky Bluegrass",
ISNUMBER(SEARCH("zoysia",E164)),"Zoysia",
ISNUMBER(SEARCH("ryegrass",E164)),"Perennial Ryegrass",
ISNUMBER(SEARCH("centipede",E164)),"Centipede Grass",
ISNUMBER(SEARCH("dense shade",E164)),"Dense Shade Mix",
ISNUMBER(SEARCH("southern gold",E164)),"Southern Gold Mix",
ISNUMBER(SEARCH("heat-tolerant blue",E164)),"Heat-Tolerant Blue Mix",
ISNUMBER(SEARCH("high traffic",E164)),"High Traffic Mix",
ISNUMBER(SEARCH("quick fix",E164)),"Quick Fix Mix",
ISNUMBER(SEARCH("starter",E164)),"Starter Fertilizer",
ISNUMBER(SEARCH("weed &amp; feed",E164)),"Weed &amp; Feed",
ISNUMBER(SEARCH("lawn food",E164)),"Lawn Food",
ISNUMBER(SEARCH("triple action",E164)),"Triple Action Fertilizer",
ISNUMBER(SEARCH("green max",E164)),"Green Max Lawn Food",
ISNUMBER(SEARCH("patchmaster",E164)),"PatchMaster Repair",
ISNUMBER(SEARCH("ez seed",E164)),"EZ Seed Repair",
ISNUMBER(SEARCH("rapid grass",E164)),"Rapid Grass",
ISNUMBER(SEARCH("thick'r lawn",E164)),"Thick'R Lawn",
ISNUMBER(SEARCH("fungicide",E164)),"Fungicide",
ISNUMBER(SEARCH("moss",E164)),"Moss Control",
ISNUMBER(SEARCH("perlite",E164)),"Perlite",
ISNUMBER(SEARCH("plant food",E164)),"Plant Food",
ISNUMBER(SEARCH("spreader",E164)),"Spreader",
ISNUMBER(SEARCH("sprayer",E164)),"Sprayer",
ISNUMBER(SEARCH("mower",E164)),"Lawn Mower",
ISNUMBER(SEARCH("sweeper",E164)),"Lawn Sweeper",
OR(ISNUMBER(SEARCH("pruner",E164)),ISNUMBER(SEARCH("trimmer",E164)),ISNUMBER(SEARCH("pole saw",E164))),"Pruning Tools",
TRUE,"Other"
)</f>
        <v>Lawn Food</v>
      </c>
      <c r="J164" s="7" t="str">
        <f t="shared" si="38"/>
        <v>Lawn Fertilizer - Lawn Food</v>
      </c>
      <c r="K164" s="4">
        <v>600</v>
      </c>
      <c r="L164" s="4">
        <v>4.2</v>
      </c>
      <c r="M164" s="4">
        <v>161</v>
      </c>
      <c r="N164" s="4" t="s">
        <v>775</v>
      </c>
      <c r="O164" s="4">
        <f>VLOOKUP(A164,[3]Sheet1!$A:$B,2,0)</f>
        <v>0</v>
      </c>
      <c r="P164" s="4">
        <f>VLOOKUP(A164,[3]Sheet1!$A:$C,3,0)</f>
        <v>0</v>
      </c>
      <c r="Q164" s="4">
        <f>VLOOKUP(A164,[3]Sheet1!$A:$D,4,0)</f>
        <v>0</v>
      </c>
      <c r="R164" s="4">
        <f>VLOOKUP(A164,[3]Sheet1!$A:$E,5,0)</f>
        <v>300</v>
      </c>
      <c r="S164" s="4">
        <f>VLOOKUP(A164,[3]Sheet1!$A:$F,6,0)</f>
        <v>800</v>
      </c>
      <c r="T164" s="4">
        <f>VLOOKUP(A164,[3]Sheet1!$A:$G,7,0)</f>
        <v>1000</v>
      </c>
      <c r="U164" s="4">
        <f>VLOOKUP(A164,[3]Sheet1!$A:$I,8,0)</f>
        <v>2000</v>
      </c>
      <c r="V164" s="4">
        <f>VLOOKUP(A164,[3]Sheet1!$A:$J,9,0)</f>
        <v>1000</v>
      </c>
      <c r="W164" s="4">
        <f>VLOOKUP(A164,[3]Sheet1!$A:$J,10,0)</f>
        <v>500</v>
      </c>
      <c r="X164" s="4">
        <f>VLOOKUP(A164,[3]Sheet1!$A:$K,11,0)</f>
        <v>0</v>
      </c>
      <c r="Y164" s="4">
        <f>VLOOKUP(A164,[3]Sheet1!$A:$L,12,0)</f>
        <v>0</v>
      </c>
      <c r="Z164" s="4">
        <f>VLOOKUP(A164,[3]Sheet1!$A:$M,13,0)</f>
        <v>0</v>
      </c>
      <c r="AA164" s="4">
        <f t="shared" si="32"/>
        <v>5600</v>
      </c>
      <c r="AB164" s="7">
        <f t="shared" si="39"/>
        <v>467</v>
      </c>
      <c r="AC164" s="15">
        <f t="shared" si="33"/>
        <v>466.66666666666669</v>
      </c>
      <c r="AD164" s="16">
        <f t="shared" si="34"/>
        <v>100576</v>
      </c>
      <c r="AE164" s="16">
        <f t="shared" si="35"/>
        <v>8381.3333333333339</v>
      </c>
      <c r="AF164" s="16">
        <v>7.3</v>
      </c>
      <c r="AG164" s="16">
        <v>17.96</v>
      </c>
      <c r="AH164" s="8">
        <f t="shared" si="36"/>
        <v>-7.4400000000000036E-2</v>
      </c>
      <c r="AI164" s="8">
        <f t="shared" si="37"/>
        <v>-0.26040000000000008</v>
      </c>
      <c r="AJ164" s="10">
        <v>0.5</v>
      </c>
      <c r="AK164" s="10">
        <v>0.5</v>
      </c>
      <c r="AL164" s="16">
        <v>7.3</v>
      </c>
      <c r="AM164" s="9">
        <f t="shared" si="40"/>
        <v>2.694</v>
      </c>
      <c r="AN164" s="9">
        <f t="shared" si="41"/>
        <v>0.53880000000000006</v>
      </c>
      <c r="AO164" s="9">
        <f t="shared" si="42"/>
        <v>3.5920000000000005</v>
      </c>
      <c r="AP164" s="9">
        <f t="shared" si="43"/>
        <v>0.35920000000000002</v>
      </c>
      <c r="AQ164" s="9">
        <f t="shared" si="44"/>
        <v>3.5920000000000005</v>
      </c>
      <c r="AR164" s="9">
        <f t="shared" si="45"/>
        <v>4.49</v>
      </c>
      <c r="AS164" s="11">
        <f t="shared" si="46"/>
        <v>-0.74400000000000033</v>
      </c>
      <c r="AT164" s="12">
        <f t="shared" si="47"/>
        <v>-1.3426666666666669</v>
      </c>
    </row>
    <row r="165" spans="1:46" ht="16.5" x14ac:dyDescent="0.4">
      <c r="A165" s="4" t="s">
        <v>784</v>
      </c>
      <c r="B165" s="4" t="s">
        <v>513</v>
      </c>
      <c r="C165" s="7" t="s">
        <v>1784</v>
      </c>
      <c r="D165" s="4" t="s">
        <v>785</v>
      </c>
      <c r="E165" s="4" t="s">
        <v>786</v>
      </c>
      <c r="F165" s="4" t="s">
        <v>787</v>
      </c>
      <c r="G165" s="7" t="str">
        <f>VLOOKUP(A165,[1]done!$A:$I,9,0)</f>
        <v>Lawn Fertilizer</v>
      </c>
      <c r="H165" s="7" t="str" cm="1">
        <f t="array" ref="H165">_xlfn.IFS(
OR(ISNUMBER(SEARCH("mouse",E165)),ISNUMBER(SEARCH("rat",E165)),ISNUMBER(SEARCH("mice",E165)),ISNUMBER(SEARCH("rodent",E165))),"Rodent Control",
OR(ISNUMBER(SEARCH("fly",E165)),ISNUMBER(SEARCH("gnat",E165)),ISNUMBER(SEARCH("insect",E165)),ISNUMBER(SEARCH("mosquito",E165))),"Flying Insect Control",
OR(ISNUMBER(SEARCH("roach",E165)),ISNUMBER(SEARCH("ant",E165)),ISNUMBER(SEARCH("spider",E165)),ISNUMBER(SEARCH("cricket",E165)),ISNUMBER(SEARCH("scorpion",E165)),ISNUMBER(SEARCH("centipede",E165)),ISNUMBER(SEARCH("beetle",E165))),"Crawling Insect Control",
OR(ISNUMBER(SEARCH("tree",E165)),ISNUMBER(SEARCH("lantern",E165)),ISNUMBER(SEARCH("garden",E165)),ISNUMBER(SEARCH("plant",E165))),"Garden Pest Control",
OR(ISNUMBER(SEARCH("grass seed",E165)),ISNUMBER(SEARCH("seed mix",E165))),"Grass Seed",
OR(ISNUMBER(SEARCH("lawn food",E165)),ISNUMBER(SEARCH("fertilizer",E165))),"Lawn Fertilizer",
OR(ISNUMBER(SEARCH("patch",E165)),ISNUMBER(SEARCH("repair",E165)),ISNUMBER(SEARCH("thick'r",E165)),ISNUMBER(SEARCH("thick'r lawn",E165)),ISNUMBER(SEARCH("rapid grass",E165))),"Lawn Repair",
OR(ISNUMBER(SEARCH("weed",E165)),ISNUMBER(SEARCH("crabgrass",E165))),"Weed Control",
OR(ISNUMBER(SEARCH("fungicide",E165)),ISNUMBER(SEARCH("moss",E165))),"Disease &amp; Moss Control",
OR(ISNUMBER(SEARCH("plant food",E165)),ISNUMBER(SEARCH("miracid",E165))),"Plant Nutrition",
OR(ISNUMBER(SEARCH("perlite",E165))),"Soil Amendment",
OR(ISNUMBER(SEARCH("spreader",E165)),ISNUMBER(SEARCH("sprayer",E165)),ISNUMBER(SEARCH("mower",E165)),ISNUMBER(SEARCH("sweeper",E165)),ISNUMBER(SEARCH("pruner",E165)),ISNUMBER(SEARCH("trimmer",E165)),ISNUMBER(SEARCH("pole saw",E165))),"Garden Equipment",
TRUE,"Other"
)</f>
        <v>Lawn Repair</v>
      </c>
      <c r="I165" s="7" t="str" cm="1">
        <f t="array" ref="I165">_xlfn.IFS(
OR(ISNUMBER(SEARCH("glue trap",E165)),ISNUMBER(SEARCH("glue board",E165))),"Glue Traps",
OR(ISNUMBER(SEARCH("snap trap",E165)),ISNUMBER(SEARCH("power-kill",E165)),ISNUMBER(SEARCH("wide pedal",E165)),ISNUMBER(SEARCH("metal pedal",E165))),"Snap Traps",
OR(ISNUMBER(SEARCH("electronic",E165)),ISNUMBER(SEARCH("zapper",E165))),"Electronic Traps",
OR(ISNUMBER(SEARCH("live catch",E165)),ISNUMBER(SEARCH("multi-catch",E165)),ISNUMBER(SEARCH("catch &amp; hold",E165)),ISNUMBER(SEARCH("tin cat",E165))),"Live Catch Traps",
OR(ISNUMBER(SEARCH("bait",E165)),ISNUMBER(SEARCH("poison",E165))),"Bait &amp; Poison",
ISNUMBER(SEARCH("repellent",E165)),"Repellents",
OR(ISNUMBER(SEARCH("fly trap",E165)),ISNUMBER(SEARCH("fly ribbon",E165)),ISNUMBER(SEARCH("fly stick",E165)),ISNUMBER(SEARCH("window fly",E165)),ISNUMBER(SEARCH("fly magnet",E165))),"Fly Traps",
OR(ISNUMBER(SEARCH("uv",E165)),ISNUMBER(SEARCH("fly light",E165)),ISNUMBER(SEARCH("plug-in",E165))),"UV Fly Traps",
ISNUMBER(SEARCH("roach",E165)),"Roach Traps",
ISNUMBER(SEARCH("ant",E165)),"Ant Traps",
ISNUMBER(SEARCH("spider",E165)),"Spider Traps",
ISNUMBER(SEARCH("mosquito",E165)),"Mosquito Traps",
ISNUMBER(SEARCH("beetle",E165)),"Beetle Traps",
ISNUMBER(SEARCH("lantern",E165)),"Lanternfly Control",
OR(ISNUMBER(SEARCH("tree shield",E165)),ISNUMBER(SEARCH("tree banding",E165)),ISNUMBER(SEARCH("insect barrier",E165))),"Tree Barriers",
OR(ISNUMBER(SEARCH("sun &amp; shade",E165)),ISNUMBER(SEARCH("sun and shade",E165))),"Sun &amp; Shade Mix",
ISNUMBER(SEARCH("tall fescue",E165)),"Tall Fescue",
ISNUMBER(SEARCH("bermudagrass",E165)),"Bermudagrass",
ISNUMBER(SEARCH("kentucky",E165)),"Kentucky Bluegrass",
ISNUMBER(SEARCH("zoysia",E165)),"Zoysia",
ISNUMBER(SEARCH("ryegrass",E165)),"Perennial Ryegrass",
ISNUMBER(SEARCH("centipede",E165)),"Centipede Grass",
ISNUMBER(SEARCH("dense shade",E165)),"Dense Shade Mix",
ISNUMBER(SEARCH("southern gold",E165)),"Southern Gold Mix",
ISNUMBER(SEARCH("heat-tolerant blue",E165)),"Heat-Tolerant Blue Mix",
ISNUMBER(SEARCH("high traffic",E165)),"High Traffic Mix",
ISNUMBER(SEARCH("quick fix",E165)),"Quick Fix Mix",
ISNUMBER(SEARCH("starter",E165)),"Starter Fertilizer",
ISNUMBER(SEARCH("weed &amp; feed",E165)),"Weed &amp; Feed",
ISNUMBER(SEARCH("lawn food",E165)),"Lawn Food",
ISNUMBER(SEARCH("triple action",E165)),"Triple Action Fertilizer",
ISNUMBER(SEARCH("green max",E165)),"Green Max Lawn Food",
ISNUMBER(SEARCH("patchmaster",E165)),"PatchMaster Repair",
ISNUMBER(SEARCH("ez seed",E165)),"EZ Seed Repair",
ISNUMBER(SEARCH("rapid grass",E165)),"Rapid Grass",
ISNUMBER(SEARCH("thick'r lawn",E165)),"Thick'R Lawn",
ISNUMBER(SEARCH("fungicide",E165)),"Fungicide",
ISNUMBER(SEARCH("moss",E165)),"Moss Control",
ISNUMBER(SEARCH("perlite",E165)),"Perlite",
ISNUMBER(SEARCH("plant food",E165)),"Plant Food",
ISNUMBER(SEARCH("spreader",E165)),"Spreader",
ISNUMBER(SEARCH("sprayer",E165)),"Sprayer",
ISNUMBER(SEARCH("mower",E165)),"Lawn Mower",
ISNUMBER(SEARCH("sweeper",E165)),"Lawn Sweeper",
OR(ISNUMBER(SEARCH("pruner",E165)),ISNUMBER(SEARCH("trimmer",E165)),ISNUMBER(SEARCH("pole saw",E165))),"Pruning Tools",
TRUE,"Other"
)</f>
        <v>Zoysia</v>
      </c>
      <c r="J165" s="7" t="str">
        <f t="shared" si="38"/>
        <v>Lawn Repair - Zoysia</v>
      </c>
      <c r="K165" s="4">
        <v>600</v>
      </c>
      <c r="L165" s="4">
        <v>3.6</v>
      </c>
      <c r="M165" s="4">
        <v>3674</v>
      </c>
      <c r="N165" s="4" t="s">
        <v>788</v>
      </c>
      <c r="O165" s="4">
        <f>VLOOKUP(A165,[3]Sheet1!$A:$B,2,0)</f>
        <v>100</v>
      </c>
      <c r="P165" s="4">
        <f>VLOOKUP(A165,[3]Sheet1!$A:$C,3,0)</f>
        <v>100</v>
      </c>
      <c r="Q165" s="4">
        <f>VLOOKUP(A165,[3]Sheet1!$A:$D,4,0)</f>
        <v>600</v>
      </c>
      <c r="R165" s="4">
        <f>VLOOKUP(A165,[3]Sheet1!$A:$E,5,0)</f>
        <v>1000</v>
      </c>
      <c r="S165" s="4">
        <f>VLOOKUP(A165,[3]Sheet1!$A:$F,6,0)</f>
        <v>1000</v>
      </c>
      <c r="T165" s="4">
        <f>VLOOKUP(A165,[3]Sheet1!$A:$G,7,0)</f>
        <v>1000</v>
      </c>
      <c r="U165" s="4">
        <f>VLOOKUP(A165,[3]Sheet1!$A:$I,8,0)</f>
        <v>1000</v>
      </c>
      <c r="V165" s="4">
        <f>VLOOKUP(A165,[3]Sheet1!$A:$J,9,0)</f>
        <v>600</v>
      </c>
      <c r="W165" s="4">
        <f>VLOOKUP(A165,[3]Sheet1!$A:$J,10,0)</f>
        <v>600</v>
      </c>
      <c r="X165" s="4">
        <f>VLOOKUP(A165,[3]Sheet1!$A:$K,11,0)</f>
        <v>0</v>
      </c>
      <c r="Y165" s="4">
        <f>VLOOKUP(A165,[3]Sheet1!$A:$L,12,0)</f>
        <v>0</v>
      </c>
      <c r="Z165" s="4">
        <f>VLOOKUP(A165,[3]Sheet1!$A:$M,13,0)</f>
        <v>50</v>
      </c>
      <c r="AA165" s="4">
        <f t="shared" si="32"/>
        <v>6050</v>
      </c>
      <c r="AB165" s="7">
        <f t="shared" si="39"/>
        <v>504</v>
      </c>
      <c r="AC165" s="15">
        <f t="shared" si="33"/>
        <v>504.16666666666669</v>
      </c>
      <c r="AD165" s="16">
        <f t="shared" si="34"/>
        <v>181379</v>
      </c>
      <c r="AE165" s="16">
        <f t="shared" si="35"/>
        <v>15114.916666666668</v>
      </c>
      <c r="AF165" s="16">
        <v>7.71</v>
      </c>
      <c r="AG165" s="16">
        <v>29.98</v>
      </c>
      <c r="AH165" s="8">
        <f t="shared" si="36"/>
        <v>0.21879999999999988</v>
      </c>
      <c r="AI165" s="8">
        <f t="shared" si="37"/>
        <v>0.76579999999999959</v>
      </c>
      <c r="AJ165" s="10">
        <v>0.5</v>
      </c>
      <c r="AK165" s="10">
        <v>0.5</v>
      </c>
      <c r="AL165" s="16">
        <v>7.71</v>
      </c>
      <c r="AM165" s="9">
        <f t="shared" si="40"/>
        <v>4.4969999999999999</v>
      </c>
      <c r="AN165" s="9">
        <f t="shared" si="41"/>
        <v>0.89939999999999998</v>
      </c>
      <c r="AO165" s="9">
        <f t="shared" si="42"/>
        <v>5.9960000000000004</v>
      </c>
      <c r="AP165" s="9">
        <f t="shared" si="43"/>
        <v>0.59960000000000002</v>
      </c>
      <c r="AQ165" s="9">
        <f t="shared" si="44"/>
        <v>5.9960000000000004</v>
      </c>
      <c r="AR165" s="9">
        <f t="shared" si="45"/>
        <v>7.4950000000000001</v>
      </c>
      <c r="AS165" s="11">
        <f t="shared" si="46"/>
        <v>2.1879999999999988</v>
      </c>
      <c r="AT165" s="12">
        <f t="shared" si="47"/>
        <v>1.1886666666666656</v>
      </c>
    </row>
    <row r="166" spans="1:46" ht="16.5" x14ac:dyDescent="0.4">
      <c r="A166" s="4" t="s">
        <v>789</v>
      </c>
      <c r="B166" s="4" t="s">
        <v>513</v>
      </c>
      <c r="C166" s="7" t="s">
        <v>1784</v>
      </c>
      <c r="D166" s="4" t="s">
        <v>790</v>
      </c>
      <c r="E166" s="4" t="s">
        <v>791</v>
      </c>
      <c r="F166" s="4" t="s">
        <v>792</v>
      </c>
      <c r="G166" s="7" t="str">
        <f>VLOOKUP(A166,[1]done!$A:$I,9,0)</f>
        <v>Other crawling insects</v>
      </c>
      <c r="H166" s="7" t="str" cm="1">
        <f t="array" ref="H166">_xlfn.IFS(
OR(ISNUMBER(SEARCH("mouse",E166)),ISNUMBER(SEARCH("rat",E166)),ISNUMBER(SEARCH("mice",E166)),ISNUMBER(SEARCH("rodent",E166))),"Rodent Control",
OR(ISNUMBER(SEARCH("fly",E166)),ISNUMBER(SEARCH("gnat",E166)),ISNUMBER(SEARCH("insect",E166)),ISNUMBER(SEARCH("mosquito",E166))),"Flying Insect Control",
OR(ISNUMBER(SEARCH("roach",E166)),ISNUMBER(SEARCH("ant",E166)),ISNUMBER(SEARCH("spider",E166)),ISNUMBER(SEARCH("cricket",E166)),ISNUMBER(SEARCH("scorpion",E166)),ISNUMBER(SEARCH("centipede",E166)),ISNUMBER(SEARCH("beetle",E166))),"Crawling Insect Control",
OR(ISNUMBER(SEARCH("tree",E166)),ISNUMBER(SEARCH("lantern",E166)),ISNUMBER(SEARCH("garden",E166)),ISNUMBER(SEARCH("plant",E166))),"Garden Pest Control",
OR(ISNUMBER(SEARCH("grass seed",E166)),ISNUMBER(SEARCH("seed mix",E166))),"Grass Seed",
OR(ISNUMBER(SEARCH("lawn food",E166)),ISNUMBER(SEARCH("fertilizer",E166))),"Lawn Fertilizer",
OR(ISNUMBER(SEARCH("patch",E166)),ISNUMBER(SEARCH("repair",E166)),ISNUMBER(SEARCH("thick'r",E166)),ISNUMBER(SEARCH("thick'r lawn",E166)),ISNUMBER(SEARCH("rapid grass",E166))),"Lawn Repair",
OR(ISNUMBER(SEARCH("weed",E166)),ISNUMBER(SEARCH("crabgrass",E166))),"Weed Control",
OR(ISNUMBER(SEARCH("fungicide",E166)),ISNUMBER(SEARCH("moss",E166))),"Disease &amp; Moss Control",
OR(ISNUMBER(SEARCH("plant food",E166)),ISNUMBER(SEARCH("miracid",E166))),"Plant Nutrition",
OR(ISNUMBER(SEARCH("perlite",E166))),"Soil Amendment",
OR(ISNUMBER(SEARCH("spreader",E166)),ISNUMBER(SEARCH("sprayer",E166)),ISNUMBER(SEARCH("mower",E166)),ISNUMBER(SEARCH("sweeper",E166)),ISNUMBER(SEARCH("pruner",E166)),ISNUMBER(SEARCH("trimmer",E166)),ISNUMBER(SEARCH("pole saw",E166))),"Garden Equipment",
TRUE,"Other"
)</f>
        <v>Crawling Insect Control</v>
      </c>
      <c r="I166" s="7" t="str" cm="1">
        <f t="array" ref="I166">_xlfn.IFS(
OR(ISNUMBER(SEARCH("glue trap",E166)),ISNUMBER(SEARCH("glue board",E166))),"Glue Traps",
OR(ISNUMBER(SEARCH("snap trap",E166)),ISNUMBER(SEARCH("power-kill",E166)),ISNUMBER(SEARCH("wide pedal",E166)),ISNUMBER(SEARCH("metal pedal",E166))),"Snap Traps",
OR(ISNUMBER(SEARCH("electronic",E166)),ISNUMBER(SEARCH("zapper",E166))),"Electronic Traps",
OR(ISNUMBER(SEARCH("live catch",E166)),ISNUMBER(SEARCH("multi-catch",E166)),ISNUMBER(SEARCH("catch &amp; hold",E166)),ISNUMBER(SEARCH("tin cat",E166))),"Live Catch Traps",
OR(ISNUMBER(SEARCH("bait",E166)),ISNUMBER(SEARCH("poison",E166))),"Bait &amp; Poison",
ISNUMBER(SEARCH("repellent",E166)),"Repellents",
OR(ISNUMBER(SEARCH("fly trap",E166)),ISNUMBER(SEARCH("fly ribbon",E166)),ISNUMBER(SEARCH("fly stick",E166)),ISNUMBER(SEARCH("window fly",E166)),ISNUMBER(SEARCH("fly magnet",E166))),"Fly Traps",
OR(ISNUMBER(SEARCH("uv",E166)),ISNUMBER(SEARCH("fly light",E166)),ISNUMBER(SEARCH("plug-in",E166))),"UV Fly Traps",
ISNUMBER(SEARCH("roach",E166)),"Roach Traps",
ISNUMBER(SEARCH("ant",E166)),"Ant Traps",
ISNUMBER(SEARCH("spider",E166)),"Spider Traps",
ISNUMBER(SEARCH("mosquito",E166)),"Mosquito Traps",
ISNUMBER(SEARCH("beetle",E166)),"Beetle Traps",
ISNUMBER(SEARCH("lantern",E166)),"Lanternfly Control",
OR(ISNUMBER(SEARCH("tree shield",E166)),ISNUMBER(SEARCH("tree banding",E166)),ISNUMBER(SEARCH("insect barrier",E166))),"Tree Barriers",
OR(ISNUMBER(SEARCH("sun &amp; shade",E166)),ISNUMBER(SEARCH("sun and shade",E166))),"Sun &amp; Shade Mix",
ISNUMBER(SEARCH("tall fescue",E166)),"Tall Fescue",
ISNUMBER(SEARCH("bermudagrass",E166)),"Bermudagrass",
ISNUMBER(SEARCH("kentucky",E166)),"Kentucky Bluegrass",
ISNUMBER(SEARCH("zoysia",E166)),"Zoysia",
ISNUMBER(SEARCH("ryegrass",E166)),"Perennial Ryegrass",
ISNUMBER(SEARCH("centipede",E166)),"Centipede Grass",
ISNUMBER(SEARCH("dense shade",E166)),"Dense Shade Mix",
ISNUMBER(SEARCH("southern gold",E166)),"Southern Gold Mix",
ISNUMBER(SEARCH("heat-tolerant blue",E166)),"Heat-Tolerant Blue Mix",
ISNUMBER(SEARCH("high traffic",E166)),"High Traffic Mix",
ISNUMBER(SEARCH("quick fix",E166)),"Quick Fix Mix",
ISNUMBER(SEARCH("starter",E166)),"Starter Fertilizer",
ISNUMBER(SEARCH("weed &amp; feed",E166)),"Weed &amp; Feed",
ISNUMBER(SEARCH("lawn food",E166)),"Lawn Food",
ISNUMBER(SEARCH("triple action",E166)),"Triple Action Fertilizer",
ISNUMBER(SEARCH("green max",E166)),"Green Max Lawn Food",
ISNUMBER(SEARCH("patchmaster",E166)),"PatchMaster Repair",
ISNUMBER(SEARCH("ez seed",E166)),"EZ Seed Repair",
ISNUMBER(SEARCH("rapid grass",E166)),"Rapid Grass",
ISNUMBER(SEARCH("thick'r lawn",E166)),"Thick'R Lawn",
ISNUMBER(SEARCH("fungicide",E166)),"Fungicide",
ISNUMBER(SEARCH("moss",E166)),"Moss Control",
ISNUMBER(SEARCH("perlite",E166)),"Perlite",
ISNUMBER(SEARCH("plant food",E166)),"Plant Food",
ISNUMBER(SEARCH("spreader",E166)),"Spreader",
ISNUMBER(SEARCH("sprayer",E166)),"Sprayer",
ISNUMBER(SEARCH("mower",E166)),"Lawn Mower",
ISNUMBER(SEARCH("sweeper",E166)),"Lawn Sweeper",
OR(ISNUMBER(SEARCH("pruner",E166)),ISNUMBER(SEARCH("trimmer",E166)),ISNUMBER(SEARCH("pole saw",E166))),"Pruning Tools",
TRUE,"Other"
)</f>
        <v>Ant Traps</v>
      </c>
      <c r="J166" s="7" t="str">
        <f t="shared" si="38"/>
        <v>Crawling Insect Control - Ant Traps</v>
      </c>
      <c r="K166" s="4">
        <v>600</v>
      </c>
      <c r="L166" s="4">
        <v>4.5999999999999996</v>
      </c>
      <c r="M166" s="4">
        <v>2722</v>
      </c>
      <c r="N166" s="4" t="s">
        <v>694</v>
      </c>
      <c r="O166" s="4">
        <f>VLOOKUP(A166,[3]Sheet1!$A:$B,2,0)</f>
        <v>0</v>
      </c>
      <c r="P166" s="4">
        <f>VLOOKUP(A166,[3]Sheet1!$A:$C,3,0)</f>
        <v>0</v>
      </c>
      <c r="Q166" s="4">
        <f>VLOOKUP(A166,[3]Sheet1!$A:$D,4,0)</f>
        <v>0</v>
      </c>
      <c r="R166" s="4">
        <f>VLOOKUP(A166,[3]Sheet1!$A:$E,5,0)</f>
        <v>0</v>
      </c>
      <c r="S166" s="4">
        <f>VLOOKUP(A166,[3]Sheet1!$A:$F,6,0)</f>
        <v>0</v>
      </c>
      <c r="T166" s="4">
        <f>VLOOKUP(A166,[3]Sheet1!$A:$G,7,0)</f>
        <v>800</v>
      </c>
      <c r="U166" s="4">
        <f>VLOOKUP(A166,[3]Sheet1!$A:$I,8,0)</f>
        <v>600</v>
      </c>
      <c r="V166" s="4">
        <f>VLOOKUP(A166,[3]Sheet1!$A:$J,9,0)</f>
        <v>600</v>
      </c>
      <c r="W166" s="4">
        <f>VLOOKUP(A166,[3]Sheet1!$A:$J,10,0)</f>
        <v>600</v>
      </c>
      <c r="X166" s="4">
        <f>VLOOKUP(A166,[3]Sheet1!$A:$K,11,0)</f>
        <v>0</v>
      </c>
      <c r="Y166" s="4">
        <f>VLOOKUP(A166,[3]Sheet1!$A:$L,12,0)</f>
        <v>0</v>
      </c>
      <c r="Z166" s="4">
        <f>VLOOKUP(A166,[3]Sheet1!$A:$M,13,0)</f>
        <v>0</v>
      </c>
      <c r="AA166" s="4">
        <f t="shared" si="32"/>
        <v>2600</v>
      </c>
      <c r="AB166" s="7">
        <f t="shared" si="39"/>
        <v>217</v>
      </c>
      <c r="AC166" s="15">
        <f t="shared" si="33"/>
        <v>216.66666666666666</v>
      </c>
      <c r="AD166" s="16">
        <f t="shared" si="34"/>
        <v>20774</v>
      </c>
      <c r="AE166" s="16">
        <f t="shared" si="35"/>
        <v>1731.1666666666667</v>
      </c>
      <c r="AF166" s="16">
        <v>6.45</v>
      </c>
      <c r="AG166" s="16">
        <v>7.99</v>
      </c>
      <c r="AH166" s="8">
        <f t="shared" si="36"/>
        <v>-0.28360000000000002</v>
      </c>
      <c r="AI166" s="8">
        <f t="shared" si="37"/>
        <v>-0.99260000000000004</v>
      </c>
      <c r="AJ166" s="10">
        <v>0.5</v>
      </c>
      <c r="AK166" s="10">
        <v>0.5</v>
      </c>
      <c r="AL166" s="16">
        <v>6.45</v>
      </c>
      <c r="AM166" s="9">
        <f t="shared" si="40"/>
        <v>1.1984999999999999</v>
      </c>
      <c r="AN166" s="9">
        <f t="shared" si="41"/>
        <v>0.2397</v>
      </c>
      <c r="AO166" s="9">
        <f t="shared" si="42"/>
        <v>1.5980000000000001</v>
      </c>
      <c r="AP166" s="9">
        <f t="shared" si="43"/>
        <v>0.1598</v>
      </c>
      <c r="AQ166" s="9">
        <f t="shared" si="44"/>
        <v>1.5980000000000001</v>
      </c>
      <c r="AR166" s="9">
        <f t="shared" si="45"/>
        <v>1.9975000000000001</v>
      </c>
      <c r="AS166" s="11">
        <f t="shared" si="46"/>
        <v>-2.8360000000000003</v>
      </c>
      <c r="AT166" s="12">
        <f t="shared" si="47"/>
        <v>-3.1023333333333341</v>
      </c>
    </row>
    <row r="167" spans="1:46" ht="16.5" x14ac:dyDescent="0.4">
      <c r="A167" s="4" t="s">
        <v>793</v>
      </c>
      <c r="B167" s="4" t="s">
        <v>513</v>
      </c>
      <c r="C167" s="7" t="s">
        <v>1784</v>
      </c>
      <c r="D167" s="4" t="s">
        <v>794</v>
      </c>
      <c r="E167" s="4" t="s">
        <v>795</v>
      </c>
      <c r="F167" s="4" t="s">
        <v>796</v>
      </c>
      <c r="G167" s="7" t="str">
        <f>VLOOKUP(A167,[1]done!$A:$I,9,0)</f>
        <v>Lawn Fertilizer</v>
      </c>
      <c r="H167" s="7" t="str" cm="1">
        <f t="array" ref="H167">_xlfn.IFS(
OR(ISNUMBER(SEARCH("mouse",E167)),ISNUMBER(SEARCH("rat",E167)),ISNUMBER(SEARCH("mice",E167)),ISNUMBER(SEARCH("rodent",E167))),"Rodent Control",
OR(ISNUMBER(SEARCH("fly",E167)),ISNUMBER(SEARCH("gnat",E167)),ISNUMBER(SEARCH("insect",E167)),ISNUMBER(SEARCH("mosquito",E167))),"Flying Insect Control",
OR(ISNUMBER(SEARCH("roach",E167)),ISNUMBER(SEARCH("ant",E167)),ISNUMBER(SEARCH("spider",E167)),ISNUMBER(SEARCH("cricket",E167)),ISNUMBER(SEARCH("scorpion",E167)),ISNUMBER(SEARCH("centipede",E167)),ISNUMBER(SEARCH("beetle",E167))),"Crawling Insect Control",
OR(ISNUMBER(SEARCH("tree",E167)),ISNUMBER(SEARCH("lantern",E167)),ISNUMBER(SEARCH("garden",E167)),ISNUMBER(SEARCH("plant",E167))),"Garden Pest Control",
OR(ISNUMBER(SEARCH("grass seed",E167)),ISNUMBER(SEARCH("seed mix",E167))),"Grass Seed",
OR(ISNUMBER(SEARCH("lawn food",E167)),ISNUMBER(SEARCH("fertilizer",E167))),"Lawn Fertilizer",
OR(ISNUMBER(SEARCH("patch",E167)),ISNUMBER(SEARCH("repair",E167)),ISNUMBER(SEARCH("thick'r",E167)),ISNUMBER(SEARCH("thick'r lawn",E167)),ISNUMBER(SEARCH("rapid grass",E167))),"Lawn Repair",
OR(ISNUMBER(SEARCH("weed",E167)),ISNUMBER(SEARCH("crabgrass",E167))),"Weed Control",
OR(ISNUMBER(SEARCH("fungicide",E167)),ISNUMBER(SEARCH("moss",E167))),"Disease &amp; Moss Control",
OR(ISNUMBER(SEARCH("plant food",E167)),ISNUMBER(SEARCH("miracid",E167))),"Plant Nutrition",
OR(ISNUMBER(SEARCH("perlite",E167))),"Soil Amendment",
OR(ISNUMBER(SEARCH("spreader",E167)),ISNUMBER(SEARCH("sprayer",E167)),ISNUMBER(SEARCH("mower",E167)),ISNUMBER(SEARCH("sweeper",E167)),ISNUMBER(SEARCH("pruner",E167)),ISNUMBER(SEARCH("trimmer",E167)),ISNUMBER(SEARCH("pole saw",E167))),"Garden Equipment",
TRUE,"Other"
)</f>
        <v>Lawn Repair</v>
      </c>
      <c r="I167" s="7" t="str" cm="1">
        <f t="array" ref="I167">_xlfn.IFS(
OR(ISNUMBER(SEARCH("glue trap",E167)),ISNUMBER(SEARCH("glue board",E167))),"Glue Traps",
OR(ISNUMBER(SEARCH("snap trap",E167)),ISNUMBER(SEARCH("power-kill",E167)),ISNUMBER(SEARCH("wide pedal",E167)),ISNUMBER(SEARCH("metal pedal",E167))),"Snap Traps",
OR(ISNUMBER(SEARCH("electronic",E167)),ISNUMBER(SEARCH("zapper",E167))),"Electronic Traps",
OR(ISNUMBER(SEARCH("live catch",E167)),ISNUMBER(SEARCH("multi-catch",E167)),ISNUMBER(SEARCH("catch &amp; hold",E167)),ISNUMBER(SEARCH("tin cat",E167))),"Live Catch Traps",
OR(ISNUMBER(SEARCH("bait",E167)),ISNUMBER(SEARCH("poison",E167))),"Bait &amp; Poison",
ISNUMBER(SEARCH("repellent",E167)),"Repellents",
OR(ISNUMBER(SEARCH("fly trap",E167)),ISNUMBER(SEARCH("fly ribbon",E167)),ISNUMBER(SEARCH("fly stick",E167)),ISNUMBER(SEARCH("window fly",E167)),ISNUMBER(SEARCH("fly magnet",E167))),"Fly Traps",
OR(ISNUMBER(SEARCH("uv",E167)),ISNUMBER(SEARCH("fly light",E167)),ISNUMBER(SEARCH("plug-in",E167))),"UV Fly Traps",
ISNUMBER(SEARCH("roach",E167)),"Roach Traps",
ISNUMBER(SEARCH("ant",E167)),"Ant Traps",
ISNUMBER(SEARCH("spider",E167)),"Spider Traps",
ISNUMBER(SEARCH("mosquito",E167)),"Mosquito Traps",
ISNUMBER(SEARCH("beetle",E167)),"Beetle Traps",
ISNUMBER(SEARCH("lantern",E167)),"Lanternfly Control",
OR(ISNUMBER(SEARCH("tree shield",E167)),ISNUMBER(SEARCH("tree banding",E167)),ISNUMBER(SEARCH("insect barrier",E167))),"Tree Barriers",
OR(ISNUMBER(SEARCH("sun &amp; shade",E167)),ISNUMBER(SEARCH("sun and shade",E167))),"Sun &amp; Shade Mix",
ISNUMBER(SEARCH("tall fescue",E167)),"Tall Fescue",
ISNUMBER(SEARCH("bermudagrass",E167)),"Bermudagrass",
ISNUMBER(SEARCH("kentucky",E167)),"Kentucky Bluegrass",
ISNUMBER(SEARCH("zoysia",E167)),"Zoysia",
ISNUMBER(SEARCH("ryegrass",E167)),"Perennial Ryegrass",
ISNUMBER(SEARCH("centipede",E167)),"Centipede Grass",
ISNUMBER(SEARCH("dense shade",E167)),"Dense Shade Mix",
ISNUMBER(SEARCH("southern gold",E167)),"Southern Gold Mix",
ISNUMBER(SEARCH("heat-tolerant blue",E167)),"Heat-Tolerant Blue Mix",
ISNUMBER(SEARCH("high traffic",E167)),"High Traffic Mix",
ISNUMBER(SEARCH("quick fix",E167)),"Quick Fix Mix",
ISNUMBER(SEARCH("starter",E167)),"Starter Fertilizer",
ISNUMBER(SEARCH("weed &amp; feed",E167)),"Weed &amp; Feed",
ISNUMBER(SEARCH("lawn food",E167)),"Lawn Food",
ISNUMBER(SEARCH("triple action",E167)),"Triple Action Fertilizer",
ISNUMBER(SEARCH("green max",E167)),"Green Max Lawn Food",
ISNUMBER(SEARCH("patchmaster",E167)),"PatchMaster Repair",
ISNUMBER(SEARCH("ez seed",E167)),"EZ Seed Repair",
ISNUMBER(SEARCH("rapid grass",E167)),"Rapid Grass",
ISNUMBER(SEARCH("thick'r lawn",E167)),"Thick'R Lawn",
ISNUMBER(SEARCH("fungicide",E167)),"Fungicide",
ISNUMBER(SEARCH("moss",E167)),"Moss Control",
ISNUMBER(SEARCH("perlite",E167)),"Perlite",
ISNUMBER(SEARCH("plant food",E167)),"Plant Food",
ISNUMBER(SEARCH("spreader",E167)),"Spreader",
ISNUMBER(SEARCH("sprayer",E167)),"Sprayer",
ISNUMBER(SEARCH("mower",E167)),"Lawn Mower",
ISNUMBER(SEARCH("sweeper",E167)),"Lawn Sweeper",
OR(ISNUMBER(SEARCH("pruner",E167)),ISNUMBER(SEARCH("trimmer",E167)),ISNUMBER(SEARCH("pole saw",E167))),"Pruning Tools",
TRUE,"Other"
)</f>
        <v>Other</v>
      </c>
      <c r="J167" s="7" t="str">
        <f t="shared" si="38"/>
        <v>Lawn Repair - Other</v>
      </c>
      <c r="K167" s="4">
        <v>600</v>
      </c>
      <c r="L167" s="4">
        <v>3.8</v>
      </c>
      <c r="M167" s="4">
        <v>2833</v>
      </c>
      <c r="N167" s="4" t="s">
        <v>797</v>
      </c>
      <c r="O167" s="4">
        <f>VLOOKUP(A167,[3]Sheet1!$A:$B,2,0)</f>
        <v>100</v>
      </c>
      <c r="P167" s="4">
        <f>VLOOKUP(A167,[3]Sheet1!$A:$C,3,0)</f>
        <v>100</v>
      </c>
      <c r="Q167" s="4">
        <f>VLOOKUP(A167,[3]Sheet1!$A:$D,4,0)</f>
        <v>200</v>
      </c>
      <c r="R167" s="4">
        <f>VLOOKUP(A167,[3]Sheet1!$A:$E,5,0)</f>
        <v>1000</v>
      </c>
      <c r="S167" s="4">
        <f>VLOOKUP(A167,[3]Sheet1!$A:$F,6,0)</f>
        <v>1000</v>
      </c>
      <c r="T167" s="4">
        <f>VLOOKUP(A167,[3]Sheet1!$A:$G,7,0)</f>
        <v>700</v>
      </c>
      <c r="U167" s="4">
        <f>VLOOKUP(A167,[3]Sheet1!$A:$I,8,0)</f>
        <v>800</v>
      </c>
      <c r="V167" s="4">
        <f>VLOOKUP(A167,[3]Sheet1!$A:$J,9,0)</f>
        <v>400</v>
      </c>
      <c r="W167" s="4">
        <f>VLOOKUP(A167,[3]Sheet1!$A:$J,10,0)</f>
        <v>500</v>
      </c>
      <c r="X167" s="4">
        <f>VLOOKUP(A167,[3]Sheet1!$A:$K,11,0)</f>
        <v>300</v>
      </c>
      <c r="Y167" s="4">
        <f>VLOOKUP(A167,[3]Sheet1!$A:$L,12,0)</f>
        <v>200</v>
      </c>
      <c r="Z167" s="4">
        <f>VLOOKUP(A167,[3]Sheet1!$A:$M,13,0)</f>
        <v>100</v>
      </c>
      <c r="AA167" s="4">
        <f t="shared" si="32"/>
        <v>5400</v>
      </c>
      <c r="AB167" s="7">
        <f t="shared" si="39"/>
        <v>450</v>
      </c>
      <c r="AC167" s="15">
        <f t="shared" si="33"/>
        <v>450</v>
      </c>
      <c r="AD167" s="16">
        <f t="shared" si="34"/>
        <v>126845.99999999999</v>
      </c>
      <c r="AE167" s="16">
        <f t="shared" si="35"/>
        <v>10570.5</v>
      </c>
      <c r="AF167" s="16">
        <v>7.71</v>
      </c>
      <c r="AG167" s="16">
        <v>23.49</v>
      </c>
      <c r="AH167" s="8">
        <f t="shared" si="36"/>
        <v>4.5733333333333334E-2</v>
      </c>
      <c r="AI167" s="8">
        <f t="shared" si="37"/>
        <v>0.16006666666666666</v>
      </c>
      <c r="AJ167" s="10">
        <v>0.5</v>
      </c>
      <c r="AK167" s="10">
        <v>0.5</v>
      </c>
      <c r="AL167" s="16">
        <v>7.71</v>
      </c>
      <c r="AM167" s="9">
        <f t="shared" si="40"/>
        <v>3.5234999999999999</v>
      </c>
      <c r="AN167" s="9">
        <f t="shared" si="41"/>
        <v>0.70469999999999988</v>
      </c>
      <c r="AO167" s="9">
        <f t="shared" si="42"/>
        <v>4.6979999999999995</v>
      </c>
      <c r="AP167" s="9">
        <f t="shared" si="43"/>
        <v>0.4698</v>
      </c>
      <c r="AQ167" s="9">
        <f t="shared" si="44"/>
        <v>4.6979999999999995</v>
      </c>
      <c r="AR167" s="9">
        <f t="shared" si="45"/>
        <v>5.8724999999999996</v>
      </c>
      <c r="AS167" s="11">
        <f t="shared" si="46"/>
        <v>0.45733333333333331</v>
      </c>
      <c r="AT167" s="12">
        <f t="shared" si="47"/>
        <v>-0.32566666666666677</v>
      </c>
    </row>
    <row r="168" spans="1:46" ht="16.5" x14ac:dyDescent="0.4">
      <c r="A168" s="4" t="s">
        <v>798</v>
      </c>
      <c r="B168" s="4" t="s">
        <v>513</v>
      </c>
      <c r="C168" s="7" t="s">
        <v>1788</v>
      </c>
      <c r="D168" s="4" t="s">
        <v>799</v>
      </c>
      <c r="E168" s="4" t="s">
        <v>800</v>
      </c>
      <c r="F168" s="4" t="s">
        <v>801</v>
      </c>
      <c r="G168" s="7" t="str">
        <f>VLOOKUP(A168,[1]done!$A:$I,9,0)</f>
        <v>Other Lawn products</v>
      </c>
      <c r="H168" s="7" t="str" cm="1">
        <f t="array" ref="H168">_xlfn.IFS(
OR(ISNUMBER(SEARCH("mouse",E168)),ISNUMBER(SEARCH("rat",E168)),ISNUMBER(SEARCH("mice",E168)),ISNUMBER(SEARCH("rodent",E168))),"Rodent Control",
OR(ISNUMBER(SEARCH("fly",E168)),ISNUMBER(SEARCH("gnat",E168)),ISNUMBER(SEARCH("insect",E168)),ISNUMBER(SEARCH("mosquito",E168))),"Flying Insect Control",
OR(ISNUMBER(SEARCH("roach",E168)),ISNUMBER(SEARCH("ant",E168)),ISNUMBER(SEARCH("spider",E168)),ISNUMBER(SEARCH("cricket",E168)),ISNUMBER(SEARCH("scorpion",E168)),ISNUMBER(SEARCH("centipede",E168)),ISNUMBER(SEARCH("beetle",E168))),"Crawling Insect Control",
OR(ISNUMBER(SEARCH("tree",E168)),ISNUMBER(SEARCH("lantern",E168)),ISNUMBER(SEARCH("garden",E168)),ISNUMBER(SEARCH("plant",E168))),"Garden Pest Control",
OR(ISNUMBER(SEARCH("grass seed",E168)),ISNUMBER(SEARCH("seed mix",E168))),"Grass Seed",
OR(ISNUMBER(SEARCH("lawn food",E168)),ISNUMBER(SEARCH("fertilizer",E168))),"Lawn Fertilizer",
OR(ISNUMBER(SEARCH("patch",E168)),ISNUMBER(SEARCH("repair",E168)),ISNUMBER(SEARCH("thick'r",E168)),ISNUMBER(SEARCH("thick'r lawn",E168)),ISNUMBER(SEARCH("rapid grass",E168))),"Lawn Repair",
OR(ISNUMBER(SEARCH("weed",E168)),ISNUMBER(SEARCH("crabgrass",E168))),"Weed Control",
OR(ISNUMBER(SEARCH("fungicide",E168)),ISNUMBER(SEARCH("moss",E168))),"Disease &amp; Moss Control",
OR(ISNUMBER(SEARCH("plant food",E168)),ISNUMBER(SEARCH("miracid",E168))),"Plant Nutrition",
OR(ISNUMBER(SEARCH("perlite",E168))),"Soil Amendment",
OR(ISNUMBER(SEARCH("spreader",E168)),ISNUMBER(SEARCH("sprayer",E168)),ISNUMBER(SEARCH("mower",E168)),ISNUMBER(SEARCH("sweeper",E168)),ISNUMBER(SEARCH("pruner",E168)),ISNUMBER(SEARCH("trimmer",E168)),ISNUMBER(SEARCH("pole saw",E168))),"Garden Equipment",
TRUE,"Other"
)</f>
        <v>Garden Pest Control</v>
      </c>
      <c r="I168" s="7" t="str" cm="1">
        <f t="array" ref="I168">_xlfn.IFS(
OR(ISNUMBER(SEARCH("glue trap",E168)),ISNUMBER(SEARCH("glue board",E168))),"Glue Traps",
OR(ISNUMBER(SEARCH("snap trap",E168)),ISNUMBER(SEARCH("power-kill",E168)),ISNUMBER(SEARCH("wide pedal",E168)),ISNUMBER(SEARCH("metal pedal",E168))),"Snap Traps",
OR(ISNUMBER(SEARCH("electronic",E168)),ISNUMBER(SEARCH("zapper",E168))),"Electronic Traps",
OR(ISNUMBER(SEARCH("live catch",E168)),ISNUMBER(SEARCH("multi-catch",E168)),ISNUMBER(SEARCH("catch &amp; hold",E168)),ISNUMBER(SEARCH("tin cat",E168))),"Live Catch Traps",
OR(ISNUMBER(SEARCH("bait",E168)),ISNUMBER(SEARCH("poison",E168))),"Bait &amp; Poison",
ISNUMBER(SEARCH("repellent",E168)),"Repellents",
OR(ISNUMBER(SEARCH("fly trap",E168)),ISNUMBER(SEARCH("fly ribbon",E168)),ISNUMBER(SEARCH("fly stick",E168)),ISNUMBER(SEARCH("window fly",E168)),ISNUMBER(SEARCH("fly magnet",E168))),"Fly Traps",
OR(ISNUMBER(SEARCH("uv",E168)),ISNUMBER(SEARCH("fly light",E168)),ISNUMBER(SEARCH("plug-in",E168))),"UV Fly Traps",
ISNUMBER(SEARCH("roach",E168)),"Roach Traps",
ISNUMBER(SEARCH("ant",E168)),"Ant Traps",
ISNUMBER(SEARCH("spider",E168)),"Spider Traps",
ISNUMBER(SEARCH("mosquito",E168)),"Mosquito Traps",
ISNUMBER(SEARCH("beetle",E168)),"Beetle Traps",
ISNUMBER(SEARCH("lantern",E168)),"Lanternfly Control",
OR(ISNUMBER(SEARCH("tree shield",E168)),ISNUMBER(SEARCH("tree banding",E168)),ISNUMBER(SEARCH("insect barrier",E168))),"Tree Barriers",
OR(ISNUMBER(SEARCH("sun &amp; shade",E168)),ISNUMBER(SEARCH("sun and shade",E168))),"Sun &amp; Shade Mix",
ISNUMBER(SEARCH("tall fescue",E168)),"Tall Fescue",
ISNUMBER(SEARCH("bermudagrass",E168)),"Bermudagrass",
ISNUMBER(SEARCH("kentucky",E168)),"Kentucky Bluegrass",
ISNUMBER(SEARCH("zoysia",E168)),"Zoysia",
ISNUMBER(SEARCH("ryegrass",E168)),"Perennial Ryegrass",
ISNUMBER(SEARCH("centipede",E168)),"Centipede Grass",
ISNUMBER(SEARCH("dense shade",E168)),"Dense Shade Mix",
ISNUMBER(SEARCH("southern gold",E168)),"Southern Gold Mix",
ISNUMBER(SEARCH("heat-tolerant blue",E168)),"Heat-Tolerant Blue Mix",
ISNUMBER(SEARCH("high traffic",E168)),"High Traffic Mix",
ISNUMBER(SEARCH("quick fix",E168)),"Quick Fix Mix",
ISNUMBER(SEARCH("starter",E168)),"Starter Fertilizer",
ISNUMBER(SEARCH("weed &amp; feed",E168)),"Weed &amp; Feed",
ISNUMBER(SEARCH("lawn food",E168)),"Lawn Food",
ISNUMBER(SEARCH("triple action",E168)),"Triple Action Fertilizer",
ISNUMBER(SEARCH("green max",E168)),"Green Max Lawn Food",
ISNUMBER(SEARCH("patchmaster",E168)),"PatchMaster Repair",
ISNUMBER(SEARCH("ez seed",E168)),"EZ Seed Repair",
ISNUMBER(SEARCH("rapid grass",E168)),"Rapid Grass",
ISNUMBER(SEARCH("thick'r lawn",E168)),"Thick'R Lawn",
ISNUMBER(SEARCH("fungicide",E168)),"Fungicide",
ISNUMBER(SEARCH("moss",E168)),"Moss Control",
ISNUMBER(SEARCH("perlite",E168)),"Perlite",
ISNUMBER(SEARCH("plant food",E168)),"Plant Food",
ISNUMBER(SEARCH("spreader",E168)),"Spreader",
ISNUMBER(SEARCH("sprayer",E168)),"Sprayer",
ISNUMBER(SEARCH("mower",E168)),"Lawn Mower",
ISNUMBER(SEARCH("sweeper",E168)),"Lawn Sweeper",
OR(ISNUMBER(SEARCH("pruner",E168)),ISNUMBER(SEARCH("trimmer",E168)),ISNUMBER(SEARCH("pole saw",E168))),"Pruning Tools",
TRUE,"Other"
)</f>
        <v>Sprayer</v>
      </c>
      <c r="J168" s="7" t="str">
        <f t="shared" si="38"/>
        <v>Garden Pest Control - Sprayer</v>
      </c>
      <c r="K168" s="4">
        <v>600</v>
      </c>
      <c r="L168" s="4">
        <v>4.4000000000000004</v>
      </c>
      <c r="M168" s="4">
        <v>5251</v>
      </c>
      <c r="N168" s="4" t="s">
        <v>802</v>
      </c>
      <c r="O168" s="4">
        <f>VLOOKUP(A168,[3]Sheet1!$A:$B,2,0)</f>
        <v>400</v>
      </c>
      <c r="P168" s="4">
        <f>VLOOKUP(A168,[3]Sheet1!$A:$C,3,0)</f>
        <v>400</v>
      </c>
      <c r="Q168" s="4">
        <f>VLOOKUP(A168,[3]Sheet1!$A:$D,4,0)</f>
        <v>1000</v>
      </c>
      <c r="R168" s="4">
        <f>VLOOKUP(A168,[3]Sheet1!$A:$E,5,0)</f>
        <v>2000</v>
      </c>
      <c r="S168" s="4">
        <f>VLOOKUP(A168,[3]Sheet1!$A:$F,6,0)</f>
        <v>2000</v>
      </c>
      <c r="T168" s="4">
        <f>VLOOKUP(A168,[3]Sheet1!$A:$G,7,0)</f>
        <v>1000</v>
      </c>
      <c r="U168" s="4">
        <f>VLOOKUP(A168,[3]Sheet1!$A:$I,8,0)</f>
        <v>0</v>
      </c>
      <c r="V168" s="4">
        <f>VLOOKUP(A168,[3]Sheet1!$A:$J,9,0)</f>
        <v>400</v>
      </c>
      <c r="W168" s="4">
        <f>VLOOKUP(A168,[3]Sheet1!$A:$J,10,0)</f>
        <v>600</v>
      </c>
      <c r="X168" s="4">
        <f>VLOOKUP(A168,[3]Sheet1!$A:$K,11,0)</f>
        <v>1000</v>
      </c>
      <c r="Y168" s="4">
        <f>VLOOKUP(A168,[3]Sheet1!$A:$L,12,0)</f>
        <v>600</v>
      </c>
      <c r="Z168" s="4">
        <f>VLOOKUP(A168,[3]Sheet1!$A:$M,13,0)</f>
        <v>400</v>
      </c>
      <c r="AA168" s="4">
        <f t="shared" si="32"/>
        <v>9800</v>
      </c>
      <c r="AB168" s="7">
        <f t="shared" si="39"/>
        <v>817</v>
      </c>
      <c r="AC168" s="15">
        <f t="shared" si="33"/>
        <v>816.66666666666663</v>
      </c>
      <c r="AD168" s="16">
        <f t="shared" si="34"/>
        <v>944328</v>
      </c>
      <c r="AE168" s="16">
        <f t="shared" si="35"/>
        <v>78694</v>
      </c>
      <c r="AF168" s="16">
        <v>12.25</v>
      </c>
      <c r="AG168" s="16">
        <v>96.36</v>
      </c>
      <c r="AH168" s="8">
        <f t="shared" si="36"/>
        <v>1.6862666666666664</v>
      </c>
      <c r="AI168" s="8">
        <f t="shared" si="37"/>
        <v>5.9019333333333313</v>
      </c>
      <c r="AJ168" s="10">
        <v>0.5</v>
      </c>
      <c r="AK168" s="10">
        <v>0.5</v>
      </c>
      <c r="AL168" s="16">
        <v>12.25</v>
      </c>
      <c r="AM168" s="9">
        <f t="shared" si="40"/>
        <v>14.453999999999999</v>
      </c>
      <c r="AN168" s="9">
        <f t="shared" si="41"/>
        <v>2.8908</v>
      </c>
      <c r="AO168" s="9">
        <f t="shared" si="42"/>
        <v>19.272000000000002</v>
      </c>
      <c r="AP168" s="9">
        <f t="shared" si="43"/>
        <v>1.9272</v>
      </c>
      <c r="AQ168" s="9">
        <f t="shared" si="44"/>
        <v>19.272000000000002</v>
      </c>
      <c r="AR168" s="9">
        <f t="shared" si="45"/>
        <v>24.09</v>
      </c>
      <c r="AS168" s="11">
        <f t="shared" si="46"/>
        <v>16.862666666666662</v>
      </c>
      <c r="AT168" s="12">
        <f t="shared" si="47"/>
        <v>13.650666666666664</v>
      </c>
    </row>
    <row r="169" spans="1:46" ht="16.5" x14ac:dyDescent="0.4">
      <c r="A169" s="4" t="s">
        <v>803</v>
      </c>
      <c r="B169" s="4" t="s">
        <v>513</v>
      </c>
      <c r="C169" s="7" t="s">
        <v>1785</v>
      </c>
      <c r="D169" s="4" t="s">
        <v>804</v>
      </c>
      <c r="E169" s="4" t="s">
        <v>805</v>
      </c>
      <c r="F169" s="4" t="s">
        <v>806</v>
      </c>
      <c r="G169" s="7" t="str">
        <f>VLOOKUP(A169,[1]done!$A:$I,9,0)</f>
        <v>Grass Seed</v>
      </c>
      <c r="H169" s="7" t="str" cm="1">
        <f t="array" ref="H169">_xlfn.IFS(
OR(ISNUMBER(SEARCH("mouse",E169)),ISNUMBER(SEARCH("rat",E169)),ISNUMBER(SEARCH("mice",E169)),ISNUMBER(SEARCH("rodent",E169))),"Rodent Control",
OR(ISNUMBER(SEARCH("fly",E169)),ISNUMBER(SEARCH("gnat",E169)),ISNUMBER(SEARCH("insect",E169)),ISNUMBER(SEARCH("mosquito",E169))),"Flying Insect Control",
OR(ISNUMBER(SEARCH("roach",E169)),ISNUMBER(SEARCH("ant",E169)),ISNUMBER(SEARCH("spider",E169)),ISNUMBER(SEARCH("cricket",E169)),ISNUMBER(SEARCH("scorpion",E169)),ISNUMBER(SEARCH("centipede",E169)),ISNUMBER(SEARCH("beetle",E169))),"Crawling Insect Control",
OR(ISNUMBER(SEARCH("tree",E169)),ISNUMBER(SEARCH("lantern",E169)),ISNUMBER(SEARCH("garden",E169)),ISNUMBER(SEARCH("plant",E169))),"Garden Pest Control",
OR(ISNUMBER(SEARCH("grass seed",E169)),ISNUMBER(SEARCH("seed mix",E169))),"Grass Seed",
OR(ISNUMBER(SEARCH("lawn food",E169)),ISNUMBER(SEARCH("fertilizer",E169))),"Lawn Fertilizer",
OR(ISNUMBER(SEARCH("patch",E169)),ISNUMBER(SEARCH("repair",E169)),ISNUMBER(SEARCH("thick'r",E169)),ISNUMBER(SEARCH("thick'r lawn",E169)),ISNUMBER(SEARCH("rapid grass",E169))),"Lawn Repair",
OR(ISNUMBER(SEARCH("weed",E169)),ISNUMBER(SEARCH("crabgrass",E169))),"Weed Control",
OR(ISNUMBER(SEARCH("fungicide",E169)),ISNUMBER(SEARCH("moss",E169))),"Disease &amp; Moss Control",
OR(ISNUMBER(SEARCH("plant food",E169)),ISNUMBER(SEARCH("miracid",E169))),"Plant Nutrition",
OR(ISNUMBER(SEARCH("perlite",E169))),"Soil Amendment",
OR(ISNUMBER(SEARCH("spreader",E169)),ISNUMBER(SEARCH("sprayer",E169)),ISNUMBER(SEARCH("mower",E169)),ISNUMBER(SEARCH("sweeper",E169)),ISNUMBER(SEARCH("pruner",E169)),ISNUMBER(SEARCH("trimmer",E169)),ISNUMBER(SEARCH("pole saw",E169))),"Garden Equipment",
TRUE,"Other"
)</f>
        <v>Grass Seed</v>
      </c>
      <c r="I169" s="7" t="str" cm="1">
        <f t="array" ref="I169">_xlfn.IFS(
OR(ISNUMBER(SEARCH("glue trap",E169)),ISNUMBER(SEARCH("glue board",E169))),"Glue Traps",
OR(ISNUMBER(SEARCH("snap trap",E169)),ISNUMBER(SEARCH("power-kill",E169)),ISNUMBER(SEARCH("wide pedal",E169)),ISNUMBER(SEARCH("metal pedal",E169))),"Snap Traps",
OR(ISNUMBER(SEARCH("electronic",E169)),ISNUMBER(SEARCH("zapper",E169))),"Electronic Traps",
OR(ISNUMBER(SEARCH("live catch",E169)),ISNUMBER(SEARCH("multi-catch",E169)),ISNUMBER(SEARCH("catch &amp; hold",E169)),ISNUMBER(SEARCH("tin cat",E169))),"Live Catch Traps",
OR(ISNUMBER(SEARCH("bait",E169)),ISNUMBER(SEARCH("poison",E169))),"Bait &amp; Poison",
ISNUMBER(SEARCH("repellent",E169)),"Repellents",
OR(ISNUMBER(SEARCH("fly trap",E169)),ISNUMBER(SEARCH("fly ribbon",E169)),ISNUMBER(SEARCH("fly stick",E169)),ISNUMBER(SEARCH("window fly",E169)),ISNUMBER(SEARCH("fly magnet",E169))),"Fly Traps",
OR(ISNUMBER(SEARCH("uv",E169)),ISNUMBER(SEARCH("fly light",E169)),ISNUMBER(SEARCH("plug-in",E169))),"UV Fly Traps",
ISNUMBER(SEARCH("roach",E169)),"Roach Traps",
ISNUMBER(SEARCH("ant",E169)),"Ant Traps",
ISNUMBER(SEARCH("spider",E169)),"Spider Traps",
ISNUMBER(SEARCH("mosquito",E169)),"Mosquito Traps",
ISNUMBER(SEARCH("beetle",E169)),"Beetle Traps",
ISNUMBER(SEARCH("lantern",E169)),"Lanternfly Control",
OR(ISNUMBER(SEARCH("tree shield",E169)),ISNUMBER(SEARCH("tree banding",E169)),ISNUMBER(SEARCH("insect barrier",E169))),"Tree Barriers",
OR(ISNUMBER(SEARCH("sun &amp; shade",E169)),ISNUMBER(SEARCH("sun and shade",E169))),"Sun &amp; Shade Mix",
ISNUMBER(SEARCH("tall fescue",E169)),"Tall Fescue",
ISNUMBER(SEARCH("bermudagrass",E169)),"Bermudagrass",
ISNUMBER(SEARCH("kentucky",E169)),"Kentucky Bluegrass",
ISNUMBER(SEARCH("zoysia",E169)),"Zoysia",
ISNUMBER(SEARCH("ryegrass",E169)),"Perennial Ryegrass",
ISNUMBER(SEARCH("centipede",E169)),"Centipede Grass",
ISNUMBER(SEARCH("dense shade",E169)),"Dense Shade Mix",
ISNUMBER(SEARCH("southern gold",E169)),"Southern Gold Mix",
ISNUMBER(SEARCH("heat-tolerant blue",E169)),"Heat-Tolerant Blue Mix",
ISNUMBER(SEARCH("high traffic",E169)),"High Traffic Mix",
ISNUMBER(SEARCH("quick fix",E169)),"Quick Fix Mix",
ISNUMBER(SEARCH("starter",E169)),"Starter Fertilizer",
ISNUMBER(SEARCH("weed &amp; feed",E169)),"Weed &amp; Feed",
ISNUMBER(SEARCH("lawn food",E169)),"Lawn Food",
ISNUMBER(SEARCH("triple action",E169)),"Triple Action Fertilizer",
ISNUMBER(SEARCH("green max",E169)),"Green Max Lawn Food",
ISNUMBER(SEARCH("patchmaster",E169)),"PatchMaster Repair",
ISNUMBER(SEARCH("ez seed",E169)),"EZ Seed Repair",
ISNUMBER(SEARCH("rapid grass",E169)),"Rapid Grass",
ISNUMBER(SEARCH("thick'r lawn",E169)),"Thick'R Lawn",
ISNUMBER(SEARCH("fungicide",E169)),"Fungicide",
ISNUMBER(SEARCH("moss",E169)),"Moss Control",
ISNUMBER(SEARCH("perlite",E169)),"Perlite",
ISNUMBER(SEARCH("plant food",E169)),"Plant Food",
ISNUMBER(SEARCH("spreader",E169)),"Spreader",
ISNUMBER(SEARCH("sprayer",E169)),"Sprayer",
ISNUMBER(SEARCH("mower",E169)),"Lawn Mower",
ISNUMBER(SEARCH("sweeper",E169)),"Lawn Sweeper",
OR(ISNUMBER(SEARCH("pruner",E169)),ISNUMBER(SEARCH("trimmer",E169)),ISNUMBER(SEARCH("pole saw",E169))),"Pruning Tools",
TRUE,"Other"
)</f>
        <v>Bermudagrass</v>
      </c>
      <c r="J169" s="7" t="str">
        <f t="shared" si="38"/>
        <v>Grass Seed - Bermudagrass</v>
      </c>
      <c r="K169" s="4">
        <v>500</v>
      </c>
      <c r="L169" s="4">
        <v>3.8</v>
      </c>
      <c r="M169" s="4">
        <v>463</v>
      </c>
      <c r="N169" s="4" t="s">
        <v>193</v>
      </c>
      <c r="O169" s="4">
        <f>VLOOKUP(A169,[3]Sheet1!$A:$B,2,0)</f>
        <v>100</v>
      </c>
      <c r="P169" s="4">
        <f>VLOOKUP(A169,[3]Sheet1!$A:$C,3,0)</f>
        <v>100</v>
      </c>
      <c r="Q169" s="4">
        <f>VLOOKUP(A169,[3]Sheet1!$A:$D,4,0)</f>
        <v>1000</v>
      </c>
      <c r="R169" s="4">
        <f>VLOOKUP(A169,[3]Sheet1!$A:$E,5,0)</f>
        <v>1000</v>
      </c>
      <c r="S169" s="4">
        <f>VLOOKUP(A169,[3]Sheet1!$A:$F,6,0)</f>
        <v>1000</v>
      </c>
      <c r="T169" s="4">
        <f>VLOOKUP(A169,[3]Sheet1!$A:$G,7,0)</f>
        <v>900</v>
      </c>
      <c r="U169" s="4">
        <f>VLOOKUP(A169,[3]Sheet1!$A:$I,8,0)</f>
        <v>400</v>
      </c>
      <c r="V169" s="4">
        <f>VLOOKUP(A169,[3]Sheet1!$A:$J,9,0)</f>
        <v>600</v>
      </c>
      <c r="W169" s="4">
        <f>VLOOKUP(A169,[3]Sheet1!$A:$J,10,0)</f>
        <v>500</v>
      </c>
      <c r="X169" s="4">
        <f>VLOOKUP(A169,[3]Sheet1!$A:$K,11,0)</f>
        <v>900</v>
      </c>
      <c r="Y169" s="4">
        <f>VLOOKUP(A169,[3]Sheet1!$A:$L,12,0)</f>
        <v>300</v>
      </c>
      <c r="Z169" s="4">
        <f>VLOOKUP(A169,[3]Sheet1!$A:$M,13,0)</f>
        <v>100</v>
      </c>
      <c r="AA169" s="4">
        <f t="shared" ref="AA169:AA232" si="48">SUM(O169:Z169)</f>
        <v>6900</v>
      </c>
      <c r="AB169" s="7">
        <f t="shared" si="39"/>
        <v>575</v>
      </c>
      <c r="AC169" s="15">
        <f t="shared" ref="AC169:AC232" si="49">AVERAGE(O169:Z169)</f>
        <v>575</v>
      </c>
      <c r="AD169" s="16">
        <f t="shared" ref="AD169:AD232" si="50">AG169*AA169</f>
        <v>158493</v>
      </c>
      <c r="AE169" s="16">
        <f t="shared" ref="AE169:AE232" si="51">AG169*AC169</f>
        <v>13207.75</v>
      </c>
      <c r="AF169" s="16">
        <v>7.96</v>
      </c>
      <c r="AG169" s="16">
        <v>22.97</v>
      </c>
      <c r="AH169" s="8">
        <f t="shared" ref="AH169:AH232" si="52">0.1*AS169</f>
        <v>1.5199999999999866E-2</v>
      </c>
      <c r="AI169" s="8">
        <f t="shared" ref="AI169:AI232" si="53">0.35*AS169</f>
        <v>5.3199999999999532E-2</v>
      </c>
      <c r="AJ169" s="10">
        <v>0.5</v>
      </c>
      <c r="AK169" s="10">
        <v>0.5</v>
      </c>
      <c r="AL169" s="16">
        <v>7.96</v>
      </c>
      <c r="AM169" s="9">
        <f t="shared" si="40"/>
        <v>3.4454999999999996</v>
      </c>
      <c r="AN169" s="9">
        <f t="shared" si="41"/>
        <v>0.68909999999999993</v>
      </c>
      <c r="AO169" s="9">
        <f t="shared" si="42"/>
        <v>4.5940000000000003</v>
      </c>
      <c r="AP169" s="9">
        <f t="shared" si="43"/>
        <v>0.45939999999999998</v>
      </c>
      <c r="AQ169" s="9">
        <f t="shared" si="44"/>
        <v>4.5940000000000003</v>
      </c>
      <c r="AR169" s="9">
        <f t="shared" si="45"/>
        <v>5.7424999999999997</v>
      </c>
      <c r="AS169" s="11">
        <f t="shared" si="46"/>
        <v>0.15199999999999866</v>
      </c>
      <c r="AT169" s="12">
        <f t="shared" si="47"/>
        <v>-0.61366666666666758</v>
      </c>
    </row>
    <row r="170" spans="1:46" ht="16.5" x14ac:dyDescent="0.4">
      <c r="A170" s="4" t="s">
        <v>807</v>
      </c>
      <c r="B170" s="4" t="s">
        <v>513</v>
      </c>
      <c r="C170" s="7" t="s">
        <v>1784</v>
      </c>
      <c r="D170" s="4" t="s">
        <v>808</v>
      </c>
      <c r="E170" s="4" t="s">
        <v>809</v>
      </c>
      <c r="F170" s="4" t="s">
        <v>810</v>
      </c>
      <c r="G170" s="7" t="str">
        <f>VLOOKUP(A170,[1]done!$A:$I,9,0)</f>
        <v>Lawn Fertilizer</v>
      </c>
      <c r="H170" s="7" t="str" cm="1">
        <f t="array" ref="H170">_xlfn.IFS(
OR(ISNUMBER(SEARCH("mouse",E170)),ISNUMBER(SEARCH("rat",E170)),ISNUMBER(SEARCH("mice",E170)),ISNUMBER(SEARCH("rodent",E170))),"Rodent Control",
OR(ISNUMBER(SEARCH("fly",E170)),ISNUMBER(SEARCH("gnat",E170)),ISNUMBER(SEARCH("insect",E170)),ISNUMBER(SEARCH("mosquito",E170))),"Flying Insect Control",
OR(ISNUMBER(SEARCH("roach",E170)),ISNUMBER(SEARCH("ant",E170)),ISNUMBER(SEARCH("spider",E170)),ISNUMBER(SEARCH("cricket",E170)),ISNUMBER(SEARCH("scorpion",E170)),ISNUMBER(SEARCH("centipede",E170)),ISNUMBER(SEARCH("beetle",E170))),"Crawling Insect Control",
OR(ISNUMBER(SEARCH("tree",E170)),ISNUMBER(SEARCH("lantern",E170)),ISNUMBER(SEARCH("garden",E170)),ISNUMBER(SEARCH("plant",E170))),"Garden Pest Control",
OR(ISNUMBER(SEARCH("grass seed",E170)),ISNUMBER(SEARCH("seed mix",E170))),"Grass Seed",
OR(ISNUMBER(SEARCH("lawn food",E170)),ISNUMBER(SEARCH("fertilizer",E170))),"Lawn Fertilizer",
OR(ISNUMBER(SEARCH("patch",E170)),ISNUMBER(SEARCH("repair",E170)),ISNUMBER(SEARCH("thick'r",E170)),ISNUMBER(SEARCH("thick'r lawn",E170)),ISNUMBER(SEARCH("rapid grass",E170))),"Lawn Repair",
OR(ISNUMBER(SEARCH("weed",E170)),ISNUMBER(SEARCH("crabgrass",E170))),"Weed Control",
OR(ISNUMBER(SEARCH("fungicide",E170)),ISNUMBER(SEARCH("moss",E170))),"Disease &amp; Moss Control",
OR(ISNUMBER(SEARCH("plant food",E170)),ISNUMBER(SEARCH("miracid",E170))),"Plant Nutrition",
OR(ISNUMBER(SEARCH("perlite",E170))),"Soil Amendment",
OR(ISNUMBER(SEARCH("spreader",E170)),ISNUMBER(SEARCH("sprayer",E170)),ISNUMBER(SEARCH("mower",E170)),ISNUMBER(SEARCH("sweeper",E170)),ISNUMBER(SEARCH("pruner",E170)),ISNUMBER(SEARCH("trimmer",E170)),ISNUMBER(SEARCH("pole saw",E170))),"Garden Equipment",
TRUE,"Other"
)</f>
        <v>Lawn Repair</v>
      </c>
      <c r="I170" s="7" t="str" cm="1">
        <f t="array" ref="I170">_xlfn.IFS(
OR(ISNUMBER(SEARCH("glue trap",E170)),ISNUMBER(SEARCH("glue board",E170))),"Glue Traps",
OR(ISNUMBER(SEARCH("snap trap",E170)),ISNUMBER(SEARCH("power-kill",E170)),ISNUMBER(SEARCH("wide pedal",E170)),ISNUMBER(SEARCH("metal pedal",E170))),"Snap Traps",
OR(ISNUMBER(SEARCH("electronic",E170)),ISNUMBER(SEARCH("zapper",E170))),"Electronic Traps",
OR(ISNUMBER(SEARCH("live catch",E170)),ISNUMBER(SEARCH("multi-catch",E170)),ISNUMBER(SEARCH("catch &amp; hold",E170)),ISNUMBER(SEARCH("tin cat",E170))),"Live Catch Traps",
OR(ISNUMBER(SEARCH("bait",E170)),ISNUMBER(SEARCH("poison",E170))),"Bait &amp; Poison",
ISNUMBER(SEARCH("repellent",E170)),"Repellents",
OR(ISNUMBER(SEARCH("fly trap",E170)),ISNUMBER(SEARCH("fly ribbon",E170)),ISNUMBER(SEARCH("fly stick",E170)),ISNUMBER(SEARCH("window fly",E170)),ISNUMBER(SEARCH("fly magnet",E170))),"Fly Traps",
OR(ISNUMBER(SEARCH("uv",E170)),ISNUMBER(SEARCH("fly light",E170)),ISNUMBER(SEARCH("plug-in",E170))),"UV Fly Traps",
ISNUMBER(SEARCH("roach",E170)),"Roach Traps",
ISNUMBER(SEARCH("ant",E170)),"Ant Traps",
ISNUMBER(SEARCH("spider",E170)),"Spider Traps",
ISNUMBER(SEARCH("mosquito",E170)),"Mosquito Traps",
ISNUMBER(SEARCH("beetle",E170)),"Beetle Traps",
ISNUMBER(SEARCH("lantern",E170)),"Lanternfly Control",
OR(ISNUMBER(SEARCH("tree shield",E170)),ISNUMBER(SEARCH("tree banding",E170)),ISNUMBER(SEARCH("insect barrier",E170))),"Tree Barriers",
OR(ISNUMBER(SEARCH("sun &amp; shade",E170)),ISNUMBER(SEARCH("sun and shade",E170))),"Sun &amp; Shade Mix",
ISNUMBER(SEARCH("tall fescue",E170)),"Tall Fescue",
ISNUMBER(SEARCH("bermudagrass",E170)),"Bermudagrass",
ISNUMBER(SEARCH("kentucky",E170)),"Kentucky Bluegrass",
ISNUMBER(SEARCH("zoysia",E170)),"Zoysia",
ISNUMBER(SEARCH("ryegrass",E170)),"Perennial Ryegrass",
ISNUMBER(SEARCH("centipede",E170)),"Centipede Grass",
ISNUMBER(SEARCH("dense shade",E170)),"Dense Shade Mix",
ISNUMBER(SEARCH("southern gold",E170)),"Southern Gold Mix",
ISNUMBER(SEARCH("heat-tolerant blue",E170)),"Heat-Tolerant Blue Mix",
ISNUMBER(SEARCH("high traffic",E170)),"High Traffic Mix",
ISNUMBER(SEARCH("quick fix",E170)),"Quick Fix Mix",
ISNUMBER(SEARCH("starter",E170)),"Starter Fertilizer",
ISNUMBER(SEARCH("weed &amp; feed",E170)),"Weed &amp; Feed",
ISNUMBER(SEARCH("lawn food",E170)),"Lawn Food",
ISNUMBER(SEARCH("triple action",E170)),"Triple Action Fertilizer",
ISNUMBER(SEARCH("green max",E170)),"Green Max Lawn Food",
ISNUMBER(SEARCH("patchmaster",E170)),"PatchMaster Repair",
ISNUMBER(SEARCH("ez seed",E170)),"EZ Seed Repair",
ISNUMBER(SEARCH("rapid grass",E170)),"Rapid Grass",
ISNUMBER(SEARCH("thick'r lawn",E170)),"Thick'R Lawn",
ISNUMBER(SEARCH("fungicide",E170)),"Fungicide",
ISNUMBER(SEARCH("moss",E170)),"Moss Control",
ISNUMBER(SEARCH("perlite",E170)),"Perlite",
ISNUMBER(SEARCH("plant food",E170)),"Plant Food",
ISNUMBER(SEARCH("spreader",E170)),"Spreader",
ISNUMBER(SEARCH("sprayer",E170)),"Sprayer",
ISNUMBER(SEARCH("mower",E170)),"Lawn Mower",
ISNUMBER(SEARCH("sweeper",E170)),"Lawn Sweeper",
OR(ISNUMBER(SEARCH("pruner",E170)),ISNUMBER(SEARCH("trimmer",E170)),ISNUMBER(SEARCH("pole saw",E170))),"Pruning Tools",
TRUE,"Other"
)</f>
        <v>Tall Fescue</v>
      </c>
      <c r="J170" s="7" t="str">
        <f t="shared" si="38"/>
        <v>Lawn Repair - Tall Fescue</v>
      </c>
      <c r="K170" s="4">
        <v>500</v>
      </c>
      <c r="L170" s="4">
        <v>4.0999999999999996</v>
      </c>
      <c r="M170" s="4">
        <v>3754</v>
      </c>
      <c r="N170" s="4" t="s">
        <v>731</v>
      </c>
      <c r="O170" s="4">
        <f>VLOOKUP(A170,[3]Sheet1!$A:$B,2,0)</f>
        <v>0</v>
      </c>
      <c r="P170" s="4">
        <f>VLOOKUP(A170,[3]Sheet1!$A:$C,3,0)</f>
        <v>0</v>
      </c>
      <c r="Q170" s="4">
        <f>VLOOKUP(A170,[3]Sheet1!$A:$D,4,0)</f>
        <v>100</v>
      </c>
      <c r="R170" s="4">
        <f>VLOOKUP(A170,[3]Sheet1!$A:$E,5,0)</f>
        <v>300</v>
      </c>
      <c r="S170" s="4">
        <f>VLOOKUP(A170,[3]Sheet1!$A:$F,6,0)</f>
        <v>200</v>
      </c>
      <c r="T170" s="4">
        <f>VLOOKUP(A170,[3]Sheet1!$A:$G,7,0)</f>
        <v>200</v>
      </c>
      <c r="U170" s="4">
        <f>VLOOKUP(A170,[3]Sheet1!$A:$I,8,0)</f>
        <v>300</v>
      </c>
      <c r="V170" s="4">
        <f>VLOOKUP(A170,[3]Sheet1!$A:$J,9,0)</f>
        <v>100</v>
      </c>
      <c r="W170" s="4">
        <f>VLOOKUP(A170,[3]Sheet1!$A:$J,10,0)</f>
        <v>500</v>
      </c>
      <c r="X170" s="4">
        <f>VLOOKUP(A170,[3]Sheet1!$A:$K,11,0)</f>
        <v>60</v>
      </c>
      <c r="Y170" s="4">
        <f>VLOOKUP(A170,[3]Sheet1!$A:$L,12,0)</f>
        <v>60</v>
      </c>
      <c r="Z170" s="4">
        <f>VLOOKUP(A170,[3]Sheet1!$A:$M,13,0)</f>
        <v>60</v>
      </c>
      <c r="AA170" s="4">
        <f t="shared" si="48"/>
        <v>1880</v>
      </c>
      <c r="AB170" s="7">
        <f t="shared" si="39"/>
        <v>157</v>
      </c>
      <c r="AC170" s="15">
        <f t="shared" si="49"/>
        <v>156.66666666666666</v>
      </c>
      <c r="AD170" s="16">
        <f t="shared" si="50"/>
        <v>122143.59999999999</v>
      </c>
      <c r="AE170" s="16">
        <f t="shared" si="51"/>
        <v>10178.633333333333</v>
      </c>
      <c r="AF170" s="16">
        <v>17.36</v>
      </c>
      <c r="AG170" s="16">
        <v>64.97</v>
      </c>
      <c r="AH170" s="8">
        <f t="shared" si="52"/>
        <v>0.50853333333333339</v>
      </c>
      <c r="AI170" s="8">
        <f t="shared" si="53"/>
        <v>1.7798666666666667</v>
      </c>
      <c r="AJ170" s="10">
        <v>0.5</v>
      </c>
      <c r="AK170" s="10">
        <v>0.5</v>
      </c>
      <c r="AL170" s="16">
        <v>17.36</v>
      </c>
      <c r="AM170" s="9">
        <f t="shared" si="40"/>
        <v>9.7454999999999998</v>
      </c>
      <c r="AN170" s="9">
        <f t="shared" si="41"/>
        <v>1.9490999999999998</v>
      </c>
      <c r="AO170" s="9">
        <f t="shared" si="42"/>
        <v>12.994</v>
      </c>
      <c r="AP170" s="9">
        <f t="shared" si="43"/>
        <v>1.2994000000000001</v>
      </c>
      <c r="AQ170" s="9">
        <f t="shared" si="44"/>
        <v>12.994</v>
      </c>
      <c r="AR170" s="9">
        <f t="shared" si="45"/>
        <v>16.2425</v>
      </c>
      <c r="AS170" s="11">
        <f t="shared" si="46"/>
        <v>5.0853333333333337</v>
      </c>
      <c r="AT170" s="12">
        <f t="shared" si="47"/>
        <v>2.9196666666666666</v>
      </c>
    </row>
    <row r="171" spans="1:46" ht="16.5" x14ac:dyDescent="0.4">
      <c r="A171" s="4" t="s">
        <v>811</v>
      </c>
      <c r="B171" s="4" t="s">
        <v>513</v>
      </c>
      <c r="C171" s="7" t="s">
        <v>1784</v>
      </c>
      <c r="D171" s="4" t="s">
        <v>812</v>
      </c>
      <c r="E171" s="4" t="s">
        <v>813</v>
      </c>
      <c r="F171" s="4" t="s">
        <v>814</v>
      </c>
      <c r="G171" s="7" t="str">
        <f>VLOOKUP(A171,[1]done!$A:$I,9,0)</f>
        <v>Lawn Fertilizer</v>
      </c>
      <c r="H171" s="7" t="str" cm="1">
        <f t="array" ref="H171">_xlfn.IFS(
OR(ISNUMBER(SEARCH("mouse",E171)),ISNUMBER(SEARCH("rat",E171)),ISNUMBER(SEARCH("mice",E171)),ISNUMBER(SEARCH("rodent",E171))),"Rodent Control",
OR(ISNUMBER(SEARCH("fly",E171)),ISNUMBER(SEARCH("gnat",E171)),ISNUMBER(SEARCH("insect",E171)),ISNUMBER(SEARCH("mosquito",E171))),"Flying Insect Control",
OR(ISNUMBER(SEARCH("roach",E171)),ISNUMBER(SEARCH("ant",E171)),ISNUMBER(SEARCH("spider",E171)),ISNUMBER(SEARCH("cricket",E171)),ISNUMBER(SEARCH("scorpion",E171)),ISNUMBER(SEARCH("centipede",E171)),ISNUMBER(SEARCH("beetle",E171))),"Crawling Insect Control",
OR(ISNUMBER(SEARCH("tree",E171)),ISNUMBER(SEARCH("lantern",E171)),ISNUMBER(SEARCH("garden",E171)),ISNUMBER(SEARCH("plant",E171))),"Garden Pest Control",
OR(ISNUMBER(SEARCH("grass seed",E171)),ISNUMBER(SEARCH("seed mix",E171))),"Grass Seed",
OR(ISNUMBER(SEARCH("lawn food",E171)),ISNUMBER(SEARCH("fertilizer",E171))),"Lawn Fertilizer",
OR(ISNUMBER(SEARCH("patch",E171)),ISNUMBER(SEARCH("repair",E171)),ISNUMBER(SEARCH("thick'r",E171)),ISNUMBER(SEARCH("thick'r lawn",E171)),ISNUMBER(SEARCH("rapid grass",E171))),"Lawn Repair",
OR(ISNUMBER(SEARCH("weed",E171)),ISNUMBER(SEARCH("crabgrass",E171))),"Weed Control",
OR(ISNUMBER(SEARCH("fungicide",E171)),ISNUMBER(SEARCH("moss",E171))),"Disease &amp; Moss Control",
OR(ISNUMBER(SEARCH("plant food",E171)),ISNUMBER(SEARCH("miracid",E171))),"Plant Nutrition",
OR(ISNUMBER(SEARCH("perlite",E171))),"Soil Amendment",
OR(ISNUMBER(SEARCH("spreader",E171)),ISNUMBER(SEARCH("sprayer",E171)),ISNUMBER(SEARCH("mower",E171)),ISNUMBER(SEARCH("sweeper",E171)),ISNUMBER(SEARCH("pruner",E171)),ISNUMBER(SEARCH("trimmer",E171)),ISNUMBER(SEARCH("pole saw",E171))),"Garden Equipment",
TRUE,"Other"
)</f>
        <v>Lawn Repair</v>
      </c>
      <c r="I171" s="7" t="str" cm="1">
        <f t="array" ref="I171">_xlfn.IFS(
OR(ISNUMBER(SEARCH("glue trap",E171)),ISNUMBER(SEARCH("glue board",E171))),"Glue Traps",
OR(ISNUMBER(SEARCH("snap trap",E171)),ISNUMBER(SEARCH("power-kill",E171)),ISNUMBER(SEARCH("wide pedal",E171)),ISNUMBER(SEARCH("metal pedal",E171))),"Snap Traps",
OR(ISNUMBER(SEARCH("electronic",E171)),ISNUMBER(SEARCH("zapper",E171))),"Electronic Traps",
OR(ISNUMBER(SEARCH("live catch",E171)),ISNUMBER(SEARCH("multi-catch",E171)),ISNUMBER(SEARCH("catch &amp; hold",E171)),ISNUMBER(SEARCH("tin cat",E171))),"Live Catch Traps",
OR(ISNUMBER(SEARCH("bait",E171)),ISNUMBER(SEARCH("poison",E171))),"Bait &amp; Poison",
ISNUMBER(SEARCH("repellent",E171)),"Repellents",
OR(ISNUMBER(SEARCH("fly trap",E171)),ISNUMBER(SEARCH("fly ribbon",E171)),ISNUMBER(SEARCH("fly stick",E171)),ISNUMBER(SEARCH("window fly",E171)),ISNUMBER(SEARCH("fly magnet",E171))),"Fly Traps",
OR(ISNUMBER(SEARCH("uv",E171)),ISNUMBER(SEARCH("fly light",E171)),ISNUMBER(SEARCH("plug-in",E171))),"UV Fly Traps",
ISNUMBER(SEARCH("roach",E171)),"Roach Traps",
ISNUMBER(SEARCH("ant",E171)),"Ant Traps",
ISNUMBER(SEARCH("spider",E171)),"Spider Traps",
ISNUMBER(SEARCH("mosquito",E171)),"Mosquito Traps",
ISNUMBER(SEARCH("beetle",E171)),"Beetle Traps",
ISNUMBER(SEARCH("lantern",E171)),"Lanternfly Control",
OR(ISNUMBER(SEARCH("tree shield",E171)),ISNUMBER(SEARCH("tree banding",E171)),ISNUMBER(SEARCH("insect barrier",E171))),"Tree Barriers",
OR(ISNUMBER(SEARCH("sun &amp; shade",E171)),ISNUMBER(SEARCH("sun and shade",E171))),"Sun &amp; Shade Mix",
ISNUMBER(SEARCH("tall fescue",E171)),"Tall Fescue",
ISNUMBER(SEARCH("bermudagrass",E171)),"Bermudagrass",
ISNUMBER(SEARCH("kentucky",E171)),"Kentucky Bluegrass",
ISNUMBER(SEARCH("zoysia",E171)),"Zoysia",
ISNUMBER(SEARCH("ryegrass",E171)),"Perennial Ryegrass",
ISNUMBER(SEARCH("centipede",E171)),"Centipede Grass",
ISNUMBER(SEARCH("dense shade",E171)),"Dense Shade Mix",
ISNUMBER(SEARCH("southern gold",E171)),"Southern Gold Mix",
ISNUMBER(SEARCH("heat-tolerant blue",E171)),"Heat-Tolerant Blue Mix",
ISNUMBER(SEARCH("high traffic",E171)),"High Traffic Mix",
ISNUMBER(SEARCH("quick fix",E171)),"Quick Fix Mix",
ISNUMBER(SEARCH("starter",E171)),"Starter Fertilizer",
ISNUMBER(SEARCH("weed &amp; feed",E171)),"Weed &amp; Feed",
ISNUMBER(SEARCH("lawn food",E171)),"Lawn Food",
ISNUMBER(SEARCH("triple action",E171)),"Triple Action Fertilizer",
ISNUMBER(SEARCH("green max",E171)),"Green Max Lawn Food",
ISNUMBER(SEARCH("patchmaster",E171)),"PatchMaster Repair",
ISNUMBER(SEARCH("ez seed",E171)),"EZ Seed Repair",
ISNUMBER(SEARCH("rapid grass",E171)),"Rapid Grass",
ISNUMBER(SEARCH("thick'r lawn",E171)),"Thick'R Lawn",
ISNUMBER(SEARCH("fungicide",E171)),"Fungicide",
ISNUMBER(SEARCH("moss",E171)),"Moss Control",
ISNUMBER(SEARCH("perlite",E171)),"Perlite",
ISNUMBER(SEARCH("plant food",E171)),"Plant Food",
ISNUMBER(SEARCH("spreader",E171)),"Spreader",
ISNUMBER(SEARCH("sprayer",E171)),"Sprayer",
ISNUMBER(SEARCH("mower",E171)),"Lawn Mower",
ISNUMBER(SEARCH("sweeper",E171)),"Lawn Sweeper",
OR(ISNUMBER(SEARCH("pruner",E171)),ISNUMBER(SEARCH("trimmer",E171)),ISNUMBER(SEARCH("pole saw",E171))),"Pruning Tools",
TRUE,"Other"
)</f>
        <v>Sun &amp; Shade Mix</v>
      </c>
      <c r="J171" s="7" t="str">
        <f t="shared" si="38"/>
        <v>Lawn Repair - Sun &amp; Shade Mix</v>
      </c>
      <c r="K171" s="4">
        <v>500</v>
      </c>
      <c r="L171" s="4">
        <v>4.2</v>
      </c>
      <c r="M171" s="4">
        <v>9557</v>
      </c>
      <c r="N171" s="4" t="s">
        <v>815</v>
      </c>
      <c r="O171" s="4">
        <f>VLOOKUP(A171,[3]Sheet1!$A:$B,2,0)</f>
        <v>100</v>
      </c>
      <c r="P171" s="4">
        <f>VLOOKUP(A171,[3]Sheet1!$A:$C,3,0)</f>
        <v>100</v>
      </c>
      <c r="Q171" s="4">
        <f>VLOOKUP(A171,[3]Sheet1!$A:$D,4,0)</f>
        <v>1000</v>
      </c>
      <c r="R171" s="4">
        <f>VLOOKUP(A171,[3]Sheet1!$A:$E,5,0)</f>
        <v>3000</v>
      </c>
      <c r="S171" s="4">
        <f>VLOOKUP(A171,[3]Sheet1!$A:$F,6,0)</f>
        <v>2000</v>
      </c>
      <c r="T171" s="4">
        <f>VLOOKUP(A171,[3]Sheet1!$A:$G,7,0)</f>
        <v>1000</v>
      </c>
      <c r="U171" s="4">
        <f>VLOOKUP(A171,[3]Sheet1!$A:$I,8,0)</f>
        <v>1000</v>
      </c>
      <c r="V171" s="4">
        <f>VLOOKUP(A171,[3]Sheet1!$A:$J,9,0)</f>
        <v>500</v>
      </c>
      <c r="W171" s="4">
        <f>VLOOKUP(A171,[3]Sheet1!$A:$J,10,0)</f>
        <v>500</v>
      </c>
      <c r="X171" s="4">
        <f>VLOOKUP(A171,[3]Sheet1!$A:$K,11,0)</f>
        <v>600</v>
      </c>
      <c r="Y171" s="4">
        <f>VLOOKUP(A171,[3]Sheet1!$A:$L,12,0)</f>
        <v>200</v>
      </c>
      <c r="Z171" s="4">
        <f>VLOOKUP(A171,[3]Sheet1!$A:$M,13,0)</f>
        <v>100</v>
      </c>
      <c r="AA171" s="4">
        <f t="shared" si="48"/>
        <v>10100</v>
      </c>
      <c r="AB171" s="7">
        <f t="shared" si="39"/>
        <v>842</v>
      </c>
      <c r="AC171" s="15">
        <f t="shared" si="49"/>
        <v>841.66666666666663</v>
      </c>
      <c r="AD171" s="16">
        <f t="shared" si="50"/>
        <v>706798</v>
      </c>
      <c r="AE171" s="16">
        <f t="shared" si="51"/>
        <v>58899.833333333336</v>
      </c>
      <c r="AF171" s="16">
        <v>15.79</v>
      </c>
      <c r="AG171" s="16">
        <v>69.98</v>
      </c>
      <c r="AH171" s="8">
        <f t="shared" si="52"/>
        <v>0.74679999999999991</v>
      </c>
      <c r="AI171" s="8">
        <f t="shared" si="53"/>
        <v>2.6137999999999995</v>
      </c>
      <c r="AJ171" s="10">
        <v>0.5</v>
      </c>
      <c r="AK171" s="10">
        <v>0.5</v>
      </c>
      <c r="AL171" s="16">
        <v>15.79</v>
      </c>
      <c r="AM171" s="9">
        <f t="shared" si="40"/>
        <v>10.497</v>
      </c>
      <c r="AN171" s="9">
        <f t="shared" si="41"/>
        <v>2.0994000000000002</v>
      </c>
      <c r="AO171" s="9">
        <f t="shared" si="42"/>
        <v>13.996000000000002</v>
      </c>
      <c r="AP171" s="9">
        <f t="shared" si="43"/>
        <v>1.3996000000000002</v>
      </c>
      <c r="AQ171" s="9">
        <f t="shared" si="44"/>
        <v>13.996000000000002</v>
      </c>
      <c r="AR171" s="9">
        <f t="shared" si="45"/>
        <v>17.495000000000001</v>
      </c>
      <c r="AS171" s="11">
        <f t="shared" si="46"/>
        <v>7.4679999999999991</v>
      </c>
      <c r="AT171" s="12">
        <f t="shared" si="47"/>
        <v>5.1353333333333326</v>
      </c>
    </row>
    <row r="172" spans="1:46" ht="16.5" x14ac:dyDescent="0.4">
      <c r="A172" s="4" t="s">
        <v>816</v>
      </c>
      <c r="B172" s="4" t="s">
        <v>513</v>
      </c>
      <c r="C172" s="7" t="s">
        <v>1789</v>
      </c>
      <c r="D172" s="4" t="s">
        <v>817</v>
      </c>
      <c r="E172" s="4" t="s">
        <v>818</v>
      </c>
      <c r="F172" s="4" t="s">
        <v>819</v>
      </c>
      <c r="G172" s="7" t="str">
        <f>VLOOKUP(A172,[1]done!$A:$I,9,0)</f>
        <v>Lawn Fertilizer</v>
      </c>
      <c r="H172" s="7" t="str" cm="1">
        <f t="array" ref="H172">_xlfn.IFS(
OR(ISNUMBER(SEARCH("mouse",E172)),ISNUMBER(SEARCH("rat",E172)),ISNUMBER(SEARCH("mice",E172)),ISNUMBER(SEARCH("rodent",E172))),"Rodent Control",
OR(ISNUMBER(SEARCH("fly",E172)),ISNUMBER(SEARCH("gnat",E172)),ISNUMBER(SEARCH("insect",E172)),ISNUMBER(SEARCH("mosquito",E172))),"Flying Insect Control",
OR(ISNUMBER(SEARCH("roach",E172)),ISNUMBER(SEARCH("ant",E172)),ISNUMBER(SEARCH("spider",E172)),ISNUMBER(SEARCH("cricket",E172)),ISNUMBER(SEARCH("scorpion",E172)),ISNUMBER(SEARCH("centipede",E172)),ISNUMBER(SEARCH("beetle",E172))),"Crawling Insect Control",
OR(ISNUMBER(SEARCH("tree",E172)),ISNUMBER(SEARCH("lantern",E172)),ISNUMBER(SEARCH("garden",E172)),ISNUMBER(SEARCH("plant",E172))),"Garden Pest Control",
OR(ISNUMBER(SEARCH("grass seed",E172)),ISNUMBER(SEARCH("seed mix",E172))),"Grass Seed",
OR(ISNUMBER(SEARCH("lawn food",E172)),ISNUMBER(SEARCH("fertilizer",E172))),"Lawn Fertilizer",
OR(ISNUMBER(SEARCH("patch",E172)),ISNUMBER(SEARCH("repair",E172)),ISNUMBER(SEARCH("thick'r",E172)),ISNUMBER(SEARCH("thick'r lawn",E172)),ISNUMBER(SEARCH("rapid grass",E172))),"Lawn Repair",
OR(ISNUMBER(SEARCH("weed",E172)),ISNUMBER(SEARCH("crabgrass",E172))),"Weed Control",
OR(ISNUMBER(SEARCH("fungicide",E172)),ISNUMBER(SEARCH("moss",E172))),"Disease &amp; Moss Control",
OR(ISNUMBER(SEARCH("plant food",E172)),ISNUMBER(SEARCH("miracid",E172))),"Plant Nutrition",
OR(ISNUMBER(SEARCH("perlite",E172))),"Soil Amendment",
OR(ISNUMBER(SEARCH("spreader",E172)),ISNUMBER(SEARCH("sprayer",E172)),ISNUMBER(SEARCH("mower",E172)),ISNUMBER(SEARCH("sweeper",E172)),ISNUMBER(SEARCH("pruner",E172)),ISNUMBER(SEARCH("trimmer",E172)),ISNUMBER(SEARCH("pole saw",E172))),"Garden Equipment",
TRUE,"Other"
)</f>
        <v>Lawn Repair</v>
      </c>
      <c r="I172" s="7" t="str" cm="1">
        <f t="array" ref="I172">_xlfn.IFS(
OR(ISNUMBER(SEARCH("glue trap",E172)),ISNUMBER(SEARCH("glue board",E172))),"Glue Traps",
OR(ISNUMBER(SEARCH("snap trap",E172)),ISNUMBER(SEARCH("power-kill",E172)),ISNUMBER(SEARCH("wide pedal",E172)),ISNUMBER(SEARCH("metal pedal",E172))),"Snap Traps",
OR(ISNUMBER(SEARCH("electronic",E172)),ISNUMBER(SEARCH("zapper",E172))),"Electronic Traps",
OR(ISNUMBER(SEARCH("live catch",E172)),ISNUMBER(SEARCH("multi-catch",E172)),ISNUMBER(SEARCH("catch &amp; hold",E172)),ISNUMBER(SEARCH("tin cat",E172))),"Live Catch Traps",
OR(ISNUMBER(SEARCH("bait",E172)),ISNUMBER(SEARCH("poison",E172))),"Bait &amp; Poison",
ISNUMBER(SEARCH("repellent",E172)),"Repellents",
OR(ISNUMBER(SEARCH("fly trap",E172)),ISNUMBER(SEARCH("fly ribbon",E172)),ISNUMBER(SEARCH("fly stick",E172)),ISNUMBER(SEARCH("window fly",E172)),ISNUMBER(SEARCH("fly magnet",E172))),"Fly Traps",
OR(ISNUMBER(SEARCH("uv",E172)),ISNUMBER(SEARCH("fly light",E172)),ISNUMBER(SEARCH("plug-in",E172))),"UV Fly Traps",
ISNUMBER(SEARCH("roach",E172)),"Roach Traps",
ISNUMBER(SEARCH("ant",E172)),"Ant Traps",
ISNUMBER(SEARCH("spider",E172)),"Spider Traps",
ISNUMBER(SEARCH("mosquito",E172)),"Mosquito Traps",
ISNUMBER(SEARCH("beetle",E172)),"Beetle Traps",
ISNUMBER(SEARCH("lantern",E172)),"Lanternfly Control",
OR(ISNUMBER(SEARCH("tree shield",E172)),ISNUMBER(SEARCH("tree banding",E172)),ISNUMBER(SEARCH("insect barrier",E172))),"Tree Barriers",
OR(ISNUMBER(SEARCH("sun &amp; shade",E172)),ISNUMBER(SEARCH("sun and shade",E172))),"Sun &amp; Shade Mix",
ISNUMBER(SEARCH("tall fescue",E172)),"Tall Fescue",
ISNUMBER(SEARCH("bermudagrass",E172)),"Bermudagrass",
ISNUMBER(SEARCH("kentucky",E172)),"Kentucky Bluegrass",
ISNUMBER(SEARCH("zoysia",E172)),"Zoysia",
ISNUMBER(SEARCH("ryegrass",E172)),"Perennial Ryegrass",
ISNUMBER(SEARCH("centipede",E172)),"Centipede Grass",
ISNUMBER(SEARCH("dense shade",E172)),"Dense Shade Mix",
ISNUMBER(SEARCH("southern gold",E172)),"Southern Gold Mix",
ISNUMBER(SEARCH("heat-tolerant blue",E172)),"Heat-Tolerant Blue Mix",
ISNUMBER(SEARCH("high traffic",E172)),"High Traffic Mix",
ISNUMBER(SEARCH("quick fix",E172)),"Quick Fix Mix",
ISNUMBER(SEARCH("starter",E172)),"Starter Fertilizer",
ISNUMBER(SEARCH("weed &amp; feed",E172)),"Weed &amp; Feed",
ISNUMBER(SEARCH("lawn food",E172)),"Lawn Food",
ISNUMBER(SEARCH("triple action",E172)),"Triple Action Fertilizer",
ISNUMBER(SEARCH("green max",E172)),"Green Max Lawn Food",
ISNUMBER(SEARCH("patchmaster",E172)),"PatchMaster Repair",
ISNUMBER(SEARCH("ez seed",E172)),"EZ Seed Repair",
ISNUMBER(SEARCH("rapid grass",E172)),"Rapid Grass",
ISNUMBER(SEARCH("thick'r lawn",E172)),"Thick'R Lawn",
ISNUMBER(SEARCH("fungicide",E172)),"Fungicide",
ISNUMBER(SEARCH("moss",E172)),"Moss Control",
ISNUMBER(SEARCH("perlite",E172)),"Perlite",
ISNUMBER(SEARCH("plant food",E172)),"Plant Food",
ISNUMBER(SEARCH("spreader",E172)),"Spreader",
ISNUMBER(SEARCH("sprayer",E172)),"Sprayer",
ISNUMBER(SEARCH("mower",E172)),"Lawn Mower",
ISNUMBER(SEARCH("sweeper",E172)),"Lawn Sweeper",
OR(ISNUMBER(SEARCH("pruner",E172)),ISNUMBER(SEARCH("trimmer",E172)),ISNUMBER(SEARCH("pole saw",E172))),"Pruning Tools",
TRUE,"Other"
)</f>
        <v>Bermudagrass</v>
      </c>
      <c r="J172" s="7" t="str">
        <f t="shared" si="38"/>
        <v>Lawn Repair - Bermudagrass</v>
      </c>
      <c r="K172" s="4">
        <v>500</v>
      </c>
      <c r="L172" s="4">
        <v>3.9</v>
      </c>
      <c r="M172" s="4">
        <v>2018</v>
      </c>
      <c r="N172" s="4" t="s">
        <v>731</v>
      </c>
      <c r="O172" s="4">
        <f>VLOOKUP(A172,[3]Sheet1!$A:$B,2,0)</f>
        <v>0</v>
      </c>
      <c r="P172" s="4">
        <f>VLOOKUP(A172,[3]Sheet1!$A:$C,3,0)</f>
        <v>0</v>
      </c>
      <c r="Q172" s="4">
        <f>VLOOKUP(A172,[3]Sheet1!$A:$D,4,0)</f>
        <v>200</v>
      </c>
      <c r="R172" s="4">
        <f>VLOOKUP(A172,[3]Sheet1!$A:$E,5,0)</f>
        <v>200</v>
      </c>
      <c r="S172" s="4">
        <f>VLOOKUP(A172,[3]Sheet1!$A:$F,6,0)</f>
        <v>500</v>
      </c>
      <c r="T172" s="4">
        <f>VLOOKUP(A172,[3]Sheet1!$A:$G,7,0)</f>
        <v>600</v>
      </c>
      <c r="U172" s="4">
        <f>VLOOKUP(A172,[3]Sheet1!$A:$I,8,0)</f>
        <v>50</v>
      </c>
      <c r="V172" s="4">
        <f>VLOOKUP(A172,[3]Sheet1!$A:$J,9,0)</f>
        <v>0</v>
      </c>
      <c r="W172" s="4">
        <f>VLOOKUP(A172,[3]Sheet1!$A:$J,10,0)</f>
        <v>500</v>
      </c>
      <c r="X172" s="4">
        <f>VLOOKUP(A172,[3]Sheet1!$A:$K,11,0)</f>
        <v>100</v>
      </c>
      <c r="Y172" s="4">
        <f>VLOOKUP(A172,[3]Sheet1!$A:$L,12,0)</f>
        <v>50</v>
      </c>
      <c r="Z172" s="4">
        <f>VLOOKUP(A172,[3]Sheet1!$A:$M,13,0)</f>
        <v>0</v>
      </c>
      <c r="AA172" s="4">
        <f t="shared" si="48"/>
        <v>2200</v>
      </c>
      <c r="AB172" s="7">
        <f t="shared" si="39"/>
        <v>183</v>
      </c>
      <c r="AC172" s="15">
        <f t="shared" si="49"/>
        <v>183.33333333333334</v>
      </c>
      <c r="AD172" s="16">
        <f t="shared" si="50"/>
        <v>170478</v>
      </c>
      <c r="AE172" s="16">
        <f t="shared" si="51"/>
        <v>14206.5</v>
      </c>
      <c r="AF172" s="16">
        <v>17.649999999999999</v>
      </c>
      <c r="AG172" s="16">
        <v>77.489999999999995</v>
      </c>
      <c r="AH172" s="8">
        <f t="shared" si="52"/>
        <v>0.82306666666666628</v>
      </c>
      <c r="AI172" s="8">
        <f t="shared" si="53"/>
        <v>2.8807333333333318</v>
      </c>
      <c r="AJ172" s="10">
        <v>0.5</v>
      </c>
      <c r="AK172" s="10">
        <v>0.5</v>
      </c>
      <c r="AL172" s="16">
        <v>17.649999999999999</v>
      </c>
      <c r="AM172" s="9">
        <f t="shared" si="40"/>
        <v>11.623499999999998</v>
      </c>
      <c r="AN172" s="9">
        <f t="shared" si="41"/>
        <v>2.3246999999999995</v>
      </c>
      <c r="AO172" s="9">
        <f t="shared" si="42"/>
        <v>15.497999999999999</v>
      </c>
      <c r="AP172" s="9">
        <f t="shared" si="43"/>
        <v>1.5497999999999998</v>
      </c>
      <c r="AQ172" s="9">
        <f t="shared" si="44"/>
        <v>15.497999999999999</v>
      </c>
      <c r="AR172" s="9">
        <f t="shared" si="45"/>
        <v>19.372499999999999</v>
      </c>
      <c r="AS172" s="11">
        <f t="shared" si="46"/>
        <v>8.2306666666666626</v>
      </c>
      <c r="AT172" s="12">
        <f t="shared" si="47"/>
        <v>5.6476666666666633</v>
      </c>
    </row>
    <row r="173" spans="1:46" ht="16.5" x14ac:dyDescent="0.4">
      <c r="A173" s="4" t="s">
        <v>820</v>
      </c>
      <c r="B173" s="4" t="s">
        <v>513</v>
      </c>
      <c r="C173" s="7" t="s">
        <v>1784</v>
      </c>
      <c r="D173" s="4" t="s">
        <v>821</v>
      </c>
      <c r="E173" s="4" t="s">
        <v>822</v>
      </c>
      <c r="F173" s="4" t="s">
        <v>823</v>
      </c>
      <c r="G173" s="7" t="str">
        <f>VLOOKUP(A173,[1]done!$A:$I,9,0)</f>
        <v>Grass Seed</v>
      </c>
      <c r="H173" s="7" t="str" cm="1">
        <f t="array" ref="H173">_xlfn.IFS(
OR(ISNUMBER(SEARCH("mouse",E173)),ISNUMBER(SEARCH("rat",E173)),ISNUMBER(SEARCH("mice",E173)),ISNUMBER(SEARCH("rodent",E173))),"Rodent Control",
OR(ISNUMBER(SEARCH("fly",E173)),ISNUMBER(SEARCH("gnat",E173)),ISNUMBER(SEARCH("insect",E173)),ISNUMBER(SEARCH("mosquito",E173))),"Flying Insect Control",
OR(ISNUMBER(SEARCH("roach",E173)),ISNUMBER(SEARCH("ant",E173)),ISNUMBER(SEARCH("spider",E173)),ISNUMBER(SEARCH("cricket",E173)),ISNUMBER(SEARCH("scorpion",E173)),ISNUMBER(SEARCH("centipede",E173)),ISNUMBER(SEARCH("beetle",E173))),"Crawling Insect Control",
OR(ISNUMBER(SEARCH("tree",E173)),ISNUMBER(SEARCH("lantern",E173)),ISNUMBER(SEARCH("garden",E173)),ISNUMBER(SEARCH("plant",E173))),"Garden Pest Control",
OR(ISNUMBER(SEARCH("grass seed",E173)),ISNUMBER(SEARCH("seed mix",E173))),"Grass Seed",
OR(ISNUMBER(SEARCH("lawn food",E173)),ISNUMBER(SEARCH("fertilizer",E173))),"Lawn Fertilizer",
OR(ISNUMBER(SEARCH("patch",E173)),ISNUMBER(SEARCH("repair",E173)),ISNUMBER(SEARCH("thick'r",E173)),ISNUMBER(SEARCH("thick'r lawn",E173)),ISNUMBER(SEARCH("rapid grass",E173))),"Lawn Repair",
OR(ISNUMBER(SEARCH("weed",E173)),ISNUMBER(SEARCH("crabgrass",E173))),"Weed Control",
OR(ISNUMBER(SEARCH("fungicide",E173)),ISNUMBER(SEARCH("moss",E173))),"Disease &amp; Moss Control",
OR(ISNUMBER(SEARCH("plant food",E173)),ISNUMBER(SEARCH("miracid",E173))),"Plant Nutrition",
OR(ISNUMBER(SEARCH("perlite",E173))),"Soil Amendment",
OR(ISNUMBER(SEARCH("spreader",E173)),ISNUMBER(SEARCH("sprayer",E173)),ISNUMBER(SEARCH("mower",E173)),ISNUMBER(SEARCH("sweeper",E173)),ISNUMBER(SEARCH("pruner",E173)),ISNUMBER(SEARCH("trimmer",E173)),ISNUMBER(SEARCH("pole saw",E173))),"Garden Equipment",
TRUE,"Other"
)</f>
        <v>Grass Seed</v>
      </c>
      <c r="I173" s="7" t="str" cm="1">
        <f t="array" ref="I173">_xlfn.IFS(
OR(ISNUMBER(SEARCH("glue trap",E173)),ISNUMBER(SEARCH("glue board",E173))),"Glue Traps",
OR(ISNUMBER(SEARCH("snap trap",E173)),ISNUMBER(SEARCH("power-kill",E173)),ISNUMBER(SEARCH("wide pedal",E173)),ISNUMBER(SEARCH("metal pedal",E173))),"Snap Traps",
OR(ISNUMBER(SEARCH("electronic",E173)),ISNUMBER(SEARCH("zapper",E173))),"Electronic Traps",
OR(ISNUMBER(SEARCH("live catch",E173)),ISNUMBER(SEARCH("multi-catch",E173)),ISNUMBER(SEARCH("catch &amp; hold",E173)),ISNUMBER(SEARCH("tin cat",E173))),"Live Catch Traps",
OR(ISNUMBER(SEARCH("bait",E173)),ISNUMBER(SEARCH("poison",E173))),"Bait &amp; Poison",
ISNUMBER(SEARCH("repellent",E173)),"Repellents",
OR(ISNUMBER(SEARCH("fly trap",E173)),ISNUMBER(SEARCH("fly ribbon",E173)),ISNUMBER(SEARCH("fly stick",E173)),ISNUMBER(SEARCH("window fly",E173)),ISNUMBER(SEARCH("fly magnet",E173))),"Fly Traps",
OR(ISNUMBER(SEARCH("uv",E173)),ISNUMBER(SEARCH("fly light",E173)),ISNUMBER(SEARCH("plug-in",E173))),"UV Fly Traps",
ISNUMBER(SEARCH("roach",E173)),"Roach Traps",
ISNUMBER(SEARCH("ant",E173)),"Ant Traps",
ISNUMBER(SEARCH("spider",E173)),"Spider Traps",
ISNUMBER(SEARCH("mosquito",E173)),"Mosquito Traps",
ISNUMBER(SEARCH("beetle",E173)),"Beetle Traps",
ISNUMBER(SEARCH("lantern",E173)),"Lanternfly Control",
OR(ISNUMBER(SEARCH("tree shield",E173)),ISNUMBER(SEARCH("tree banding",E173)),ISNUMBER(SEARCH("insect barrier",E173))),"Tree Barriers",
OR(ISNUMBER(SEARCH("sun &amp; shade",E173)),ISNUMBER(SEARCH("sun and shade",E173))),"Sun &amp; Shade Mix",
ISNUMBER(SEARCH("tall fescue",E173)),"Tall Fescue",
ISNUMBER(SEARCH("bermudagrass",E173)),"Bermudagrass",
ISNUMBER(SEARCH("kentucky",E173)),"Kentucky Bluegrass",
ISNUMBER(SEARCH("zoysia",E173)),"Zoysia",
ISNUMBER(SEARCH("ryegrass",E173)),"Perennial Ryegrass",
ISNUMBER(SEARCH("centipede",E173)),"Centipede Grass",
ISNUMBER(SEARCH("dense shade",E173)),"Dense Shade Mix",
ISNUMBER(SEARCH("southern gold",E173)),"Southern Gold Mix",
ISNUMBER(SEARCH("heat-tolerant blue",E173)),"Heat-Tolerant Blue Mix",
ISNUMBER(SEARCH("high traffic",E173)),"High Traffic Mix",
ISNUMBER(SEARCH("quick fix",E173)),"Quick Fix Mix",
ISNUMBER(SEARCH("starter",E173)),"Starter Fertilizer",
ISNUMBER(SEARCH("weed &amp; feed",E173)),"Weed &amp; Feed",
ISNUMBER(SEARCH("lawn food",E173)),"Lawn Food",
ISNUMBER(SEARCH("triple action",E173)),"Triple Action Fertilizer",
ISNUMBER(SEARCH("green max",E173)),"Green Max Lawn Food",
ISNUMBER(SEARCH("patchmaster",E173)),"PatchMaster Repair",
ISNUMBER(SEARCH("ez seed",E173)),"EZ Seed Repair",
ISNUMBER(SEARCH("rapid grass",E173)),"Rapid Grass",
ISNUMBER(SEARCH("thick'r lawn",E173)),"Thick'R Lawn",
ISNUMBER(SEARCH("fungicide",E173)),"Fungicide",
ISNUMBER(SEARCH("moss",E173)),"Moss Control",
ISNUMBER(SEARCH("perlite",E173)),"Perlite",
ISNUMBER(SEARCH("plant food",E173)),"Plant Food",
ISNUMBER(SEARCH("spreader",E173)),"Spreader",
ISNUMBER(SEARCH("sprayer",E173)),"Sprayer",
ISNUMBER(SEARCH("mower",E173)),"Lawn Mower",
ISNUMBER(SEARCH("sweeper",E173)),"Lawn Sweeper",
OR(ISNUMBER(SEARCH("pruner",E173)),ISNUMBER(SEARCH("trimmer",E173)),ISNUMBER(SEARCH("pole saw",E173))),"Pruning Tools",
TRUE,"Other"
)</f>
        <v>Zoysia</v>
      </c>
      <c r="J173" s="7" t="str">
        <f t="shared" si="38"/>
        <v>Grass Seed - Zoysia</v>
      </c>
      <c r="K173" s="4">
        <v>500</v>
      </c>
      <c r="L173" s="4">
        <v>3.6</v>
      </c>
      <c r="M173" s="4">
        <v>3674</v>
      </c>
      <c r="N173" s="4" t="s">
        <v>824</v>
      </c>
      <c r="O173" s="4">
        <f>VLOOKUP(A173,[3]Sheet1!$A:$B,2,0)</f>
        <v>100</v>
      </c>
      <c r="P173" s="4">
        <f>VLOOKUP(A173,[3]Sheet1!$A:$C,3,0)</f>
        <v>100</v>
      </c>
      <c r="Q173" s="4">
        <f>VLOOKUP(A173,[3]Sheet1!$A:$D,4,0)</f>
        <v>900</v>
      </c>
      <c r="R173" s="4">
        <f>VLOOKUP(A173,[3]Sheet1!$A:$E,5,0)</f>
        <v>1000</v>
      </c>
      <c r="S173" s="4">
        <f>VLOOKUP(A173,[3]Sheet1!$A:$F,6,0)</f>
        <v>1000</v>
      </c>
      <c r="T173" s="4">
        <f>VLOOKUP(A173,[3]Sheet1!$A:$G,7,0)</f>
        <v>1000</v>
      </c>
      <c r="U173" s="4">
        <f>VLOOKUP(A173,[3]Sheet1!$A:$I,8,0)</f>
        <v>600</v>
      </c>
      <c r="V173" s="4">
        <f>VLOOKUP(A173,[3]Sheet1!$A:$J,9,0)</f>
        <v>600</v>
      </c>
      <c r="W173" s="4">
        <f>VLOOKUP(A173,[3]Sheet1!$A:$J,10,0)</f>
        <v>500</v>
      </c>
      <c r="X173" s="4">
        <f>VLOOKUP(A173,[3]Sheet1!$A:$K,11,0)</f>
        <v>600</v>
      </c>
      <c r="Y173" s="4">
        <f>VLOOKUP(A173,[3]Sheet1!$A:$L,12,0)</f>
        <v>200</v>
      </c>
      <c r="Z173" s="4">
        <f>VLOOKUP(A173,[3]Sheet1!$A:$M,13,0)</f>
        <v>100</v>
      </c>
      <c r="AA173" s="4">
        <f t="shared" si="48"/>
        <v>6700</v>
      </c>
      <c r="AB173" s="7">
        <f t="shared" si="39"/>
        <v>558</v>
      </c>
      <c r="AC173" s="15">
        <f t="shared" si="49"/>
        <v>558.33333333333337</v>
      </c>
      <c r="AD173" s="16">
        <f t="shared" si="50"/>
        <v>347328</v>
      </c>
      <c r="AE173" s="16">
        <f t="shared" si="51"/>
        <v>28944.000000000004</v>
      </c>
      <c r="AF173" s="16">
        <v>8.23</v>
      </c>
      <c r="AG173" s="16">
        <v>51.84</v>
      </c>
      <c r="AH173" s="8">
        <f t="shared" si="52"/>
        <v>0.76706666666666656</v>
      </c>
      <c r="AI173" s="8">
        <f t="shared" si="53"/>
        <v>2.6847333333333325</v>
      </c>
      <c r="AJ173" s="10">
        <v>0.5</v>
      </c>
      <c r="AK173" s="10">
        <v>0.5</v>
      </c>
      <c r="AL173" s="16">
        <v>8.23</v>
      </c>
      <c r="AM173" s="9">
        <f t="shared" si="40"/>
        <v>7.7759999999999998</v>
      </c>
      <c r="AN173" s="9">
        <f t="shared" si="41"/>
        <v>1.5552000000000001</v>
      </c>
      <c r="AO173" s="9">
        <f t="shared" si="42"/>
        <v>10.368000000000002</v>
      </c>
      <c r="AP173" s="9">
        <f t="shared" si="43"/>
        <v>1.0368000000000002</v>
      </c>
      <c r="AQ173" s="9">
        <f t="shared" si="44"/>
        <v>10.368000000000002</v>
      </c>
      <c r="AR173" s="9">
        <f t="shared" si="45"/>
        <v>12.96</v>
      </c>
      <c r="AS173" s="11">
        <f t="shared" si="46"/>
        <v>7.6706666666666647</v>
      </c>
      <c r="AT173" s="12">
        <f t="shared" si="47"/>
        <v>5.942666666666665</v>
      </c>
    </row>
    <row r="174" spans="1:46" ht="16.5" x14ac:dyDescent="0.4">
      <c r="A174" s="4" t="s">
        <v>825</v>
      </c>
      <c r="B174" s="4" t="s">
        <v>513</v>
      </c>
      <c r="C174" s="7" t="s">
        <v>1784</v>
      </c>
      <c r="D174" s="4" t="s">
        <v>826</v>
      </c>
      <c r="E174" s="4" t="s">
        <v>827</v>
      </c>
      <c r="F174" s="4" t="s">
        <v>828</v>
      </c>
      <c r="G174" s="7" t="str">
        <f>VLOOKUP(A174,[1]done!$A:$I,9,0)</f>
        <v>Grass Seed</v>
      </c>
      <c r="H174" s="7" t="str" cm="1">
        <f t="array" ref="H174">_xlfn.IFS(
OR(ISNUMBER(SEARCH("mouse",E174)),ISNUMBER(SEARCH("rat",E174)),ISNUMBER(SEARCH("mice",E174)),ISNUMBER(SEARCH("rodent",E174))),"Rodent Control",
OR(ISNUMBER(SEARCH("fly",E174)),ISNUMBER(SEARCH("gnat",E174)),ISNUMBER(SEARCH("insect",E174)),ISNUMBER(SEARCH("mosquito",E174))),"Flying Insect Control",
OR(ISNUMBER(SEARCH("roach",E174)),ISNUMBER(SEARCH("ant",E174)),ISNUMBER(SEARCH("spider",E174)),ISNUMBER(SEARCH("cricket",E174)),ISNUMBER(SEARCH("scorpion",E174)),ISNUMBER(SEARCH("centipede",E174)),ISNUMBER(SEARCH("beetle",E174))),"Crawling Insect Control",
OR(ISNUMBER(SEARCH("tree",E174)),ISNUMBER(SEARCH("lantern",E174)),ISNUMBER(SEARCH("garden",E174)),ISNUMBER(SEARCH("plant",E174))),"Garden Pest Control",
OR(ISNUMBER(SEARCH("grass seed",E174)),ISNUMBER(SEARCH("seed mix",E174))),"Grass Seed",
OR(ISNUMBER(SEARCH("lawn food",E174)),ISNUMBER(SEARCH("fertilizer",E174))),"Lawn Fertilizer",
OR(ISNUMBER(SEARCH("patch",E174)),ISNUMBER(SEARCH("repair",E174)),ISNUMBER(SEARCH("thick'r",E174)),ISNUMBER(SEARCH("thick'r lawn",E174)),ISNUMBER(SEARCH("rapid grass",E174))),"Lawn Repair",
OR(ISNUMBER(SEARCH("weed",E174)),ISNUMBER(SEARCH("crabgrass",E174))),"Weed Control",
OR(ISNUMBER(SEARCH("fungicide",E174)),ISNUMBER(SEARCH("moss",E174))),"Disease &amp; Moss Control",
OR(ISNUMBER(SEARCH("plant food",E174)),ISNUMBER(SEARCH("miracid",E174))),"Plant Nutrition",
OR(ISNUMBER(SEARCH("perlite",E174))),"Soil Amendment",
OR(ISNUMBER(SEARCH("spreader",E174)),ISNUMBER(SEARCH("sprayer",E174)),ISNUMBER(SEARCH("mower",E174)),ISNUMBER(SEARCH("sweeper",E174)),ISNUMBER(SEARCH("pruner",E174)),ISNUMBER(SEARCH("trimmer",E174)),ISNUMBER(SEARCH("pole saw",E174))),"Garden Equipment",
TRUE,"Other"
)</f>
        <v>Grass Seed</v>
      </c>
      <c r="I174" s="7" t="str" cm="1">
        <f t="array" ref="I174">_xlfn.IFS(
OR(ISNUMBER(SEARCH("glue trap",E174)),ISNUMBER(SEARCH("glue board",E174))),"Glue Traps",
OR(ISNUMBER(SEARCH("snap trap",E174)),ISNUMBER(SEARCH("power-kill",E174)),ISNUMBER(SEARCH("wide pedal",E174)),ISNUMBER(SEARCH("metal pedal",E174))),"Snap Traps",
OR(ISNUMBER(SEARCH("electronic",E174)),ISNUMBER(SEARCH("zapper",E174))),"Electronic Traps",
OR(ISNUMBER(SEARCH("live catch",E174)),ISNUMBER(SEARCH("multi-catch",E174)),ISNUMBER(SEARCH("catch &amp; hold",E174)),ISNUMBER(SEARCH("tin cat",E174))),"Live Catch Traps",
OR(ISNUMBER(SEARCH("bait",E174)),ISNUMBER(SEARCH("poison",E174))),"Bait &amp; Poison",
ISNUMBER(SEARCH("repellent",E174)),"Repellents",
OR(ISNUMBER(SEARCH("fly trap",E174)),ISNUMBER(SEARCH("fly ribbon",E174)),ISNUMBER(SEARCH("fly stick",E174)),ISNUMBER(SEARCH("window fly",E174)),ISNUMBER(SEARCH("fly magnet",E174))),"Fly Traps",
OR(ISNUMBER(SEARCH("uv",E174)),ISNUMBER(SEARCH("fly light",E174)),ISNUMBER(SEARCH("plug-in",E174))),"UV Fly Traps",
ISNUMBER(SEARCH("roach",E174)),"Roach Traps",
ISNUMBER(SEARCH("ant",E174)),"Ant Traps",
ISNUMBER(SEARCH("spider",E174)),"Spider Traps",
ISNUMBER(SEARCH("mosquito",E174)),"Mosquito Traps",
ISNUMBER(SEARCH("beetle",E174)),"Beetle Traps",
ISNUMBER(SEARCH("lantern",E174)),"Lanternfly Control",
OR(ISNUMBER(SEARCH("tree shield",E174)),ISNUMBER(SEARCH("tree banding",E174)),ISNUMBER(SEARCH("insect barrier",E174))),"Tree Barriers",
OR(ISNUMBER(SEARCH("sun &amp; shade",E174)),ISNUMBER(SEARCH("sun and shade",E174))),"Sun &amp; Shade Mix",
ISNUMBER(SEARCH("tall fescue",E174)),"Tall Fescue",
ISNUMBER(SEARCH("bermudagrass",E174)),"Bermudagrass",
ISNUMBER(SEARCH("kentucky",E174)),"Kentucky Bluegrass",
ISNUMBER(SEARCH("zoysia",E174)),"Zoysia",
ISNUMBER(SEARCH("ryegrass",E174)),"Perennial Ryegrass",
ISNUMBER(SEARCH("centipede",E174)),"Centipede Grass",
ISNUMBER(SEARCH("dense shade",E174)),"Dense Shade Mix",
ISNUMBER(SEARCH("southern gold",E174)),"Southern Gold Mix",
ISNUMBER(SEARCH("heat-tolerant blue",E174)),"Heat-Tolerant Blue Mix",
ISNUMBER(SEARCH("high traffic",E174)),"High Traffic Mix",
ISNUMBER(SEARCH("quick fix",E174)),"Quick Fix Mix",
ISNUMBER(SEARCH("starter",E174)),"Starter Fertilizer",
ISNUMBER(SEARCH("weed &amp; feed",E174)),"Weed &amp; Feed",
ISNUMBER(SEARCH("lawn food",E174)),"Lawn Food",
ISNUMBER(SEARCH("triple action",E174)),"Triple Action Fertilizer",
ISNUMBER(SEARCH("green max",E174)),"Green Max Lawn Food",
ISNUMBER(SEARCH("patchmaster",E174)),"PatchMaster Repair",
ISNUMBER(SEARCH("ez seed",E174)),"EZ Seed Repair",
ISNUMBER(SEARCH("rapid grass",E174)),"Rapid Grass",
ISNUMBER(SEARCH("thick'r lawn",E174)),"Thick'R Lawn",
ISNUMBER(SEARCH("fungicide",E174)),"Fungicide",
ISNUMBER(SEARCH("moss",E174)),"Moss Control",
ISNUMBER(SEARCH("perlite",E174)),"Perlite",
ISNUMBER(SEARCH("plant food",E174)),"Plant Food",
ISNUMBER(SEARCH("spreader",E174)),"Spreader",
ISNUMBER(SEARCH("sprayer",E174)),"Sprayer",
ISNUMBER(SEARCH("mower",E174)),"Lawn Mower",
ISNUMBER(SEARCH("sweeper",E174)),"Lawn Sweeper",
OR(ISNUMBER(SEARCH("pruner",E174)),ISNUMBER(SEARCH("trimmer",E174)),ISNUMBER(SEARCH("pole saw",E174))),"Pruning Tools",
TRUE,"Other"
)</f>
        <v>Bermudagrass</v>
      </c>
      <c r="J174" s="7" t="str">
        <f t="shared" si="38"/>
        <v>Grass Seed - Bermudagrass</v>
      </c>
      <c r="K174" s="4">
        <v>500</v>
      </c>
      <c r="L174" s="4">
        <v>4.0999999999999996</v>
      </c>
      <c r="M174" s="4">
        <v>1128</v>
      </c>
      <c r="N174" s="4" t="s">
        <v>829</v>
      </c>
      <c r="O174" s="4">
        <f>VLOOKUP(A174,[3]Sheet1!$A:$B,2,0)</f>
        <v>200</v>
      </c>
      <c r="P174" s="4">
        <f>VLOOKUP(A174,[3]Sheet1!$A:$C,3,0)</f>
        <v>400</v>
      </c>
      <c r="Q174" s="4">
        <f>VLOOKUP(A174,[3]Sheet1!$A:$D,4,0)</f>
        <v>1000</v>
      </c>
      <c r="R174" s="4">
        <f>VLOOKUP(A174,[3]Sheet1!$A:$E,5,0)</f>
        <v>2000</v>
      </c>
      <c r="S174" s="4">
        <f>VLOOKUP(A174,[3]Sheet1!$A:$F,6,0)</f>
        <v>6000</v>
      </c>
      <c r="T174" s="4">
        <f>VLOOKUP(A174,[3]Sheet1!$A:$G,7,0)</f>
        <v>5000</v>
      </c>
      <c r="U174" s="4">
        <f>VLOOKUP(A174,[3]Sheet1!$A:$I,8,0)</f>
        <v>1000</v>
      </c>
      <c r="V174" s="4">
        <f>VLOOKUP(A174,[3]Sheet1!$A:$J,9,0)</f>
        <v>1000</v>
      </c>
      <c r="W174" s="4">
        <f>VLOOKUP(A174,[3]Sheet1!$A:$J,10,0)</f>
        <v>600</v>
      </c>
      <c r="X174" s="4">
        <f>VLOOKUP(A174,[3]Sheet1!$A:$K,11,0)</f>
        <v>800</v>
      </c>
      <c r="Y174" s="4">
        <f>VLOOKUP(A174,[3]Sheet1!$A:$L,12,0)</f>
        <v>400</v>
      </c>
      <c r="Z174" s="4">
        <f>VLOOKUP(A174,[3]Sheet1!$A:$M,13,0)</f>
        <v>200</v>
      </c>
      <c r="AA174" s="4">
        <f t="shared" si="48"/>
        <v>18600</v>
      </c>
      <c r="AB174" s="7">
        <f t="shared" si="39"/>
        <v>1550</v>
      </c>
      <c r="AC174" s="15">
        <f t="shared" si="49"/>
        <v>1550</v>
      </c>
      <c r="AD174" s="16">
        <f t="shared" si="50"/>
        <v>217992</v>
      </c>
      <c r="AE174" s="16">
        <f t="shared" si="51"/>
        <v>18166</v>
      </c>
      <c r="AF174" s="16">
        <v>5.22</v>
      </c>
      <c r="AG174" s="16">
        <v>11.72</v>
      </c>
      <c r="AH174" s="8">
        <f t="shared" si="52"/>
        <v>-0.10213333333333335</v>
      </c>
      <c r="AI174" s="8">
        <f t="shared" si="53"/>
        <v>-0.35746666666666665</v>
      </c>
      <c r="AJ174" s="10">
        <v>0.5</v>
      </c>
      <c r="AK174" s="10">
        <v>0.5</v>
      </c>
      <c r="AL174" s="16">
        <v>5.22</v>
      </c>
      <c r="AM174" s="9">
        <f t="shared" si="40"/>
        <v>1.758</v>
      </c>
      <c r="AN174" s="9">
        <f t="shared" si="41"/>
        <v>0.35160000000000002</v>
      </c>
      <c r="AO174" s="9">
        <f t="shared" si="42"/>
        <v>2.3440000000000003</v>
      </c>
      <c r="AP174" s="9">
        <f t="shared" si="43"/>
        <v>0.23440000000000003</v>
      </c>
      <c r="AQ174" s="9">
        <f t="shared" si="44"/>
        <v>2.3440000000000003</v>
      </c>
      <c r="AR174" s="9">
        <f t="shared" si="45"/>
        <v>2.93</v>
      </c>
      <c r="AS174" s="11">
        <f t="shared" si="46"/>
        <v>-1.0213333333333334</v>
      </c>
      <c r="AT174" s="12">
        <f t="shared" si="47"/>
        <v>-1.4119999999999999</v>
      </c>
    </row>
    <row r="175" spans="1:46" ht="16.5" x14ac:dyDescent="0.4">
      <c r="A175" s="4" t="s">
        <v>830</v>
      </c>
      <c r="B175" s="4" t="s">
        <v>513</v>
      </c>
      <c r="C175" s="7" t="s">
        <v>1784</v>
      </c>
      <c r="D175" s="4" t="s">
        <v>831</v>
      </c>
      <c r="E175" s="4" t="s">
        <v>832</v>
      </c>
      <c r="F175" s="4" t="s">
        <v>833</v>
      </c>
      <c r="G175" s="7" t="str">
        <f>VLOOKUP(A175,[1]done!$A:$I,9,0)</f>
        <v>Lawn Fertilizer</v>
      </c>
      <c r="H175" s="7" t="str" cm="1">
        <f t="array" ref="H175">_xlfn.IFS(
OR(ISNUMBER(SEARCH("mouse",E175)),ISNUMBER(SEARCH("rat",E175)),ISNUMBER(SEARCH("mice",E175)),ISNUMBER(SEARCH("rodent",E175))),"Rodent Control",
OR(ISNUMBER(SEARCH("fly",E175)),ISNUMBER(SEARCH("gnat",E175)),ISNUMBER(SEARCH("insect",E175)),ISNUMBER(SEARCH("mosquito",E175))),"Flying Insect Control",
OR(ISNUMBER(SEARCH("roach",E175)),ISNUMBER(SEARCH("ant",E175)),ISNUMBER(SEARCH("spider",E175)),ISNUMBER(SEARCH("cricket",E175)),ISNUMBER(SEARCH("scorpion",E175)),ISNUMBER(SEARCH("centipede",E175)),ISNUMBER(SEARCH("beetle",E175))),"Crawling Insect Control",
OR(ISNUMBER(SEARCH("tree",E175)),ISNUMBER(SEARCH("lantern",E175)),ISNUMBER(SEARCH("garden",E175)),ISNUMBER(SEARCH("plant",E175))),"Garden Pest Control",
OR(ISNUMBER(SEARCH("grass seed",E175)),ISNUMBER(SEARCH("seed mix",E175))),"Grass Seed",
OR(ISNUMBER(SEARCH("lawn food",E175)),ISNUMBER(SEARCH("fertilizer",E175))),"Lawn Fertilizer",
OR(ISNUMBER(SEARCH("patch",E175)),ISNUMBER(SEARCH("repair",E175)),ISNUMBER(SEARCH("thick'r",E175)),ISNUMBER(SEARCH("thick'r lawn",E175)),ISNUMBER(SEARCH("rapid grass",E175))),"Lawn Repair",
OR(ISNUMBER(SEARCH("weed",E175)),ISNUMBER(SEARCH("crabgrass",E175))),"Weed Control",
OR(ISNUMBER(SEARCH("fungicide",E175)),ISNUMBER(SEARCH("moss",E175))),"Disease &amp; Moss Control",
OR(ISNUMBER(SEARCH("plant food",E175)),ISNUMBER(SEARCH("miracid",E175))),"Plant Nutrition",
OR(ISNUMBER(SEARCH("perlite",E175))),"Soil Amendment",
OR(ISNUMBER(SEARCH("spreader",E175)),ISNUMBER(SEARCH("sprayer",E175)),ISNUMBER(SEARCH("mower",E175)),ISNUMBER(SEARCH("sweeper",E175)),ISNUMBER(SEARCH("pruner",E175)),ISNUMBER(SEARCH("trimmer",E175)),ISNUMBER(SEARCH("pole saw",E175))),"Garden Equipment",
TRUE,"Other"
)</f>
        <v>Lawn Repair</v>
      </c>
      <c r="I175" s="7" t="str" cm="1">
        <f t="array" ref="I175">_xlfn.IFS(
OR(ISNUMBER(SEARCH("glue trap",E175)),ISNUMBER(SEARCH("glue board",E175))),"Glue Traps",
OR(ISNUMBER(SEARCH("snap trap",E175)),ISNUMBER(SEARCH("power-kill",E175)),ISNUMBER(SEARCH("wide pedal",E175)),ISNUMBER(SEARCH("metal pedal",E175))),"Snap Traps",
OR(ISNUMBER(SEARCH("electronic",E175)),ISNUMBER(SEARCH("zapper",E175))),"Electronic Traps",
OR(ISNUMBER(SEARCH("live catch",E175)),ISNUMBER(SEARCH("multi-catch",E175)),ISNUMBER(SEARCH("catch &amp; hold",E175)),ISNUMBER(SEARCH("tin cat",E175))),"Live Catch Traps",
OR(ISNUMBER(SEARCH("bait",E175)),ISNUMBER(SEARCH("poison",E175))),"Bait &amp; Poison",
ISNUMBER(SEARCH("repellent",E175)),"Repellents",
OR(ISNUMBER(SEARCH("fly trap",E175)),ISNUMBER(SEARCH("fly ribbon",E175)),ISNUMBER(SEARCH("fly stick",E175)),ISNUMBER(SEARCH("window fly",E175)),ISNUMBER(SEARCH("fly magnet",E175))),"Fly Traps",
OR(ISNUMBER(SEARCH("uv",E175)),ISNUMBER(SEARCH("fly light",E175)),ISNUMBER(SEARCH("plug-in",E175))),"UV Fly Traps",
ISNUMBER(SEARCH("roach",E175)),"Roach Traps",
ISNUMBER(SEARCH("ant",E175)),"Ant Traps",
ISNUMBER(SEARCH("spider",E175)),"Spider Traps",
ISNUMBER(SEARCH("mosquito",E175)),"Mosquito Traps",
ISNUMBER(SEARCH("beetle",E175)),"Beetle Traps",
ISNUMBER(SEARCH("lantern",E175)),"Lanternfly Control",
OR(ISNUMBER(SEARCH("tree shield",E175)),ISNUMBER(SEARCH("tree banding",E175)),ISNUMBER(SEARCH("insect barrier",E175))),"Tree Barriers",
OR(ISNUMBER(SEARCH("sun &amp; shade",E175)),ISNUMBER(SEARCH("sun and shade",E175))),"Sun &amp; Shade Mix",
ISNUMBER(SEARCH("tall fescue",E175)),"Tall Fescue",
ISNUMBER(SEARCH("bermudagrass",E175)),"Bermudagrass",
ISNUMBER(SEARCH("kentucky",E175)),"Kentucky Bluegrass",
ISNUMBER(SEARCH("zoysia",E175)),"Zoysia",
ISNUMBER(SEARCH("ryegrass",E175)),"Perennial Ryegrass",
ISNUMBER(SEARCH("centipede",E175)),"Centipede Grass",
ISNUMBER(SEARCH("dense shade",E175)),"Dense Shade Mix",
ISNUMBER(SEARCH("southern gold",E175)),"Southern Gold Mix",
ISNUMBER(SEARCH("heat-tolerant blue",E175)),"Heat-Tolerant Blue Mix",
ISNUMBER(SEARCH("high traffic",E175)),"High Traffic Mix",
ISNUMBER(SEARCH("quick fix",E175)),"Quick Fix Mix",
ISNUMBER(SEARCH("starter",E175)),"Starter Fertilizer",
ISNUMBER(SEARCH("weed &amp; feed",E175)),"Weed &amp; Feed",
ISNUMBER(SEARCH("lawn food",E175)),"Lawn Food",
ISNUMBER(SEARCH("triple action",E175)),"Triple Action Fertilizer",
ISNUMBER(SEARCH("green max",E175)),"Green Max Lawn Food",
ISNUMBER(SEARCH("patchmaster",E175)),"PatchMaster Repair",
ISNUMBER(SEARCH("ez seed",E175)),"EZ Seed Repair",
ISNUMBER(SEARCH("rapid grass",E175)),"Rapid Grass",
ISNUMBER(SEARCH("thick'r lawn",E175)),"Thick'R Lawn",
ISNUMBER(SEARCH("fungicide",E175)),"Fungicide",
ISNUMBER(SEARCH("moss",E175)),"Moss Control",
ISNUMBER(SEARCH("perlite",E175)),"Perlite",
ISNUMBER(SEARCH("plant food",E175)),"Plant Food",
ISNUMBER(SEARCH("spreader",E175)),"Spreader",
ISNUMBER(SEARCH("sprayer",E175)),"Sprayer",
ISNUMBER(SEARCH("mower",E175)),"Lawn Mower",
ISNUMBER(SEARCH("sweeper",E175)),"Lawn Sweeper",
OR(ISNUMBER(SEARCH("pruner",E175)),ISNUMBER(SEARCH("trimmer",E175)),ISNUMBER(SEARCH("pole saw",E175))),"Pruning Tools",
TRUE,"Other"
)</f>
        <v>Tall Fescue</v>
      </c>
      <c r="J175" s="7" t="str">
        <f t="shared" si="38"/>
        <v>Lawn Repair - Tall Fescue</v>
      </c>
      <c r="K175" s="4">
        <v>500</v>
      </c>
      <c r="L175" s="4">
        <v>4.2</v>
      </c>
      <c r="M175" s="4">
        <v>1078</v>
      </c>
      <c r="N175" s="4" t="s">
        <v>834</v>
      </c>
      <c r="O175" s="4">
        <f>VLOOKUP(A175,[3]Sheet1!$A:$B,2,0)</f>
        <v>0</v>
      </c>
      <c r="P175" s="4">
        <f>VLOOKUP(A175,[3]Sheet1!$A:$C,3,0)</f>
        <v>50</v>
      </c>
      <c r="Q175" s="4">
        <f>VLOOKUP(A175,[3]Sheet1!$A:$D,4,0)</f>
        <v>600</v>
      </c>
      <c r="R175" s="4">
        <f>VLOOKUP(A175,[3]Sheet1!$A:$E,5,0)</f>
        <v>2000</v>
      </c>
      <c r="S175" s="4">
        <f>VLOOKUP(A175,[3]Sheet1!$A:$F,6,0)</f>
        <v>2000</v>
      </c>
      <c r="T175" s="4">
        <f>VLOOKUP(A175,[3]Sheet1!$A:$G,7,0)</f>
        <v>1000</v>
      </c>
      <c r="U175" s="4">
        <f>VLOOKUP(A175,[3]Sheet1!$A:$I,8,0)</f>
        <v>200</v>
      </c>
      <c r="V175" s="4">
        <f>VLOOKUP(A175,[3]Sheet1!$A:$J,9,0)</f>
        <v>300</v>
      </c>
      <c r="W175" s="4">
        <f>VLOOKUP(A175,[3]Sheet1!$A:$J,10,0)</f>
        <v>400</v>
      </c>
      <c r="X175" s="4">
        <f>VLOOKUP(A175,[3]Sheet1!$A:$K,11,0)</f>
        <v>300</v>
      </c>
      <c r="Y175" s="4">
        <f>VLOOKUP(A175,[3]Sheet1!$A:$L,12,0)</f>
        <v>200</v>
      </c>
      <c r="Z175" s="4">
        <f>VLOOKUP(A175,[3]Sheet1!$A:$M,13,0)</f>
        <v>50</v>
      </c>
      <c r="AA175" s="4">
        <f t="shared" si="48"/>
        <v>7100</v>
      </c>
      <c r="AB175" s="7">
        <f t="shared" si="39"/>
        <v>592</v>
      </c>
      <c r="AC175" s="15">
        <f t="shared" si="49"/>
        <v>591.66666666666663</v>
      </c>
      <c r="AD175" s="16">
        <f t="shared" si="50"/>
        <v>472008</v>
      </c>
      <c r="AE175" s="16">
        <f t="shared" si="51"/>
        <v>39334</v>
      </c>
      <c r="AF175" s="16">
        <v>15.79</v>
      </c>
      <c r="AG175" s="16">
        <v>66.48</v>
      </c>
      <c r="AH175" s="8">
        <f t="shared" si="52"/>
        <v>0.65346666666666664</v>
      </c>
      <c r="AI175" s="8">
        <f t="shared" si="53"/>
        <v>2.2871333333333328</v>
      </c>
      <c r="AJ175" s="10">
        <v>0.5</v>
      </c>
      <c r="AK175" s="10">
        <v>0.5</v>
      </c>
      <c r="AL175" s="16">
        <v>15.79</v>
      </c>
      <c r="AM175" s="9">
        <f t="shared" si="40"/>
        <v>9.9719999999999995</v>
      </c>
      <c r="AN175" s="9">
        <f t="shared" si="41"/>
        <v>1.9944</v>
      </c>
      <c r="AO175" s="9">
        <f t="shared" si="42"/>
        <v>13.296000000000001</v>
      </c>
      <c r="AP175" s="9">
        <f t="shared" si="43"/>
        <v>1.3296000000000001</v>
      </c>
      <c r="AQ175" s="9">
        <f t="shared" si="44"/>
        <v>13.296000000000001</v>
      </c>
      <c r="AR175" s="9">
        <f t="shared" si="45"/>
        <v>16.62</v>
      </c>
      <c r="AS175" s="11">
        <f t="shared" si="46"/>
        <v>6.5346666666666655</v>
      </c>
      <c r="AT175" s="12">
        <f t="shared" si="47"/>
        <v>4.3186666666666653</v>
      </c>
    </row>
    <row r="176" spans="1:46" ht="16.5" x14ac:dyDescent="0.4">
      <c r="A176" s="4" t="s">
        <v>835</v>
      </c>
      <c r="B176" s="4" t="s">
        <v>513</v>
      </c>
      <c r="C176" s="7" t="s">
        <v>1784</v>
      </c>
      <c r="D176" s="4" t="s">
        <v>836</v>
      </c>
      <c r="E176" s="4" t="s">
        <v>837</v>
      </c>
      <c r="F176" s="4" t="s">
        <v>838</v>
      </c>
      <c r="G176" s="7" t="str">
        <f>VLOOKUP(A176,[1]done!$A:$I,9,0)</f>
        <v>Other crawling insects</v>
      </c>
      <c r="H176" s="7" t="str" cm="1">
        <f t="array" ref="H176">_xlfn.IFS(
OR(ISNUMBER(SEARCH("mouse",E176)),ISNUMBER(SEARCH("rat",E176)),ISNUMBER(SEARCH("mice",E176)),ISNUMBER(SEARCH("rodent",E176))),"Rodent Control",
OR(ISNUMBER(SEARCH("fly",E176)),ISNUMBER(SEARCH("gnat",E176)),ISNUMBER(SEARCH("insect",E176)),ISNUMBER(SEARCH("mosquito",E176))),"Flying Insect Control",
OR(ISNUMBER(SEARCH("roach",E176)),ISNUMBER(SEARCH("ant",E176)),ISNUMBER(SEARCH("spider",E176)),ISNUMBER(SEARCH("cricket",E176)),ISNUMBER(SEARCH("scorpion",E176)),ISNUMBER(SEARCH("centipede",E176)),ISNUMBER(SEARCH("beetle",E176))),"Crawling Insect Control",
OR(ISNUMBER(SEARCH("tree",E176)),ISNUMBER(SEARCH("lantern",E176)),ISNUMBER(SEARCH("garden",E176)),ISNUMBER(SEARCH("plant",E176))),"Garden Pest Control",
OR(ISNUMBER(SEARCH("grass seed",E176)),ISNUMBER(SEARCH("seed mix",E176))),"Grass Seed",
OR(ISNUMBER(SEARCH("lawn food",E176)),ISNUMBER(SEARCH("fertilizer",E176))),"Lawn Fertilizer",
OR(ISNUMBER(SEARCH("patch",E176)),ISNUMBER(SEARCH("repair",E176)),ISNUMBER(SEARCH("thick'r",E176)),ISNUMBER(SEARCH("thick'r lawn",E176)),ISNUMBER(SEARCH("rapid grass",E176))),"Lawn Repair",
OR(ISNUMBER(SEARCH("weed",E176)),ISNUMBER(SEARCH("crabgrass",E176))),"Weed Control",
OR(ISNUMBER(SEARCH("fungicide",E176)),ISNUMBER(SEARCH("moss",E176))),"Disease &amp; Moss Control",
OR(ISNUMBER(SEARCH("plant food",E176)),ISNUMBER(SEARCH("miracid",E176))),"Plant Nutrition",
OR(ISNUMBER(SEARCH("perlite",E176))),"Soil Amendment",
OR(ISNUMBER(SEARCH("spreader",E176)),ISNUMBER(SEARCH("sprayer",E176)),ISNUMBER(SEARCH("mower",E176)),ISNUMBER(SEARCH("sweeper",E176)),ISNUMBER(SEARCH("pruner",E176)),ISNUMBER(SEARCH("trimmer",E176)),ISNUMBER(SEARCH("pole saw",E176))),"Garden Equipment",
TRUE,"Other"
)</f>
        <v>Crawling Insect Control</v>
      </c>
      <c r="I176" s="7" t="str" cm="1">
        <f t="array" ref="I176">_xlfn.IFS(
OR(ISNUMBER(SEARCH("glue trap",E176)),ISNUMBER(SEARCH("glue board",E176))),"Glue Traps",
OR(ISNUMBER(SEARCH("snap trap",E176)),ISNUMBER(SEARCH("power-kill",E176)),ISNUMBER(SEARCH("wide pedal",E176)),ISNUMBER(SEARCH("metal pedal",E176))),"Snap Traps",
OR(ISNUMBER(SEARCH("electronic",E176)),ISNUMBER(SEARCH("zapper",E176))),"Electronic Traps",
OR(ISNUMBER(SEARCH("live catch",E176)),ISNUMBER(SEARCH("multi-catch",E176)),ISNUMBER(SEARCH("catch &amp; hold",E176)),ISNUMBER(SEARCH("tin cat",E176))),"Live Catch Traps",
OR(ISNUMBER(SEARCH("bait",E176)),ISNUMBER(SEARCH("poison",E176))),"Bait &amp; Poison",
ISNUMBER(SEARCH("repellent",E176)),"Repellents",
OR(ISNUMBER(SEARCH("fly trap",E176)),ISNUMBER(SEARCH("fly ribbon",E176)),ISNUMBER(SEARCH("fly stick",E176)),ISNUMBER(SEARCH("window fly",E176)),ISNUMBER(SEARCH("fly magnet",E176))),"Fly Traps",
OR(ISNUMBER(SEARCH("uv",E176)),ISNUMBER(SEARCH("fly light",E176)),ISNUMBER(SEARCH("plug-in",E176))),"UV Fly Traps",
ISNUMBER(SEARCH("roach",E176)),"Roach Traps",
ISNUMBER(SEARCH("ant",E176)),"Ant Traps",
ISNUMBER(SEARCH("spider",E176)),"Spider Traps",
ISNUMBER(SEARCH("mosquito",E176)),"Mosquito Traps",
ISNUMBER(SEARCH("beetle",E176)),"Beetle Traps",
ISNUMBER(SEARCH("lantern",E176)),"Lanternfly Control",
OR(ISNUMBER(SEARCH("tree shield",E176)),ISNUMBER(SEARCH("tree banding",E176)),ISNUMBER(SEARCH("insect barrier",E176))),"Tree Barriers",
OR(ISNUMBER(SEARCH("sun &amp; shade",E176)),ISNUMBER(SEARCH("sun and shade",E176))),"Sun &amp; Shade Mix",
ISNUMBER(SEARCH("tall fescue",E176)),"Tall Fescue",
ISNUMBER(SEARCH("bermudagrass",E176)),"Bermudagrass",
ISNUMBER(SEARCH("kentucky",E176)),"Kentucky Bluegrass",
ISNUMBER(SEARCH("zoysia",E176)),"Zoysia",
ISNUMBER(SEARCH("ryegrass",E176)),"Perennial Ryegrass",
ISNUMBER(SEARCH("centipede",E176)),"Centipede Grass",
ISNUMBER(SEARCH("dense shade",E176)),"Dense Shade Mix",
ISNUMBER(SEARCH("southern gold",E176)),"Southern Gold Mix",
ISNUMBER(SEARCH("heat-tolerant blue",E176)),"Heat-Tolerant Blue Mix",
ISNUMBER(SEARCH("high traffic",E176)),"High Traffic Mix",
ISNUMBER(SEARCH("quick fix",E176)),"Quick Fix Mix",
ISNUMBER(SEARCH("starter",E176)),"Starter Fertilizer",
ISNUMBER(SEARCH("weed &amp; feed",E176)),"Weed &amp; Feed",
ISNUMBER(SEARCH("lawn food",E176)),"Lawn Food",
ISNUMBER(SEARCH("triple action",E176)),"Triple Action Fertilizer",
ISNUMBER(SEARCH("green max",E176)),"Green Max Lawn Food",
ISNUMBER(SEARCH("patchmaster",E176)),"PatchMaster Repair",
ISNUMBER(SEARCH("ez seed",E176)),"EZ Seed Repair",
ISNUMBER(SEARCH("rapid grass",E176)),"Rapid Grass",
ISNUMBER(SEARCH("thick'r lawn",E176)),"Thick'R Lawn",
ISNUMBER(SEARCH("fungicide",E176)),"Fungicide",
ISNUMBER(SEARCH("moss",E176)),"Moss Control",
ISNUMBER(SEARCH("perlite",E176)),"Perlite",
ISNUMBER(SEARCH("plant food",E176)),"Plant Food",
ISNUMBER(SEARCH("spreader",E176)),"Spreader",
ISNUMBER(SEARCH("sprayer",E176)),"Sprayer",
ISNUMBER(SEARCH("mower",E176)),"Lawn Mower",
ISNUMBER(SEARCH("sweeper",E176)),"Lawn Sweeper",
OR(ISNUMBER(SEARCH("pruner",E176)),ISNUMBER(SEARCH("trimmer",E176)),ISNUMBER(SEARCH("pole saw",E176))),"Pruning Tools",
TRUE,"Other"
)</f>
        <v>Ant Traps</v>
      </c>
      <c r="J176" s="7" t="str">
        <f t="shared" si="38"/>
        <v>Crawling Insect Control - Ant Traps</v>
      </c>
      <c r="K176" s="4">
        <v>500</v>
      </c>
      <c r="L176" s="4">
        <v>4.7</v>
      </c>
      <c r="M176" s="4">
        <v>2701</v>
      </c>
      <c r="N176" s="4" t="s">
        <v>839</v>
      </c>
      <c r="O176" s="4">
        <f>VLOOKUP(A176,[3]Sheet1!$A:$B,2,0)</f>
        <v>0</v>
      </c>
      <c r="P176" s="4">
        <f>VLOOKUP(A176,[3]Sheet1!$A:$C,3,0)</f>
        <v>0</v>
      </c>
      <c r="Q176" s="4">
        <f>VLOOKUP(A176,[3]Sheet1!$A:$D,4,0)</f>
        <v>1000</v>
      </c>
      <c r="R176" s="4">
        <f>VLOOKUP(A176,[3]Sheet1!$A:$E,5,0)</f>
        <v>3000</v>
      </c>
      <c r="S176" s="4">
        <f>VLOOKUP(A176,[3]Sheet1!$A:$F,6,0)</f>
        <v>3000</v>
      </c>
      <c r="T176" s="4">
        <f>VLOOKUP(A176,[3]Sheet1!$A:$G,7,0)</f>
        <v>4000</v>
      </c>
      <c r="U176" s="4">
        <f>VLOOKUP(A176,[3]Sheet1!$A:$I,8,0)</f>
        <v>1000</v>
      </c>
      <c r="V176" s="4">
        <f>VLOOKUP(A176,[3]Sheet1!$A:$J,9,0)</f>
        <v>1000</v>
      </c>
      <c r="W176" s="4">
        <f>VLOOKUP(A176,[3]Sheet1!$A:$J,10,0)</f>
        <v>500</v>
      </c>
      <c r="X176" s="4">
        <f>VLOOKUP(A176,[3]Sheet1!$A:$K,11,0)</f>
        <v>0</v>
      </c>
      <c r="Y176" s="4">
        <f>VLOOKUP(A176,[3]Sheet1!$A:$L,12,0)</f>
        <v>0</v>
      </c>
      <c r="Z176" s="4">
        <f>VLOOKUP(A176,[3]Sheet1!$A:$M,13,0)</f>
        <v>0</v>
      </c>
      <c r="AA176" s="4">
        <f t="shared" si="48"/>
        <v>13500</v>
      </c>
      <c r="AB176" s="7">
        <f t="shared" si="39"/>
        <v>1125</v>
      </c>
      <c r="AC176" s="15">
        <f t="shared" si="49"/>
        <v>1125</v>
      </c>
      <c r="AD176" s="16">
        <f t="shared" si="50"/>
        <v>141480</v>
      </c>
      <c r="AE176" s="16">
        <f t="shared" si="51"/>
        <v>11790</v>
      </c>
      <c r="AF176" s="16">
        <v>7.3</v>
      </c>
      <c r="AG176" s="16">
        <v>10.48</v>
      </c>
      <c r="AH176" s="8">
        <f t="shared" si="52"/>
        <v>-0.27386666666666665</v>
      </c>
      <c r="AI176" s="8">
        <f t="shared" si="53"/>
        <v>-0.95853333333333324</v>
      </c>
      <c r="AJ176" s="10">
        <v>0.5</v>
      </c>
      <c r="AK176" s="10">
        <v>0.5</v>
      </c>
      <c r="AL176" s="16">
        <v>7.3</v>
      </c>
      <c r="AM176" s="9">
        <f t="shared" si="40"/>
        <v>1.5720000000000001</v>
      </c>
      <c r="AN176" s="9">
        <f t="shared" si="41"/>
        <v>0.31440000000000001</v>
      </c>
      <c r="AO176" s="9">
        <f t="shared" si="42"/>
        <v>2.0960000000000001</v>
      </c>
      <c r="AP176" s="9">
        <f t="shared" si="43"/>
        <v>0.20960000000000001</v>
      </c>
      <c r="AQ176" s="9">
        <f t="shared" si="44"/>
        <v>2.0960000000000001</v>
      </c>
      <c r="AR176" s="9">
        <f t="shared" si="45"/>
        <v>2.62</v>
      </c>
      <c r="AS176" s="11">
        <f t="shared" si="46"/>
        <v>-2.7386666666666666</v>
      </c>
      <c r="AT176" s="12">
        <f t="shared" si="47"/>
        <v>-3.0879999999999996</v>
      </c>
    </row>
    <row r="177" spans="1:46" ht="16.5" x14ac:dyDescent="0.4">
      <c r="A177" s="4" t="s">
        <v>840</v>
      </c>
      <c r="B177" s="4" t="s">
        <v>513</v>
      </c>
      <c r="C177" s="7" t="s">
        <v>1784</v>
      </c>
      <c r="D177" s="4" t="s">
        <v>841</v>
      </c>
      <c r="E177" s="4" t="s">
        <v>842</v>
      </c>
      <c r="F177" s="4" t="s">
        <v>843</v>
      </c>
      <c r="G177" s="7" t="str">
        <f>VLOOKUP(A177,[1]done!$A:$I,9,0)</f>
        <v>Other - Scotts</v>
      </c>
      <c r="H177" s="7" t="str" cm="1">
        <f t="array" ref="H177">_xlfn.IFS(
OR(ISNUMBER(SEARCH("mouse",E177)),ISNUMBER(SEARCH("rat",E177)),ISNUMBER(SEARCH("mice",E177)),ISNUMBER(SEARCH("rodent",E177))),"Rodent Control",
OR(ISNUMBER(SEARCH("fly",E177)),ISNUMBER(SEARCH("gnat",E177)),ISNUMBER(SEARCH("insect",E177)),ISNUMBER(SEARCH("mosquito",E177))),"Flying Insect Control",
OR(ISNUMBER(SEARCH("roach",E177)),ISNUMBER(SEARCH("ant",E177)),ISNUMBER(SEARCH("spider",E177)),ISNUMBER(SEARCH("cricket",E177)),ISNUMBER(SEARCH("scorpion",E177)),ISNUMBER(SEARCH("centipede",E177)),ISNUMBER(SEARCH("beetle",E177))),"Crawling Insect Control",
OR(ISNUMBER(SEARCH("tree",E177)),ISNUMBER(SEARCH("lantern",E177)),ISNUMBER(SEARCH("garden",E177)),ISNUMBER(SEARCH("plant",E177))),"Garden Pest Control",
OR(ISNUMBER(SEARCH("grass seed",E177)),ISNUMBER(SEARCH("seed mix",E177))),"Grass Seed",
OR(ISNUMBER(SEARCH("lawn food",E177)),ISNUMBER(SEARCH("fertilizer",E177))),"Lawn Fertilizer",
OR(ISNUMBER(SEARCH("patch",E177)),ISNUMBER(SEARCH("repair",E177)),ISNUMBER(SEARCH("thick'r",E177)),ISNUMBER(SEARCH("thick'r lawn",E177)),ISNUMBER(SEARCH("rapid grass",E177))),"Lawn Repair",
OR(ISNUMBER(SEARCH("weed",E177)),ISNUMBER(SEARCH("crabgrass",E177))),"Weed Control",
OR(ISNUMBER(SEARCH("fungicide",E177)),ISNUMBER(SEARCH("moss",E177))),"Disease &amp; Moss Control",
OR(ISNUMBER(SEARCH("plant food",E177)),ISNUMBER(SEARCH("miracid",E177))),"Plant Nutrition",
OR(ISNUMBER(SEARCH("perlite",E177))),"Soil Amendment",
OR(ISNUMBER(SEARCH("spreader",E177)),ISNUMBER(SEARCH("sprayer",E177)),ISNUMBER(SEARCH("mower",E177)),ISNUMBER(SEARCH("sweeper",E177)),ISNUMBER(SEARCH("pruner",E177)),ISNUMBER(SEARCH("trimmer",E177)),ISNUMBER(SEARCH("pole saw",E177))),"Garden Equipment",
TRUE,"Other"
)</f>
        <v>Disease &amp; Moss Control</v>
      </c>
      <c r="I177" s="7" t="str" cm="1">
        <f t="array" ref="I177">_xlfn.IFS(
OR(ISNUMBER(SEARCH("glue trap",E177)),ISNUMBER(SEARCH("glue board",E177))),"Glue Traps",
OR(ISNUMBER(SEARCH("snap trap",E177)),ISNUMBER(SEARCH("power-kill",E177)),ISNUMBER(SEARCH("wide pedal",E177)),ISNUMBER(SEARCH("metal pedal",E177))),"Snap Traps",
OR(ISNUMBER(SEARCH("electronic",E177)),ISNUMBER(SEARCH("zapper",E177))),"Electronic Traps",
OR(ISNUMBER(SEARCH("live catch",E177)),ISNUMBER(SEARCH("multi-catch",E177)),ISNUMBER(SEARCH("catch &amp; hold",E177)),ISNUMBER(SEARCH("tin cat",E177))),"Live Catch Traps",
OR(ISNUMBER(SEARCH("bait",E177)),ISNUMBER(SEARCH("poison",E177))),"Bait &amp; Poison",
ISNUMBER(SEARCH("repellent",E177)),"Repellents",
OR(ISNUMBER(SEARCH("fly trap",E177)),ISNUMBER(SEARCH("fly ribbon",E177)),ISNUMBER(SEARCH("fly stick",E177)),ISNUMBER(SEARCH("window fly",E177)),ISNUMBER(SEARCH("fly magnet",E177))),"Fly Traps",
OR(ISNUMBER(SEARCH("uv",E177)),ISNUMBER(SEARCH("fly light",E177)),ISNUMBER(SEARCH("plug-in",E177))),"UV Fly Traps",
ISNUMBER(SEARCH("roach",E177)),"Roach Traps",
ISNUMBER(SEARCH("ant",E177)),"Ant Traps",
ISNUMBER(SEARCH("spider",E177)),"Spider Traps",
ISNUMBER(SEARCH("mosquito",E177)),"Mosquito Traps",
ISNUMBER(SEARCH("beetle",E177)),"Beetle Traps",
ISNUMBER(SEARCH("lantern",E177)),"Lanternfly Control",
OR(ISNUMBER(SEARCH("tree shield",E177)),ISNUMBER(SEARCH("tree banding",E177)),ISNUMBER(SEARCH("insect barrier",E177))),"Tree Barriers",
OR(ISNUMBER(SEARCH("sun &amp; shade",E177)),ISNUMBER(SEARCH("sun and shade",E177))),"Sun &amp; Shade Mix",
ISNUMBER(SEARCH("tall fescue",E177)),"Tall Fescue",
ISNUMBER(SEARCH("bermudagrass",E177)),"Bermudagrass",
ISNUMBER(SEARCH("kentucky",E177)),"Kentucky Bluegrass",
ISNUMBER(SEARCH("zoysia",E177)),"Zoysia",
ISNUMBER(SEARCH("ryegrass",E177)),"Perennial Ryegrass",
ISNUMBER(SEARCH("centipede",E177)),"Centipede Grass",
ISNUMBER(SEARCH("dense shade",E177)),"Dense Shade Mix",
ISNUMBER(SEARCH("southern gold",E177)),"Southern Gold Mix",
ISNUMBER(SEARCH("heat-tolerant blue",E177)),"Heat-Tolerant Blue Mix",
ISNUMBER(SEARCH("high traffic",E177)),"High Traffic Mix",
ISNUMBER(SEARCH("quick fix",E177)),"Quick Fix Mix",
ISNUMBER(SEARCH("starter",E177)),"Starter Fertilizer",
ISNUMBER(SEARCH("weed &amp; feed",E177)),"Weed &amp; Feed",
ISNUMBER(SEARCH("lawn food",E177)),"Lawn Food",
ISNUMBER(SEARCH("triple action",E177)),"Triple Action Fertilizer",
ISNUMBER(SEARCH("green max",E177)),"Green Max Lawn Food",
ISNUMBER(SEARCH("patchmaster",E177)),"PatchMaster Repair",
ISNUMBER(SEARCH("ez seed",E177)),"EZ Seed Repair",
ISNUMBER(SEARCH("rapid grass",E177)),"Rapid Grass",
ISNUMBER(SEARCH("thick'r lawn",E177)),"Thick'R Lawn",
ISNUMBER(SEARCH("fungicide",E177)),"Fungicide",
ISNUMBER(SEARCH("moss",E177)),"Moss Control",
ISNUMBER(SEARCH("perlite",E177)),"Perlite",
ISNUMBER(SEARCH("plant food",E177)),"Plant Food",
ISNUMBER(SEARCH("spreader",E177)),"Spreader",
ISNUMBER(SEARCH("sprayer",E177)),"Sprayer",
ISNUMBER(SEARCH("mower",E177)),"Lawn Mower",
ISNUMBER(SEARCH("sweeper",E177)),"Lawn Sweeper",
OR(ISNUMBER(SEARCH("pruner",E177)),ISNUMBER(SEARCH("trimmer",E177)),ISNUMBER(SEARCH("pole saw",E177))),"Pruning Tools",
TRUE,"Other"
)</f>
        <v>Moss Control</v>
      </c>
      <c r="J177" s="7" t="str">
        <f t="shared" si="38"/>
        <v>Disease &amp; Moss Control - Moss Control</v>
      </c>
      <c r="K177" s="4">
        <v>500</v>
      </c>
      <c r="L177" s="4">
        <v>4.2</v>
      </c>
      <c r="M177" s="4">
        <v>531</v>
      </c>
      <c r="N177" s="4" t="s">
        <v>844</v>
      </c>
      <c r="O177" s="4">
        <f>VLOOKUP(A177,[3]Sheet1!$A:$B,2,0)</f>
        <v>200</v>
      </c>
      <c r="P177" s="4">
        <f>VLOOKUP(A177,[3]Sheet1!$A:$C,3,0)</f>
        <v>300</v>
      </c>
      <c r="Q177" s="4">
        <f>VLOOKUP(A177,[3]Sheet1!$A:$D,4,0)</f>
        <v>1000</v>
      </c>
      <c r="R177" s="4">
        <f>VLOOKUP(A177,[3]Sheet1!$A:$E,5,0)</f>
        <v>2000</v>
      </c>
      <c r="S177" s="4">
        <f>VLOOKUP(A177,[3]Sheet1!$A:$F,6,0)</f>
        <v>1000</v>
      </c>
      <c r="T177" s="4">
        <f>VLOOKUP(A177,[3]Sheet1!$A:$G,7,0)</f>
        <v>1000</v>
      </c>
      <c r="U177" s="4">
        <f>VLOOKUP(A177,[3]Sheet1!$A:$I,8,0)</f>
        <v>400</v>
      </c>
      <c r="V177" s="4">
        <f>VLOOKUP(A177,[3]Sheet1!$A:$J,9,0)</f>
        <v>300</v>
      </c>
      <c r="W177" s="4">
        <f>VLOOKUP(A177,[3]Sheet1!$A:$J,10,0)</f>
        <v>400</v>
      </c>
      <c r="X177" s="4">
        <f>VLOOKUP(A177,[3]Sheet1!$A:$K,11,0)</f>
        <v>300</v>
      </c>
      <c r="Y177" s="4">
        <f>VLOOKUP(A177,[3]Sheet1!$A:$L,12,0)</f>
        <v>200</v>
      </c>
      <c r="Z177" s="4">
        <f>VLOOKUP(A177,[3]Sheet1!$A:$M,13,0)</f>
        <v>200</v>
      </c>
      <c r="AA177" s="4">
        <f t="shared" si="48"/>
        <v>7300</v>
      </c>
      <c r="AB177" s="7">
        <f t="shared" si="39"/>
        <v>608</v>
      </c>
      <c r="AC177" s="15">
        <f t="shared" si="49"/>
        <v>608.33333333333337</v>
      </c>
      <c r="AD177" s="16">
        <f t="shared" si="50"/>
        <v>138627</v>
      </c>
      <c r="AE177" s="16">
        <f t="shared" si="51"/>
        <v>11552.25</v>
      </c>
      <c r="AF177" s="16">
        <v>7.88</v>
      </c>
      <c r="AG177" s="16">
        <v>18.989999999999998</v>
      </c>
      <c r="AH177" s="8">
        <f t="shared" si="52"/>
        <v>-8.560000000000012E-2</v>
      </c>
      <c r="AI177" s="8">
        <f t="shared" si="53"/>
        <v>-0.29960000000000037</v>
      </c>
      <c r="AJ177" s="10">
        <v>0.5</v>
      </c>
      <c r="AK177" s="10">
        <v>0.5</v>
      </c>
      <c r="AL177" s="16">
        <v>7.88</v>
      </c>
      <c r="AM177" s="9">
        <f t="shared" si="40"/>
        <v>2.8484999999999996</v>
      </c>
      <c r="AN177" s="9">
        <f t="shared" si="41"/>
        <v>0.56969999999999998</v>
      </c>
      <c r="AO177" s="9">
        <f t="shared" si="42"/>
        <v>3.798</v>
      </c>
      <c r="AP177" s="9">
        <f t="shared" si="43"/>
        <v>0.37979999999999997</v>
      </c>
      <c r="AQ177" s="9">
        <f t="shared" si="44"/>
        <v>3.798</v>
      </c>
      <c r="AR177" s="9">
        <f t="shared" si="45"/>
        <v>4.7474999999999996</v>
      </c>
      <c r="AS177" s="11">
        <f t="shared" si="46"/>
        <v>-0.85600000000000109</v>
      </c>
      <c r="AT177" s="12">
        <f t="shared" si="47"/>
        <v>-1.4890000000000008</v>
      </c>
    </row>
    <row r="178" spans="1:46" ht="16.5" x14ac:dyDescent="0.4">
      <c r="A178" s="4" t="s">
        <v>845</v>
      </c>
      <c r="B178" s="4" t="s">
        <v>513</v>
      </c>
      <c r="C178" s="7" t="s">
        <v>1784</v>
      </c>
      <c r="D178" s="4" t="s">
        <v>846</v>
      </c>
      <c r="E178" s="4" t="s">
        <v>847</v>
      </c>
      <c r="F178" s="4" t="s">
        <v>848</v>
      </c>
      <c r="G178" s="7" t="str">
        <f>VLOOKUP(A178,[1]done!$A:$I,9,0)</f>
        <v>Lawn Fertilizer</v>
      </c>
      <c r="H178" s="7" t="str" cm="1">
        <f t="array" ref="H178">_xlfn.IFS(
OR(ISNUMBER(SEARCH("mouse",E178)),ISNUMBER(SEARCH("rat",E178)),ISNUMBER(SEARCH("mice",E178)),ISNUMBER(SEARCH("rodent",E178))),"Rodent Control",
OR(ISNUMBER(SEARCH("fly",E178)),ISNUMBER(SEARCH("gnat",E178)),ISNUMBER(SEARCH("insect",E178)),ISNUMBER(SEARCH("mosquito",E178))),"Flying Insect Control",
OR(ISNUMBER(SEARCH("roach",E178)),ISNUMBER(SEARCH("ant",E178)),ISNUMBER(SEARCH("spider",E178)),ISNUMBER(SEARCH("cricket",E178)),ISNUMBER(SEARCH("scorpion",E178)),ISNUMBER(SEARCH("centipede",E178)),ISNUMBER(SEARCH("beetle",E178))),"Crawling Insect Control",
OR(ISNUMBER(SEARCH("tree",E178)),ISNUMBER(SEARCH("lantern",E178)),ISNUMBER(SEARCH("garden",E178)),ISNUMBER(SEARCH("plant",E178))),"Garden Pest Control",
OR(ISNUMBER(SEARCH("grass seed",E178)),ISNUMBER(SEARCH("seed mix",E178))),"Grass Seed",
OR(ISNUMBER(SEARCH("lawn food",E178)),ISNUMBER(SEARCH("fertilizer",E178))),"Lawn Fertilizer",
OR(ISNUMBER(SEARCH("patch",E178)),ISNUMBER(SEARCH("repair",E178)),ISNUMBER(SEARCH("thick'r",E178)),ISNUMBER(SEARCH("thick'r lawn",E178)),ISNUMBER(SEARCH("rapid grass",E178))),"Lawn Repair",
OR(ISNUMBER(SEARCH("weed",E178)),ISNUMBER(SEARCH("crabgrass",E178))),"Weed Control",
OR(ISNUMBER(SEARCH("fungicide",E178)),ISNUMBER(SEARCH("moss",E178))),"Disease &amp; Moss Control",
OR(ISNUMBER(SEARCH("plant food",E178)),ISNUMBER(SEARCH("miracid",E178))),"Plant Nutrition",
OR(ISNUMBER(SEARCH("perlite",E178))),"Soil Amendment",
OR(ISNUMBER(SEARCH("spreader",E178)),ISNUMBER(SEARCH("sprayer",E178)),ISNUMBER(SEARCH("mower",E178)),ISNUMBER(SEARCH("sweeper",E178)),ISNUMBER(SEARCH("pruner",E178)),ISNUMBER(SEARCH("trimmer",E178)),ISNUMBER(SEARCH("pole saw",E178))),"Garden Equipment",
TRUE,"Other"
)</f>
        <v>Lawn Fertilizer</v>
      </c>
      <c r="I178" s="7" t="str" cm="1">
        <f t="array" ref="I178">_xlfn.IFS(
OR(ISNUMBER(SEARCH("glue trap",E178)),ISNUMBER(SEARCH("glue board",E178))),"Glue Traps",
OR(ISNUMBER(SEARCH("snap trap",E178)),ISNUMBER(SEARCH("power-kill",E178)),ISNUMBER(SEARCH("wide pedal",E178)),ISNUMBER(SEARCH("metal pedal",E178))),"Snap Traps",
OR(ISNUMBER(SEARCH("electronic",E178)),ISNUMBER(SEARCH("zapper",E178))),"Electronic Traps",
OR(ISNUMBER(SEARCH("live catch",E178)),ISNUMBER(SEARCH("multi-catch",E178)),ISNUMBER(SEARCH("catch &amp; hold",E178)),ISNUMBER(SEARCH("tin cat",E178))),"Live Catch Traps",
OR(ISNUMBER(SEARCH("bait",E178)),ISNUMBER(SEARCH("poison",E178))),"Bait &amp; Poison",
ISNUMBER(SEARCH("repellent",E178)),"Repellents",
OR(ISNUMBER(SEARCH("fly trap",E178)),ISNUMBER(SEARCH("fly ribbon",E178)),ISNUMBER(SEARCH("fly stick",E178)),ISNUMBER(SEARCH("window fly",E178)),ISNUMBER(SEARCH("fly magnet",E178))),"Fly Traps",
OR(ISNUMBER(SEARCH("uv",E178)),ISNUMBER(SEARCH("fly light",E178)),ISNUMBER(SEARCH("plug-in",E178))),"UV Fly Traps",
ISNUMBER(SEARCH("roach",E178)),"Roach Traps",
ISNUMBER(SEARCH("ant",E178)),"Ant Traps",
ISNUMBER(SEARCH("spider",E178)),"Spider Traps",
ISNUMBER(SEARCH("mosquito",E178)),"Mosquito Traps",
ISNUMBER(SEARCH("beetle",E178)),"Beetle Traps",
ISNUMBER(SEARCH("lantern",E178)),"Lanternfly Control",
OR(ISNUMBER(SEARCH("tree shield",E178)),ISNUMBER(SEARCH("tree banding",E178)),ISNUMBER(SEARCH("insect barrier",E178))),"Tree Barriers",
OR(ISNUMBER(SEARCH("sun &amp; shade",E178)),ISNUMBER(SEARCH("sun and shade",E178))),"Sun &amp; Shade Mix",
ISNUMBER(SEARCH("tall fescue",E178)),"Tall Fescue",
ISNUMBER(SEARCH("bermudagrass",E178)),"Bermudagrass",
ISNUMBER(SEARCH("kentucky",E178)),"Kentucky Bluegrass",
ISNUMBER(SEARCH("zoysia",E178)),"Zoysia",
ISNUMBER(SEARCH("ryegrass",E178)),"Perennial Ryegrass",
ISNUMBER(SEARCH("centipede",E178)),"Centipede Grass",
ISNUMBER(SEARCH("dense shade",E178)),"Dense Shade Mix",
ISNUMBER(SEARCH("southern gold",E178)),"Southern Gold Mix",
ISNUMBER(SEARCH("heat-tolerant blue",E178)),"Heat-Tolerant Blue Mix",
ISNUMBER(SEARCH("high traffic",E178)),"High Traffic Mix",
ISNUMBER(SEARCH("quick fix",E178)),"Quick Fix Mix",
ISNUMBER(SEARCH("starter",E178)),"Starter Fertilizer",
ISNUMBER(SEARCH("weed &amp; feed",E178)),"Weed &amp; Feed",
ISNUMBER(SEARCH("lawn food",E178)),"Lawn Food",
ISNUMBER(SEARCH("triple action",E178)),"Triple Action Fertilizer",
ISNUMBER(SEARCH("green max",E178)),"Green Max Lawn Food",
ISNUMBER(SEARCH("patchmaster",E178)),"PatchMaster Repair",
ISNUMBER(SEARCH("ez seed",E178)),"EZ Seed Repair",
ISNUMBER(SEARCH("rapid grass",E178)),"Rapid Grass",
ISNUMBER(SEARCH("thick'r lawn",E178)),"Thick'R Lawn",
ISNUMBER(SEARCH("fungicide",E178)),"Fungicide",
ISNUMBER(SEARCH("moss",E178)),"Moss Control",
ISNUMBER(SEARCH("perlite",E178)),"Perlite",
ISNUMBER(SEARCH("plant food",E178)),"Plant Food",
ISNUMBER(SEARCH("spreader",E178)),"Spreader",
ISNUMBER(SEARCH("sprayer",E178)),"Sprayer",
ISNUMBER(SEARCH("mower",E178)),"Lawn Mower",
ISNUMBER(SEARCH("sweeper",E178)),"Lawn Sweeper",
OR(ISNUMBER(SEARCH("pruner",E178)),ISNUMBER(SEARCH("trimmer",E178)),ISNUMBER(SEARCH("pole saw",E178))),"Pruning Tools",
TRUE,"Other"
)</f>
        <v>Lawn Food</v>
      </c>
      <c r="J178" s="7" t="str">
        <f t="shared" si="38"/>
        <v>Lawn Fertilizer - Lawn Food</v>
      </c>
      <c r="K178" s="4">
        <v>500</v>
      </c>
      <c r="L178" s="4">
        <v>4.4000000000000004</v>
      </c>
      <c r="M178" s="4">
        <v>1751</v>
      </c>
      <c r="N178" s="4" t="s">
        <v>193</v>
      </c>
      <c r="O178" s="4">
        <f>VLOOKUP(A178,[3]Sheet1!$A:$B,2,0)</f>
        <v>0</v>
      </c>
      <c r="P178" s="4">
        <f>VLOOKUP(A178,[3]Sheet1!$A:$C,3,0)</f>
        <v>0</v>
      </c>
      <c r="Q178" s="4">
        <f>VLOOKUP(A178,[3]Sheet1!$A:$D,4,0)</f>
        <v>200</v>
      </c>
      <c r="R178" s="4">
        <f>VLOOKUP(A178,[3]Sheet1!$A:$E,5,0)</f>
        <v>900</v>
      </c>
      <c r="S178" s="4">
        <f>VLOOKUP(A178,[3]Sheet1!$A:$F,6,0)</f>
        <v>600</v>
      </c>
      <c r="T178" s="4">
        <f>VLOOKUP(A178,[3]Sheet1!$A:$G,7,0)</f>
        <v>600</v>
      </c>
      <c r="U178" s="4">
        <f>VLOOKUP(A178,[3]Sheet1!$A:$I,8,0)</f>
        <v>600</v>
      </c>
      <c r="V178" s="4">
        <f>VLOOKUP(A178,[3]Sheet1!$A:$J,9,0)</f>
        <v>400</v>
      </c>
      <c r="W178" s="4">
        <f>VLOOKUP(A178,[3]Sheet1!$A:$J,10,0)</f>
        <v>500</v>
      </c>
      <c r="X178" s="4">
        <f>VLOOKUP(A178,[3]Sheet1!$A:$K,11,0)</f>
        <v>0</v>
      </c>
      <c r="Y178" s="4">
        <f>VLOOKUP(A178,[3]Sheet1!$A:$L,12,0)</f>
        <v>0</v>
      </c>
      <c r="Z178" s="4">
        <f>VLOOKUP(A178,[3]Sheet1!$A:$M,13,0)</f>
        <v>0</v>
      </c>
      <c r="AA178" s="4">
        <f t="shared" si="48"/>
        <v>3800</v>
      </c>
      <c r="AB178" s="7">
        <f t="shared" si="39"/>
        <v>317</v>
      </c>
      <c r="AC178" s="15">
        <f t="shared" si="49"/>
        <v>316.66666666666669</v>
      </c>
      <c r="AD178" s="16">
        <f t="shared" si="50"/>
        <v>169480</v>
      </c>
      <c r="AE178" s="16">
        <f t="shared" si="51"/>
        <v>14123.333333333334</v>
      </c>
      <c r="AF178" s="16">
        <v>21.82</v>
      </c>
      <c r="AG178" s="16">
        <v>44.6</v>
      </c>
      <c r="AH178" s="8">
        <f t="shared" si="52"/>
        <v>-0.33199999999999991</v>
      </c>
      <c r="AI178" s="8">
        <f t="shared" si="53"/>
        <v>-1.1619999999999995</v>
      </c>
      <c r="AJ178" s="10">
        <v>0.5</v>
      </c>
      <c r="AK178" s="10">
        <v>0.5</v>
      </c>
      <c r="AL178" s="16">
        <v>21.82</v>
      </c>
      <c r="AM178" s="9">
        <f t="shared" si="40"/>
        <v>6.69</v>
      </c>
      <c r="AN178" s="9">
        <f t="shared" si="41"/>
        <v>1.3380000000000001</v>
      </c>
      <c r="AO178" s="9">
        <f t="shared" si="42"/>
        <v>8.92</v>
      </c>
      <c r="AP178" s="9">
        <f t="shared" si="43"/>
        <v>0.89200000000000002</v>
      </c>
      <c r="AQ178" s="9">
        <f t="shared" si="44"/>
        <v>8.92</v>
      </c>
      <c r="AR178" s="9">
        <f t="shared" si="45"/>
        <v>11.15</v>
      </c>
      <c r="AS178" s="11">
        <f t="shared" si="46"/>
        <v>-3.319999999999999</v>
      </c>
      <c r="AT178" s="12">
        <f t="shared" si="47"/>
        <v>-4.8066666666666658</v>
      </c>
    </row>
    <row r="179" spans="1:46" ht="16.5" x14ac:dyDescent="0.4">
      <c r="A179" s="4" t="s">
        <v>849</v>
      </c>
      <c r="B179" s="4" t="s">
        <v>513</v>
      </c>
      <c r="C179" s="7" t="s">
        <v>513</v>
      </c>
      <c r="D179" s="4" t="s">
        <v>850</v>
      </c>
      <c r="E179" s="4" t="s">
        <v>851</v>
      </c>
      <c r="F179" s="4" t="s">
        <v>852</v>
      </c>
      <c r="G179" s="7" t="str">
        <f>VLOOKUP(A179,[1]done!$A:$I,9,0)</f>
        <v>Grass Seed</v>
      </c>
      <c r="H179" s="7" t="str" cm="1">
        <f t="array" ref="H179">_xlfn.IFS(
OR(ISNUMBER(SEARCH("mouse",E179)),ISNUMBER(SEARCH("rat",E179)),ISNUMBER(SEARCH("mice",E179)),ISNUMBER(SEARCH("rodent",E179))),"Rodent Control",
OR(ISNUMBER(SEARCH("fly",E179)),ISNUMBER(SEARCH("gnat",E179)),ISNUMBER(SEARCH("insect",E179)),ISNUMBER(SEARCH("mosquito",E179))),"Flying Insect Control",
OR(ISNUMBER(SEARCH("roach",E179)),ISNUMBER(SEARCH("ant",E179)),ISNUMBER(SEARCH("spider",E179)),ISNUMBER(SEARCH("cricket",E179)),ISNUMBER(SEARCH("scorpion",E179)),ISNUMBER(SEARCH("centipede",E179)),ISNUMBER(SEARCH("beetle",E179))),"Crawling Insect Control",
OR(ISNUMBER(SEARCH("tree",E179)),ISNUMBER(SEARCH("lantern",E179)),ISNUMBER(SEARCH("garden",E179)),ISNUMBER(SEARCH("plant",E179))),"Garden Pest Control",
OR(ISNUMBER(SEARCH("grass seed",E179)),ISNUMBER(SEARCH("seed mix",E179))),"Grass Seed",
OR(ISNUMBER(SEARCH("lawn food",E179)),ISNUMBER(SEARCH("fertilizer",E179))),"Lawn Fertilizer",
OR(ISNUMBER(SEARCH("patch",E179)),ISNUMBER(SEARCH("repair",E179)),ISNUMBER(SEARCH("thick'r",E179)),ISNUMBER(SEARCH("thick'r lawn",E179)),ISNUMBER(SEARCH("rapid grass",E179))),"Lawn Repair",
OR(ISNUMBER(SEARCH("weed",E179)),ISNUMBER(SEARCH("crabgrass",E179))),"Weed Control",
OR(ISNUMBER(SEARCH("fungicide",E179)),ISNUMBER(SEARCH("moss",E179))),"Disease &amp; Moss Control",
OR(ISNUMBER(SEARCH("plant food",E179)),ISNUMBER(SEARCH("miracid",E179))),"Plant Nutrition",
OR(ISNUMBER(SEARCH("perlite",E179))),"Soil Amendment",
OR(ISNUMBER(SEARCH("spreader",E179)),ISNUMBER(SEARCH("sprayer",E179)),ISNUMBER(SEARCH("mower",E179)),ISNUMBER(SEARCH("sweeper",E179)),ISNUMBER(SEARCH("pruner",E179)),ISNUMBER(SEARCH("trimmer",E179)),ISNUMBER(SEARCH("pole saw",E179))),"Garden Equipment",
TRUE,"Other"
)</f>
        <v>Grass Seed</v>
      </c>
      <c r="I179" s="7" t="str" cm="1">
        <f t="array" ref="I179">_xlfn.IFS(
OR(ISNUMBER(SEARCH("glue trap",E179)),ISNUMBER(SEARCH("glue board",E179))),"Glue Traps",
OR(ISNUMBER(SEARCH("snap trap",E179)),ISNUMBER(SEARCH("power-kill",E179)),ISNUMBER(SEARCH("wide pedal",E179)),ISNUMBER(SEARCH("metal pedal",E179))),"Snap Traps",
OR(ISNUMBER(SEARCH("electronic",E179)),ISNUMBER(SEARCH("zapper",E179))),"Electronic Traps",
OR(ISNUMBER(SEARCH("live catch",E179)),ISNUMBER(SEARCH("multi-catch",E179)),ISNUMBER(SEARCH("catch &amp; hold",E179)),ISNUMBER(SEARCH("tin cat",E179))),"Live Catch Traps",
OR(ISNUMBER(SEARCH("bait",E179)),ISNUMBER(SEARCH("poison",E179))),"Bait &amp; Poison",
ISNUMBER(SEARCH("repellent",E179)),"Repellents",
OR(ISNUMBER(SEARCH("fly trap",E179)),ISNUMBER(SEARCH("fly ribbon",E179)),ISNUMBER(SEARCH("fly stick",E179)),ISNUMBER(SEARCH("window fly",E179)),ISNUMBER(SEARCH("fly magnet",E179))),"Fly Traps",
OR(ISNUMBER(SEARCH("uv",E179)),ISNUMBER(SEARCH("fly light",E179)),ISNUMBER(SEARCH("plug-in",E179))),"UV Fly Traps",
ISNUMBER(SEARCH("roach",E179)),"Roach Traps",
ISNUMBER(SEARCH("ant",E179)),"Ant Traps",
ISNUMBER(SEARCH("spider",E179)),"Spider Traps",
ISNUMBER(SEARCH("mosquito",E179)),"Mosquito Traps",
ISNUMBER(SEARCH("beetle",E179)),"Beetle Traps",
ISNUMBER(SEARCH("lantern",E179)),"Lanternfly Control",
OR(ISNUMBER(SEARCH("tree shield",E179)),ISNUMBER(SEARCH("tree banding",E179)),ISNUMBER(SEARCH("insect barrier",E179))),"Tree Barriers",
OR(ISNUMBER(SEARCH("sun &amp; shade",E179)),ISNUMBER(SEARCH("sun and shade",E179))),"Sun &amp; Shade Mix",
ISNUMBER(SEARCH("tall fescue",E179)),"Tall Fescue",
ISNUMBER(SEARCH("bermudagrass",E179)),"Bermudagrass",
ISNUMBER(SEARCH("kentucky",E179)),"Kentucky Bluegrass",
ISNUMBER(SEARCH("zoysia",E179)),"Zoysia",
ISNUMBER(SEARCH("ryegrass",E179)),"Perennial Ryegrass",
ISNUMBER(SEARCH("centipede",E179)),"Centipede Grass",
ISNUMBER(SEARCH("dense shade",E179)),"Dense Shade Mix",
ISNUMBER(SEARCH("southern gold",E179)),"Southern Gold Mix",
ISNUMBER(SEARCH("heat-tolerant blue",E179)),"Heat-Tolerant Blue Mix",
ISNUMBER(SEARCH("high traffic",E179)),"High Traffic Mix",
ISNUMBER(SEARCH("quick fix",E179)),"Quick Fix Mix",
ISNUMBER(SEARCH("starter",E179)),"Starter Fertilizer",
ISNUMBER(SEARCH("weed &amp; feed",E179)),"Weed &amp; Feed",
ISNUMBER(SEARCH("lawn food",E179)),"Lawn Food",
ISNUMBER(SEARCH("triple action",E179)),"Triple Action Fertilizer",
ISNUMBER(SEARCH("green max",E179)),"Green Max Lawn Food",
ISNUMBER(SEARCH("patchmaster",E179)),"PatchMaster Repair",
ISNUMBER(SEARCH("ez seed",E179)),"EZ Seed Repair",
ISNUMBER(SEARCH("rapid grass",E179)),"Rapid Grass",
ISNUMBER(SEARCH("thick'r lawn",E179)),"Thick'R Lawn",
ISNUMBER(SEARCH("fungicide",E179)),"Fungicide",
ISNUMBER(SEARCH("moss",E179)),"Moss Control",
ISNUMBER(SEARCH("perlite",E179)),"Perlite",
ISNUMBER(SEARCH("plant food",E179)),"Plant Food",
ISNUMBER(SEARCH("spreader",E179)),"Spreader",
ISNUMBER(SEARCH("sprayer",E179)),"Sprayer",
ISNUMBER(SEARCH("mower",E179)),"Lawn Mower",
ISNUMBER(SEARCH("sweeper",E179)),"Lawn Sweeper",
OR(ISNUMBER(SEARCH("pruner",E179)),ISNUMBER(SEARCH("trimmer",E179)),ISNUMBER(SEARCH("pole saw",E179))),"Pruning Tools",
TRUE,"Other"
)</f>
        <v>Sun &amp; Shade Mix</v>
      </c>
      <c r="J179" s="7" t="str">
        <f t="shared" si="38"/>
        <v>Grass Seed - Sun &amp; Shade Mix</v>
      </c>
      <c r="K179" s="4">
        <v>400</v>
      </c>
      <c r="L179" s="4">
        <v>4.3</v>
      </c>
      <c r="M179" s="4">
        <v>34453</v>
      </c>
      <c r="N179" s="4" t="s">
        <v>853</v>
      </c>
      <c r="O179" s="4">
        <f>VLOOKUP(A179,[3]Sheet1!$A:$B,2,0)</f>
        <v>50</v>
      </c>
      <c r="P179" s="4">
        <f>VLOOKUP(A179,[3]Sheet1!$A:$C,3,0)</f>
        <v>100</v>
      </c>
      <c r="Q179" s="4">
        <f>VLOOKUP(A179,[3]Sheet1!$A:$D,4,0)</f>
        <v>400</v>
      </c>
      <c r="R179" s="4">
        <f>VLOOKUP(A179,[3]Sheet1!$A:$E,5,0)</f>
        <v>800</v>
      </c>
      <c r="S179" s="4">
        <f>VLOOKUP(A179,[3]Sheet1!$A:$F,6,0)</f>
        <v>700</v>
      </c>
      <c r="T179" s="4">
        <f>VLOOKUP(A179,[3]Sheet1!$A:$G,7,0)</f>
        <v>900</v>
      </c>
      <c r="U179" s="4">
        <f>VLOOKUP(A179,[3]Sheet1!$A:$I,8,0)</f>
        <v>200</v>
      </c>
      <c r="V179" s="4">
        <f>VLOOKUP(A179,[3]Sheet1!$A:$J,9,0)</f>
        <v>200</v>
      </c>
      <c r="W179" s="4">
        <f>VLOOKUP(A179,[3]Sheet1!$A:$J,10,0)</f>
        <v>200</v>
      </c>
      <c r="X179" s="4">
        <f>VLOOKUP(A179,[3]Sheet1!$A:$K,11,0)</f>
        <v>600</v>
      </c>
      <c r="Y179" s="4">
        <f>VLOOKUP(A179,[3]Sheet1!$A:$L,12,0)</f>
        <v>100</v>
      </c>
      <c r="Z179" s="4">
        <f>VLOOKUP(A179,[3]Sheet1!$A:$M,13,0)</f>
        <v>50</v>
      </c>
      <c r="AA179" s="4">
        <f t="shared" si="48"/>
        <v>4300</v>
      </c>
      <c r="AB179" s="7">
        <f t="shared" si="39"/>
        <v>358</v>
      </c>
      <c r="AC179" s="15">
        <f t="shared" si="49"/>
        <v>358.33333333333331</v>
      </c>
      <c r="AD179" s="16">
        <f t="shared" si="50"/>
        <v>730957</v>
      </c>
      <c r="AE179" s="16">
        <f t="shared" si="51"/>
        <v>60913.083333333336</v>
      </c>
      <c r="AF179" s="16">
        <v>40.18</v>
      </c>
      <c r="AG179" s="16">
        <v>169.99</v>
      </c>
      <c r="AH179" s="8">
        <f t="shared" si="52"/>
        <v>1.787733333333333</v>
      </c>
      <c r="AI179" s="8">
        <f t="shared" si="53"/>
        <v>6.257066666666665</v>
      </c>
      <c r="AJ179" s="10">
        <v>0.5</v>
      </c>
      <c r="AK179" s="10">
        <v>0.5</v>
      </c>
      <c r="AL179" s="16">
        <v>40.18</v>
      </c>
      <c r="AM179" s="9">
        <f t="shared" si="40"/>
        <v>25.4985</v>
      </c>
      <c r="AN179" s="9">
        <f t="shared" si="41"/>
        <v>5.0997000000000003</v>
      </c>
      <c r="AO179" s="9">
        <f t="shared" si="42"/>
        <v>33.998000000000005</v>
      </c>
      <c r="AP179" s="9">
        <f t="shared" si="43"/>
        <v>3.3998000000000004</v>
      </c>
      <c r="AQ179" s="9">
        <f t="shared" si="44"/>
        <v>33.998000000000005</v>
      </c>
      <c r="AR179" s="9">
        <f t="shared" si="45"/>
        <v>42.497500000000002</v>
      </c>
      <c r="AS179" s="11">
        <f t="shared" si="46"/>
        <v>17.877333333333329</v>
      </c>
      <c r="AT179" s="12">
        <f t="shared" si="47"/>
        <v>12.210999999999999</v>
      </c>
    </row>
    <row r="180" spans="1:46" ht="16.5" x14ac:dyDescent="0.4">
      <c r="A180" s="4" t="s">
        <v>854</v>
      </c>
      <c r="B180" s="4" t="s">
        <v>513</v>
      </c>
      <c r="C180" s="7" t="s">
        <v>1784</v>
      </c>
      <c r="D180" s="4" t="s">
        <v>855</v>
      </c>
      <c r="E180" s="4" t="s">
        <v>856</v>
      </c>
      <c r="F180" s="4" t="s">
        <v>857</v>
      </c>
      <c r="G180" s="7" t="str">
        <f>VLOOKUP(A180,[1]done!$A:$I,9,0)</f>
        <v>Grass Seed</v>
      </c>
      <c r="H180" s="7" t="str" cm="1">
        <f t="array" ref="H180">_xlfn.IFS(
OR(ISNUMBER(SEARCH("mouse",E180)),ISNUMBER(SEARCH("rat",E180)),ISNUMBER(SEARCH("mice",E180)),ISNUMBER(SEARCH("rodent",E180))),"Rodent Control",
OR(ISNUMBER(SEARCH("fly",E180)),ISNUMBER(SEARCH("gnat",E180)),ISNUMBER(SEARCH("insect",E180)),ISNUMBER(SEARCH("mosquito",E180))),"Flying Insect Control",
OR(ISNUMBER(SEARCH("roach",E180)),ISNUMBER(SEARCH("ant",E180)),ISNUMBER(SEARCH("spider",E180)),ISNUMBER(SEARCH("cricket",E180)),ISNUMBER(SEARCH("scorpion",E180)),ISNUMBER(SEARCH("centipede",E180)),ISNUMBER(SEARCH("beetle",E180))),"Crawling Insect Control",
OR(ISNUMBER(SEARCH("tree",E180)),ISNUMBER(SEARCH("lantern",E180)),ISNUMBER(SEARCH("garden",E180)),ISNUMBER(SEARCH("plant",E180))),"Garden Pest Control",
OR(ISNUMBER(SEARCH("grass seed",E180)),ISNUMBER(SEARCH("seed mix",E180))),"Grass Seed",
OR(ISNUMBER(SEARCH("lawn food",E180)),ISNUMBER(SEARCH("fertilizer",E180))),"Lawn Fertilizer",
OR(ISNUMBER(SEARCH("patch",E180)),ISNUMBER(SEARCH("repair",E180)),ISNUMBER(SEARCH("thick'r",E180)),ISNUMBER(SEARCH("thick'r lawn",E180)),ISNUMBER(SEARCH("rapid grass",E180))),"Lawn Repair",
OR(ISNUMBER(SEARCH("weed",E180)),ISNUMBER(SEARCH("crabgrass",E180))),"Weed Control",
OR(ISNUMBER(SEARCH("fungicide",E180)),ISNUMBER(SEARCH("moss",E180))),"Disease &amp; Moss Control",
OR(ISNUMBER(SEARCH("plant food",E180)),ISNUMBER(SEARCH("miracid",E180))),"Plant Nutrition",
OR(ISNUMBER(SEARCH("perlite",E180))),"Soil Amendment",
OR(ISNUMBER(SEARCH("spreader",E180)),ISNUMBER(SEARCH("sprayer",E180)),ISNUMBER(SEARCH("mower",E180)),ISNUMBER(SEARCH("sweeper",E180)),ISNUMBER(SEARCH("pruner",E180)),ISNUMBER(SEARCH("trimmer",E180)),ISNUMBER(SEARCH("pole saw",E180))),"Garden Equipment",
TRUE,"Other"
)</f>
        <v>Grass Seed</v>
      </c>
      <c r="I180" s="7" t="str" cm="1">
        <f t="array" ref="I180">_xlfn.IFS(
OR(ISNUMBER(SEARCH("glue trap",E180)),ISNUMBER(SEARCH("glue board",E180))),"Glue Traps",
OR(ISNUMBER(SEARCH("snap trap",E180)),ISNUMBER(SEARCH("power-kill",E180)),ISNUMBER(SEARCH("wide pedal",E180)),ISNUMBER(SEARCH("metal pedal",E180))),"Snap Traps",
OR(ISNUMBER(SEARCH("electronic",E180)),ISNUMBER(SEARCH("zapper",E180))),"Electronic Traps",
OR(ISNUMBER(SEARCH("live catch",E180)),ISNUMBER(SEARCH("multi-catch",E180)),ISNUMBER(SEARCH("catch &amp; hold",E180)),ISNUMBER(SEARCH("tin cat",E180))),"Live Catch Traps",
OR(ISNUMBER(SEARCH("bait",E180)),ISNUMBER(SEARCH("poison",E180))),"Bait &amp; Poison",
ISNUMBER(SEARCH("repellent",E180)),"Repellents",
OR(ISNUMBER(SEARCH("fly trap",E180)),ISNUMBER(SEARCH("fly ribbon",E180)),ISNUMBER(SEARCH("fly stick",E180)),ISNUMBER(SEARCH("window fly",E180)),ISNUMBER(SEARCH("fly magnet",E180))),"Fly Traps",
OR(ISNUMBER(SEARCH("uv",E180)),ISNUMBER(SEARCH("fly light",E180)),ISNUMBER(SEARCH("plug-in",E180))),"UV Fly Traps",
ISNUMBER(SEARCH("roach",E180)),"Roach Traps",
ISNUMBER(SEARCH("ant",E180)),"Ant Traps",
ISNUMBER(SEARCH("spider",E180)),"Spider Traps",
ISNUMBER(SEARCH("mosquito",E180)),"Mosquito Traps",
ISNUMBER(SEARCH("beetle",E180)),"Beetle Traps",
ISNUMBER(SEARCH("lantern",E180)),"Lanternfly Control",
OR(ISNUMBER(SEARCH("tree shield",E180)),ISNUMBER(SEARCH("tree banding",E180)),ISNUMBER(SEARCH("insect barrier",E180))),"Tree Barriers",
OR(ISNUMBER(SEARCH("sun &amp; shade",E180)),ISNUMBER(SEARCH("sun and shade",E180))),"Sun &amp; Shade Mix",
ISNUMBER(SEARCH("tall fescue",E180)),"Tall Fescue",
ISNUMBER(SEARCH("bermudagrass",E180)),"Bermudagrass",
ISNUMBER(SEARCH("kentucky",E180)),"Kentucky Bluegrass",
ISNUMBER(SEARCH("zoysia",E180)),"Zoysia",
ISNUMBER(SEARCH("ryegrass",E180)),"Perennial Ryegrass",
ISNUMBER(SEARCH("centipede",E180)),"Centipede Grass",
ISNUMBER(SEARCH("dense shade",E180)),"Dense Shade Mix",
ISNUMBER(SEARCH("southern gold",E180)),"Southern Gold Mix",
ISNUMBER(SEARCH("heat-tolerant blue",E180)),"Heat-Tolerant Blue Mix",
ISNUMBER(SEARCH("high traffic",E180)),"High Traffic Mix",
ISNUMBER(SEARCH("quick fix",E180)),"Quick Fix Mix",
ISNUMBER(SEARCH("starter",E180)),"Starter Fertilizer",
ISNUMBER(SEARCH("weed &amp; feed",E180)),"Weed &amp; Feed",
ISNUMBER(SEARCH("lawn food",E180)),"Lawn Food",
ISNUMBER(SEARCH("triple action",E180)),"Triple Action Fertilizer",
ISNUMBER(SEARCH("green max",E180)),"Green Max Lawn Food",
ISNUMBER(SEARCH("patchmaster",E180)),"PatchMaster Repair",
ISNUMBER(SEARCH("ez seed",E180)),"EZ Seed Repair",
ISNUMBER(SEARCH("rapid grass",E180)),"Rapid Grass",
ISNUMBER(SEARCH("thick'r lawn",E180)),"Thick'R Lawn",
ISNUMBER(SEARCH("fungicide",E180)),"Fungicide",
ISNUMBER(SEARCH("moss",E180)),"Moss Control",
ISNUMBER(SEARCH("perlite",E180)),"Perlite",
ISNUMBER(SEARCH("plant food",E180)),"Plant Food",
ISNUMBER(SEARCH("spreader",E180)),"Spreader",
ISNUMBER(SEARCH("sprayer",E180)),"Sprayer",
ISNUMBER(SEARCH("mower",E180)),"Lawn Mower",
ISNUMBER(SEARCH("sweeper",E180)),"Lawn Sweeper",
OR(ISNUMBER(SEARCH("pruner",E180)),ISNUMBER(SEARCH("trimmer",E180)),ISNUMBER(SEARCH("pole saw",E180))),"Pruning Tools",
TRUE,"Other"
)</f>
        <v>Tall Fescue</v>
      </c>
      <c r="J180" s="7" t="str">
        <f t="shared" si="38"/>
        <v>Grass Seed - Tall Fescue</v>
      </c>
      <c r="K180" s="4">
        <v>400</v>
      </c>
      <c r="L180" s="4">
        <v>4.2</v>
      </c>
      <c r="M180" s="4">
        <v>3657</v>
      </c>
      <c r="N180" s="4" t="s">
        <v>834</v>
      </c>
      <c r="O180" s="4">
        <f>VLOOKUP(A180,[3]Sheet1!$A:$B,2,0)</f>
        <v>0</v>
      </c>
      <c r="P180" s="4">
        <f>VLOOKUP(A180,[3]Sheet1!$A:$C,3,0)</f>
        <v>0</v>
      </c>
      <c r="Q180" s="4">
        <f>VLOOKUP(A180,[3]Sheet1!$A:$D,4,0)</f>
        <v>400</v>
      </c>
      <c r="R180" s="4">
        <f>VLOOKUP(A180,[3]Sheet1!$A:$E,5,0)</f>
        <v>1000</v>
      </c>
      <c r="S180" s="4">
        <f>VLOOKUP(A180,[3]Sheet1!$A:$F,6,0)</f>
        <v>500</v>
      </c>
      <c r="T180" s="4">
        <f>VLOOKUP(A180,[3]Sheet1!$A:$G,7,0)</f>
        <v>200</v>
      </c>
      <c r="U180" s="4">
        <f>VLOOKUP(A180,[3]Sheet1!$A:$I,8,0)</f>
        <v>100</v>
      </c>
      <c r="V180" s="4">
        <f>VLOOKUP(A180,[3]Sheet1!$A:$J,9,0)</f>
        <v>100</v>
      </c>
      <c r="W180" s="4">
        <f>VLOOKUP(A180,[3]Sheet1!$A:$J,10,0)</f>
        <v>300</v>
      </c>
      <c r="X180" s="4">
        <f>VLOOKUP(A180,[3]Sheet1!$A:$K,11,0)</f>
        <v>500</v>
      </c>
      <c r="Y180" s="4">
        <f>VLOOKUP(A180,[3]Sheet1!$A:$L,12,0)</f>
        <v>100</v>
      </c>
      <c r="Z180" s="4">
        <f>VLOOKUP(A180,[3]Sheet1!$A:$M,13,0)</f>
        <v>50</v>
      </c>
      <c r="AA180" s="4">
        <f t="shared" si="48"/>
        <v>3250</v>
      </c>
      <c r="AB180" s="7">
        <f t="shared" si="39"/>
        <v>271</v>
      </c>
      <c r="AC180" s="15">
        <f t="shared" si="49"/>
        <v>270.83333333333331</v>
      </c>
      <c r="AD180" s="16">
        <f t="shared" si="50"/>
        <v>188500</v>
      </c>
      <c r="AE180" s="16">
        <f t="shared" si="51"/>
        <v>15708.333333333332</v>
      </c>
      <c r="AF180" s="16">
        <v>15.79</v>
      </c>
      <c r="AG180" s="16">
        <v>58</v>
      </c>
      <c r="AH180" s="8">
        <f t="shared" si="52"/>
        <v>0.42733333333333312</v>
      </c>
      <c r="AI180" s="8">
        <f t="shared" si="53"/>
        <v>1.4956666666666656</v>
      </c>
      <c r="AJ180" s="10">
        <v>0.5</v>
      </c>
      <c r="AK180" s="10">
        <v>0.5</v>
      </c>
      <c r="AL180" s="16">
        <v>15.79</v>
      </c>
      <c r="AM180" s="9">
        <f t="shared" si="40"/>
        <v>8.6999999999999993</v>
      </c>
      <c r="AN180" s="9">
        <f t="shared" si="41"/>
        <v>1.74</v>
      </c>
      <c r="AO180" s="9">
        <f t="shared" si="42"/>
        <v>11.600000000000001</v>
      </c>
      <c r="AP180" s="9">
        <f t="shared" si="43"/>
        <v>1.1599999999999999</v>
      </c>
      <c r="AQ180" s="9">
        <f t="shared" si="44"/>
        <v>11.600000000000001</v>
      </c>
      <c r="AR180" s="9">
        <f t="shared" si="45"/>
        <v>14.5</v>
      </c>
      <c r="AS180" s="11">
        <f t="shared" si="46"/>
        <v>4.2733333333333308</v>
      </c>
      <c r="AT180" s="12">
        <f t="shared" si="47"/>
        <v>2.3399999999999985</v>
      </c>
    </row>
    <row r="181" spans="1:46" ht="16.5" x14ac:dyDescent="0.4">
      <c r="A181" s="4" t="s">
        <v>858</v>
      </c>
      <c r="B181" s="4" t="s">
        <v>513</v>
      </c>
      <c r="C181" s="7" t="s">
        <v>513</v>
      </c>
      <c r="D181" s="4" t="s">
        <v>859</v>
      </c>
      <c r="E181" s="4" t="s">
        <v>860</v>
      </c>
      <c r="F181" s="4" t="s">
        <v>861</v>
      </c>
      <c r="G181" s="7" t="str">
        <f>VLOOKUP(A181,[1]done!$A:$I,9,0)</f>
        <v>Grass Seed</v>
      </c>
      <c r="H181" s="7" t="str" cm="1">
        <f t="array" ref="H181">_xlfn.IFS(
OR(ISNUMBER(SEARCH("mouse",E181)),ISNUMBER(SEARCH("rat",E181)),ISNUMBER(SEARCH("mice",E181)),ISNUMBER(SEARCH("rodent",E181))),"Rodent Control",
OR(ISNUMBER(SEARCH("fly",E181)),ISNUMBER(SEARCH("gnat",E181)),ISNUMBER(SEARCH("insect",E181)),ISNUMBER(SEARCH("mosquito",E181))),"Flying Insect Control",
OR(ISNUMBER(SEARCH("roach",E181)),ISNUMBER(SEARCH("ant",E181)),ISNUMBER(SEARCH("spider",E181)),ISNUMBER(SEARCH("cricket",E181)),ISNUMBER(SEARCH("scorpion",E181)),ISNUMBER(SEARCH("centipede",E181)),ISNUMBER(SEARCH("beetle",E181))),"Crawling Insect Control",
OR(ISNUMBER(SEARCH("tree",E181)),ISNUMBER(SEARCH("lantern",E181)),ISNUMBER(SEARCH("garden",E181)),ISNUMBER(SEARCH("plant",E181))),"Garden Pest Control",
OR(ISNUMBER(SEARCH("grass seed",E181)),ISNUMBER(SEARCH("seed mix",E181))),"Grass Seed",
OR(ISNUMBER(SEARCH("lawn food",E181)),ISNUMBER(SEARCH("fertilizer",E181))),"Lawn Fertilizer",
OR(ISNUMBER(SEARCH("patch",E181)),ISNUMBER(SEARCH("repair",E181)),ISNUMBER(SEARCH("thick'r",E181)),ISNUMBER(SEARCH("thick'r lawn",E181)),ISNUMBER(SEARCH("rapid grass",E181))),"Lawn Repair",
OR(ISNUMBER(SEARCH("weed",E181)),ISNUMBER(SEARCH("crabgrass",E181))),"Weed Control",
OR(ISNUMBER(SEARCH("fungicide",E181)),ISNUMBER(SEARCH("moss",E181))),"Disease &amp; Moss Control",
OR(ISNUMBER(SEARCH("plant food",E181)),ISNUMBER(SEARCH("miracid",E181))),"Plant Nutrition",
OR(ISNUMBER(SEARCH("perlite",E181))),"Soil Amendment",
OR(ISNUMBER(SEARCH("spreader",E181)),ISNUMBER(SEARCH("sprayer",E181)),ISNUMBER(SEARCH("mower",E181)),ISNUMBER(SEARCH("sweeper",E181)),ISNUMBER(SEARCH("pruner",E181)),ISNUMBER(SEARCH("trimmer",E181)),ISNUMBER(SEARCH("pole saw",E181))),"Garden Equipment",
TRUE,"Other"
)</f>
        <v>Grass Seed</v>
      </c>
      <c r="I181" s="7" t="str" cm="1">
        <f t="array" ref="I181">_xlfn.IFS(
OR(ISNUMBER(SEARCH("glue trap",E181)),ISNUMBER(SEARCH("glue board",E181))),"Glue Traps",
OR(ISNUMBER(SEARCH("snap trap",E181)),ISNUMBER(SEARCH("power-kill",E181)),ISNUMBER(SEARCH("wide pedal",E181)),ISNUMBER(SEARCH("metal pedal",E181))),"Snap Traps",
OR(ISNUMBER(SEARCH("electronic",E181)),ISNUMBER(SEARCH("zapper",E181))),"Electronic Traps",
OR(ISNUMBER(SEARCH("live catch",E181)),ISNUMBER(SEARCH("multi-catch",E181)),ISNUMBER(SEARCH("catch &amp; hold",E181)),ISNUMBER(SEARCH("tin cat",E181))),"Live Catch Traps",
OR(ISNUMBER(SEARCH("bait",E181)),ISNUMBER(SEARCH("poison",E181))),"Bait &amp; Poison",
ISNUMBER(SEARCH("repellent",E181)),"Repellents",
OR(ISNUMBER(SEARCH("fly trap",E181)),ISNUMBER(SEARCH("fly ribbon",E181)),ISNUMBER(SEARCH("fly stick",E181)),ISNUMBER(SEARCH("window fly",E181)),ISNUMBER(SEARCH("fly magnet",E181))),"Fly Traps",
OR(ISNUMBER(SEARCH("uv",E181)),ISNUMBER(SEARCH("fly light",E181)),ISNUMBER(SEARCH("plug-in",E181))),"UV Fly Traps",
ISNUMBER(SEARCH("roach",E181)),"Roach Traps",
ISNUMBER(SEARCH("ant",E181)),"Ant Traps",
ISNUMBER(SEARCH("spider",E181)),"Spider Traps",
ISNUMBER(SEARCH("mosquito",E181)),"Mosquito Traps",
ISNUMBER(SEARCH("beetle",E181)),"Beetle Traps",
ISNUMBER(SEARCH("lantern",E181)),"Lanternfly Control",
OR(ISNUMBER(SEARCH("tree shield",E181)),ISNUMBER(SEARCH("tree banding",E181)),ISNUMBER(SEARCH("insect barrier",E181))),"Tree Barriers",
OR(ISNUMBER(SEARCH("sun &amp; shade",E181)),ISNUMBER(SEARCH("sun and shade",E181))),"Sun &amp; Shade Mix",
ISNUMBER(SEARCH("tall fescue",E181)),"Tall Fescue",
ISNUMBER(SEARCH("bermudagrass",E181)),"Bermudagrass",
ISNUMBER(SEARCH("kentucky",E181)),"Kentucky Bluegrass",
ISNUMBER(SEARCH("zoysia",E181)),"Zoysia",
ISNUMBER(SEARCH("ryegrass",E181)),"Perennial Ryegrass",
ISNUMBER(SEARCH("centipede",E181)),"Centipede Grass",
ISNUMBER(SEARCH("dense shade",E181)),"Dense Shade Mix",
ISNUMBER(SEARCH("southern gold",E181)),"Southern Gold Mix",
ISNUMBER(SEARCH("heat-tolerant blue",E181)),"Heat-Tolerant Blue Mix",
ISNUMBER(SEARCH("high traffic",E181)),"High Traffic Mix",
ISNUMBER(SEARCH("quick fix",E181)),"Quick Fix Mix",
ISNUMBER(SEARCH("starter",E181)),"Starter Fertilizer",
ISNUMBER(SEARCH("weed &amp; feed",E181)),"Weed &amp; Feed",
ISNUMBER(SEARCH("lawn food",E181)),"Lawn Food",
ISNUMBER(SEARCH("triple action",E181)),"Triple Action Fertilizer",
ISNUMBER(SEARCH("green max",E181)),"Green Max Lawn Food",
ISNUMBER(SEARCH("patchmaster",E181)),"PatchMaster Repair",
ISNUMBER(SEARCH("ez seed",E181)),"EZ Seed Repair",
ISNUMBER(SEARCH("rapid grass",E181)),"Rapid Grass",
ISNUMBER(SEARCH("thick'r lawn",E181)),"Thick'R Lawn",
ISNUMBER(SEARCH("fungicide",E181)),"Fungicide",
ISNUMBER(SEARCH("moss",E181)),"Moss Control",
ISNUMBER(SEARCH("perlite",E181)),"Perlite",
ISNUMBER(SEARCH("plant food",E181)),"Plant Food",
ISNUMBER(SEARCH("spreader",E181)),"Spreader",
ISNUMBER(SEARCH("sprayer",E181)),"Sprayer",
ISNUMBER(SEARCH("mower",E181)),"Lawn Mower",
ISNUMBER(SEARCH("sweeper",E181)),"Lawn Sweeper",
OR(ISNUMBER(SEARCH("pruner",E181)),ISNUMBER(SEARCH("trimmer",E181)),ISNUMBER(SEARCH("pole saw",E181))),"Pruning Tools",
TRUE,"Other"
)</f>
        <v>Other</v>
      </c>
      <c r="J181" s="7" t="str">
        <f t="shared" si="38"/>
        <v>Grass Seed - Other</v>
      </c>
      <c r="K181" s="4">
        <v>400</v>
      </c>
      <c r="L181" s="4">
        <v>4.3</v>
      </c>
      <c r="M181" s="4">
        <v>2269</v>
      </c>
      <c r="N181" s="4" t="s">
        <v>862</v>
      </c>
      <c r="O181" s="4">
        <f>VLOOKUP(A181,[3]Sheet1!$A:$B,2,0)</f>
        <v>0</v>
      </c>
      <c r="P181" s="4">
        <f>VLOOKUP(A181,[3]Sheet1!$A:$C,3,0)</f>
        <v>0</v>
      </c>
      <c r="Q181" s="4">
        <f>VLOOKUP(A181,[3]Sheet1!$A:$D,4,0)</f>
        <v>0</v>
      </c>
      <c r="R181" s="4">
        <f>VLOOKUP(A181,[3]Sheet1!$A:$E,5,0)</f>
        <v>0</v>
      </c>
      <c r="S181" s="4">
        <f>VLOOKUP(A181,[3]Sheet1!$A:$F,6,0)</f>
        <v>0</v>
      </c>
      <c r="T181" s="4">
        <f>VLOOKUP(A181,[3]Sheet1!$A:$G,7,0)</f>
        <v>0</v>
      </c>
      <c r="U181" s="4">
        <f>VLOOKUP(A181,[3]Sheet1!$A:$I,8,0)</f>
        <v>0</v>
      </c>
      <c r="V181" s="4">
        <f>VLOOKUP(A181,[3]Sheet1!$A:$J,9,0)</f>
        <v>0</v>
      </c>
      <c r="W181" s="4">
        <f>VLOOKUP(A181,[3]Sheet1!$A:$J,10,0)</f>
        <v>100</v>
      </c>
      <c r="X181" s="4">
        <f>VLOOKUP(A181,[3]Sheet1!$A:$K,11,0)</f>
        <v>800</v>
      </c>
      <c r="Y181" s="4">
        <f>VLOOKUP(A181,[3]Sheet1!$A:$L,12,0)</f>
        <v>200</v>
      </c>
      <c r="Z181" s="4">
        <f>VLOOKUP(A181,[3]Sheet1!$A:$M,13,0)</f>
        <v>60</v>
      </c>
      <c r="AA181" s="4">
        <f t="shared" si="48"/>
        <v>1160</v>
      </c>
      <c r="AB181" s="7">
        <f t="shared" si="39"/>
        <v>97</v>
      </c>
      <c r="AC181" s="15">
        <f t="shared" si="49"/>
        <v>96.666666666666671</v>
      </c>
      <c r="AD181" s="16">
        <f t="shared" si="50"/>
        <v>44567.200000000004</v>
      </c>
      <c r="AE181" s="16">
        <f t="shared" si="51"/>
        <v>3713.9333333333338</v>
      </c>
      <c r="AF181" s="16">
        <v>8.1199999999999992</v>
      </c>
      <c r="AG181" s="16">
        <v>38.42</v>
      </c>
      <c r="AH181" s="8">
        <f t="shared" si="52"/>
        <v>0.41653333333333331</v>
      </c>
      <c r="AI181" s="8">
        <f t="shared" si="53"/>
        <v>1.4578666666666664</v>
      </c>
      <c r="AJ181" s="10">
        <v>0.5</v>
      </c>
      <c r="AK181" s="10">
        <v>0.5</v>
      </c>
      <c r="AL181" s="16">
        <v>8.1199999999999992</v>
      </c>
      <c r="AM181" s="9">
        <f t="shared" si="40"/>
        <v>5.7629999999999999</v>
      </c>
      <c r="AN181" s="9">
        <f t="shared" si="41"/>
        <v>1.1526000000000001</v>
      </c>
      <c r="AO181" s="9">
        <f t="shared" si="42"/>
        <v>7.6840000000000011</v>
      </c>
      <c r="AP181" s="9">
        <f t="shared" si="43"/>
        <v>0.76840000000000008</v>
      </c>
      <c r="AQ181" s="9">
        <f t="shared" si="44"/>
        <v>7.6840000000000011</v>
      </c>
      <c r="AR181" s="9">
        <f t="shared" si="45"/>
        <v>9.6050000000000004</v>
      </c>
      <c r="AS181" s="11">
        <f t="shared" si="46"/>
        <v>4.1653333333333329</v>
      </c>
      <c r="AT181" s="12">
        <f t="shared" si="47"/>
        <v>2.8846666666666665</v>
      </c>
    </row>
    <row r="182" spans="1:46" ht="16.5" x14ac:dyDescent="0.4">
      <c r="A182" s="4" t="s">
        <v>863</v>
      </c>
      <c r="B182" s="4" t="s">
        <v>513</v>
      </c>
      <c r="C182" s="7" t="s">
        <v>513</v>
      </c>
      <c r="D182" s="4" t="s">
        <v>864</v>
      </c>
      <c r="E182" s="4" t="s">
        <v>865</v>
      </c>
      <c r="F182" s="4" t="s">
        <v>866</v>
      </c>
      <c r="G182" s="7" t="str">
        <f>VLOOKUP(A182,[1]done!$A:$I,9,0)</f>
        <v>Lawn Fertilizer</v>
      </c>
      <c r="H182" s="7" t="str" cm="1">
        <f t="array" ref="H182">_xlfn.IFS(
OR(ISNUMBER(SEARCH("mouse",E182)),ISNUMBER(SEARCH("rat",E182)),ISNUMBER(SEARCH("mice",E182)),ISNUMBER(SEARCH("rodent",E182))),"Rodent Control",
OR(ISNUMBER(SEARCH("fly",E182)),ISNUMBER(SEARCH("gnat",E182)),ISNUMBER(SEARCH("insect",E182)),ISNUMBER(SEARCH("mosquito",E182))),"Flying Insect Control",
OR(ISNUMBER(SEARCH("roach",E182)),ISNUMBER(SEARCH("ant",E182)),ISNUMBER(SEARCH("spider",E182)),ISNUMBER(SEARCH("cricket",E182)),ISNUMBER(SEARCH("scorpion",E182)),ISNUMBER(SEARCH("centipede",E182)),ISNUMBER(SEARCH("beetle",E182))),"Crawling Insect Control",
OR(ISNUMBER(SEARCH("tree",E182)),ISNUMBER(SEARCH("lantern",E182)),ISNUMBER(SEARCH("garden",E182)),ISNUMBER(SEARCH("plant",E182))),"Garden Pest Control",
OR(ISNUMBER(SEARCH("grass seed",E182)),ISNUMBER(SEARCH("seed mix",E182))),"Grass Seed",
OR(ISNUMBER(SEARCH("lawn food",E182)),ISNUMBER(SEARCH("fertilizer",E182))),"Lawn Fertilizer",
OR(ISNUMBER(SEARCH("patch",E182)),ISNUMBER(SEARCH("repair",E182)),ISNUMBER(SEARCH("thick'r",E182)),ISNUMBER(SEARCH("thick'r lawn",E182)),ISNUMBER(SEARCH("rapid grass",E182))),"Lawn Repair",
OR(ISNUMBER(SEARCH("weed",E182)),ISNUMBER(SEARCH("crabgrass",E182))),"Weed Control",
OR(ISNUMBER(SEARCH("fungicide",E182)),ISNUMBER(SEARCH("moss",E182))),"Disease &amp; Moss Control",
OR(ISNUMBER(SEARCH("plant food",E182)),ISNUMBER(SEARCH("miracid",E182))),"Plant Nutrition",
OR(ISNUMBER(SEARCH("perlite",E182))),"Soil Amendment",
OR(ISNUMBER(SEARCH("spreader",E182)),ISNUMBER(SEARCH("sprayer",E182)),ISNUMBER(SEARCH("mower",E182)),ISNUMBER(SEARCH("sweeper",E182)),ISNUMBER(SEARCH("pruner",E182)),ISNUMBER(SEARCH("trimmer",E182)),ISNUMBER(SEARCH("pole saw",E182))),"Garden Equipment",
TRUE,"Other"
)</f>
        <v>Weed Control</v>
      </c>
      <c r="I182" s="7" t="str" cm="1">
        <f t="array" ref="I182">_xlfn.IFS(
OR(ISNUMBER(SEARCH("glue trap",E182)),ISNUMBER(SEARCH("glue board",E182))),"Glue Traps",
OR(ISNUMBER(SEARCH("snap trap",E182)),ISNUMBER(SEARCH("power-kill",E182)),ISNUMBER(SEARCH("wide pedal",E182)),ISNUMBER(SEARCH("metal pedal",E182))),"Snap Traps",
OR(ISNUMBER(SEARCH("electronic",E182)),ISNUMBER(SEARCH("zapper",E182))),"Electronic Traps",
OR(ISNUMBER(SEARCH("live catch",E182)),ISNUMBER(SEARCH("multi-catch",E182)),ISNUMBER(SEARCH("catch &amp; hold",E182)),ISNUMBER(SEARCH("tin cat",E182))),"Live Catch Traps",
OR(ISNUMBER(SEARCH("bait",E182)),ISNUMBER(SEARCH("poison",E182))),"Bait &amp; Poison",
ISNUMBER(SEARCH("repellent",E182)),"Repellents",
OR(ISNUMBER(SEARCH("fly trap",E182)),ISNUMBER(SEARCH("fly ribbon",E182)),ISNUMBER(SEARCH("fly stick",E182)),ISNUMBER(SEARCH("window fly",E182)),ISNUMBER(SEARCH("fly magnet",E182))),"Fly Traps",
OR(ISNUMBER(SEARCH("uv",E182)),ISNUMBER(SEARCH("fly light",E182)),ISNUMBER(SEARCH("plug-in",E182))),"UV Fly Traps",
ISNUMBER(SEARCH("roach",E182)),"Roach Traps",
ISNUMBER(SEARCH("ant",E182)),"Ant Traps",
ISNUMBER(SEARCH("spider",E182)),"Spider Traps",
ISNUMBER(SEARCH("mosquito",E182)),"Mosquito Traps",
ISNUMBER(SEARCH("beetle",E182)),"Beetle Traps",
ISNUMBER(SEARCH("lantern",E182)),"Lanternfly Control",
OR(ISNUMBER(SEARCH("tree shield",E182)),ISNUMBER(SEARCH("tree banding",E182)),ISNUMBER(SEARCH("insect barrier",E182))),"Tree Barriers",
OR(ISNUMBER(SEARCH("sun &amp; shade",E182)),ISNUMBER(SEARCH("sun and shade",E182))),"Sun &amp; Shade Mix",
ISNUMBER(SEARCH("tall fescue",E182)),"Tall Fescue",
ISNUMBER(SEARCH("bermudagrass",E182)),"Bermudagrass",
ISNUMBER(SEARCH("kentucky",E182)),"Kentucky Bluegrass",
ISNUMBER(SEARCH("zoysia",E182)),"Zoysia",
ISNUMBER(SEARCH("ryegrass",E182)),"Perennial Ryegrass",
ISNUMBER(SEARCH("centipede",E182)),"Centipede Grass",
ISNUMBER(SEARCH("dense shade",E182)),"Dense Shade Mix",
ISNUMBER(SEARCH("southern gold",E182)),"Southern Gold Mix",
ISNUMBER(SEARCH("heat-tolerant blue",E182)),"Heat-Tolerant Blue Mix",
ISNUMBER(SEARCH("high traffic",E182)),"High Traffic Mix",
ISNUMBER(SEARCH("quick fix",E182)),"Quick Fix Mix",
ISNUMBER(SEARCH("starter",E182)),"Starter Fertilizer",
ISNUMBER(SEARCH("weed &amp; feed",E182)),"Weed &amp; Feed",
ISNUMBER(SEARCH("lawn food",E182)),"Lawn Food",
ISNUMBER(SEARCH("triple action",E182)),"Triple Action Fertilizer",
ISNUMBER(SEARCH("green max",E182)),"Green Max Lawn Food",
ISNUMBER(SEARCH("patchmaster",E182)),"PatchMaster Repair",
ISNUMBER(SEARCH("ez seed",E182)),"EZ Seed Repair",
ISNUMBER(SEARCH("rapid grass",E182)),"Rapid Grass",
ISNUMBER(SEARCH("thick'r lawn",E182)),"Thick'R Lawn",
ISNUMBER(SEARCH("fungicide",E182)),"Fungicide",
ISNUMBER(SEARCH("moss",E182)),"Moss Control",
ISNUMBER(SEARCH("perlite",E182)),"Perlite",
ISNUMBER(SEARCH("plant food",E182)),"Plant Food",
ISNUMBER(SEARCH("spreader",E182)),"Spreader",
ISNUMBER(SEARCH("sprayer",E182)),"Sprayer",
ISNUMBER(SEARCH("mower",E182)),"Lawn Mower",
ISNUMBER(SEARCH("sweeper",E182)),"Lawn Sweeper",
OR(ISNUMBER(SEARCH("pruner",E182)),ISNUMBER(SEARCH("trimmer",E182)),ISNUMBER(SEARCH("pole saw",E182))),"Pruning Tools",
TRUE,"Other"
)</f>
        <v>Weed &amp; Feed</v>
      </c>
      <c r="J182" s="7" t="str">
        <f t="shared" si="38"/>
        <v>Weed Control - Weed &amp; Feed</v>
      </c>
      <c r="K182" s="4">
        <v>400</v>
      </c>
      <c r="L182" s="4">
        <v>4.5</v>
      </c>
      <c r="M182" s="4">
        <v>5432</v>
      </c>
      <c r="N182" s="4" t="s">
        <v>526</v>
      </c>
      <c r="O182" s="4">
        <f>VLOOKUP(A182,[3]Sheet1!$A:$B,2,0)</f>
        <v>200</v>
      </c>
      <c r="P182" s="4">
        <f>VLOOKUP(A182,[3]Sheet1!$A:$C,3,0)</f>
        <v>200</v>
      </c>
      <c r="Q182" s="4">
        <f>VLOOKUP(A182,[3]Sheet1!$A:$D,4,0)</f>
        <v>6000</v>
      </c>
      <c r="R182" s="4">
        <f>VLOOKUP(A182,[3]Sheet1!$A:$E,5,0)</f>
        <v>4000</v>
      </c>
      <c r="S182" s="4">
        <f>VLOOKUP(A182,[3]Sheet1!$A:$F,6,0)</f>
        <v>1000</v>
      </c>
      <c r="T182" s="4">
        <f>VLOOKUP(A182,[3]Sheet1!$A:$G,7,0)</f>
        <v>1000</v>
      </c>
      <c r="U182" s="4">
        <f>VLOOKUP(A182,[3]Sheet1!$A:$I,8,0)</f>
        <v>400</v>
      </c>
      <c r="V182" s="4">
        <f>VLOOKUP(A182,[3]Sheet1!$A:$J,9,0)</f>
        <v>200</v>
      </c>
      <c r="W182" s="4">
        <f>VLOOKUP(A182,[3]Sheet1!$A:$J,10,0)</f>
        <v>400</v>
      </c>
      <c r="X182" s="4">
        <f>VLOOKUP(A182,[3]Sheet1!$A:$K,11,0)</f>
        <v>400</v>
      </c>
      <c r="Y182" s="4">
        <f>VLOOKUP(A182,[3]Sheet1!$A:$L,12,0)</f>
        <v>200</v>
      </c>
      <c r="Z182" s="4">
        <f>VLOOKUP(A182,[3]Sheet1!$A:$M,13,0)</f>
        <v>200</v>
      </c>
      <c r="AA182" s="4">
        <f t="shared" si="48"/>
        <v>14200</v>
      </c>
      <c r="AB182" s="7">
        <f t="shared" si="39"/>
        <v>1183</v>
      </c>
      <c r="AC182" s="15">
        <f t="shared" si="49"/>
        <v>1183.3333333333333</v>
      </c>
      <c r="AD182" s="16">
        <f t="shared" si="50"/>
        <v>511058</v>
      </c>
      <c r="AE182" s="16">
        <f t="shared" si="51"/>
        <v>42588.166666666664</v>
      </c>
      <c r="AF182" s="16">
        <v>12.02</v>
      </c>
      <c r="AG182" s="16">
        <v>35.99</v>
      </c>
      <c r="AH182" s="8">
        <f t="shared" si="52"/>
        <v>9.1733333333333417E-2</v>
      </c>
      <c r="AI182" s="8">
        <f t="shared" si="53"/>
        <v>0.32106666666666694</v>
      </c>
      <c r="AJ182" s="10">
        <v>0.5</v>
      </c>
      <c r="AK182" s="10">
        <v>0.5</v>
      </c>
      <c r="AL182" s="16">
        <v>12.02</v>
      </c>
      <c r="AM182" s="9">
        <f t="shared" si="40"/>
        <v>5.3985000000000003</v>
      </c>
      <c r="AN182" s="9">
        <f t="shared" si="41"/>
        <v>1.0797000000000001</v>
      </c>
      <c r="AO182" s="9">
        <f t="shared" si="42"/>
        <v>7.1980000000000004</v>
      </c>
      <c r="AP182" s="9">
        <f t="shared" si="43"/>
        <v>0.71980000000000011</v>
      </c>
      <c r="AQ182" s="9">
        <f t="shared" si="44"/>
        <v>7.1980000000000004</v>
      </c>
      <c r="AR182" s="9">
        <f t="shared" si="45"/>
        <v>8.9975000000000005</v>
      </c>
      <c r="AS182" s="11">
        <f t="shared" si="46"/>
        <v>0.91733333333333411</v>
      </c>
      <c r="AT182" s="12">
        <f t="shared" si="47"/>
        <v>-0.2823333333333326</v>
      </c>
    </row>
    <row r="183" spans="1:46" ht="16.5" x14ac:dyDescent="0.4">
      <c r="A183" s="4" t="s">
        <v>867</v>
      </c>
      <c r="B183" s="4" t="s">
        <v>513</v>
      </c>
      <c r="C183" s="7" t="s">
        <v>1784</v>
      </c>
      <c r="D183" s="4" t="s">
        <v>868</v>
      </c>
      <c r="E183" s="4" t="s">
        <v>869</v>
      </c>
      <c r="F183" s="4" t="s">
        <v>870</v>
      </c>
      <c r="G183" s="7" t="str">
        <f>VLOOKUP(A183,[1]done!$A:$I,9,0)</f>
        <v>Other Glue boards for insects or rodents</v>
      </c>
      <c r="H183" s="7" t="str" cm="1">
        <f t="array" ref="H183">_xlfn.IFS(
OR(ISNUMBER(SEARCH("mouse",E183)),ISNUMBER(SEARCH("rat",E183)),ISNUMBER(SEARCH("mice",E183)),ISNUMBER(SEARCH("rodent",E183))),"Rodent Control",
OR(ISNUMBER(SEARCH("fly",E183)),ISNUMBER(SEARCH("gnat",E183)),ISNUMBER(SEARCH("insect",E183)),ISNUMBER(SEARCH("mosquito",E183))),"Flying Insect Control",
OR(ISNUMBER(SEARCH("roach",E183)),ISNUMBER(SEARCH("ant",E183)),ISNUMBER(SEARCH("spider",E183)),ISNUMBER(SEARCH("cricket",E183)),ISNUMBER(SEARCH("scorpion",E183)),ISNUMBER(SEARCH("centipede",E183)),ISNUMBER(SEARCH("beetle",E183))),"Crawling Insect Control",
OR(ISNUMBER(SEARCH("tree",E183)),ISNUMBER(SEARCH("lantern",E183)),ISNUMBER(SEARCH("garden",E183)),ISNUMBER(SEARCH("plant",E183))),"Garden Pest Control",
OR(ISNUMBER(SEARCH("grass seed",E183)),ISNUMBER(SEARCH("seed mix",E183))),"Grass Seed",
OR(ISNUMBER(SEARCH("lawn food",E183)),ISNUMBER(SEARCH("fertilizer",E183))),"Lawn Fertilizer",
OR(ISNUMBER(SEARCH("patch",E183)),ISNUMBER(SEARCH("repair",E183)),ISNUMBER(SEARCH("thick'r",E183)),ISNUMBER(SEARCH("thick'r lawn",E183)),ISNUMBER(SEARCH("rapid grass",E183))),"Lawn Repair",
OR(ISNUMBER(SEARCH("weed",E183)),ISNUMBER(SEARCH("crabgrass",E183))),"Weed Control",
OR(ISNUMBER(SEARCH("fungicide",E183)),ISNUMBER(SEARCH("moss",E183))),"Disease &amp; Moss Control",
OR(ISNUMBER(SEARCH("plant food",E183)),ISNUMBER(SEARCH("miracid",E183))),"Plant Nutrition",
OR(ISNUMBER(SEARCH("perlite",E183))),"Soil Amendment",
OR(ISNUMBER(SEARCH("spreader",E183)),ISNUMBER(SEARCH("sprayer",E183)),ISNUMBER(SEARCH("mower",E183)),ISNUMBER(SEARCH("sweeper",E183)),ISNUMBER(SEARCH("pruner",E183)),ISNUMBER(SEARCH("trimmer",E183)),ISNUMBER(SEARCH("pole saw",E183))),"Garden Equipment",
TRUE,"Other"
)</f>
        <v>Disease &amp; Moss Control</v>
      </c>
      <c r="I183" s="7" t="str" cm="1">
        <f t="array" ref="I183">_xlfn.IFS(
OR(ISNUMBER(SEARCH("glue trap",E183)),ISNUMBER(SEARCH("glue board",E183))),"Glue Traps",
OR(ISNUMBER(SEARCH("snap trap",E183)),ISNUMBER(SEARCH("power-kill",E183)),ISNUMBER(SEARCH("wide pedal",E183)),ISNUMBER(SEARCH("metal pedal",E183))),"Snap Traps",
OR(ISNUMBER(SEARCH("electronic",E183)),ISNUMBER(SEARCH("zapper",E183))),"Electronic Traps",
OR(ISNUMBER(SEARCH("live catch",E183)),ISNUMBER(SEARCH("multi-catch",E183)),ISNUMBER(SEARCH("catch &amp; hold",E183)),ISNUMBER(SEARCH("tin cat",E183))),"Live Catch Traps",
OR(ISNUMBER(SEARCH("bait",E183)),ISNUMBER(SEARCH("poison",E183))),"Bait &amp; Poison",
ISNUMBER(SEARCH("repellent",E183)),"Repellents",
OR(ISNUMBER(SEARCH("fly trap",E183)),ISNUMBER(SEARCH("fly ribbon",E183)),ISNUMBER(SEARCH("fly stick",E183)),ISNUMBER(SEARCH("window fly",E183)),ISNUMBER(SEARCH("fly magnet",E183))),"Fly Traps",
OR(ISNUMBER(SEARCH("uv",E183)),ISNUMBER(SEARCH("fly light",E183)),ISNUMBER(SEARCH("plug-in",E183))),"UV Fly Traps",
ISNUMBER(SEARCH("roach",E183)),"Roach Traps",
ISNUMBER(SEARCH("ant",E183)),"Ant Traps",
ISNUMBER(SEARCH("spider",E183)),"Spider Traps",
ISNUMBER(SEARCH("mosquito",E183)),"Mosquito Traps",
ISNUMBER(SEARCH("beetle",E183)),"Beetle Traps",
ISNUMBER(SEARCH("lantern",E183)),"Lanternfly Control",
OR(ISNUMBER(SEARCH("tree shield",E183)),ISNUMBER(SEARCH("tree banding",E183)),ISNUMBER(SEARCH("insect barrier",E183))),"Tree Barriers",
OR(ISNUMBER(SEARCH("sun &amp; shade",E183)),ISNUMBER(SEARCH("sun and shade",E183))),"Sun &amp; Shade Mix",
ISNUMBER(SEARCH("tall fescue",E183)),"Tall Fescue",
ISNUMBER(SEARCH("bermudagrass",E183)),"Bermudagrass",
ISNUMBER(SEARCH("kentucky",E183)),"Kentucky Bluegrass",
ISNUMBER(SEARCH("zoysia",E183)),"Zoysia",
ISNUMBER(SEARCH("ryegrass",E183)),"Perennial Ryegrass",
ISNUMBER(SEARCH("centipede",E183)),"Centipede Grass",
ISNUMBER(SEARCH("dense shade",E183)),"Dense Shade Mix",
ISNUMBER(SEARCH("southern gold",E183)),"Southern Gold Mix",
ISNUMBER(SEARCH("heat-tolerant blue",E183)),"Heat-Tolerant Blue Mix",
ISNUMBER(SEARCH("high traffic",E183)),"High Traffic Mix",
ISNUMBER(SEARCH("quick fix",E183)),"Quick Fix Mix",
ISNUMBER(SEARCH("starter",E183)),"Starter Fertilizer",
ISNUMBER(SEARCH("weed &amp; feed",E183)),"Weed &amp; Feed",
ISNUMBER(SEARCH("lawn food",E183)),"Lawn Food",
ISNUMBER(SEARCH("triple action",E183)),"Triple Action Fertilizer",
ISNUMBER(SEARCH("green max",E183)),"Green Max Lawn Food",
ISNUMBER(SEARCH("patchmaster",E183)),"PatchMaster Repair",
ISNUMBER(SEARCH("ez seed",E183)),"EZ Seed Repair",
ISNUMBER(SEARCH("rapid grass",E183)),"Rapid Grass",
ISNUMBER(SEARCH("thick'r lawn",E183)),"Thick'R Lawn",
ISNUMBER(SEARCH("fungicide",E183)),"Fungicide",
ISNUMBER(SEARCH("moss",E183)),"Moss Control",
ISNUMBER(SEARCH("perlite",E183)),"Perlite",
ISNUMBER(SEARCH("plant food",E183)),"Plant Food",
ISNUMBER(SEARCH("spreader",E183)),"Spreader",
ISNUMBER(SEARCH("sprayer",E183)),"Sprayer",
ISNUMBER(SEARCH("mower",E183)),"Lawn Mower",
ISNUMBER(SEARCH("sweeper",E183)),"Lawn Sweeper",
OR(ISNUMBER(SEARCH("pruner",E183)),ISNUMBER(SEARCH("trimmer",E183)),ISNUMBER(SEARCH("pole saw",E183))),"Pruning Tools",
TRUE,"Other"
)</f>
        <v>Moss Control</v>
      </c>
      <c r="J183" s="7" t="str">
        <f t="shared" si="38"/>
        <v>Disease &amp; Moss Control - Moss Control</v>
      </c>
      <c r="K183" s="4">
        <v>400</v>
      </c>
      <c r="L183" s="4">
        <v>3.8</v>
      </c>
      <c r="M183" s="4">
        <v>1539</v>
      </c>
      <c r="N183" s="4" t="s">
        <v>871</v>
      </c>
      <c r="O183" s="4">
        <f>VLOOKUP(A183,[3]Sheet1!$A:$B,2,0)</f>
        <v>200</v>
      </c>
      <c r="P183" s="4">
        <f>VLOOKUP(A183,[3]Sheet1!$A:$C,3,0)</f>
        <v>200</v>
      </c>
      <c r="Q183" s="4">
        <f>VLOOKUP(A183,[3]Sheet1!$A:$D,4,0)</f>
        <v>400</v>
      </c>
      <c r="R183" s="4">
        <f>VLOOKUP(A183,[3]Sheet1!$A:$E,5,0)</f>
        <v>600</v>
      </c>
      <c r="S183" s="4">
        <f>VLOOKUP(A183,[3]Sheet1!$A:$F,6,0)</f>
        <v>1000</v>
      </c>
      <c r="T183" s="4">
        <f>VLOOKUP(A183,[3]Sheet1!$A:$G,7,0)</f>
        <v>800</v>
      </c>
      <c r="U183" s="4">
        <f>VLOOKUP(A183,[3]Sheet1!$A:$I,8,0)</f>
        <v>300</v>
      </c>
      <c r="V183" s="4">
        <f>VLOOKUP(A183,[3]Sheet1!$A:$J,9,0)</f>
        <v>200</v>
      </c>
      <c r="W183" s="4">
        <f>VLOOKUP(A183,[3]Sheet1!$A:$J,10,0)</f>
        <v>300</v>
      </c>
      <c r="X183" s="4">
        <f>VLOOKUP(A183,[3]Sheet1!$A:$K,11,0)</f>
        <v>600</v>
      </c>
      <c r="Y183" s="4">
        <f>VLOOKUP(A183,[3]Sheet1!$A:$L,12,0)</f>
        <v>200</v>
      </c>
      <c r="Z183" s="4">
        <f>VLOOKUP(A183,[3]Sheet1!$A:$M,13,0)</f>
        <v>200</v>
      </c>
      <c r="AA183" s="4">
        <f t="shared" si="48"/>
        <v>5000</v>
      </c>
      <c r="AB183" s="7">
        <f t="shared" si="39"/>
        <v>417</v>
      </c>
      <c r="AC183" s="15">
        <f t="shared" si="49"/>
        <v>416.66666666666669</v>
      </c>
      <c r="AD183" s="16">
        <f t="shared" si="50"/>
        <v>114949.99999999999</v>
      </c>
      <c r="AE183" s="16">
        <f t="shared" si="51"/>
        <v>9579.1666666666661</v>
      </c>
      <c r="AF183" s="16">
        <v>6.31</v>
      </c>
      <c r="AG183" s="16">
        <v>22.99</v>
      </c>
      <c r="AH183" s="8">
        <f t="shared" si="52"/>
        <v>0.12573333333333328</v>
      </c>
      <c r="AI183" s="8">
        <f t="shared" si="53"/>
        <v>0.44006666666666644</v>
      </c>
      <c r="AJ183" s="10">
        <v>0.5</v>
      </c>
      <c r="AK183" s="10">
        <v>0.5</v>
      </c>
      <c r="AL183" s="16">
        <v>6.31</v>
      </c>
      <c r="AM183" s="9">
        <f t="shared" si="40"/>
        <v>3.4484999999999997</v>
      </c>
      <c r="AN183" s="9">
        <f t="shared" si="41"/>
        <v>0.68969999999999998</v>
      </c>
      <c r="AO183" s="9">
        <f t="shared" si="42"/>
        <v>4.5979999999999999</v>
      </c>
      <c r="AP183" s="9">
        <f t="shared" si="43"/>
        <v>0.45979999999999999</v>
      </c>
      <c r="AQ183" s="9">
        <f t="shared" si="44"/>
        <v>4.5979999999999999</v>
      </c>
      <c r="AR183" s="9">
        <f t="shared" si="45"/>
        <v>5.7474999999999996</v>
      </c>
      <c r="AS183" s="11">
        <f t="shared" si="46"/>
        <v>1.2573333333333327</v>
      </c>
      <c r="AT183" s="12">
        <f t="shared" si="47"/>
        <v>0.49099999999999966</v>
      </c>
    </row>
    <row r="184" spans="1:46" ht="16.5" x14ac:dyDescent="0.4">
      <c r="A184" s="4" t="s">
        <v>872</v>
      </c>
      <c r="B184" s="4" t="s">
        <v>513</v>
      </c>
      <c r="C184" s="7" t="s">
        <v>1790</v>
      </c>
      <c r="D184" s="4" t="s">
        <v>873</v>
      </c>
      <c r="E184" s="4" t="s">
        <v>874</v>
      </c>
      <c r="F184" s="4" t="s">
        <v>875</v>
      </c>
      <c r="G184" s="7" t="str">
        <f>VLOOKUP(A184,[1]done!$A:$I,9,0)</f>
        <v>Lawn Fertilizer</v>
      </c>
      <c r="H184" s="7" t="str" cm="1">
        <f t="array" ref="H184">_xlfn.IFS(
OR(ISNUMBER(SEARCH("mouse",E184)),ISNUMBER(SEARCH("rat",E184)),ISNUMBER(SEARCH("mice",E184)),ISNUMBER(SEARCH("rodent",E184))),"Rodent Control",
OR(ISNUMBER(SEARCH("fly",E184)),ISNUMBER(SEARCH("gnat",E184)),ISNUMBER(SEARCH("insect",E184)),ISNUMBER(SEARCH("mosquito",E184))),"Flying Insect Control",
OR(ISNUMBER(SEARCH("roach",E184)),ISNUMBER(SEARCH("ant",E184)),ISNUMBER(SEARCH("spider",E184)),ISNUMBER(SEARCH("cricket",E184)),ISNUMBER(SEARCH("scorpion",E184)),ISNUMBER(SEARCH("centipede",E184)),ISNUMBER(SEARCH("beetle",E184))),"Crawling Insect Control",
OR(ISNUMBER(SEARCH("tree",E184)),ISNUMBER(SEARCH("lantern",E184)),ISNUMBER(SEARCH("garden",E184)),ISNUMBER(SEARCH("plant",E184))),"Garden Pest Control",
OR(ISNUMBER(SEARCH("grass seed",E184)),ISNUMBER(SEARCH("seed mix",E184))),"Grass Seed",
OR(ISNUMBER(SEARCH("lawn food",E184)),ISNUMBER(SEARCH("fertilizer",E184))),"Lawn Fertilizer",
OR(ISNUMBER(SEARCH("patch",E184)),ISNUMBER(SEARCH("repair",E184)),ISNUMBER(SEARCH("thick'r",E184)),ISNUMBER(SEARCH("thick'r lawn",E184)),ISNUMBER(SEARCH("rapid grass",E184))),"Lawn Repair",
OR(ISNUMBER(SEARCH("weed",E184)),ISNUMBER(SEARCH("crabgrass",E184))),"Weed Control",
OR(ISNUMBER(SEARCH("fungicide",E184)),ISNUMBER(SEARCH("moss",E184))),"Disease &amp; Moss Control",
OR(ISNUMBER(SEARCH("plant food",E184)),ISNUMBER(SEARCH("miracid",E184))),"Plant Nutrition",
OR(ISNUMBER(SEARCH("perlite",E184))),"Soil Amendment",
OR(ISNUMBER(SEARCH("spreader",E184)),ISNUMBER(SEARCH("sprayer",E184)),ISNUMBER(SEARCH("mower",E184)),ISNUMBER(SEARCH("sweeper",E184)),ISNUMBER(SEARCH("pruner",E184)),ISNUMBER(SEARCH("trimmer",E184)),ISNUMBER(SEARCH("pole saw",E184))),"Garden Equipment",
TRUE,"Other"
)</f>
        <v>Other</v>
      </c>
      <c r="I184" s="7" t="str" cm="1">
        <f t="array" ref="I184">_xlfn.IFS(
OR(ISNUMBER(SEARCH("glue trap",E184)),ISNUMBER(SEARCH("glue board",E184))),"Glue Traps",
OR(ISNUMBER(SEARCH("snap trap",E184)),ISNUMBER(SEARCH("power-kill",E184)),ISNUMBER(SEARCH("wide pedal",E184)),ISNUMBER(SEARCH("metal pedal",E184))),"Snap Traps",
OR(ISNUMBER(SEARCH("electronic",E184)),ISNUMBER(SEARCH("zapper",E184))),"Electronic Traps",
OR(ISNUMBER(SEARCH("live catch",E184)),ISNUMBER(SEARCH("multi-catch",E184)),ISNUMBER(SEARCH("catch &amp; hold",E184)),ISNUMBER(SEARCH("tin cat",E184))),"Live Catch Traps",
OR(ISNUMBER(SEARCH("bait",E184)),ISNUMBER(SEARCH("poison",E184))),"Bait &amp; Poison",
ISNUMBER(SEARCH("repellent",E184)),"Repellents",
OR(ISNUMBER(SEARCH("fly trap",E184)),ISNUMBER(SEARCH("fly ribbon",E184)),ISNUMBER(SEARCH("fly stick",E184)),ISNUMBER(SEARCH("window fly",E184)),ISNUMBER(SEARCH("fly magnet",E184))),"Fly Traps",
OR(ISNUMBER(SEARCH("uv",E184)),ISNUMBER(SEARCH("fly light",E184)),ISNUMBER(SEARCH("plug-in",E184))),"UV Fly Traps",
ISNUMBER(SEARCH("roach",E184)),"Roach Traps",
ISNUMBER(SEARCH("ant",E184)),"Ant Traps",
ISNUMBER(SEARCH("spider",E184)),"Spider Traps",
ISNUMBER(SEARCH("mosquito",E184)),"Mosquito Traps",
ISNUMBER(SEARCH("beetle",E184)),"Beetle Traps",
ISNUMBER(SEARCH("lantern",E184)),"Lanternfly Control",
OR(ISNUMBER(SEARCH("tree shield",E184)),ISNUMBER(SEARCH("tree banding",E184)),ISNUMBER(SEARCH("insect barrier",E184))),"Tree Barriers",
OR(ISNUMBER(SEARCH("sun &amp; shade",E184)),ISNUMBER(SEARCH("sun and shade",E184))),"Sun &amp; Shade Mix",
ISNUMBER(SEARCH("tall fescue",E184)),"Tall Fescue",
ISNUMBER(SEARCH("bermudagrass",E184)),"Bermudagrass",
ISNUMBER(SEARCH("kentucky",E184)),"Kentucky Bluegrass",
ISNUMBER(SEARCH("zoysia",E184)),"Zoysia",
ISNUMBER(SEARCH("ryegrass",E184)),"Perennial Ryegrass",
ISNUMBER(SEARCH("centipede",E184)),"Centipede Grass",
ISNUMBER(SEARCH("dense shade",E184)),"Dense Shade Mix",
ISNUMBER(SEARCH("southern gold",E184)),"Southern Gold Mix",
ISNUMBER(SEARCH("heat-tolerant blue",E184)),"Heat-Tolerant Blue Mix",
ISNUMBER(SEARCH("high traffic",E184)),"High Traffic Mix",
ISNUMBER(SEARCH("quick fix",E184)),"Quick Fix Mix",
ISNUMBER(SEARCH("starter",E184)),"Starter Fertilizer",
ISNUMBER(SEARCH("weed &amp; feed",E184)),"Weed &amp; Feed",
ISNUMBER(SEARCH("lawn food",E184)),"Lawn Food",
ISNUMBER(SEARCH("triple action",E184)),"Triple Action Fertilizer",
ISNUMBER(SEARCH("green max",E184)),"Green Max Lawn Food",
ISNUMBER(SEARCH("patchmaster",E184)),"PatchMaster Repair",
ISNUMBER(SEARCH("ez seed",E184)),"EZ Seed Repair",
ISNUMBER(SEARCH("rapid grass",E184)),"Rapid Grass",
ISNUMBER(SEARCH("thick'r lawn",E184)),"Thick'R Lawn",
ISNUMBER(SEARCH("fungicide",E184)),"Fungicide",
ISNUMBER(SEARCH("moss",E184)),"Moss Control",
ISNUMBER(SEARCH("perlite",E184)),"Perlite",
ISNUMBER(SEARCH("plant food",E184)),"Plant Food",
ISNUMBER(SEARCH("spreader",E184)),"Spreader",
ISNUMBER(SEARCH("sprayer",E184)),"Sprayer",
ISNUMBER(SEARCH("mower",E184)),"Lawn Mower",
ISNUMBER(SEARCH("sweeper",E184)),"Lawn Sweeper",
OR(ISNUMBER(SEARCH("pruner",E184)),ISNUMBER(SEARCH("trimmer",E184)),ISNUMBER(SEARCH("pole saw",E184))),"Pruning Tools",
TRUE,"Other"
)</f>
        <v>Triple Action Fertilizer</v>
      </c>
      <c r="J184" s="7" t="str">
        <f t="shared" si="38"/>
        <v>Other - Triple Action Fertilizer</v>
      </c>
      <c r="K184" s="4">
        <v>400</v>
      </c>
      <c r="L184" s="4">
        <v>4.4000000000000004</v>
      </c>
      <c r="M184" s="4">
        <v>1593</v>
      </c>
      <c r="N184" s="4" t="s">
        <v>540</v>
      </c>
      <c r="O184" s="4">
        <f>VLOOKUP(A184,[3]Sheet1!$A:$B,2,0)</f>
        <v>100</v>
      </c>
      <c r="P184" s="4">
        <f>VLOOKUP(A184,[3]Sheet1!$A:$C,3,0)</f>
        <v>100</v>
      </c>
      <c r="Q184" s="4">
        <f>VLOOKUP(A184,[3]Sheet1!$A:$D,4,0)</f>
        <v>4000</v>
      </c>
      <c r="R184" s="4">
        <f>VLOOKUP(A184,[3]Sheet1!$A:$E,5,0)</f>
        <v>5000</v>
      </c>
      <c r="S184" s="4">
        <f>VLOOKUP(A184,[3]Sheet1!$A:$F,6,0)</f>
        <v>4000</v>
      </c>
      <c r="T184" s="4">
        <f>VLOOKUP(A184,[3]Sheet1!$A:$G,7,0)</f>
        <v>1000</v>
      </c>
      <c r="U184" s="4">
        <f>VLOOKUP(A184,[3]Sheet1!$A:$I,8,0)</f>
        <v>1000</v>
      </c>
      <c r="V184" s="4">
        <f>VLOOKUP(A184,[3]Sheet1!$A:$J,9,0)</f>
        <v>500</v>
      </c>
      <c r="W184" s="4">
        <f>VLOOKUP(A184,[3]Sheet1!$A:$J,10,0)</f>
        <v>500</v>
      </c>
      <c r="X184" s="4">
        <f>VLOOKUP(A184,[3]Sheet1!$A:$K,11,0)</f>
        <v>300</v>
      </c>
      <c r="Y184" s="4">
        <f>VLOOKUP(A184,[3]Sheet1!$A:$L,12,0)</f>
        <v>100</v>
      </c>
      <c r="Z184" s="4">
        <f>VLOOKUP(A184,[3]Sheet1!$A:$M,13,0)</f>
        <v>100</v>
      </c>
      <c r="AA184" s="4">
        <f t="shared" si="48"/>
        <v>16700</v>
      </c>
      <c r="AB184" s="7">
        <f t="shared" si="39"/>
        <v>1392</v>
      </c>
      <c r="AC184" s="15">
        <f t="shared" si="49"/>
        <v>1391.6666666666667</v>
      </c>
      <c r="AD184" s="16">
        <f t="shared" si="50"/>
        <v>1669499</v>
      </c>
      <c r="AE184" s="16">
        <f t="shared" si="51"/>
        <v>139124.91666666669</v>
      </c>
      <c r="AF184" s="16">
        <v>23.16</v>
      </c>
      <c r="AG184" s="16">
        <v>99.97</v>
      </c>
      <c r="AH184" s="8">
        <f t="shared" si="52"/>
        <v>1.0552000000000001</v>
      </c>
      <c r="AI184" s="8">
        <f t="shared" si="53"/>
        <v>3.6932</v>
      </c>
      <c r="AJ184" s="10">
        <v>0.5</v>
      </c>
      <c r="AK184" s="10">
        <v>0.5</v>
      </c>
      <c r="AL184" s="16">
        <v>23.16</v>
      </c>
      <c r="AM184" s="9">
        <f t="shared" si="40"/>
        <v>14.9955</v>
      </c>
      <c r="AN184" s="9">
        <f t="shared" si="41"/>
        <v>2.9990999999999999</v>
      </c>
      <c r="AO184" s="9">
        <f t="shared" si="42"/>
        <v>19.994</v>
      </c>
      <c r="AP184" s="9">
        <f t="shared" si="43"/>
        <v>1.9994000000000001</v>
      </c>
      <c r="AQ184" s="9">
        <f t="shared" si="44"/>
        <v>19.994</v>
      </c>
      <c r="AR184" s="9">
        <f t="shared" si="45"/>
        <v>24.9925</v>
      </c>
      <c r="AS184" s="11">
        <f t="shared" si="46"/>
        <v>10.552000000000001</v>
      </c>
      <c r="AT184" s="12">
        <f t="shared" si="47"/>
        <v>7.2196666666666687</v>
      </c>
    </row>
    <row r="185" spans="1:46" ht="16.5" x14ac:dyDescent="0.4">
      <c r="A185" s="4" t="s">
        <v>876</v>
      </c>
      <c r="B185" s="4" t="s">
        <v>513</v>
      </c>
      <c r="C185" s="7" t="s">
        <v>1784</v>
      </c>
      <c r="D185" s="4" t="s">
        <v>877</v>
      </c>
      <c r="E185" s="4" t="s">
        <v>878</v>
      </c>
      <c r="F185" s="4" t="s">
        <v>879</v>
      </c>
      <c r="G185" s="7" t="str">
        <f>VLOOKUP(A185,[1]done!$A:$I,9,0)</f>
        <v>Weed Control</v>
      </c>
      <c r="H185" s="7" t="str" cm="1">
        <f t="array" ref="H185">_xlfn.IFS(
OR(ISNUMBER(SEARCH("mouse",E185)),ISNUMBER(SEARCH("rat",E185)),ISNUMBER(SEARCH("mice",E185)),ISNUMBER(SEARCH("rodent",E185))),"Rodent Control",
OR(ISNUMBER(SEARCH("fly",E185)),ISNUMBER(SEARCH("gnat",E185)),ISNUMBER(SEARCH("insect",E185)),ISNUMBER(SEARCH("mosquito",E185))),"Flying Insect Control",
OR(ISNUMBER(SEARCH("roach",E185)),ISNUMBER(SEARCH("ant",E185)),ISNUMBER(SEARCH("spider",E185)),ISNUMBER(SEARCH("cricket",E185)),ISNUMBER(SEARCH("scorpion",E185)),ISNUMBER(SEARCH("centipede",E185)),ISNUMBER(SEARCH("beetle",E185))),"Crawling Insect Control",
OR(ISNUMBER(SEARCH("tree",E185)),ISNUMBER(SEARCH("lantern",E185)),ISNUMBER(SEARCH("garden",E185)),ISNUMBER(SEARCH("plant",E185))),"Garden Pest Control",
OR(ISNUMBER(SEARCH("grass seed",E185)),ISNUMBER(SEARCH("seed mix",E185))),"Grass Seed",
OR(ISNUMBER(SEARCH("lawn food",E185)),ISNUMBER(SEARCH("fertilizer",E185))),"Lawn Fertilizer",
OR(ISNUMBER(SEARCH("patch",E185)),ISNUMBER(SEARCH("repair",E185)),ISNUMBER(SEARCH("thick'r",E185)),ISNUMBER(SEARCH("thick'r lawn",E185)),ISNUMBER(SEARCH("rapid grass",E185))),"Lawn Repair",
OR(ISNUMBER(SEARCH("weed",E185)),ISNUMBER(SEARCH("crabgrass",E185))),"Weed Control",
OR(ISNUMBER(SEARCH("fungicide",E185)),ISNUMBER(SEARCH("moss",E185))),"Disease &amp; Moss Control",
OR(ISNUMBER(SEARCH("plant food",E185)),ISNUMBER(SEARCH("miracid",E185))),"Plant Nutrition",
OR(ISNUMBER(SEARCH("perlite",E185))),"Soil Amendment",
OR(ISNUMBER(SEARCH("spreader",E185)),ISNUMBER(SEARCH("sprayer",E185)),ISNUMBER(SEARCH("mower",E185)),ISNUMBER(SEARCH("sweeper",E185)),ISNUMBER(SEARCH("pruner",E185)),ISNUMBER(SEARCH("trimmer",E185)),ISNUMBER(SEARCH("pole saw",E185))),"Garden Equipment",
TRUE,"Other"
)</f>
        <v>Weed Control</v>
      </c>
      <c r="I185" s="7" t="str" cm="1">
        <f t="array" ref="I185">_xlfn.IFS(
OR(ISNUMBER(SEARCH("glue trap",E185)),ISNUMBER(SEARCH("glue board",E185))),"Glue Traps",
OR(ISNUMBER(SEARCH("snap trap",E185)),ISNUMBER(SEARCH("power-kill",E185)),ISNUMBER(SEARCH("wide pedal",E185)),ISNUMBER(SEARCH("metal pedal",E185))),"Snap Traps",
OR(ISNUMBER(SEARCH("electronic",E185)),ISNUMBER(SEARCH("zapper",E185))),"Electronic Traps",
OR(ISNUMBER(SEARCH("live catch",E185)),ISNUMBER(SEARCH("multi-catch",E185)),ISNUMBER(SEARCH("catch &amp; hold",E185)),ISNUMBER(SEARCH("tin cat",E185))),"Live Catch Traps",
OR(ISNUMBER(SEARCH("bait",E185)),ISNUMBER(SEARCH("poison",E185))),"Bait &amp; Poison",
ISNUMBER(SEARCH("repellent",E185)),"Repellents",
OR(ISNUMBER(SEARCH("fly trap",E185)),ISNUMBER(SEARCH("fly ribbon",E185)),ISNUMBER(SEARCH("fly stick",E185)),ISNUMBER(SEARCH("window fly",E185)),ISNUMBER(SEARCH("fly magnet",E185))),"Fly Traps",
OR(ISNUMBER(SEARCH("uv",E185)),ISNUMBER(SEARCH("fly light",E185)),ISNUMBER(SEARCH("plug-in",E185))),"UV Fly Traps",
ISNUMBER(SEARCH("roach",E185)),"Roach Traps",
ISNUMBER(SEARCH("ant",E185)),"Ant Traps",
ISNUMBER(SEARCH("spider",E185)),"Spider Traps",
ISNUMBER(SEARCH("mosquito",E185)),"Mosquito Traps",
ISNUMBER(SEARCH("beetle",E185)),"Beetle Traps",
ISNUMBER(SEARCH("lantern",E185)),"Lanternfly Control",
OR(ISNUMBER(SEARCH("tree shield",E185)),ISNUMBER(SEARCH("tree banding",E185)),ISNUMBER(SEARCH("insect barrier",E185))),"Tree Barriers",
OR(ISNUMBER(SEARCH("sun &amp; shade",E185)),ISNUMBER(SEARCH("sun and shade",E185))),"Sun &amp; Shade Mix",
ISNUMBER(SEARCH("tall fescue",E185)),"Tall Fescue",
ISNUMBER(SEARCH("bermudagrass",E185)),"Bermudagrass",
ISNUMBER(SEARCH("kentucky",E185)),"Kentucky Bluegrass",
ISNUMBER(SEARCH("zoysia",E185)),"Zoysia",
ISNUMBER(SEARCH("ryegrass",E185)),"Perennial Ryegrass",
ISNUMBER(SEARCH("centipede",E185)),"Centipede Grass",
ISNUMBER(SEARCH("dense shade",E185)),"Dense Shade Mix",
ISNUMBER(SEARCH("southern gold",E185)),"Southern Gold Mix",
ISNUMBER(SEARCH("heat-tolerant blue",E185)),"Heat-Tolerant Blue Mix",
ISNUMBER(SEARCH("high traffic",E185)),"High Traffic Mix",
ISNUMBER(SEARCH("quick fix",E185)),"Quick Fix Mix",
ISNUMBER(SEARCH("starter",E185)),"Starter Fertilizer",
ISNUMBER(SEARCH("weed &amp; feed",E185)),"Weed &amp; Feed",
ISNUMBER(SEARCH("lawn food",E185)),"Lawn Food",
ISNUMBER(SEARCH("triple action",E185)),"Triple Action Fertilizer",
ISNUMBER(SEARCH("green max",E185)),"Green Max Lawn Food",
ISNUMBER(SEARCH("patchmaster",E185)),"PatchMaster Repair",
ISNUMBER(SEARCH("ez seed",E185)),"EZ Seed Repair",
ISNUMBER(SEARCH("rapid grass",E185)),"Rapid Grass",
ISNUMBER(SEARCH("thick'r lawn",E185)),"Thick'R Lawn",
ISNUMBER(SEARCH("fungicide",E185)),"Fungicide",
ISNUMBER(SEARCH("moss",E185)),"Moss Control",
ISNUMBER(SEARCH("perlite",E185)),"Perlite",
ISNUMBER(SEARCH("plant food",E185)),"Plant Food",
ISNUMBER(SEARCH("spreader",E185)),"Spreader",
ISNUMBER(SEARCH("sprayer",E185)),"Sprayer",
ISNUMBER(SEARCH("mower",E185)),"Lawn Mower",
ISNUMBER(SEARCH("sweeper",E185)),"Lawn Sweeper",
OR(ISNUMBER(SEARCH("pruner",E185)),ISNUMBER(SEARCH("trimmer",E185)),ISNUMBER(SEARCH("pole saw",E185))),"Pruning Tools",
TRUE,"Other"
)</f>
        <v>Other</v>
      </c>
      <c r="J185" s="7" t="str">
        <f t="shared" si="38"/>
        <v>Weed Control - Other</v>
      </c>
      <c r="K185" s="4">
        <v>400</v>
      </c>
      <c r="L185" s="4">
        <v>4.2</v>
      </c>
      <c r="M185" s="4">
        <v>3563</v>
      </c>
      <c r="N185" s="4" t="s">
        <v>880</v>
      </c>
      <c r="O185" s="4">
        <f>VLOOKUP(A185,[3]Sheet1!$A:$B,2,0)</f>
        <v>100</v>
      </c>
      <c r="P185" s="4">
        <f>VLOOKUP(A185,[3]Sheet1!$A:$C,3,0)</f>
        <v>400</v>
      </c>
      <c r="Q185" s="4">
        <f>VLOOKUP(A185,[3]Sheet1!$A:$D,4,0)</f>
        <v>3000</v>
      </c>
      <c r="R185" s="4">
        <f>VLOOKUP(A185,[3]Sheet1!$A:$E,5,0)</f>
        <v>3000</v>
      </c>
      <c r="S185" s="4">
        <f>VLOOKUP(A185,[3]Sheet1!$A:$F,6,0)</f>
        <v>1000</v>
      </c>
      <c r="T185" s="4">
        <f>VLOOKUP(A185,[3]Sheet1!$A:$G,7,0)</f>
        <v>400</v>
      </c>
      <c r="U185" s="4">
        <f>VLOOKUP(A185,[3]Sheet1!$A:$I,8,0)</f>
        <v>300</v>
      </c>
      <c r="V185" s="4">
        <f>VLOOKUP(A185,[3]Sheet1!$A:$J,9,0)</f>
        <v>300</v>
      </c>
      <c r="W185" s="4">
        <f>VLOOKUP(A185,[3]Sheet1!$A:$J,10,0)</f>
        <v>400</v>
      </c>
      <c r="X185" s="4">
        <f>VLOOKUP(A185,[3]Sheet1!$A:$K,11,0)</f>
        <v>1000</v>
      </c>
      <c r="Y185" s="4">
        <f>VLOOKUP(A185,[3]Sheet1!$A:$L,12,0)</f>
        <v>200</v>
      </c>
      <c r="Z185" s="4">
        <f>VLOOKUP(A185,[3]Sheet1!$A:$M,13,0)</f>
        <v>100</v>
      </c>
      <c r="AA185" s="4">
        <f t="shared" si="48"/>
        <v>10200</v>
      </c>
      <c r="AB185" s="7">
        <f t="shared" si="39"/>
        <v>850</v>
      </c>
      <c r="AC185" s="15">
        <f t="shared" si="49"/>
        <v>850</v>
      </c>
      <c r="AD185" s="16">
        <f t="shared" si="50"/>
        <v>295698</v>
      </c>
      <c r="AE185" s="16">
        <f t="shared" si="51"/>
        <v>24641.5</v>
      </c>
      <c r="AF185" s="16">
        <v>9.6999999999999993</v>
      </c>
      <c r="AG185" s="16">
        <v>28.99</v>
      </c>
      <c r="AH185" s="8">
        <f t="shared" si="52"/>
        <v>5.9733333333333277E-2</v>
      </c>
      <c r="AI185" s="8">
        <f t="shared" si="53"/>
        <v>0.20906666666666643</v>
      </c>
      <c r="AJ185" s="10">
        <v>0.5</v>
      </c>
      <c r="AK185" s="10">
        <v>0.5</v>
      </c>
      <c r="AL185" s="16">
        <v>9.6999999999999993</v>
      </c>
      <c r="AM185" s="9">
        <f t="shared" si="40"/>
        <v>4.3484999999999996</v>
      </c>
      <c r="AN185" s="9">
        <f t="shared" si="41"/>
        <v>0.86969999999999992</v>
      </c>
      <c r="AO185" s="9">
        <f t="shared" si="42"/>
        <v>5.798</v>
      </c>
      <c r="AP185" s="9">
        <f t="shared" si="43"/>
        <v>0.57979999999999998</v>
      </c>
      <c r="AQ185" s="9">
        <f t="shared" si="44"/>
        <v>5.798</v>
      </c>
      <c r="AR185" s="9">
        <f t="shared" si="45"/>
        <v>7.2474999999999996</v>
      </c>
      <c r="AS185" s="11">
        <f t="shared" si="46"/>
        <v>0.59733333333333272</v>
      </c>
      <c r="AT185" s="12">
        <f t="shared" si="47"/>
        <v>-0.36900000000000038</v>
      </c>
    </row>
    <row r="186" spans="1:46" ht="16.5" x14ac:dyDescent="0.4">
      <c r="A186" s="4" t="s">
        <v>881</v>
      </c>
      <c r="B186" s="4" t="s">
        <v>513</v>
      </c>
      <c r="C186" s="7" t="s">
        <v>1784</v>
      </c>
      <c r="D186" s="4" t="s">
        <v>882</v>
      </c>
      <c r="E186" s="4" t="s">
        <v>883</v>
      </c>
      <c r="F186" s="4" t="s">
        <v>884</v>
      </c>
      <c r="G186" s="7" t="str">
        <f>VLOOKUP(A186,[1]done!$A:$I,9,0)</f>
        <v>Grass Seed</v>
      </c>
      <c r="H186" s="7" t="str" cm="1">
        <f t="array" ref="H186">_xlfn.IFS(
OR(ISNUMBER(SEARCH("mouse",E186)),ISNUMBER(SEARCH("rat",E186)),ISNUMBER(SEARCH("mice",E186)),ISNUMBER(SEARCH("rodent",E186))),"Rodent Control",
OR(ISNUMBER(SEARCH("fly",E186)),ISNUMBER(SEARCH("gnat",E186)),ISNUMBER(SEARCH("insect",E186)),ISNUMBER(SEARCH("mosquito",E186))),"Flying Insect Control",
OR(ISNUMBER(SEARCH("roach",E186)),ISNUMBER(SEARCH("ant",E186)),ISNUMBER(SEARCH("spider",E186)),ISNUMBER(SEARCH("cricket",E186)),ISNUMBER(SEARCH("scorpion",E186)),ISNUMBER(SEARCH("centipede",E186)),ISNUMBER(SEARCH("beetle",E186))),"Crawling Insect Control",
OR(ISNUMBER(SEARCH("tree",E186)),ISNUMBER(SEARCH("lantern",E186)),ISNUMBER(SEARCH("garden",E186)),ISNUMBER(SEARCH("plant",E186))),"Garden Pest Control",
OR(ISNUMBER(SEARCH("grass seed",E186)),ISNUMBER(SEARCH("seed mix",E186))),"Grass Seed",
OR(ISNUMBER(SEARCH("lawn food",E186)),ISNUMBER(SEARCH("fertilizer",E186))),"Lawn Fertilizer",
OR(ISNUMBER(SEARCH("patch",E186)),ISNUMBER(SEARCH("repair",E186)),ISNUMBER(SEARCH("thick'r",E186)),ISNUMBER(SEARCH("thick'r lawn",E186)),ISNUMBER(SEARCH("rapid grass",E186))),"Lawn Repair",
OR(ISNUMBER(SEARCH("weed",E186)),ISNUMBER(SEARCH("crabgrass",E186))),"Weed Control",
OR(ISNUMBER(SEARCH("fungicide",E186)),ISNUMBER(SEARCH("moss",E186))),"Disease &amp; Moss Control",
OR(ISNUMBER(SEARCH("plant food",E186)),ISNUMBER(SEARCH("miracid",E186))),"Plant Nutrition",
OR(ISNUMBER(SEARCH("perlite",E186))),"Soil Amendment",
OR(ISNUMBER(SEARCH("spreader",E186)),ISNUMBER(SEARCH("sprayer",E186)),ISNUMBER(SEARCH("mower",E186)),ISNUMBER(SEARCH("sweeper",E186)),ISNUMBER(SEARCH("pruner",E186)),ISNUMBER(SEARCH("trimmer",E186)),ISNUMBER(SEARCH("pole saw",E186))),"Garden Equipment",
TRUE,"Other"
)</f>
        <v>Grass Seed</v>
      </c>
      <c r="I186" s="7" t="str" cm="1">
        <f t="array" ref="I186">_xlfn.IFS(
OR(ISNUMBER(SEARCH("glue trap",E186)),ISNUMBER(SEARCH("glue board",E186))),"Glue Traps",
OR(ISNUMBER(SEARCH("snap trap",E186)),ISNUMBER(SEARCH("power-kill",E186)),ISNUMBER(SEARCH("wide pedal",E186)),ISNUMBER(SEARCH("metal pedal",E186))),"Snap Traps",
OR(ISNUMBER(SEARCH("electronic",E186)),ISNUMBER(SEARCH("zapper",E186))),"Electronic Traps",
OR(ISNUMBER(SEARCH("live catch",E186)),ISNUMBER(SEARCH("multi-catch",E186)),ISNUMBER(SEARCH("catch &amp; hold",E186)),ISNUMBER(SEARCH("tin cat",E186))),"Live Catch Traps",
OR(ISNUMBER(SEARCH("bait",E186)),ISNUMBER(SEARCH("poison",E186))),"Bait &amp; Poison",
ISNUMBER(SEARCH("repellent",E186)),"Repellents",
OR(ISNUMBER(SEARCH("fly trap",E186)),ISNUMBER(SEARCH("fly ribbon",E186)),ISNUMBER(SEARCH("fly stick",E186)),ISNUMBER(SEARCH("window fly",E186)),ISNUMBER(SEARCH("fly magnet",E186))),"Fly Traps",
OR(ISNUMBER(SEARCH("uv",E186)),ISNUMBER(SEARCH("fly light",E186)),ISNUMBER(SEARCH("plug-in",E186))),"UV Fly Traps",
ISNUMBER(SEARCH("roach",E186)),"Roach Traps",
ISNUMBER(SEARCH("ant",E186)),"Ant Traps",
ISNUMBER(SEARCH("spider",E186)),"Spider Traps",
ISNUMBER(SEARCH("mosquito",E186)),"Mosquito Traps",
ISNUMBER(SEARCH("beetle",E186)),"Beetle Traps",
ISNUMBER(SEARCH("lantern",E186)),"Lanternfly Control",
OR(ISNUMBER(SEARCH("tree shield",E186)),ISNUMBER(SEARCH("tree banding",E186)),ISNUMBER(SEARCH("insect barrier",E186))),"Tree Barriers",
OR(ISNUMBER(SEARCH("sun &amp; shade",E186)),ISNUMBER(SEARCH("sun and shade",E186))),"Sun &amp; Shade Mix",
ISNUMBER(SEARCH("tall fescue",E186)),"Tall Fescue",
ISNUMBER(SEARCH("bermudagrass",E186)),"Bermudagrass",
ISNUMBER(SEARCH("kentucky",E186)),"Kentucky Bluegrass",
ISNUMBER(SEARCH("zoysia",E186)),"Zoysia",
ISNUMBER(SEARCH("ryegrass",E186)),"Perennial Ryegrass",
ISNUMBER(SEARCH("centipede",E186)),"Centipede Grass",
ISNUMBER(SEARCH("dense shade",E186)),"Dense Shade Mix",
ISNUMBER(SEARCH("southern gold",E186)),"Southern Gold Mix",
ISNUMBER(SEARCH("heat-tolerant blue",E186)),"Heat-Tolerant Blue Mix",
ISNUMBER(SEARCH("high traffic",E186)),"High Traffic Mix",
ISNUMBER(SEARCH("quick fix",E186)),"Quick Fix Mix",
ISNUMBER(SEARCH("starter",E186)),"Starter Fertilizer",
ISNUMBER(SEARCH("weed &amp; feed",E186)),"Weed &amp; Feed",
ISNUMBER(SEARCH("lawn food",E186)),"Lawn Food",
ISNUMBER(SEARCH("triple action",E186)),"Triple Action Fertilizer",
ISNUMBER(SEARCH("green max",E186)),"Green Max Lawn Food",
ISNUMBER(SEARCH("patchmaster",E186)),"PatchMaster Repair",
ISNUMBER(SEARCH("ez seed",E186)),"EZ Seed Repair",
ISNUMBER(SEARCH("rapid grass",E186)),"Rapid Grass",
ISNUMBER(SEARCH("thick'r lawn",E186)),"Thick'R Lawn",
ISNUMBER(SEARCH("fungicide",E186)),"Fungicide",
ISNUMBER(SEARCH("moss",E186)),"Moss Control",
ISNUMBER(SEARCH("perlite",E186)),"Perlite",
ISNUMBER(SEARCH("plant food",E186)),"Plant Food",
ISNUMBER(SEARCH("spreader",E186)),"Spreader",
ISNUMBER(SEARCH("sprayer",E186)),"Sprayer",
ISNUMBER(SEARCH("mower",E186)),"Lawn Mower",
ISNUMBER(SEARCH("sweeper",E186)),"Lawn Sweeper",
OR(ISNUMBER(SEARCH("pruner",E186)),ISNUMBER(SEARCH("trimmer",E186)),ISNUMBER(SEARCH("pole saw",E186))),"Pruning Tools",
TRUE,"Other"
)</f>
        <v>Kentucky Bluegrass</v>
      </c>
      <c r="J186" s="7" t="str">
        <f t="shared" si="38"/>
        <v>Grass Seed - Kentucky Bluegrass</v>
      </c>
      <c r="K186" s="4">
        <v>400</v>
      </c>
      <c r="L186" s="4">
        <v>4.0999999999999996</v>
      </c>
      <c r="M186" s="4">
        <v>631</v>
      </c>
      <c r="N186" s="4" t="s">
        <v>885</v>
      </c>
      <c r="O186" s="4">
        <f>VLOOKUP(A186,[3]Sheet1!$A:$B,2,0)</f>
        <v>100</v>
      </c>
      <c r="P186" s="4">
        <f>VLOOKUP(A186,[3]Sheet1!$A:$C,3,0)</f>
        <v>100</v>
      </c>
      <c r="Q186" s="4">
        <f>VLOOKUP(A186,[3]Sheet1!$A:$D,4,0)</f>
        <v>400</v>
      </c>
      <c r="R186" s="4">
        <f>VLOOKUP(A186,[3]Sheet1!$A:$E,5,0)</f>
        <v>4000</v>
      </c>
      <c r="S186" s="4">
        <f>VLOOKUP(A186,[3]Sheet1!$A:$F,6,0)</f>
        <v>1000</v>
      </c>
      <c r="T186" s="4">
        <f>VLOOKUP(A186,[3]Sheet1!$A:$G,7,0)</f>
        <v>500</v>
      </c>
      <c r="U186" s="4">
        <f>VLOOKUP(A186,[3]Sheet1!$A:$I,8,0)</f>
        <v>700</v>
      </c>
      <c r="V186" s="4">
        <f>VLOOKUP(A186,[3]Sheet1!$A:$J,9,0)</f>
        <v>500</v>
      </c>
      <c r="W186" s="4">
        <f>VLOOKUP(A186,[3]Sheet1!$A:$J,10,0)</f>
        <v>1000</v>
      </c>
      <c r="X186" s="4">
        <f>VLOOKUP(A186,[3]Sheet1!$A:$K,11,0)</f>
        <v>300</v>
      </c>
      <c r="Y186" s="4">
        <f>VLOOKUP(A186,[3]Sheet1!$A:$L,12,0)</f>
        <v>400</v>
      </c>
      <c r="Z186" s="4">
        <f>VLOOKUP(A186,[3]Sheet1!$A:$M,13,0)</f>
        <v>100</v>
      </c>
      <c r="AA186" s="4">
        <f t="shared" si="48"/>
        <v>9100</v>
      </c>
      <c r="AB186" s="7">
        <f t="shared" si="39"/>
        <v>758</v>
      </c>
      <c r="AC186" s="15">
        <f t="shared" si="49"/>
        <v>758.33333333333337</v>
      </c>
      <c r="AD186" s="16">
        <f t="shared" si="50"/>
        <v>800709</v>
      </c>
      <c r="AE186" s="16">
        <f t="shared" si="51"/>
        <v>66725.75</v>
      </c>
      <c r="AF186" s="16">
        <v>26.47</v>
      </c>
      <c r="AG186" s="16">
        <v>87.99</v>
      </c>
      <c r="AH186" s="8">
        <f t="shared" si="52"/>
        <v>0.51506666666666667</v>
      </c>
      <c r="AI186" s="8">
        <f t="shared" si="53"/>
        <v>1.8027333333333331</v>
      </c>
      <c r="AJ186" s="10">
        <v>0.5</v>
      </c>
      <c r="AK186" s="10">
        <v>0.5</v>
      </c>
      <c r="AL186" s="16">
        <v>26.47</v>
      </c>
      <c r="AM186" s="9">
        <f t="shared" si="40"/>
        <v>13.198499999999999</v>
      </c>
      <c r="AN186" s="9">
        <f t="shared" si="41"/>
        <v>2.6396999999999999</v>
      </c>
      <c r="AO186" s="9">
        <f t="shared" si="42"/>
        <v>17.597999999999999</v>
      </c>
      <c r="AP186" s="9">
        <f t="shared" si="43"/>
        <v>1.7598</v>
      </c>
      <c r="AQ186" s="9">
        <f t="shared" si="44"/>
        <v>17.597999999999999</v>
      </c>
      <c r="AR186" s="9">
        <f t="shared" si="45"/>
        <v>21.997499999999999</v>
      </c>
      <c r="AS186" s="11">
        <f t="shared" si="46"/>
        <v>5.1506666666666661</v>
      </c>
      <c r="AT186" s="12">
        <f t="shared" si="47"/>
        <v>2.2176666666666662</v>
      </c>
    </row>
    <row r="187" spans="1:46" ht="16.5" x14ac:dyDescent="0.4">
      <c r="A187" s="4" t="s">
        <v>886</v>
      </c>
      <c r="B187" s="4" t="s">
        <v>513</v>
      </c>
      <c r="C187" s="7" t="s">
        <v>1784</v>
      </c>
      <c r="D187" s="4" t="s">
        <v>887</v>
      </c>
      <c r="E187" s="4" t="s">
        <v>888</v>
      </c>
      <c r="F187" s="4" t="s">
        <v>889</v>
      </c>
      <c r="G187" s="7" t="str">
        <f>VLOOKUP(A187,[1]done!$A:$I,9,0)</f>
        <v>Lawn Fertilizer</v>
      </c>
      <c r="H187" s="7" t="str" cm="1">
        <f t="array" ref="H187">_xlfn.IFS(
OR(ISNUMBER(SEARCH("mouse",E187)),ISNUMBER(SEARCH("rat",E187)),ISNUMBER(SEARCH("mice",E187)),ISNUMBER(SEARCH("rodent",E187))),"Rodent Control",
OR(ISNUMBER(SEARCH("fly",E187)),ISNUMBER(SEARCH("gnat",E187)),ISNUMBER(SEARCH("insect",E187)),ISNUMBER(SEARCH("mosquito",E187))),"Flying Insect Control",
OR(ISNUMBER(SEARCH("roach",E187)),ISNUMBER(SEARCH("ant",E187)),ISNUMBER(SEARCH("spider",E187)),ISNUMBER(SEARCH("cricket",E187)),ISNUMBER(SEARCH("scorpion",E187)),ISNUMBER(SEARCH("centipede",E187)),ISNUMBER(SEARCH("beetle",E187))),"Crawling Insect Control",
OR(ISNUMBER(SEARCH("tree",E187)),ISNUMBER(SEARCH("lantern",E187)),ISNUMBER(SEARCH("garden",E187)),ISNUMBER(SEARCH("plant",E187))),"Garden Pest Control",
OR(ISNUMBER(SEARCH("grass seed",E187)),ISNUMBER(SEARCH("seed mix",E187))),"Grass Seed",
OR(ISNUMBER(SEARCH("lawn food",E187)),ISNUMBER(SEARCH("fertilizer",E187))),"Lawn Fertilizer",
OR(ISNUMBER(SEARCH("patch",E187)),ISNUMBER(SEARCH("repair",E187)),ISNUMBER(SEARCH("thick'r",E187)),ISNUMBER(SEARCH("thick'r lawn",E187)),ISNUMBER(SEARCH("rapid grass",E187))),"Lawn Repair",
OR(ISNUMBER(SEARCH("weed",E187)),ISNUMBER(SEARCH("crabgrass",E187))),"Weed Control",
OR(ISNUMBER(SEARCH("fungicide",E187)),ISNUMBER(SEARCH("moss",E187))),"Disease &amp; Moss Control",
OR(ISNUMBER(SEARCH("plant food",E187)),ISNUMBER(SEARCH("miracid",E187))),"Plant Nutrition",
OR(ISNUMBER(SEARCH("perlite",E187))),"Soil Amendment",
OR(ISNUMBER(SEARCH("spreader",E187)),ISNUMBER(SEARCH("sprayer",E187)),ISNUMBER(SEARCH("mower",E187)),ISNUMBER(SEARCH("sweeper",E187)),ISNUMBER(SEARCH("pruner",E187)),ISNUMBER(SEARCH("trimmer",E187)),ISNUMBER(SEARCH("pole saw",E187))),"Garden Equipment",
TRUE,"Other"
)</f>
        <v>Lawn Fertilizer</v>
      </c>
      <c r="I187" s="7" t="str" cm="1">
        <f t="array" ref="I187">_xlfn.IFS(
OR(ISNUMBER(SEARCH("glue trap",E187)),ISNUMBER(SEARCH("glue board",E187))),"Glue Traps",
OR(ISNUMBER(SEARCH("snap trap",E187)),ISNUMBER(SEARCH("power-kill",E187)),ISNUMBER(SEARCH("wide pedal",E187)),ISNUMBER(SEARCH("metal pedal",E187))),"Snap Traps",
OR(ISNUMBER(SEARCH("electronic",E187)),ISNUMBER(SEARCH("zapper",E187))),"Electronic Traps",
OR(ISNUMBER(SEARCH("live catch",E187)),ISNUMBER(SEARCH("multi-catch",E187)),ISNUMBER(SEARCH("catch &amp; hold",E187)),ISNUMBER(SEARCH("tin cat",E187))),"Live Catch Traps",
OR(ISNUMBER(SEARCH("bait",E187)),ISNUMBER(SEARCH("poison",E187))),"Bait &amp; Poison",
ISNUMBER(SEARCH("repellent",E187)),"Repellents",
OR(ISNUMBER(SEARCH("fly trap",E187)),ISNUMBER(SEARCH("fly ribbon",E187)),ISNUMBER(SEARCH("fly stick",E187)),ISNUMBER(SEARCH("window fly",E187)),ISNUMBER(SEARCH("fly magnet",E187))),"Fly Traps",
OR(ISNUMBER(SEARCH("uv",E187)),ISNUMBER(SEARCH("fly light",E187)),ISNUMBER(SEARCH("plug-in",E187))),"UV Fly Traps",
ISNUMBER(SEARCH("roach",E187)),"Roach Traps",
ISNUMBER(SEARCH("ant",E187)),"Ant Traps",
ISNUMBER(SEARCH("spider",E187)),"Spider Traps",
ISNUMBER(SEARCH("mosquito",E187)),"Mosquito Traps",
ISNUMBER(SEARCH("beetle",E187)),"Beetle Traps",
ISNUMBER(SEARCH("lantern",E187)),"Lanternfly Control",
OR(ISNUMBER(SEARCH("tree shield",E187)),ISNUMBER(SEARCH("tree banding",E187)),ISNUMBER(SEARCH("insect barrier",E187))),"Tree Barriers",
OR(ISNUMBER(SEARCH("sun &amp; shade",E187)),ISNUMBER(SEARCH("sun and shade",E187))),"Sun &amp; Shade Mix",
ISNUMBER(SEARCH("tall fescue",E187)),"Tall Fescue",
ISNUMBER(SEARCH("bermudagrass",E187)),"Bermudagrass",
ISNUMBER(SEARCH("kentucky",E187)),"Kentucky Bluegrass",
ISNUMBER(SEARCH("zoysia",E187)),"Zoysia",
ISNUMBER(SEARCH("ryegrass",E187)),"Perennial Ryegrass",
ISNUMBER(SEARCH("centipede",E187)),"Centipede Grass",
ISNUMBER(SEARCH("dense shade",E187)),"Dense Shade Mix",
ISNUMBER(SEARCH("southern gold",E187)),"Southern Gold Mix",
ISNUMBER(SEARCH("heat-tolerant blue",E187)),"Heat-Tolerant Blue Mix",
ISNUMBER(SEARCH("high traffic",E187)),"High Traffic Mix",
ISNUMBER(SEARCH("quick fix",E187)),"Quick Fix Mix",
ISNUMBER(SEARCH("starter",E187)),"Starter Fertilizer",
ISNUMBER(SEARCH("weed &amp; feed",E187)),"Weed &amp; Feed",
ISNUMBER(SEARCH("lawn food",E187)),"Lawn Food",
ISNUMBER(SEARCH("triple action",E187)),"Triple Action Fertilizer",
ISNUMBER(SEARCH("green max",E187)),"Green Max Lawn Food",
ISNUMBER(SEARCH("patchmaster",E187)),"PatchMaster Repair",
ISNUMBER(SEARCH("ez seed",E187)),"EZ Seed Repair",
ISNUMBER(SEARCH("rapid grass",E187)),"Rapid Grass",
ISNUMBER(SEARCH("thick'r lawn",E187)),"Thick'R Lawn",
ISNUMBER(SEARCH("fungicide",E187)),"Fungicide",
ISNUMBER(SEARCH("moss",E187)),"Moss Control",
ISNUMBER(SEARCH("perlite",E187)),"Perlite",
ISNUMBER(SEARCH("plant food",E187)),"Plant Food",
ISNUMBER(SEARCH("spreader",E187)),"Spreader",
ISNUMBER(SEARCH("sprayer",E187)),"Sprayer",
ISNUMBER(SEARCH("mower",E187)),"Lawn Mower",
ISNUMBER(SEARCH("sweeper",E187)),"Lawn Sweeper",
OR(ISNUMBER(SEARCH("pruner",E187)),ISNUMBER(SEARCH("trimmer",E187)),ISNUMBER(SEARCH("pole saw",E187))),"Pruning Tools",
TRUE,"Other"
)</f>
        <v>Bermudagrass</v>
      </c>
      <c r="J187" s="7" t="str">
        <f t="shared" si="38"/>
        <v>Lawn Fertilizer - Bermudagrass</v>
      </c>
      <c r="K187" s="4">
        <v>400</v>
      </c>
      <c r="L187" s="4">
        <v>4</v>
      </c>
      <c r="M187" s="4">
        <v>1526</v>
      </c>
      <c r="N187" s="4" t="s">
        <v>890</v>
      </c>
      <c r="O187" s="4">
        <f>VLOOKUP(A187,[3]Sheet1!$A:$B,2,0)</f>
        <v>100</v>
      </c>
      <c r="P187" s="4">
        <f>VLOOKUP(A187,[3]Sheet1!$A:$C,3,0)</f>
        <v>100</v>
      </c>
      <c r="Q187" s="4">
        <f>VLOOKUP(A187,[3]Sheet1!$A:$D,4,0)</f>
        <v>800</v>
      </c>
      <c r="R187" s="4">
        <f>VLOOKUP(A187,[3]Sheet1!$A:$E,5,0)</f>
        <v>600</v>
      </c>
      <c r="S187" s="4">
        <f>VLOOKUP(A187,[3]Sheet1!$A:$F,6,0)</f>
        <v>700</v>
      </c>
      <c r="T187" s="4">
        <f>VLOOKUP(A187,[3]Sheet1!$A:$G,7,0)</f>
        <v>400</v>
      </c>
      <c r="U187" s="4">
        <f>VLOOKUP(A187,[3]Sheet1!$A:$I,8,0)</f>
        <v>300</v>
      </c>
      <c r="V187" s="4">
        <f>VLOOKUP(A187,[3]Sheet1!$A:$J,9,0)</f>
        <v>500</v>
      </c>
      <c r="W187" s="4">
        <f>VLOOKUP(A187,[3]Sheet1!$A:$J,10,0)</f>
        <v>400</v>
      </c>
      <c r="X187" s="4">
        <f>VLOOKUP(A187,[3]Sheet1!$A:$K,11,0)</f>
        <v>100</v>
      </c>
      <c r="Y187" s="4">
        <f>VLOOKUP(A187,[3]Sheet1!$A:$L,12,0)</f>
        <v>50</v>
      </c>
      <c r="Z187" s="4">
        <f>VLOOKUP(A187,[3]Sheet1!$A:$M,13,0)</f>
        <v>50</v>
      </c>
      <c r="AA187" s="4">
        <f t="shared" si="48"/>
        <v>4100</v>
      </c>
      <c r="AB187" s="7">
        <f t="shared" si="39"/>
        <v>342</v>
      </c>
      <c r="AC187" s="15">
        <f t="shared" si="49"/>
        <v>341.66666666666669</v>
      </c>
      <c r="AD187" s="16">
        <f t="shared" si="50"/>
        <v>131159</v>
      </c>
      <c r="AE187" s="16">
        <f t="shared" si="51"/>
        <v>10929.916666666666</v>
      </c>
      <c r="AF187" s="16">
        <v>10.36</v>
      </c>
      <c r="AG187" s="16">
        <v>31.99</v>
      </c>
      <c r="AH187" s="8">
        <f t="shared" si="52"/>
        <v>9.5733333333333337E-2</v>
      </c>
      <c r="AI187" s="8">
        <f t="shared" si="53"/>
        <v>0.33506666666666662</v>
      </c>
      <c r="AJ187" s="10">
        <v>0.5</v>
      </c>
      <c r="AK187" s="10">
        <v>0.5</v>
      </c>
      <c r="AL187" s="16">
        <v>10.36</v>
      </c>
      <c r="AM187" s="9">
        <f t="shared" si="40"/>
        <v>4.7984999999999998</v>
      </c>
      <c r="AN187" s="9">
        <f t="shared" si="41"/>
        <v>0.95969999999999989</v>
      </c>
      <c r="AO187" s="9">
        <f t="shared" si="42"/>
        <v>6.3979999999999997</v>
      </c>
      <c r="AP187" s="9">
        <f t="shared" si="43"/>
        <v>0.63980000000000004</v>
      </c>
      <c r="AQ187" s="9">
        <f t="shared" si="44"/>
        <v>6.3979999999999997</v>
      </c>
      <c r="AR187" s="9">
        <f t="shared" si="45"/>
        <v>7.9974999999999996</v>
      </c>
      <c r="AS187" s="11">
        <f t="shared" si="46"/>
        <v>0.95733333333333326</v>
      </c>
      <c r="AT187" s="12">
        <f t="shared" si="47"/>
        <v>-0.10899999999999999</v>
      </c>
    </row>
    <row r="188" spans="1:46" ht="16.5" x14ac:dyDescent="0.4">
      <c r="A188" s="4" t="s">
        <v>891</v>
      </c>
      <c r="B188" s="4" t="s">
        <v>513</v>
      </c>
      <c r="C188" s="7" t="s">
        <v>1784</v>
      </c>
      <c r="D188" s="4" t="s">
        <v>892</v>
      </c>
      <c r="E188" s="4" t="s">
        <v>893</v>
      </c>
      <c r="F188" s="4" t="s">
        <v>894</v>
      </c>
      <c r="G188" s="7" t="str">
        <f>VLOOKUP(A188,[1]done!$A:$I,9,0)</f>
        <v>Lawn Fertilizer</v>
      </c>
      <c r="H188" s="7" t="str" cm="1">
        <f t="array" ref="H188">_xlfn.IFS(
OR(ISNUMBER(SEARCH("mouse",E188)),ISNUMBER(SEARCH("rat",E188)),ISNUMBER(SEARCH("mice",E188)),ISNUMBER(SEARCH("rodent",E188))),"Rodent Control",
OR(ISNUMBER(SEARCH("fly",E188)),ISNUMBER(SEARCH("gnat",E188)),ISNUMBER(SEARCH("insect",E188)),ISNUMBER(SEARCH("mosquito",E188))),"Flying Insect Control",
OR(ISNUMBER(SEARCH("roach",E188)),ISNUMBER(SEARCH("ant",E188)),ISNUMBER(SEARCH("spider",E188)),ISNUMBER(SEARCH("cricket",E188)),ISNUMBER(SEARCH("scorpion",E188)),ISNUMBER(SEARCH("centipede",E188)),ISNUMBER(SEARCH("beetle",E188))),"Crawling Insect Control",
OR(ISNUMBER(SEARCH("tree",E188)),ISNUMBER(SEARCH("lantern",E188)),ISNUMBER(SEARCH("garden",E188)),ISNUMBER(SEARCH("plant",E188))),"Garden Pest Control",
OR(ISNUMBER(SEARCH("grass seed",E188)),ISNUMBER(SEARCH("seed mix",E188))),"Grass Seed",
OR(ISNUMBER(SEARCH("lawn food",E188)),ISNUMBER(SEARCH("fertilizer",E188))),"Lawn Fertilizer",
OR(ISNUMBER(SEARCH("patch",E188)),ISNUMBER(SEARCH("repair",E188)),ISNUMBER(SEARCH("thick'r",E188)),ISNUMBER(SEARCH("thick'r lawn",E188)),ISNUMBER(SEARCH("rapid grass",E188))),"Lawn Repair",
OR(ISNUMBER(SEARCH("weed",E188)),ISNUMBER(SEARCH("crabgrass",E188))),"Weed Control",
OR(ISNUMBER(SEARCH("fungicide",E188)),ISNUMBER(SEARCH("moss",E188))),"Disease &amp; Moss Control",
OR(ISNUMBER(SEARCH("plant food",E188)),ISNUMBER(SEARCH("miracid",E188))),"Plant Nutrition",
OR(ISNUMBER(SEARCH("perlite",E188))),"Soil Amendment",
OR(ISNUMBER(SEARCH("spreader",E188)),ISNUMBER(SEARCH("sprayer",E188)),ISNUMBER(SEARCH("mower",E188)),ISNUMBER(SEARCH("sweeper",E188)),ISNUMBER(SEARCH("pruner",E188)),ISNUMBER(SEARCH("trimmer",E188)),ISNUMBER(SEARCH("pole saw",E188))),"Garden Equipment",
TRUE,"Other"
)</f>
        <v>Lawn Repair</v>
      </c>
      <c r="I188" s="7" t="str" cm="1">
        <f t="array" ref="I188">_xlfn.IFS(
OR(ISNUMBER(SEARCH("glue trap",E188)),ISNUMBER(SEARCH("glue board",E188))),"Glue Traps",
OR(ISNUMBER(SEARCH("snap trap",E188)),ISNUMBER(SEARCH("power-kill",E188)),ISNUMBER(SEARCH("wide pedal",E188)),ISNUMBER(SEARCH("metal pedal",E188))),"Snap Traps",
OR(ISNUMBER(SEARCH("electronic",E188)),ISNUMBER(SEARCH("zapper",E188))),"Electronic Traps",
OR(ISNUMBER(SEARCH("live catch",E188)),ISNUMBER(SEARCH("multi-catch",E188)),ISNUMBER(SEARCH("catch &amp; hold",E188)),ISNUMBER(SEARCH("tin cat",E188))),"Live Catch Traps",
OR(ISNUMBER(SEARCH("bait",E188)),ISNUMBER(SEARCH("poison",E188))),"Bait &amp; Poison",
ISNUMBER(SEARCH("repellent",E188)),"Repellents",
OR(ISNUMBER(SEARCH("fly trap",E188)),ISNUMBER(SEARCH("fly ribbon",E188)),ISNUMBER(SEARCH("fly stick",E188)),ISNUMBER(SEARCH("window fly",E188)),ISNUMBER(SEARCH("fly magnet",E188))),"Fly Traps",
OR(ISNUMBER(SEARCH("uv",E188)),ISNUMBER(SEARCH("fly light",E188)),ISNUMBER(SEARCH("plug-in",E188))),"UV Fly Traps",
ISNUMBER(SEARCH("roach",E188)),"Roach Traps",
ISNUMBER(SEARCH("ant",E188)),"Ant Traps",
ISNUMBER(SEARCH("spider",E188)),"Spider Traps",
ISNUMBER(SEARCH("mosquito",E188)),"Mosquito Traps",
ISNUMBER(SEARCH("beetle",E188)),"Beetle Traps",
ISNUMBER(SEARCH("lantern",E188)),"Lanternfly Control",
OR(ISNUMBER(SEARCH("tree shield",E188)),ISNUMBER(SEARCH("tree banding",E188)),ISNUMBER(SEARCH("insect barrier",E188))),"Tree Barriers",
OR(ISNUMBER(SEARCH("sun &amp; shade",E188)),ISNUMBER(SEARCH("sun and shade",E188))),"Sun &amp; Shade Mix",
ISNUMBER(SEARCH("tall fescue",E188)),"Tall Fescue",
ISNUMBER(SEARCH("bermudagrass",E188)),"Bermudagrass",
ISNUMBER(SEARCH("kentucky",E188)),"Kentucky Bluegrass",
ISNUMBER(SEARCH("zoysia",E188)),"Zoysia",
ISNUMBER(SEARCH("ryegrass",E188)),"Perennial Ryegrass",
ISNUMBER(SEARCH("centipede",E188)),"Centipede Grass",
ISNUMBER(SEARCH("dense shade",E188)),"Dense Shade Mix",
ISNUMBER(SEARCH("southern gold",E188)),"Southern Gold Mix",
ISNUMBER(SEARCH("heat-tolerant blue",E188)),"Heat-Tolerant Blue Mix",
ISNUMBER(SEARCH("high traffic",E188)),"High Traffic Mix",
ISNUMBER(SEARCH("quick fix",E188)),"Quick Fix Mix",
ISNUMBER(SEARCH("starter",E188)),"Starter Fertilizer",
ISNUMBER(SEARCH("weed &amp; feed",E188)),"Weed &amp; Feed",
ISNUMBER(SEARCH("lawn food",E188)),"Lawn Food",
ISNUMBER(SEARCH("triple action",E188)),"Triple Action Fertilizer",
ISNUMBER(SEARCH("green max",E188)),"Green Max Lawn Food",
ISNUMBER(SEARCH("patchmaster",E188)),"PatchMaster Repair",
ISNUMBER(SEARCH("ez seed",E188)),"EZ Seed Repair",
ISNUMBER(SEARCH("rapid grass",E188)),"Rapid Grass",
ISNUMBER(SEARCH("thick'r lawn",E188)),"Thick'R Lawn",
ISNUMBER(SEARCH("fungicide",E188)),"Fungicide",
ISNUMBER(SEARCH("moss",E188)),"Moss Control",
ISNUMBER(SEARCH("perlite",E188)),"Perlite",
ISNUMBER(SEARCH("plant food",E188)),"Plant Food",
ISNUMBER(SEARCH("spreader",E188)),"Spreader",
ISNUMBER(SEARCH("sprayer",E188)),"Sprayer",
ISNUMBER(SEARCH("mower",E188)),"Lawn Mower",
ISNUMBER(SEARCH("sweeper",E188)),"Lawn Sweeper",
OR(ISNUMBER(SEARCH("pruner",E188)),ISNUMBER(SEARCH("trimmer",E188)),ISNUMBER(SEARCH("pole saw",E188))),"Pruning Tools",
TRUE,"Other"
)</f>
        <v>Bermudagrass</v>
      </c>
      <c r="J188" s="7" t="str">
        <f t="shared" si="38"/>
        <v>Lawn Repair - Bermudagrass</v>
      </c>
      <c r="K188" s="4">
        <v>400</v>
      </c>
      <c r="L188" s="4">
        <v>4.2</v>
      </c>
      <c r="M188" s="4">
        <v>32</v>
      </c>
      <c r="O188" s="4">
        <f>VLOOKUP(A188,[3]Sheet1!$A:$B,2,0)</f>
        <v>0</v>
      </c>
      <c r="P188" s="4">
        <f>VLOOKUP(A188,[3]Sheet1!$A:$C,3,0)</f>
        <v>0</v>
      </c>
      <c r="Q188" s="4">
        <f>VLOOKUP(A188,[3]Sheet1!$A:$D,4,0)</f>
        <v>0</v>
      </c>
      <c r="R188" s="4">
        <f>VLOOKUP(A188,[3]Sheet1!$A:$E,5,0)</f>
        <v>0</v>
      </c>
      <c r="S188" s="4">
        <f>VLOOKUP(A188,[3]Sheet1!$A:$F,6,0)</f>
        <v>0</v>
      </c>
      <c r="T188" s="4">
        <f>VLOOKUP(A188,[3]Sheet1!$A:$G,7,0)</f>
        <v>0</v>
      </c>
      <c r="U188" s="4">
        <f>VLOOKUP(A188,[3]Sheet1!$A:$I,8,0)</f>
        <v>0</v>
      </c>
      <c r="V188" s="4">
        <f>VLOOKUP(A188,[3]Sheet1!$A:$J,9,0)</f>
        <v>100</v>
      </c>
      <c r="W188" s="4">
        <f>VLOOKUP(A188,[3]Sheet1!$A:$J,10,0)</f>
        <v>400</v>
      </c>
      <c r="X188" s="4">
        <f>VLOOKUP(A188,[3]Sheet1!$A:$K,11,0)</f>
        <v>0</v>
      </c>
      <c r="Y188" s="4">
        <f>VLOOKUP(A188,[3]Sheet1!$A:$L,12,0)</f>
        <v>0</v>
      </c>
      <c r="Z188" s="4">
        <f>VLOOKUP(A188,[3]Sheet1!$A:$M,13,0)</f>
        <v>0</v>
      </c>
      <c r="AA188" s="4">
        <f t="shared" si="48"/>
        <v>500</v>
      </c>
      <c r="AB188" s="7">
        <f t="shared" si="39"/>
        <v>42</v>
      </c>
      <c r="AC188" s="15">
        <f t="shared" si="49"/>
        <v>41.666666666666664</v>
      </c>
      <c r="AD188" s="16">
        <f t="shared" si="50"/>
        <v>14495</v>
      </c>
      <c r="AE188" s="16">
        <f t="shared" si="51"/>
        <v>1207.9166666666665</v>
      </c>
      <c r="AF188" s="16">
        <v>9.6199999999999992</v>
      </c>
      <c r="AG188" s="16">
        <v>28.99</v>
      </c>
      <c r="AH188" s="8">
        <f t="shared" si="52"/>
        <v>6.5066666666666606E-2</v>
      </c>
      <c r="AI188" s="8">
        <f t="shared" si="53"/>
        <v>0.22773333333333309</v>
      </c>
      <c r="AJ188" s="10">
        <v>0.5</v>
      </c>
      <c r="AK188" s="10">
        <v>0.5</v>
      </c>
      <c r="AL188" s="16">
        <v>9.6199999999999992</v>
      </c>
      <c r="AM188" s="9">
        <f t="shared" si="40"/>
        <v>4.3484999999999996</v>
      </c>
      <c r="AN188" s="9">
        <f t="shared" si="41"/>
        <v>0.86969999999999992</v>
      </c>
      <c r="AO188" s="9">
        <f t="shared" si="42"/>
        <v>5.798</v>
      </c>
      <c r="AP188" s="9">
        <f t="shared" si="43"/>
        <v>0.57979999999999998</v>
      </c>
      <c r="AQ188" s="9">
        <f t="shared" si="44"/>
        <v>5.798</v>
      </c>
      <c r="AR188" s="9">
        <f t="shared" si="45"/>
        <v>7.2474999999999996</v>
      </c>
      <c r="AS188" s="11">
        <f t="shared" si="46"/>
        <v>0.65066666666666606</v>
      </c>
      <c r="AT188" s="12">
        <f t="shared" si="47"/>
        <v>-0.31566666666666698</v>
      </c>
    </row>
    <row r="189" spans="1:46" ht="16.5" x14ac:dyDescent="0.4">
      <c r="A189" s="4" t="s">
        <v>895</v>
      </c>
      <c r="B189" s="4" t="s">
        <v>513</v>
      </c>
      <c r="C189" s="7" t="s">
        <v>1784</v>
      </c>
      <c r="D189" s="4" t="s">
        <v>896</v>
      </c>
      <c r="E189" s="4" t="s">
        <v>897</v>
      </c>
      <c r="F189" s="4" t="s">
        <v>898</v>
      </c>
      <c r="G189" s="7" t="str">
        <f>VLOOKUP(A189,[1]done!$A:$I,9,0)</f>
        <v>Lawn Fertilizer</v>
      </c>
      <c r="H189" s="7" t="str" cm="1">
        <f t="array" ref="H189">_xlfn.IFS(
OR(ISNUMBER(SEARCH("mouse",E189)),ISNUMBER(SEARCH("rat",E189)),ISNUMBER(SEARCH("mice",E189)),ISNUMBER(SEARCH("rodent",E189))),"Rodent Control",
OR(ISNUMBER(SEARCH("fly",E189)),ISNUMBER(SEARCH("gnat",E189)),ISNUMBER(SEARCH("insect",E189)),ISNUMBER(SEARCH("mosquito",E189))),"Flying Insect Control",
OR(ISNUMBER(SEARCH("roach",E189)),ISNUMBER(SEARCH("ant",E189)),ISNUMBER(SEARCH("spider",E189)),ISNUMBER(SEARCH("cricket",E189)),ISNUMBER(SEARCH("scorpion",E189)),ISNUMBER(SEARCH("centipede",E189)),ISNUMBER(SEARCH("beetle",E189))),"Crawling Insect Control",
OR(ISNUMBER(SEARCH("tree",E189)),ISNUMBER(SEARCH("lantern",E189)),ISNUMBER(SEARCH("garden",E189)),ISNUMBER(SEARCH("plant",E189))),"Garden Pest Control",
OR(ISNUMBER(SEARCH("grass seed",E189)),ISNUMBER(SEARCH("seed mix",E189))),"Grass Seed",
OR(ISNUMBER(SEARCH("lawn food",E189)),ISNUMBER(SEARCH("fertilizer",E189))),"Lawn Fertilizer",
OR(ISNUMBER(SEARCH("patch",E189)),ISNUMBER(SEARCH("repair",E189)),ISNUMBER(SEARCH("thick'r",E189)),ISNUMBER(SEARCH("thick'r lawn",E189)),ISNUMBER(SEARCH("rapid grass",E189))),"Lawn Repair",
OR(ISNUMBER(SEARCH("weed",E189)),ISNUMBER(SEARCH("crabgrass",E189))),"Weed Control",
OR(ISNUMBER(SEARCH("fungicide",E189)),ISNUMBER(SEARCH("moss",E189))),"Disease &amp; Moss Control",
OR(ISNUMBER(SEARCH("plant food",E189)),ISNUMBER(SEARCH("miracid",E189))),"Plant Nutrition",
OR(ISNUMBER(SEARCH("perlite",E189))),"Soil Amendment",
OR(ISNUMBER(SEARCH("spreader",E189)),ISNUMBER(SEARCH("sprayer",E189)),ISNUMBER(SEARCH("mower",E189)),ISNUMBER(SEARCH("sweeper",E189)),ISNUMBER(SEARCH("pruner",E189)),ISNUMBER(SEARCH("trimmer",E189)),ISNUMBER(SEARCH("pole saw",E189))),"Garden Equipment",
TRUE,"Other"
)</f>
        <v>Other</v>
      </c>
      <c r="I189" s="7" t="str" cm="1">
        <f t="array" ref="I189">_xlfn.IFS(
OR(ISNUMBER(SEARCH("glue trap",E189)),ISNUMBER(SEARCH("glue board",E189))),"Glue Traps",
OR(ISNUMBER(SEARCH("snap trap",E189)),ISNUMBER(SEARCH("power-kill",E189)),ISNUMBER(SEARCH("wide pedal",E189)),ISNUMBER(SEARCH("metal pedal",E189))),"Snap Traps",
OR(ISNUMBER(SEARCH("electronic",E189)),ISNUMBER(SEARCH("zapper",E189))),"Electronic Traps",
OR(ISNUMBER(SEARCH("live catch",E189)),ISNUMBER(SEARCH("multi-catch",E189)),ISNUMBER(SEARCH("catch &amp; hold",E189)),ISNUMBER(SEARCH("tin cat",E189))),"Live Catch Traps",
OR(ISNUMBER(SEARCH("bait",E189)),ISNUMBER(SEARCH("poison",E189))),"Bait &amp; Poison",
ISNUMBER(SEARCH("repellent",E189)),"Repellents",
OR(ISNUMBER(SEARCH("fly trap",E189)),ISNUMBER(SEARCH("fly ribbon",E189)),ISNUMBER(SEARCH("fly stick",E189)),ISNUMBER(SEARCH("window fly",E189)),ISNUMBER(SEARCH("fly magnet",E189))),"Fly Traps",
OR(ISNUMBER(SEARCH("uv",E189)),ISNUMBER(SEARCH("fly light",E189)),ISNUMBER(SEARCH("plug-in",E189))),"UV Fly Traps",
ISNUMBER(SEARCH("roach",E189)),"Roach Traps",
ISNUMBER(SEARCH("ant",E189)),"Ant Traps",
ISNUMBER(SEARCH("spider",E189)),"Spider Traps",
ISNUMBER(SEARCH("mosquito",E189)),"Mosquito Traps",
ISNUMBER(SEARCH("beetle",E189)),"Beetle Traps",
ISNUMBER(SEARCH("lantern",E189)),"Lanternfly Control",
OR(ISNUMBER(SEARCH("tree shield",E189)),ISNUMBER(SEARCH("tree banding",E189)),ISNUMBER(SEARCH("insect barrier",E189))),"Tree Barriers",
OR(ISNUMBER(SEARCH("sun &amp; shade",E189)),ISNUMBER(SEARCH("sun and shade",E189))),"Sun &amp; Shade Mix",
ISNUMBER(SEARCH("tall fescue",E189)),"Tall Fescue",
ISNUMBER(SEARCH("bermudagrass",E189)),"Bermudagrass",
ISNUMBER(SEARCH("kentucky",E189)),"Kentucky Bluegrass",
ISNUMBER(SEARCH("zoysia",E189)),"Zoysia",
ISNUMBER(SEARCH("ryegrass",E189)),"Perennial Ryegrass",
ISNUMBER(SEARCH("centipede",E189)),"Centipede Grass",
ISNUMBER(SEARCH("dense shade",E189)),"Dense Shade Mix",
ISNUMBER(SEARCH("southern gold",E189)),"Southern Gold Mix",
ISNUMBER(SEARCH("heat-tolerant blue",E189)),"Heat-Tolerant Blue Mix",
ISNUMBER(SEARCH("high traffic",E189)),"High Traffic Mix",
ISNUMBER(SEARCH("quick fix",E189)),"Quick Fix Mix",
ISNUMBER(SEARCH("starter",E189)),"Starter Fertilizer",
ISNUMBER(SEARCH("weed &amp; feed",E189)),"Weed &amp; Feed",
ISNUMBER(SEARCH("lawn food",E189)),"Lawn Food",
ISNUMBER(SEARCH("triple action",E189)),"Triple Action Fertilizer",
ISNUMBER(SEARCH("green max",E189)),"Green Max Lawn Food",
ISNUMBER(SEARCH("patchmaster",E189)),"PatchMaster Repair",
ISNUMBER(SEARCH("ez seed",E189)),"EZ Seed Repair",
ISNUMBER(SEARCH("rapid grass",E189)),"Rapid Grass",
ISNUMBER(SEARCH("thick'r lawn",E189)),"Thick'R Lawn",
ISNUMBER(SEARCH("fungicide",E189)),"Fungicide",
ISNUMBER(SEARCH("moss",E189)),"Moss Control",
ISNUMBER(SEARCH("perlite",E189)),"Perlite",
ISNUMBER(SEARCH("plant food",E189)),"Plant Food",
ISNUMBER(SEARCH("spreader",E189)),"Spreader",
ISNUMBER(SEARCH("sprayer",E189)),"Sprayer",
ISNUMBER(SEARCH("mower",E189)),"Lawn Mower",
ISNUMBER(SEARCH("sweeper",E189)),"Lawn Sweeper",
OR(ISNUMBER(SEARCH("pruner",E189)),ISNUMBER(SEARCH("trimmer",E189)),ISNUMBER(SEARCH("pole saw",E189))),"Pruning Tools",
TRUE,"Other"
)</f>
        <v>Starter Fertilizer</v>
      </c>
      <c r="J189" s="7" t="str">
        <f t="shared" si="38"/>
        <v>Other - Starter Fertilizer</v>
      </c>
      <c r="K189" s="4">
        <v>300</v>
      </c>
      <c r="L189" s="4">
        <v>4.3</v>
      </c>
      <c r="M189" s="4">
        <v>1835</v>
      </c>
      <c r="N189" s="4" t="s">
        <v>899</v>
      </c>
      <c r="O189" s="4">
        <f>VLOOKUP(A189,[3]Sheet1!$A:$B,2,0)</f>
        <v>0</v>
      </c>
      <c r="P189" s="4">
        <f>VLOOKUP(A189,[3]Sheet1!$A:$C,3,0)</f>
        <v>0</v>
      </c>
      <c r="Q189" s="4">
        <f>VLOOKUP(A189,[3]Sheet1!$A:$D,4,0)</f>
        <v>100</v>
      </c>
      <c r="R189" s="4">
        <f>VLOOKUP(A189,[3]Sheet1!$A:$E,5,0)</f>
        <v>600</v>
      </c>
      <c r="S189" s="4">
        <f>VLOOKUP(A189,[3]Sheet1!$A:$F,6,0)</f>
        <v>400</v>
      </c>
      <c r="T189" s="4">
        <f>VLOOKUP(A189,[3]Sheet1!$A:$G,7,0)</f>
        <v>1000</v>
      </c>
      <c r="U189" s="4">
        <f>VLOOKUP(A189,[3]Sheet1!$A:$I,8,0)</f>
        <v>100</v>
      </c>
      <c r="V189" s="4">
        <f>VLOOKUP(A189,[3]Sheet1!$A:$J,9,0)</f>
        <v>100</v>
      </c>
      <c r="W189" s="4">
        <f>VLOOKUP(A189,[3]Sheet1!$A:$J,10,0)</f>
        <v>100</v>
      </c>
      <c r="X189" s="4">
        <f>VLOOKUP(A189,[3]Sheet1!$A:$K,11,0)</f>
        <v>900</v>
      </c>
      <c r="Y189" s="4">
        <f>VLOOKUP(A189,[3]Sheet1!$A:$L,12,0)</f>
        <v>200</v>
      </c>
      <c r="Z189" s="4">
        <f>VLOOKUP(A189,[3]Sheet1!$A:$M,13,0)</f>
        <v>50</v>
      </c>
      <c r="AA189" s="4">
        <f t="shared" si="48"/>
        <v>3550</v>
      </c>
      <c r="AB189" s="7">
        <f t="shared" si="39"/>
        <v>296</v>
      </c>
      <c r="AC189" s="15">
        <f t="shared" si="49"/>
        <v>295.83333333333331</v>
      </c>
      <c r="AD189" s="16">
        <f t="shared" si="50"/>
        <v>85129</v>
      </c>
      <c r="AE189" s="16">
        <f t="shared" si="51"/>
        <v>7094.083333333333</v>
      </c>
      <c r="AF189" s="16">
        <v>7.3</v>
      </c>
      <c r="AG189" s="16">
        <v>23.98</v>
      </c>
      <c r="AH189" s="8">
        <f t="shared" si="52"/>
        <v>8.6133333333333326E-2</v>
      </c>
      <c r="AI189" s="8">
        <f t="shared" si="53"/>
        <v>0.30146666666666661</v>
      </c>
      <c r="AJ189" s="10">
        <v>0.5</v>
      </c>
      <c r="AK189" s="10">
        <v>0.5</v>
      </c>
      <c r="AL189" s="16">
        <v>7.3</v>
      </c>
      <c r="AM189" s="9">
        <f t="shared" si="40"/>
        <v>3.597</v>
      </c>
      <c r="AN189" s="9">
        <f t="shared" si="41"/>
        <v>0.71940000000000004</v>
      </c>
      <c r="AO189" s="9">
        <f t="shared" si="42"/>
        <v>4.7960000000000003</v>
      </c>
      <c r="AP189" s="9">
        <f t="shared" si="43"/>
        <v>0.47960000000000003</v>
      </c>
      <c r="AQ189" s="9">
        <f t="shared" si="44"/>
        <v>4.7960000000000003</v>
      </c>
      <c r="AR189" s="9">
        <f t="shared" si="45"/>
        <v>5.9950000000000001</v>
      </c>
      <c r="AS189" s="11">
        <f t="shared" si="46"/>
        <v>0.86133333333333317</v>
      </c>
      <c r="AT189" s="12">
        <f t="shared" si="47"/>
        <v>6.1999999999999979E-2</v>
      </c>
    </row>
    <row r="190" spans="1:46" ht="16.5" x14ac:dyDescent="0.4">
      <c r="A190" s="4" t="s">
        <v>900</v>
      </c>
      <c r="B190" s="4" t="s">
        <v>513</v>
      </c>
      <c r="C190" s="7" t="s">
        <v>1785</v>
      </c>
      <c r="D190" s="4" t="s">
        <v>901</v>
      </c>
      <c r="E190" s="4" t="s">
        <v>902</v>
      </c>
      <c r="F190" s="4" t="s">
        <v>903</v>
      </c>
      <c r="G190" s="7" t="str">
        <f>VLOOKUP(A190,[1]done!$A:$I,9,0)</f>
        <v>Other Lawn products</v>
      </c>
      <c r="H190" s="7" t="str" cm="1">
        <f t="array" ref="H190">_xlfn.IFS(
OR(ISNUMBER(SEARCH("mouse",E190)),ISNUMBER(SEARCH("rat",E190)),ISNUMBER(SEARCH("mice",E190)),ISNUMBER(SEARCH("rodent",E190))),"Rodent Control",
OR(ISNUMBER(SEARCH("fly",E190)),ISNUMBER(SEARCH("gnat",E190)),ISNUMBER(SEARCH("insect",E190)),ISNUMBER(SEARCH("mosquito",E190))),"Flying Insect Control",
OR(ISNUMBER(SEARCH("roach",E190)),ISNUMBER(SEARCH("ant",E190)),ISNUMBER(SEARCH("spider",E190)),ISNUMBER(SEARCH("cricket",E190)),ISNUMBER(SEARCH("scorpion",E190)),ISNUMBER(SEARCH("centipede",E190)),ISNUMBER(SEARCH("beetle",E190))),"Crawling Insect Control",
OR(ISNUMBER(SEARCH("tree",E190)),ISNUMBER(SEARCH("lantern",E190)),ISNUMBER(SEARCH("garden",E190)),ISNUMBER(SEARCH("plant",E190))),"Garden Pest Control",
OR(ISNUMBER(SEARCH("grass seed",E190)),ISNUMBER(SEARCH("seed mix",E190))),"Grass Seed",
OR(ISNUMBER(SEARCH("lawn food",E190)),ISNUMBER(SEARCH("fertilizer",E190))),"Lawn Fertilizer",
OR(ISNUMBER(SEARCH("patch",E190)),ISNUMBER(SEARCH("repair",E190)),ISNUMBER(SEARCH("thick'r",E190)),ISNUMBER(SEARCH("thick'r lawn",E190)),ISNUMBER(SEARCH("rapid grass",E190))),"Lawn Repair",
OR(ISNUMBER(SEARCH("weed",E190)),ISNUMBER(SEARCH("crabgrass",E190))),"Weed Control",
OR(ISNUMBER(SEARCH("fungicide",E190)),ISNUMBER(SEARCH("moss",E190))),"Disease &amp; Moss Control",
OR(ISNUMBER(SEARCH("plant food",E190)),ISNUMBER(SEARCH("miracid",E190))),"Plant Nutrition",
OR(ISNUMBER(SEARCH("perlite",E190))),"Soil Amendment",
OR(ISNUMBER(SEARCH("spreader",E190)),ISNUMBER(SEARCH("sprayer",E190)),ISNUMBER(SEARCH("mower",E190)),ISNUMBER(SEARCH("sweeper",E190)),ISNUMBER(SEARCH("pruner",E190)),ISNUMBER(SEARCH("trimmer",E190)),ISNUMBER(SEARCH("pole saw",E190))),"Garden Equipment",
TRUE,"Other"
)</f>
        <v>Other</v>
      </c>
      <c r="I190" s="7" t="str" cm="1">
        <f t="array" ref="I190">_xlfn.IFS(
OR(ISNUMBER(SEARCH("glue trap",E190)),ISNUMBER(SEARCH("glue board",E190))),"Glue Traps",
OR(ISNUMBER(SEARCH("snap trap",E190)),ISNUMBER(SEARCH("power-kill",E190)),ISNUMBER(SEARCH("wide pedal",E190)),ISNUMBER(SEARCH("metal pedal",E190))),"Snap Traps",
OR(ISNUMBER(SEARCH("electronic",E190)),ISNUMBER(SEARCH("zapper",E190))),"Electronic Traps",
OR(ISNUMBER(SEARCH("live catch",E190)),ISNUMBER(SEARCH("multi-catch",E190)),ISNUMBER(SEARCH("catch &amp; hold",E190)),ISNUMBER(SEARCH("tin cat",E190))),"Live Catch Traps",
OR(ISNUMBER(SEARCH("bait",E190)),ISNUMBER(SEARCH("poison",E190))),"Bait &amp; Poison",
ISNUMBER(SEARCH("repellent",E190)),"Repellents",
OR(ISNUMBER(SEARCH("fly trap",E190)),ISNUMBER(SEARCH("fly ribbon",E190)),ISNUMBER(SEARCH("fly stick",E190)),ISNUMBER(SEARCH("window fly",E190)),ISNUMBER(SEARCH("fly magnet",E190))),"Fly Traps",
OR(ISNUMBER(SEARCH("uv",E190)),ISNUMBER(SEARCH("fly light",E190)),ISNUMBER(SEARCH("plug-in",E190))),"UV Fly Traps",
ISNUMBER(SEARCH("roach",E190)),"Roach Traps",
ISNUMBER(SEARCH("ant",E190)),"Ant Traps",
ISNUMBER(SEARCH("spider",E190)),"Spider Traps",
ISNUMBER(SEARCH("mosquito",E190)),"Mosquito Traps",
ISNUMBER(SEARCH("beetle",E190)),"Beetle Traps",
ISNUMBER(SEARCH("lantern",E190)),"Lanternfly Control",
OR(ISNUMBER(SEARCH("tree shield",E190)),ISNUMBER(SEARCH("tree banding",E190)),ISNUMBER(SEARCH("insect barrier",E190))),"Tree Barriers",
OR(ISNUMBER(SEARCH("sun &amp; shade",E190)),ISNUMBER(SEARCH("sun and shade",E190))),"Sun &amp; Shade Mix",
ISNUMBER(SEARCH("tall fescue",E190)),"Tall Fescue",
ISNUMBER(SEARCH("bermudagrass",E190)),"Bermudagrass",
ISNUMBER(SEARCH("kentucky",E190)),"Kentucky Bluegrass",
ISNUMBER(SEARCH("zoysia",E190)),"Zoysia",
ISNUMBER(SEARCH("ryegrass",E190)),"Perennial Ryegrass",
ISNUMBER(SEARCH("centipede",E190)),"Centipede Grass",
ISNUMBER(SEARCH("dense shade",E190)),"Dense Shade Mix",
ISNUMBER(SEARCH("southern gold",E190)),"Southern Gold Mix",
ISNUMBER(SEARCH("heat-tolerant blue",E190)),"Heat-Tolerant Blue Mix",
ISNUMBER(SEARCH("high traffic",E190)),"High Traffic Mix",
ISNUMBER(SEARCH("quick fix",E190)),"Quick Fix Mix",
ISNUMBER(SEARCH("starter",E190)),"Starter Fertilizer",
ISNUMBER(SEARCH("weed &amp; feed",E190)),"Weed &amp; Feed",
ISNUMBER(SEARCH("lawn food",E190)),"Lawn Food",
ISNUMBER(SEARCH("triple action",E190)),"Triple Action Fertilizer",
ISNUMBER(SEARCH("green max",E190)),"Green Max Lawn Food",
ISNUMBER(SEARCH("patchmaster",E190)),"PatchMaster Repair",
ISNUMBER(SEARCH("ez seed",E190)),"EZ Seed Repair",
ISNUMBER(SEARCH("rapid grass",E190)),"Rapid Grass",
ISNUMBER(SEARCH("thick'r lawn",E190)),"Thick'R Lawn",
ISNUMBER(SEARCH("fungicide",E190)),"Fungicide",
ISNUMBER(SEARCH("moss",E190)),"Moss Control",
ISNUMBER(SEARCH("perlite",E190)),"Perlite",
ISNUMBER(SEARCH("plant food",E190)),"Plant Food",
ISNUMBER(SEARCH("spreader",E190)),"Spreader",
ISNUMBER(SEARCH("sprayer",E190)),"Sprayer",
ISNUMBER(SEARCH("mower",E190)),"Lawn Mower",
ISNUMBER(SEARCH("sweeper",E190)),"Lawn Sweeper",
OR(ISNUMBER(SEARCH("pruner",E190)),ISNUMBER(SEARCH("trimmer",E190)),ISNUMBER(SEARCH("pole saw",E190))),"Pruning Tools",
TRUE,"Other"
)</f>
        <v>Other</v>
      </c>
      <c r="J190" s="7" t="str">
        <f t="shared" si="38"/>
        <v>Other - Other</v>
      </c>
      <c r="K190" s="4">
        <v>300</v>
      </c>
      <c r="L190" s="4">
        <v>4.3</v>
      </c>
      <c r="M190" s="4">
        <v>240</v>
      </c>
      <c r="N190" s="4" t="s">
        <v>193</v>
      </c>
      <c r="O190" s="4">
        <f>VLOOKUP(A190,[3]Sheet1!$A:$B,2,0)</f>
        <v>50</v>
      </c>
      <c r="P190" s="4">
        <f>VLOOKUP(A190,[3]Sheet1!$A:$C,3,0)</f>
        <v>50</v>
      </c>
      <c r="Q190" s="4">
        <f>VLOOKUP(A190,[3]Sheet1!$A:$D,4,0)</f>
        <v>600</v>
      </c>
      <c r="R190" s="4">
        <f>VLOOKUP(A190,[3]Sheet1!$A:$E,5,0)</f>
        <v>800</v>
      </c>
      <c r="S190" s="4">
        <f>VLOOKUP(A190,[3]Sheet1!$A:$F,6,0)</f>
        <v>1000</v>
      </c>
      <c r="T190" s="4">
        <f>VLOOKUP(A190,[3]Sheet1!$A:$G,7,0)</f>
        <v>500</v>
      </c>
      <c r="U190" s="4">
        <f>VLOOKUP(A190,[3]Sheet1!$A:$I,8,0)</f>
        <v>300</v>
      </c>
      <c r="V190" s="4">
        <f>VLOOKUP(A190,[3]Sheet1!$A:$J,9,0)</f>
        <v>700</v>
      </c>
      <c r="W190" s="4">
        <f>VLOOKUP(A190,[3]Sheet1!$A:$J,10,0)</f>
        <v>300</v>
      </c>
      <c r="X190" s="4">
        <f>VLOOKUP(A190,[3]Sheet1!$A:$K,11,0)</f>
        <v>600</v>
      </c>
      <c r="Y190" s="4">
        <f>VLOOKUP(A190,[3]Sheet1!$A:$L,12,0)</f>
        <v>100</v>
      </c>
      <c r="Z190" s="4">
        <f>VLOOKUP(A190,[3]Sheet1!$A:$M,13,0)</f>
        <v>50</v>
      </c>
      <c r="AA190" s="4">
        <f t="shared" si="48"/>
        <v>5050</v>
      </c>
      <c r="AB190" s="7">
        <f t="shared" si="39"/>
        <v>421</v>
      </c>
      <c r="AC190" s="15">
        <f t="shared" si="49"/>
        <v>420.83333333333331</v>
      </c>
      <c r="AD190" s="16">
        <f t="shared" si="50"/>
        <v>84284.5</v>
      </c>
      <c r="AE190" s="16">
        <f t="shared" si="51"/>
        <v>7023.7083333333339</v>
      </c>
      <c r="AF190" s="16">
        <v>10.53</v>
      </c>
      <c r="AG190" s="16">
        <v>16.690000000000001</v>
      </c>
      <c r="AH190" s="8">
        <f t="shared" si="52"/>
        <v>-0.32359999999999994</v>
      </c>
      <c r="AI190" s="8">
        <f t="shared" si="53"/>
        <v>-1.1325999999999996</v>
      </c>
      <c r="AJ190" s="10">
        <v>0.5</v>
      </c>
      <c r="AK190" s="10">
        <v>0.5</v>
      </c>
      <c r="AL190" s="16">
        <v>10.53</v>
      </c>
      <c r="AM190" s="9">
        <f t="shared" si="40"/>
        <v>2.5035000000000003</v>
      </c>
      <c r="AN190" s="9">
        <f t="shared" si="41"/>
        <v>0.50070000000000003</v>
      </c>
      <c r="AO190" s="9">
        <f t="shared" si="42"/>
        <v>3.3380000000000005</v>
      </c>
      <c r="AP190" s="9">
        <f t="shared" si="43"/>
        <v>0.33380000000000004</v>
      </c>
      <c r="AQ190" s="9">
        <f t="shared" si="44"/>
        <v>3.3380000000000005</v>
      </c>
      <c r="AR190" s="9">
        <f t="shared" si="45"/>
        <v>4.1725000000000003</v>
      </c>
      <c r="AS190" s="11">
        <f t="shared" si="46"/>
        <v>-3.2359999999999993</v>
      </c>
      <c r="AT190" s="12">
        <f t="shared" si="47"/>
        <v>-3.7923333333333322</v>
      </c>
    </row>
    <row r="191" spans="1:46" ht="16.5" x14ac:dyDescent="0.4">
      <c r="A191" s="4" t="s">
        <v>904</v>
      </c>
      <c r="B191" s="4" t="s">
        <v>513</v>
      </c>
      <c r="C191" s="7" t="s">
        <v>1784</v>
      </c>
      <c r="D191" s="4" t="s">
        <v>905</v>
      </c>
      <c r="E191" s="4" t="s">
        <v>906</v>
      </c>
      <c r="F191" s="4" t="s">
        <v>907</v>
      </c>
      <c r="G191" s="7" t="str">
        <f>VLOOKUP(A191,[1]done!$A:$I,9,0)</f>
        <v>Lawn Fertilizer</v>
      </c>
      <c r="H191" s="7" t="str" cm="1">
        <f t="array" ref="H191">_xlfn.IFS(
OR(ISNUMBER(SEARCH("mouse",E191)),ISNUMBER(SEARCH("rat",E191)),ISNUMBER(SEARCH("mice",E191)),ISNUMBER(SEARCH("rodent",E191))),"Rodent Control",
OR(ISNUMBER(SEARCH("fly",E191)),ISNUMBER(SEARCH("gnat",E191)),ISNUMBER(SEARCH("insect",E191)),ISNUMBER(SEARCH("mosquito",E191))),"Flying Insect Control",
OR(ISNUMBER(SEARCH("roach",E191)),ISNUMBER(SEARCH("ant",E191)),ISNUMBER(SEARCH("spider",E191)),ISNUMBER(SEARCH("cricket",E191)),ISNUMBER(SEARCH("scorpion",E191)),ISNUMBER(SEARCH("centipede",E191)),ISNUMBER(SEARCH("beetle",E191))),"Crawling Insect Control",
OR(ISNUMBER(SEARCH("tree",E191)),ISNUMBER(SEARCH("lantern",E191)),ISNUMBER(SEARCH("garden",E191)),ISNUMBER(SEARCH("plant",E191))),"Garden Pest Control",
OR(ISNUMBER(SEARCH("grass seed",E191)),ISNUMBER(SEARCH("seed mix",E191))),"Grass Seed",
OR(ISNUMBER(SEARCH("lawn food",E191)),ISNUMBER(SEARCH("fertilizer",E191))),"Lawn Fertilizer",
OR(ISNUMBER(SEARCH("patch",E191)),ISNUMBER(SEARCH("repair",E191)),ISNUMBER(SEARCH("thick'r",E191)),ISNUMBER(SEARCH("thick'r lawn",E191)),ISNUMBER(SEARCH("rapid grass",E191))),"Lawn Repair",
OR(ISNUMBER(SEARCH("weed",E191)),ISNUMBER(SEARCH("crabgrass",E191))),"Weed Control",
OR(ISNUMBER(SEARCH("fungicide",E191)),ISNUMBER(SEARCH("moss",E191))),"Disease &amp; Moss Control",
OR(ISNUMBER(SEARCH("plant food",E191)),ISNUMBER(SEARCH("miracid",E191))),"Plant Nutrition",
OR(ISNUMBER(SEARCH("perlite",E191))),"Soil Amendment",
OR(ISNUMBER(SEARCH("spreader",E191)),ISNUMBER(SEARCH("sprayer",E191)),ISNUMBER(SEARCH("mower",E191)),ISNUMBER(SEARCH("sweeper",E191)),ISNUMBER(SEARCH("pruner",E191)),ISNUMBER(SEARCH("trimmer",E191)),ISNUMBER(SEARCH("pole saw",E191))),"Garden Equipment",
TRUE,"Other"
)</f>
        <v>Lawn Repair</v>
      </c>
      <c r="I191" s="7" t="str" cm="1">
        <f t="array" ref="I191">_xlfn.IFS(
OR(ISNUMBER(SEARCH("glue trap",E191)),ISNUMBER(SEARCH("glue board",E191))),"Glue Traps",
OR(ISNUMBER(SEARCH("snap trap",E191)),ISNUMBER(SEARCH("power-kill",E191)),ISNUMBER(SEARCH("wide pedal",E191)),ISNUMBER(SEARCH("metal pedal",E191))),"Snap Traps",
OR(ISNUMBER(SEARCH("electronic",E191)),ISNUMBER(SEARCH("zapper",E191))),"Electronic Traps",
OR(ISNUMBER(SEARCH("live catch",E191)),ISNUMBER(SEARCH("multi-catch",E191)),ISNUMBER(SEARCH("catch &amp; hold",E191)),ISNUMBER(SEARCH("tin cat",E191))),"Live Catch Traps",
OR(ISNUMBER(SEARCH("bait",E191)),ISNUMBER(SEARCH("poison",E191))),"Bait &amp; Poison",
ISNUMBER(SEARCH("repellent",E191)),"Repellents",
OR(ISNUMBER(SEARCH("fly trap",E191)),ISNUMBER(SEARCH("fly ribbon",E191)),ISNUMBER(SEARCH("fly stick",E191)),ISNUMBER(SEARCH("window fly",E191)),ISNUMBER(SEARCH("fly magnet",E191))),"Fly Traps",
OR(ISNUMBER(SEARCH("uv",E191)),ISNUMBER(SEARCH("fly light",E191)),ISNUMBER(SEARCH("plug-in",E191))),"UV Fly Traps",
ISNUMBER(SEARCH("roach",E191)),"Roach Traps",
ISNUMBER(SEARCH("ant",E191)),"Ant Traps",
ISNUMBER(SEARCH("spider",E191)),"Spider Traps",
ISNUMBER(SEARCH("mosquito",E191)),"Mosquito Traps",
ISNUMBER(SEARCH("beetle",E191)),"Beetle Traps",
ISNUMBER(SEARCH("lantern",E191)),"Lanternfly Control",
OR(ISNUMBER(SEARCH("tree shield",E191)),ISNUMBER(SEARCH("tree banding",E191)),ISNUMBER(SEARCH("insect barrier",E191))),"Tree Barriers",
OR(ISNUMBER(SEARCH("sun &amp; shade",E191)),ISNUMBER(SEARCH("sun and shade",E191))),"Sun &amp; Shade Mix",
ISNUMBER(SEARCH("tall fescue",E191)),"Tall Fescue",
ISNUMBER(SEARCH("bermudagrass",E191)),"Bermudagrass",
ISNUMBER(SEARCH("kentucky",E191)),"Kentucky Bluegrass",
ISNUMBER(SEARCH("zoysia",E191)),"Zoysia",
ISNUMBER(SEARCH("ryegrass",E191)),"Perennial Ryegrass",
ISNUMBER(SEARCH("centipede",E191)),"Centipede Grass",
ISNUMBER(SEARCH("dense shade",E191)),"Dense Shade Mix",
ISNUMBER(SEARCH("southern gold",E191)),"Southern Gold Mix",
ISNUMBER(SEARCH("heat-tolerant blue",E191)),"Heat-Tolerant Blue Mix",
ISNUMBER(SEARCH("high traffic",E191)),"High Traffic Mix",
ISNUMBER(SEARCH("quick fix",E191)),"Quick Fix Mix",
ISNUMBER(SEARCH("starter",E191)),"Starter Fertilizer",
ISNUMBER(SEARCH("weed &amp; feed",E191)),"Weed &amp; Feed",
ISNUMBER(SEARCH("lawn food",E191)),"Lawn Food",
ISNUMBER(SEARCH("triple action",E191)),"Triple Action Fertilizer",
ISNUMBER(SEARCH("green max",E191)),"Green Max Lawn Food",
ISNUMBER(SEARCH("patchmaster",E191)),"PatchMaster Repair",
ISNUMBER(SEARCH("ez seed",E191)),"EZ Seed Repair",
ISNUMBER(SEARCH("rapid grass",E191)),"Rapid Grass",
ISNUMBER(SEARCH("thick'r lawn",E191)),"Thick'R Lawn",
ISNUMBER(SEARCH("fungicide",E191)),"Fungicide",
ISNUMBER(SEARCH("moss",E191)),"Moss Control",
ISNUMBER(SEARCH("perlite",E191)),"Perlite",
ISNUMBER(SEARCH("plant food",E191)),"Plant Food",
ISNUMBER(SEARCH("spreader",E191)),"Spreader",
ISNUMBER(SEARCH("sprayer",E191)),"Sprayer",
ISNUMBER(SEARCH("mower",E191)),"Lawn Mower",
ISNUMBER(SEARCH("sweeper",E191)),"Lawn Sweeper",
OR(ISNUMBER(SEARCH("pruner",E191)),ISNUMBER(SEARCH("trimmer",E191)),ISNUMBER(SEARCH("pole saw",E191))),"Pruning Tools",
TRUE,"Other"
)</f>
        <v>Tall Fescue</v>
      </c>
      <c r="J191" s="7" t="str">
        <f t="shared" si="38"/>
        <v>Lawn Repair - Tall Fescue</v>
      </c>
      <c r="K191" s="4">
        <v>300</v>
      </c>
      <c r="L191" s="4">
        <v>4.0999999999999996</v>
      </c>
      <c r="M191" s="4">
        <v>3753</v>
      </c>
      <c r="N191" s="4" t="s">
        <v>517</v>
      </c>
      <c r="O191" s="4">
        <f>VLOOKUP(A191,[3]Sheet1!$A:$B,2,0)</f>
        <v>50</v>
      </c>
      <c r="P191" s="4">
        <f>VLOOKUP(A191,[3]Sheet1!$A:$C,3,0)</f>
        <v>50</v>
      </c>
      <c r="Q191" s="4">
        <f>VLOOKUP(A191,[3]Sheet1!$A:$D,4,0)</f>
        <v>100</v>
      </c>
      <c r="R191" s="4">
        <f>VLOOKUP(A191,[3]Sheet1!$A:$E,5,0)</f>
        <v>400</v>
      </c>
      <c r="S191" s="4">
        <f>VLOOKUP(A191,[3]Sheet1!$A:$F,6,0)</f>
        <v>500</v>
      </c>
      <c r="T191" s="4">
        <f>VLOOKUP(A191,[3]Sheet1!$A:$G,7,0)</f>
        <v>900</v>
      </c>
      <c r="U191" s="4">
        <f>VLOOKUP(A191,[3]Sheet1!$A:$I,8,0)</f>
        <v>300</v>
      </c>
      <c r="V191" s="4">
        <f>VLOOKUP(A191,[3]Sheet1!$A:$J,9,0)</f>
        <v>800</v>
      </c>
      <c r="W191" s="4">
        <f>VLOOKUP(A191,[3]Sheet1!$A:$J,10,0)</f>
        <v>300</v>
      </c>
      <c r="X191" s="4">
        <f>VLOOKUP(A191,[3]Sheet1!$A:$K,11,0)</f>
        <v>400</v>
      </c>
      <c r="Y191" s="4">
        <f>VLOOKUP(A191,[3]Sheet1!$A:$L,12,0)</f>
        <v>100</v>
      </c>
      <c r="Z191" s="4">
        <f>VLOOKUP(A191,[3]Sheet1!$A:$M,13,0)</f>
        <v>50</v>
      </c>
      <c r="AA191" s="4">
        <f t="shared" si="48"/>
        <v>3950</v>
      </c>
      <c r="AB191" s="7">
        <f t="shared" si="39"/>
        <v>329</v>
      </c>
      <c r="AC191" s="15">
        <f t="shared" si="49"/>
        <v>329.16666666666669</v>
      </c>
      <c r="AD191" s="16">
        <f t="shared" si="50"/>
        <v>94681.5</v>
      </c>
      <c r="AE191" s="16">
        <f t="shared" si="51"/>
        <v>7890.125</v>
      </c>
      <c r="AF191" s="16">
        <v>7.63</v>
      </c>
      <c r="AG191" s="16">
        <v>23.97</v>
      </c>
      <c r="AH191" s="8">
        <f t="shared" si="52"/>
        <v>6.3866666666666683E-2</v>
      </c>
      <c r="AI191" s="8">
        <f t="shared" si="53"/>
        <v>0.22353333333333336</v>
      </c>
      <c r="AJ191" s="10">
        <v>0.5</v>
      </c>
      <c r="AK191" s="10">
        <v>0.5</v>
      </c>
      <c r="AL191" s="16">
        <v>7.63</v>
      </c>
      <c r="AM191" s="9">
        <f t="shared" si="40"/>
        <v>3.5954999999999999</v>
      </c>
      <c r="AN191" s="9">
        <f t="shared" si="41"/>
        <v>0.71909999999999996</v>
      </c>
      <c r="AO191" s="9">
        <f t="shared" si="42"/>
        <v>4.7939999999999996</v>
      </c>
      <c r="AP191" s="9">
        <f t="shared" si="43"/>
        <v>0.47939999999999999</v>
      </c>
      <c r="AQ191" s="9">
        <f t="shared" si="44"/>
        <v>4.7939999999999996</v>
      </c>
      <c r="AR191" s="9">
        <f t="shared" si="45"/>
        <v>5.9924999999999997</v>
      </c>
      <c r="AS191" s="11">
        <f t="shared" si="46"/>
        <v>0.63866666666666683</v>
      </c>
      <c r="AT191" s="12">
        <f t="shared" si="47"/>
        <v>-0.1603333333333333</v>
      </c>
    </row>
    <row r="192" spans="1:46" ht="16.5" x14ac:dyDescent="0.4">
      <c r="A192" s="4" t="s">
        <v>908</v>
      </c>
      <c r="B192" s="4" t="s">
        <v>513</v>
      </c>
      <c r="C192" s="7" t="s">
        <v>1784</v>
      </c>
      <c r="D192" s="4" t="s">
        <v>909</v>
      </c>
      <c r="E192" s="4" t="s">
        <v>910</v>
      </c>
      <c r="F192" s="4" t="s">
        <v>911</v>
      </c>
      <c r="G192" s="7" t="str">
        <f>VLOOKUP(A192,[1]done!$A:$I,9,0)</f>
        <v>Lawn Fertilizer</v>
      </c>
      <c r="H192" s="7" t="str" cm="1">
        <f t="array" ref="H192">_xlfn.IFS(
OR(ISNUMBER(SEARCH("mouse",E192)),ISNUMBER(SEARCH("rat",E192)),ISNUMBER(SEARCH("mice",E192)),ISNUMBER(SEARCH("rodent",E192))),"Rodent Control",
OR(ISNUMBER(SEARCH("fly",E192)),ISNUMBER(SEARCH("gnat",E192)),ISNUMBER(SEARCH("insect",E192)),ISNUMBER(SEARCH("mosquito",E192))),"Flying Insect Control",
OR(ISNUMBER(SEARCH("roach",E192)),ISNUMBER(SEARCH("ant",E192)),ISNUMBER(SEARCH("spider",E192)),ISNUMBER(SEARCH("cricket",E192)),ISNUMBER(SEARCH("scorpion",E192)),ISNUMBER(SEARCH("centipede",E192)),ISNUMBER(SEARCH("beetle",E192))),"Crawling Insect Control",
OR(ISNUMBER(SEARCH("tree",E192)),ISNUMBER(SEARCH("lantern",E192)),ISNUMBER(SEARCH("garden",E192)),ISNUMBER(SEARCH("plant",E192))),"Garden Pest Control",
OR(ISNUMBER(SEARCH("grass seed",E192)),ISNUMBER(SEARCH("seed mix",E192))),"Grass Seed",
OR(ISNUMBER(SEARCH("lawn food",E192)),ISNUMBER(SEARCH("fertilizer",E192))),"Lawn Fertilizer",
OR(ISNUMBER(SEARCH("patch",E192)),ISNUMBER(SEARCH("repair",E192)),ISNUMBER(SEARCH("thick'r",E192)),ISNUMBER(SEARCH("thick'r lawn",E192)),ISNUMBER(SEARCH("rapid grass",E192))),"Lawn Repair",
OR(ISNUMBER(SEARCH("weed",E192)),ISNUMBER(SEARCH("crabgrass",E192))),"Weed Control",
OR(ISNUMBER(SEARCH("fungicide",E192)),ISNUMBER(SEARCH("moss",E192))),"Disease &amp; Moss Control",
OR(ISNUMBER(SEARCH("plant food",E192)),ISNUMBER(SEARCH("miracid",E192))),"Plant Nutrition",
OR(ISNUMBER(SEARCH("perlite",E192))),"Soil Amendment",
OR(ISNUMBER(SEARCH("spreader",E192)),ISNUMBER(SEARCH("sprayer",E192)),ISNUMBER(SEARCH("mower",E192)),ISNUMBER(SEARCH("sweeper",E192)),ISNUMBER(SEARCH("pruner",E192)),ISNUMBER(SEARCH("trimmer",E192)),ISNUMBER(SEARCH("pole saw",E192))),"Garden Equipment",
TRUE,"Other"
)</f>
        <v>Weed Control</v>
      </c>
      <c r="I192" s="7" t="str" cm="1">
        <f t="array" ref="I192">_xlfn.IFS(
OR(ISNUMBER(SEARCH("glue trap",E192)),ISNUMBER(SEARCH("glue board",E192))),"Glue Traps",
OR(ISNUMBER(SEARCH("snap trap",E192)),ISNUMBER(SEARCH("power-kill",E192)),ISNUMBER(SEARCH("wide pedal",E192)),ISNUMBER(SEARCH("metal pedal",E192))),"Snap Traps",
OR(ISNUMBER(SEARCH("electronic",E192)),ISNUMBER(SEARCH("zapper",E192))),"Electronic Traps",
OR(ISNUMBER(SEARCH("live catch",E192)),ISNUMBER(SEARCH("multi-catch",E192)),ISNUMBER(SEARCH("catch &amp; hold",E192)),ISNUMBER(SEARCH("tin cat",E192))),"Live Catch Traps",
OR(ISNUMBER(SEARCH("bait",E192)),ISNUMBER(SEARCH("poison",E192))),"Bait &amp; Poison",
ISNUMBER(SEARCH("repellent",E192)),"Repellents",
OR(ISNUMBER(SEARCH("fly trap",E192)),ISNUMBER(SEARCH("fly ribbon",E192)),ISNUMBER(SEARCH("fly stick",E192)),ISNUMBER(SEARCH("window fly",E192)),ISNUMBER(SEARCH("fly magnet",E192))),"Fly Traps",
OR(ISNUMBER(SEARCH("uv",E192)),ISNUMBER(SEARCH("fly light",E192)),ISNUMBER(SEARCH("plug-in",E192))),"UV Fly Traps",
ISNUMBER(SEARCH("roach",E192)),"Roach Traps",
ISNUMBER(SEARCH("ant",E192)),"Ant Traps",
ISNUMBER(SEARCH("spider",E192)),"Spider Traps",
ISNUMBER(SEARCH("mosquito",E192)),"Mosquito Traps",
ISNUMBER(SEARCH("beetle",E192)),"Beetle Traps",
ISNUMBER(SEARCH("lantern",E192)),"Lanternfly Control",
OR(ISNUMBER(SEARCH("tree shield",E192)),ISNUMBER(SEARCH("tree banding",E192)),ISNUMBER(SEARCH("insect barrier",E192))),"Tree Barriers",
OR(ISNUMBER(SEARCH("sun &amp; shade",E192)),ISNUMBER(SEARCH("sun and shade",E192))),"Sun &amp; Shade Mix",
ISNUMBER(SEARCH("tall fescue",E192)),"Tall Fescue",
ISNUMBER(SEARCH("bermudagrass",E192)),"Bermudagrass",
ISNUMBER(SEARCH("kentucky",E192)),"Kentucky Bluegrass",
ISNUMBER(SEARCH("zoysia",E192)),"Zoysia",
ISNUMBER(SEARCH("ryegrass",E192)),"Perennial Ryegrass",
ISNUMBER(SEARCH("centipede",E192)),"Centipede Grass",
ISNUMBER(SEARCH("dense shade",E192)),"Dense Shade Mix",
ISNUMBER(SEARCH("southern gold",E192)),"Southern Gold Mix",
ISNUMBER(SEARCH("heat-tolerant blue",E192)),"Heat-Tolerant Blue Mix",
ISNUMBER(SEARCH("high traffic",E192)),"High Traffic Mix",
ISNUMBER(SEARCH("quick fix",E192)),"Quick Fix Mix",
ISNUMBER(SEARCH("starter",E192)),"Starter Fertilizer",
ISNUMBER(SEARCH("weed &amp; feed",E192)),"Weed &amp; Feed",
ISNUMBER(SEARCH("lawn food",E192)),"Lawn Food",
ISNUMBER(SEARCH("triple action",E192)),"Triple Action Fertilizer",
ISNUMBER(SEARCH("green max",E192)),"Green Max Lawn Food",
ISNUMBER(SEARCH("patchmaster",E192)),"PatchMaster Repair",
ISNUMBER(SEARCH("ez seed",E192)),"EZ Seed Repair",
ISNUMBER(SEARCH("rapid grass",E192)),"Rapid Grass",
ISNUMBER(SEARCH("thick'r lawn",E192)),"Thick'R Lawn",
ISNUMBER(SEARCH("fungicide",E192)),"Fungicide",
ISNUMBER(SEARCH("moss",E192)),"Moss Control",
ISNUMBER(SEARCH("perlite",E192)),"Perlite",
ISNUMBER(SEARCH("plant food",E192)),"Plant Food",
ISNUMBER(SEARCH("spreader",E192)),"Spreader",
ISNUMBER(SEARCH("sprayer",E192)),"Sprayer",
ISNUMBER(SEARCH("mower",E192)),"Lawn Mower",
ISNUMBER(SEARCH("sweeper",E192)),"Lawn Sweeper",
OR(ISNUMBER(SEARCH("pruner",E192)),ISNUMBER(SEARCH("trimmer",E192)),ISNUMBER(SEARCH("pole saw",E192))),"Pruning Tools",
TRUE,"Other"
)</f>
        <v>Weed &amp; Feed</v>
      </c>
      <c r="J192" s="7" t="str">
        <f t="shared" si="38"/>
        <v>Weed Control - Weed &amp; Feed</v>
      </c>
      <c r="K192" s="4">
        <v>300</v>
      </c>
      <c r="L192" s="4">
        <v>4.5</v>
      </c>
      <c r="M192" s="4">
        <v>1179</v>
      </c>
      <c r="N192" s="4" t="s">
        <v>629</v>
      </c>
      <c r="O192" s="4">
        <f>VLOOKUP(A192,[3]Sheet1!$A:$B,2,0)</f>
        <v>50</v>
      </c>
      <c r="P192" s="4">
        <f>VLOOKUP(A192,[3]Sheet1!$A:$C,3,0)</f>
        <v>50</v>
      </c>
      <c r="Q192" s="4">
        <f>VLOOKUP(A192,[3]Sheet1!$A:$D,4,0)</f>
        <v>100</v>
      </c>
      <c r="R192" s="4">
        <f>VLOOKUP(A192,[3]Sheet1!$A:$E,5,0)</f>
        <v>1000</v>
      </c>
      <c r="S192" s="4">
        <f>VLOOKUP(A192,[3]Sheet1!$A:$F,6,0)</f>
        <v>1000</v>
      </c>
      <c r="T192" s="4">
        <f>VLOOKUP(A192,[3]Sheet1!$A:$G,7,0)</f>
        <v>200</v>
      </c>
      <c r="U192" s="4">
        <f>VLOOKUP(A192,[3]Sheet1!$A:$I,8,0)</f>
        <v>100</v>
      </c>
      <c r="V192" s="4">
        <f>VLOOKUP(A192,[3]Sheet1!$A:$J,9,0)</f>
        <v>100</v>
      </c>
      <c r="W192" s="4">
        <f>VLOOKUP(A192,[3]Sheet1!$A:$J,10,0)</f>
        <v>200</v>
      </c>
      <c r="X192" s="4">
        <f>VLOOKUP(A192,[3]Sheet1!$A:$K,11,0)</f>
        <v>200</v>
      </c>
      <c r="Y192" s="4">
        <f>VLOOKUP(A192,[3]Sheet1!$A:$L,12,0)</f>
        <v>200</v>
      </c>
      <c r="Z192" s="4">
        <f>VLOOKUP(A192,[3]Sheet1!$A:$M,13,0)</f>
        <v>200</v>
      </c>
      <c r="AA192" s="4">
        <f t="shared" si="48"/>
        <v>3400</v>
      </c>
      <c r="AB192" s="7">
        <f t="shared" si="39"/>
        <v>283</v>
      </c>
      <c r="AC192" s="15">
        <f t="shared" si="49"/>
        <v>283.33333333333331</v>
      </c>
      <c r="AD192" s="16">
        <f t="shared" si="50"/>
        <v>256665.99999999997</v>
      </c>
      <c r="AE192" s="16">
        <f t="shared" si="51"/>
        <v>21388.833333333332</v>
      </c>
      <c r="AF192" s="16">
        <v>22.87</v>
      </c>
      <c r="AG192" s="16">
        <v>75.489999999999995</v>
      </c>
      <c r="AH192" s="8">
        <f t="shared" si="52"/>
        <v>0.42173333333333318</v>
      </c>
      <c r="AI192" s="8">
        <f t="shared" si="53"/>
        <v>1.476066666666666</v>
      </c>
      <c r="AJ192" s="10">
        <v>0.5</v>
      </c>
      <c r="AK192" s="10">
        <v>0.5</v>
      </c>
      <c r="AL192" s="16">
        <v>22.87</v>
      </c>
      <c r="AM192" s="9">
        <f t="shared" si="40"/>
        <v>11.323499999999999</v>
      </c>
      <c r="AN192" s="9">
        <f t="shared" si="41"/>
        <v>2.2646999999999999</v>
      </c>
      <c r="AO192" s="9">
        <f t="shared" si="42"/>
        <v>15.097999999999999</v>
      </c>
      <c r="AP192" s="9">
        <f t="shared" si="43"/>
        <v>1.5098</v>
      </c>
      <c r="AQ192" s="9">
        <f t="shared" si="44"/>
        <v>15.097999999999999</v>
      </c>
      <c r="AR192" s="9">
        <f t="shared" si="45"/>
        <v>18.872499999999999</v>
      </c>
      <c r="AS192" s="11">
        <f t="shared" si="46"/>
        <v>4.2173333333333316</v>
      </c>
      <c r="AT192" s="12">
        <f t="shared" si="47"/>
        <v>1.7009999999999981</v>
      </c>
    </row>
    <row r="193" spans="1:46" ht="16.5" x14ac:dyDescent="0.4">
      <c r="A193" s="4" t="s">
        <v>912</v>
      </c>
      <c r="B193" s="4" t="s">
        <v>513</v>
      </c>
      <c r="C193" s="7" t="s">
        <v>513</v>
      </c>
      <c r="D193" s="4" t="s">
        <v>913</v>
      </c>
      <c r="E193" s="4" t="s">
        <v>914</v>
      </c>
      <c r="F193" s="4" t="s">
        <v>915</v>
      </c>
      <c r="G193" s="7" t="str">
        <f>VLOOKUP(A193,[1]done!$A:$I,9,0)</f>
        <v>Lawn Fertilizer</v>
      </c>
      <c r="H193" s="7" t="str" cm="1">
        <f t="array" ref="H193">_xlfn.IFS(
OR(ISNUMBER(SEARCH("mouse",E193)),ISNUMBER(SEARCH("rat",E193)),ISNUMBER(SEARCH("mice",E193)),ISNUMBER(SEARCH("rodent",E193))),"Rodent Control",
OR(ISNUMBER(SEARCH("fly",E193)),ISNUMBER(SEARCH("gnat",E193)),ISNUMBER(SEARCH("insect",E193)),ISNUMBER(SEARCH("mosquito",E193))),"Flying Insect Control",
OR(ISNUMBER(SEARCH("roach",E193)),ISNUMBER(SEARCH("ant",E193)),ISNUMBER(SEARCH("spider",E193)),ISNUMBER(SEARCH("cricket",E193)),ISNUMBER(SEARCH("scorpion",E193)),ISNUMBER(SEARCH("centipede",E193)),ISNUMBER(SEARCH("beetle",E193))),"Crawling Insect Control",
OR(ISNUMBER(SEARCH("tree",E193)),ISNUMBER(SEARCH("lantern",E193)),ISNUMBER(SEARCH("garden",E193)),ISNUMBER(SEARCH("plant",E193))),"Garden Pest Control",
OR(ISNUMBER(SEARCH("grass seed",E193)),ISNUMBER(SEARCH("seed mix",E193))),"Grass Seed",
OR(ISNUMBER(SEARCH("lawn food",E193)),ISNUMBER(SEARCH("fertilizer",E193))),"Lawn Fertilizer",
OR(ISNUMBER(SEARCH("patch",E193)),ISNUMBER(SEARCH("repair",E193)),ISNUMBER(SEARCH("thick'r",E193)),ISNUMBER(SEARCH("thick'r lawn",E193)),ISNUMBER(SEARCH("rapid grass",E193))),"Lawn Repair",
OR(ISNUMBER(SEARCH("weed",E193)),ISNUMBER(SEARCH("crabgrass",E193))),"Weed Control",
OR(ISNUMBER(SEARCH("fungicide",E193)),ISNUMBER(SEARCH("moss",E193))),"Disease &amp; Moss Control",
OR(ISNUMBER(SEARCH("plant food",E193)),ISNUMBER(SEARCH("miracid",E193))),"Plant Nutrition",
OR(ISNUMBER(SEARCH("perlite",E193))),"Soil Amendment",
OR(ISNUMBER(SEARCH("spreader",E193)),ISNUMBER(SEARCH("sprayer",E193)),ISNUMBER(SEARCH("mower",E193)),ISNUMBER(SEARCH("sweeper",E193)),ISNUMBER(SEARCH("pruner",E193)),ISNUMBER(SEARCH("trimmer",E193)),ISNUMBER(SEARCH("pole saw",E193))),"Garden Equipment",
TRUE,"Other"
)</f>
        <v>Lawn Fertilizer</v>
      </c>
      <c r="I193" s="7" t="str" cm="1">
        <f t="array" ref="I193">_xlfn.IFS(
OR(ISNUMBER(SEARCH("glue trap",E193)),ISNUMBER(SEARCH("glue board",E193))),"Glue Traps",
OR(ISNUMBER(SEARCH("snap trap",E193)),ISNUMBER(SEARCH("power-kill",E193)),ISNUMBER(SEARCH("wide pedal",E193)),ISNUMBER(SEARCH("metal pedal",E193))),"Snap Traps",
OR(ISNUMBER(SEARCH("electronic",E193)),ISNUMBER(SEARCH("zapper",E193))),"Electronic Traps",
OR(ISNUMBER(SEARCH("live catch",E193)),ISNUMBER(SEARCH("multi-catch",E193)),ISNUMBER(SEARCH("catch &amp; hold",E193)),ISNUMBER(SEARCH("tin cat",E193))),"Live Catch Traps",
OR(ISNUMBER(SEARCH("bait",E193)),ISNUMBER(SEARCH("poison",E193))),"Bait &amp; Poison",
ISNUMBER(SEARCH("repellent",E193)),"Repellents",
OR(ISNUMBER(SEARCH("fly trap",E193)),ISNUMBER(SEARCH("fly ribbon",E193)),ISNUMBER(SEARCH("fly stick",E193)),ISNUMBER(SEARCH("window fly",E193)),ISNUMBER(SEARCH("fly magnet",E193))),"Fly Traps",
OR(ISNUMBER(SEARCH("uv",E193)),ISNUMBER(SEARCH("fly light",E193)),ISNUMBER(SEARCH("plug-in",E193))),"UV Fly Traps",
ISNUMBER(SEARCH("roach",E193)),"Roach Traps",
ISNUMBER(SEARCH("ant",E193)),"Ant Traps",
ISNUMBER(SEARCH("spider",E193)),"Spider Traps",
ISNUMBER(SEARCH("mosquito",E193)),"Mosquito Traps",
ISNUMBER(SEARCH("beetle",E193)),"Beetle Traps",
ISNUMBER(SEARCH("lantern",E193)),"Lanternfly Control",
OR(ISNUMBER(SEARCH("tree shield",E193)),ISNUMBER(SEARCH("tree banding",E193)),ISNUMBER(SEARCH("insect barrier",E193))),"Tree Barriers",
OR(ISNUMBER(SEARCH("sun &amp; shade",E193)),ISNUMBER(SEARCH("sun and shade",E193))),"Sun &amp; Shade Mix",
ISNUMBER(SEARCH("tall fescue",E193)),"Tall Fescue",
ISNUMBER(SEARCH("bermudagrass",E193)),"Bermudagrass",
ISNUMBER(SEARCH("kentucky",E193)),"Kentucky Bluegrass",
ISNUMBER(SEARCH("zoysia",E193)),"Zoysia",
ISNUMBER(SEARCH("ryegrass",E193)),"Perennial Ryegrass",
ISNUMBER(SEARCH("centipede",E193)),"Centipede Grass",
ISNUMBER(SEARCH("dense shade",E193)),"Dense Shade Mix",
ISNUMBER(SEARCH("southern gold",E193)),"Southern Gold Mix",
ISNUMBER(SEARCH("heat-tolerant blue",E193)),"Heat-Tolerant Blue Mix",
ISNUMBER(SEARCH("high traffic",E193)),"High Traffic Mix",
ISNUMBER(SEARCH("quick fix",E193)),"Quick Fix Mix",
ISNUMBER(SEARCH("starter",E193)),"Starter Fertilizer",
ISNUMBER(SEARCH("weed &amp; feed",E193)),"Weed &amp; Feed",
ISNUMBER(SEARCH("lawn food",E193)),"Lawn Food",
ISNUMBER(SEARCH("triple action",E193)),"Triple Action Fertilizer",
ISNUMBER(SEARCH("green max",E193)),"Green Max Lawn Food",
ISNUMBER(SEARCH("patchmaster",E193)),"PatchMaster Repair",
ISNUMBER(SEARCH("ez seed",E193)),"EZ Seed Repair",
ISNUMBER(SEARCH("rapid grass",E193)),"Rapid Grass",
ISNUMBER(SEARCH("thick'r lawn",E193)),"Thick'R Lawn",
ISNUMBER(SEARCH("fungicide",E193)),"Fungicide",
ISNUMBER(SEARCH("moss",E193)),"Moss Control",
ISNUMBER(SEARCH("perlite",E193)),"Perlite",
ISNUMBER(SEARCH("plant food",E193)),"Plant Food",
ISNUMBER(SEARCH("spreader",E193)),"Spreader",
ISNUMBER(SEARCH("sprayer",E193)),"Sprayer",
ISNUMBER(SEARCH("mower",E193)),"Lawn Mower",
ISNUMBER(SEARCH("sweeper",E193)),"Lawn Sweeper",
OR(ISNUMBER(SEARCH("pruner",E193)),ISNUMBER(SEARCH("trimmer",E193)),ISNUMBER(SEARCH("pole saw",E193))),"Pruning Tools",
TRUE,"Other"
)</f>
        <v>Other</v>
      </c>
      <c r="J193" s="7" t="str">
        <f t="shared" si="38"/>
        <v>Lawn Fertilizer - Other</v>
      </c>
      <c r="K193" s="4">
        <v>300</v>
      </c>
      <c r="L193" s="4">
        <v>4.5</v>
      </c>
      <c r="M193" s="4">
        <v>1179</v>
      </c>
      <c r="N193" s="4" t="s">
        <v>526</v>
      </c>
      <c r="O193" s="4">
        <f>VLOOKUP(A193,[3]Sheet1!$A:$B,2,0)</f>
        <v>300</v>
      </c>
      <c r="P193" s="4">
        <f>VLOOKUP(A193,[3]Sheet1!$A:$C,3,0)</f>
        <v>1000</v>
      </c>
      <c r="Q193" s="4">
        <f>VLOOKUP(A193,[3]Sheet1!$A:$D,4,0)</f>
        <v>1000</v>
      </c>
      <c r="R193" s="4">
        <f>VLOOKUP(A193,[3]Sheet1!$A:$E,5,0)</f>
        <v>1000</v>
      </c>
      <c r="S193" s="4">
        <f>VLOOKUP(A193,[3]Sheet1!$A:$F,6,0)</f>
        <v>1000</v>
      </c>
      <c r="T193" s="4">
        <f>VLOOKUP(A193,[3]Sheet1!$A:$G,7,0)</f>
        <v>600</v>
      </c>
      <c r="U193" s="4">
        <f>VLOOKUP(A193,[3]Sheet1!$A:$I,8,0)</f>
        <v>200</v>
      </c>
      <c r="V193" s="4">
        <f>VLOOKUP(A193,[3]Sheet1!$A:$J,9,0)</f>
        <v>300</v>
      </c>
      <c r="W193" s="4">
        <f>VLOOKUP(A193,[3]Sheet1!$A:$J,10,0)</f>
        <v>300</v>
      </c>
      <c r="X193" s="4">
        <f>VLOOKUP(A193,[3]Sheet1!$A:$K,11,0)</f>
        <v>500</v>
      </c>
      <c r="Y193" s="4">
        <f>VLOOKUP(A193,[3]Sheet1!$A:$L,12,0)</f>
        <v>400</v>
      </c>
      <c r="Z193" s="4">
        <f>VLOOKUP(A193,[3]Sheet1!$A:$M,13,0)</f>
        <v>300</v>
      </c>
      <c r="AA193" s="4">
        <f t="shared" si="48"/>
        <v>6900</v>
      </c>
      <c r="AB193" s="7">
        <f t="shared" si="39"/>
        <v>575</v>
      </c>
      <c r="AC193" s="15">
        <f t="shared" si="49"/>
        <v>575</v>
      </c>
      <c r="AD193" s="16">
        <f t="shared" si="50"/>
        <v>286281</v>
      </c>
      <c r="AE193" s="16">
        <f t="shared" si="51"/>
        <v>23856.75</v>
      </c>
      <c r="AF193" s="16">
        <v>12.02</v>
      </c>
      <c r="AG193" s="16">
        <v>41.49</v>
      </c>
      <c r="AH193" s="8">
        <f t="shared" si="52"/>
        <v>0.23840000000000017</v>
      </c>
      <c r="AI193" s="8">
        <f t="shared" si="53"/>
        <v>0.83440000000000059</v>
      </c>
      <c r="AJ193" s="10">
        <v>0.5</v>
      </c>
      <c r="AK193" s="10">
        <v>0.5</v>
      </c>
      <c r="AL193" s="16">
        <v>12.02</v>
      </c>
      <c r="AM193" s="9">
        <f t="shared" si="40"/>
        <v>6.2235000000000005</v>
      </c>
      <c r="AN193" s="9">
        <f t="shared" si="41"/>
        <v>1.2446999999999999</v>
      </c>
      <c r="AO193" s="9">
        <f t="shared" si="42"/>
        <v>8.298</v>
      </c>
      <c r="AP193" s="9">
        <f t="shared" si="43"/>
        <v>0.82980000000000009</v>
      </c>
      <c r="AQ193" s="9">
        <f t="shared" si="44"/>
        <v>8.298</v>
      </c>
      <c r="AR193" s="9">
        <f t="shared" si="45"/>
        <v>10.3725</v>
      </c>
      <c r="AS193" s="11">
        <f t="shared" si="46"/>
        <v>2.3840000000000017</v>
      </c>
      <c r="AT193" s="12">
        <f t="shared" si="47"/>
        <v>1.0010000000000012</v>
      </c>
    </row>
    <row r="194" spans="1:46" ht="16.5" x14ac:dyDescent="0.4">
      <c r="A194" s="4" t="s">
        <v>916</v>
      </c>
      <c r="B194" s="4" t="s">
        <v>513</v>
      </c>
      <c r="C194" s="7" t="s">
        <v>513</v>
      </c>
      <c r="D194" s="4" t="s">
        <v>917</v>
      </c>
      <c r="E194" s="4" t="s">
        <v>918</v>
      </c>
      <c r="F194" s="4" t="s">
        <v>919</v>
      </c>
      <c r="G194" s="7" t="str">
        <f>VLOOKUP(A194,[1]done!$A:$I,9,0)</f>
        <v>Grass Seed</v>
      </c>
      <c r="H194" s="7" t="str" cm="1">
        <f t="array" ref="H194">_xlfn.IFS(
OR(ISNUMBER(SEARCH("mouse",E194)),ISNUMBER(SEARCH("rat",E194)),ISNUMBER(SEARCH("mice",E194)),ISNUMBER(SEARCH("rodent",E194))),"Rodent Control",
OR(ISNUMBER(SEARCH("fly",E194)),ISNUMBER(SEARCH("gnat",E194)),ISNUMBER(SEARCH("insect",E194)),ISNUMBER(SEARCH("mosquito",E194))),"Flying Insect Control",
OR(ISNUMBER(SEARCH("roach",E194)),ISNUMBER(SEARCH("ant",E194)),ISNUMBER(SEARCH("spider",E194)),ISNUMBER(SEARCH("cricket",E194)),ISNUMBER(SEARCH("scorpion",E194)),ISNUMBER(SEARCH("centipede",E194)),ISNUMBER(SEARCH("beetle",E194))),"Crawling Insect Control",
OR(ISNUMBER(SEARCH("tree",E194)),ISNUMBER(SEARCH("lantern",E194)),ISNUMBER(SEARCH("garden",E194)),ISNUMBER(SEARCH("plant",E194))),"Garden Pest Control",
OR(ISNUMBER(SEARCH("grass seed",E194)),ISNUMBER(SEARCH("seed mix",E194))),"Grass Seed",
OR(ISNUMBER(SEARCH("lawn food",E194)),ISNUMBER(SEARCH("fertilizer",E194))),"Lawn Fertilizer",
OR(ISNUMBER(SEARCH("patch",E194)),ISNUMBER(SEARCH("repair",E194)),ISNUMBER(SEARCH("thick'r",E194)),ISNUMBER(SEARCH("thick'r lawn",E194)),ISNUMBER(SEARCH("rapid grass",E194))),"Lawn Repair",
OR(ISNUMBER(SEARCH("weed",E194)),ISNUMBER(SEARCH("crabgrass",E194))),"Weed Control",
OR(ISNUMBER(SEARCH("fungicide",E194)),ISNUMBER(SEARCH("moss",E194))),"Disease &amp; Moss Control",
OR(ISNUMBER(SEARCH("plant food",E194)),ISNUMBER(SEARCH("miracid",E194))),"Plant Nutrition",
OR(ISNUMBER(SEARCH("perlite",E194))),"Soil Amendment",
OR(ISNUMBER(SEARCH("spreader",E194)),ISNUMBER(SEARCH("sprayer",E194)),ISNUMBER(SEARCH("mower",E194)),ISNUMBER(SEARCH("sweeper",E194)),ISNUMBER(SEARCH("pruner",E194)),ISNUMBER(SEARCH("trimmer",E194)),ISNUMBER(SEARCH("pole saw",E194))),"Garden Equipment",
TRUE,"Other"
)</f>
        <v>Crawling Insect Control</v>
      </c>
      <c r="I194" s="7" t="str" cm="1">
        <f t="array" ref="I194">_xlfn.IFS(
OR(ISNUMBER(SEARCH("glue trap",E194)),ISNUMBER(SEARCH("glue board",E194))),"Glue Traps",
OR(ISNUMBER(SEARCH("snap trap",E194)),ISNUMBER(SEARCH("power-kill",E194)),ISNUMBER(SEARCH("wide pedal",E194)),ISNUMBER(SEARCH("metal pedal",E194))),"Snap Traps",
OR(ISNUMBER(SEARCH("electronic",E194)),ISNUMBER(SEARCH("zapper",E194))),"Electronic Traps",
OR(ISNUMBER(SEARCH("live catch",E194)),ISNUMBER(SEARCH("multi-catch",E194)),ISNUMBER(SEARCH("catch &amp; hold",E194)),ISNUMBER(SEARCH("tin cat",E194))),"Live Catch Traps",
OR(ISNUMBER(SEARCH("bait",E194)),ISNUMBER(SEARCH("poison",E194))),"Bait &amp; Poison",
ISNUMBER(SEARCH("repellent",E194)),"Repellents",
OR(ISNUMBER(SEARCH("fly trap",E194)),ISNUMBER(SEARCH("fly ribbon",E194)),ISNUMBER(SEARCH("fly stick",E194)),ISNUMBER(SEARCH("window fly",E194)),ISNUMBER(SEARCH("fly magnet",E194))),"Fly Traps",
OR(ISNUMBER(SEARCH("uv",E194)),ISNUMBER(SEARCH("fly light",E194)),ISNUMBER(SEARCH("plug-in",E194))),"UV Fly Traps",
ISNUMBER(SEARCH("roach",E194)),"Roach Traps",
ISNUMBER(SEARCH("ant",E194)),"Ant Traps",
ISNUMBER(SEARCH("spider",E194)),"Spider Traps",
ISNUMBER(SEARCH("mosquito",E194)),"Mosquito Traps",
ISNUMBER(SEARCH("beetle",E194)),"Beetle Traps",
ISNUMBER(SEARCH("lantern",E194)),"Lanternfly Control",
OR(ISNUMBER(SEARCH("tree shield",E194)),ISNUMBER(SEARCH("tree banding",E194)),ISNUMBER(SEARCH("insect barrier",E194))),"Tree Barriers",
OR(ISNUMBER(SEARCH("sun &amp; shade",E194)),ISNUMBER(SEARCH("sun and shade",E194))),"Sun &amp; Shade Mix",
ISNUMBER(SEARCH("tall fescue",E194)),"Tall Fescue",
ISNUMBER(SEARCH("bermudagrass",E194)),"Bermudagrass",
ISNUMBER(SEARCH("kentucky",E194)),"Kentucky Bluegrass",
ISNUMBER(SEARCH("zoysia",E194)),"Zoysia",
ISNUMBER(SEARCH("ryegrass",E194)),"Perennial Ryegrass",
ISNUMBER(SEARCH("centipede",E194)),"Centipede Grass",
ISNUMBER(SEARCH("dense shade",E194)),"Dense Shade Mix",
ISNUMBER(SEARCH("southern gold",E194)),"Southern Gold Mix",
ISNUMBER(SEARCH("heat-tolerant blue",E194)),"Heat-Tolerant Blue Mix",
ISNUMBER(SEARCH("high traffic",E194)),"High Traffic Mix",
ISNUMBER(SEARCH("quick fix",E194)),"Quick Fix Mix",
ISNUMBER(SEARCH("starter",E194)),"Starter Fertilizer",
ISNUMBER(SEARCH("weed &amp; feed",E194)),"Weed &amp; Feed",
ISNUMBER(SEARCH("lawn food",E194)),"Lawn Food",
ISNUMBER(SEARCH("triple action",E194)),"Triple Action Fertilizer",
ISNUMBER(SEARCH("green max",E194)),"Green Max Lawn Food",
ISNUMBER(SEARCH("patchmaster",E194)),"PatchMaster Repair",
ISNUMBER(SEARCH("ez seed",E194)),"EZ Seed Repair",
ISNUMBER(SEARCH("rapid grass",E194)),"Rapid Grass",
ISNUMBER(SEARCH("thick'r lawn",E194)),"Thick'R Lawn",
ISNUMBER(SEARCH("fungicide",E194)),"Fungicide",
ISNUMBER(SEARCH("moss",E194)),"Moss Control",
ISNUMBER(SEARCH("perlite",E194)),"Perlite",
ISNUMBER(SEARCH("plant food",E194)),"Plant Food",
ISNUMBER(SEARCH("spreader",E194)),"Spreader",
ISNUMBER(SEARCH("sprayer",E194)),"Sprayer",
ISNUMBER(SEARCH("mower",E194)),"Lawn Mower",
ISNUMBER(SEARCH("sweeper",E194)),"Lawn Sweeper",
OR(ISNUMBER(SEARCH("pruner",E194)),ISNUMBER(SEARCH("trimmer",E194)),ISNUMBER(SEARCH("pole saw",E194))),"Pruning Tools",
TRUE,"Other"
)</f>
        <v>Ant Traps</v>
      </c>
      <c r="J194" s="7" t="str">
        <f t="shared" si="38"/>
        <v>Crawling Insect Control - Ant Traps</v>
      </c>
      <c r="K194" s="4">
        <v>300</v>
      </c>
      <c r="L194" s="4">
        <v>4.2</v>
      </c>
      <c r="M194" s="4">
        <v>463</v>
      </c>
      <c r="N194" s="4" t="s">
        <v>920</v>
      </c>
      <c r="O194" s="4">
        <f>VLOOKUP(A194,[3]Sheet1!$A:$B,2,0)</f>
        <v>50</v>
      </c>
      <c r="P194" s="4">
        <f>VLOOKUP(A194,[3]Sheet1!$A:$C,3,0)</f>
        <v>100</v>
      </c>
      <c r="Q194" s="4">
        <f>VLOOKUP(A194,[3]Sheet1!$A:$D,4,0)</f>
        <v>1000</v>
      </c>
      <c r="R194" s="4">
        <f>VLOOKUP(A194,[3]Sheet1!$A:$E,5,0)</f>
        <v>1000</v>
      </c>
      <c r="S194" s="4">
        <f>VLOOKUP(A194,[3]Sheet1!$A:$F,6,0)</f>
        <v>1000</v>
      </c>
      <c r="T194" s="4">
        <f>VLOOKUP(A194,[3]Sheet1!$A:$G,7,0)</f>
        <v>1000</v>
      </c>
      <c r="U194" s="4">
        <f>VLOOKUP(A194,[3]Sheet1!$A:$I,8,0)</f>
        <v>1000</v>
      </c>
      <c r="V194" s="4">
        <f>VLOOKUP(A194,[3]Sheet1!$A:$J,9,0)</f>
        <v>200</v>
      </c>
      <c r="W194" s="4">
        <f>VLOOKUP(A194,[3]Sheet1!$A:$J,10,0)</f>
        <v>200</v>
      </c>
      <c r="X194" s="4">
        <f>VLOOKUP(A194,[3]Sheet1!$A:$K,11,0)</f>
        <v>1000</v>
      </c>
      <c r="Y194" s="4">
        <f>VLOOKUP(A194,[3]Sheet1!$A:$L,12,0)</f>
        <v>100</v>
      </c>
      <c r="Z194" s="4">
        <f>VLOOKUP(A194,[3]Sheet1!$A:$M,13,0)</f>
        <v>50</v>
      </c>
      <c r="AA194" s="4">
        <f t="shared" si="48"/>
        <v>6700</v>
      </c>
      <c r="AB194" s="7">
        <f t="shared" si="39"/>
        <v>558</v>
      </c>
      <c r="AC194" s="15">
        <f t="shared" si="49"/>
        <v>558.33333333333337</v>
      </c>
      <c r="AD194" s="16">
        <f t="shared" si="50"/>
        <v>200799</v>
      </c>
      <c r="AE194" s="16">
        <f t="shared" si="51"/>
        <v>16733.25</v>
      </c>
      <c r="AF194" s="16">
        <v>7.63</v>
      </c>
      <c r="AG194" s="16">
        <v>29.97</v>
      </c>
      <c r="AH194" s="8">
        <f t="shared" si="52"/>
        <v>0.22386666666666671</v>
      </c>
      <c r="AI194" s="8">
        <f t="shared" si="53"/>
        <v>0.78353333333333341</v>
      </c>
      <c r="AJ194" s="10">
        <v>0.5</v>
      </c>
      <c r="AK194" s="10">
        <v>0.5</v>
      </c>
      <c r="AL194" s="16">
        <v>7.63</v>
      </c>
      <c r="AM194" s="9">
        <f t="shared" si="40"/>
        <v>4.4954999999999998</v>
      </c>
      <c r="AN194" s="9">
        <f t="shared" si="41"/>
        <v>0.8990999999999999</v>
      </c>
      <c r="AO194" s="9">
        <f t="shared" si="42"/>
        <v>5.9939999999999998</v>
      </c>
      <c r="AP194" s="9">
        <f t="shared" si="43"/>
        <v>0.59940000000000004</v>
      </c>
      <c r="AQ194" s="9">
        <f t="shared" si="44"/>
        <v>5.9939999999999998</v>
      </c>
      <c r="AR194" s="9">
        <f t="shared" si="45"/>
        <v>7.4924999999999997</v>
      </c>
      <c r="AS194" s="11">
        <f t="shared" si="46"/>
        <v>2.238666666666667</v>
      </c>
      <c r="AT194" s="12">
        <f t="shared" si="47"/>
        <v>1.2396666666666671</v>
      </c>
    </row>
    <row r="195" spans="1:46" ht="16.5" x14ac:dyDescent="0.4">
      <c r="A195" s="4" t="s">
        <v>921</v>
      </c>
      <c r="B195" s="4" t="s">
        <v>513</v>
      </c>
      <c r="C195" s="7" t="s">
        <v>1784</v>
      </c>
      <c r="D195" s="4" t="s">
        <v>922</v>
      </c>
      <c r="E195" s="4" t="s">
        <v>923</v>
      </c>
      <c r="F195" s="4" t="s">
        <v>924</v>
      </c>
      <c r="G195" s="7" t="str">
        <f>VLOOKUP(A195,[1]done!$A:$I,9,0)</f>
        <v>Grass Seed</v>
      </c>
      <c r="H195" s="7" t="str" cm="1">
        <f t="array" ref="H195">_xlfn.IFS(
OR(ISNUMBER(SEARCH("mouse",E195)),ISNUMBER(SEARCH("rat",E195)),ISNUMBER(SEARCH("mice",E195)),ISNUMBER(SEARCH("rodent",E195))),"Rodent Control",
OR(ISNUMBER(SEARCH("fly",E195)),ISNUMBER(SEARCH("gnat",E195)),ISNUMBER(SEARCH("insect",E195)),ISNUMBER(SEARCH("mosquito",E195))),"Flying Insect Control",
OR(ISNUMBER(SEARCH("roach",E195)),ISNUMBER(SEARCH("ant",E195)),ISNUMBER(SEARCH("spider",E195)),ISNUMBER(SEARCH("cricket",E195)),ISNUMBER(SEARCH("scorpion",E195)),ISNUMBER(SEARCH("centipede",E195)),ISNUMBER(SEARCH("beetle",E195))),"Crawling Insect Control",
OR(ISNUMBER(SEARCH("tree",E195)),ISNUMBER(SEARCH("lantern",E195)),ISNUMBER(SEARCH("garden",E195)),ISNUMBER(SEARCH("plant",E195))),"Garden Pest Control",
OR(ISNUMBER(SEARCH("grass seed",E195)),ISNUMBER(SEARCH("seed mix",E195))),"Grass Seed",
OR(ISNUMBER(SEARCH("lawn food",E195)),ISNUMBER(SEARCH("fertilizer",E195))),"Lawn Fertilizer",
OR(ISNUMBER(SEARCH("patch",E195)),ISNUMBER(SEARCH("repair",E195)),ISNUMBER(SEARCH("thick'r",E195)),ISNUMBER(SEARCH("thick'r lawn",E195)),ISNUMBER(SEARCH("rapid grass",E195))),"Lawn Repair",
OR(ISNUMBER(SEARCH("weed",E195)),ISNUMBER(SEARCH("crabgrass",E195))),"Weed Control",
OR(ISNUMBER(SEARCH("fungicide",E195)),ISNUMBER(SEARCH("moss",E195))),"Disease &amp; Moss Control",
OR(ISNUMBER(SEARCH("plant food",E195)),ISNUMBER(SEARCH("miracid",E195))),"Plant Nutrition",
OR(ISNUMBER(SEARCH("perlite",E195))),"Soil Amendment",
OR(ISNUMBER(SEARCH("spreader",E195)),ISNUMBER(SEARCH("sprayer",E195)),ISNUMBER(SEARCH("mower",E195)),ISNUMBER(SEARCH("sweeper",E195)),ISNUMBER(SEARCH("pruner",E195)),ISNUMBER(SEARCH("trimmer",E195)),ISNUMBER(SEARCH("pole saw",E195))),"Garden Equipment",
TRUE,"Other"
)</f>
        <v>Grass Seed</v>
      </c>
      <c r="I195" s="7" t="str" cm="1">
        <f t="array" ref="I195">_xlfn.IFS(
OR(ISNUMBER(SEARCH("glue trap",E195)),ISNUMBER(SEARCH("glue board",E195))),"Glue Traps",
OR(ISNUMBER(SEARCH("snap trap",E195)),ISNUMBER(SEARCH("power-kill",E195)),ISNUMBER(SEARCH("wide pedal",E195)),ISNUMBER(SEARCH("metal pedal",E195))),"Snap Traps",
OR(ISNUMBER(SEARCH("electronic",E195)),ISNUMBER(SEARCH("zapper",E195))),"Electronic Traps",
OR(ISNUMBER(SEARCH("live catch",E195)),ISNUMBER(SEARCH("multi-catch",E195)),ISNUMBER(SEARCH("catch &amp; hold",E195)),ISNUMBER(SEARCH("tin cat",E195))),"Live Catch Traps",
OR(ISNUMBER(SEARCH("bait",E195)),ISNUMBER(SEARCH("poison",E195))),"Bait &amp; Poison",
ISNUMBER(SEARCH("repellent",E195)),"Repellents",
OR(ISNUMBER(SEARCH("fly trap",E195)),ISNUMBER(SEARCH("fly ribbon",E195)),ISNUMBER(SEARCH("fly stick",E195)),ISNUMBER(SEARCH("window fly",E195)),ISNUMBER(SEARCH("fly magnet",E195))),"Fly Traps",
OR(ISNUMBER(SEARCH("uv",E195)),ISNUMBER(SEARCH("fly light",E195)),ISNUMBER(SEARCH("plug-in",E195))),"UV Fly Traps",
ISNUMBER(SEARCH("roach",E195)),"Roach Traps",
ISNUMBER(SEARCH("ant",E195)),"Ant Traps",
ISNUMBER(SEARCH("spider",E195)),"Spider Traps",
ISNUMBER(SEARCH("mosquito",E195)),"Mosquito Traps",
ISNUMBER(SEARCH("beetle",E195)),"Beetle Traps",
ISNUMBER(SEARCH("lantern",E195)),"Lanternfly Control",
OR(ISNUMBER(SEARCH("tree shield",E195)),ISNUMBER(SEARCH("tree banding",E195)),ISNUMBER(SEARCH("insect barrier",E195))),"Tree Barriers",
OR(ISNUMBER(SEARCH("sun &amp; shade",E195)),ISNUMBER(SEARCH("sun and shade",E195))),"Sun &amp; Shade Mix",
ISNUMBER(SEARCH("tall fescue",E195)),"Tall Fescue",
ISNUMBER(SEARCH("bermudagrass",E195)),"Bermudagrass",
ISNUMBER(SEARCH("kentucky",E195)),"Kentucky Bluegrass",
ISNUMBER(SEARCH("zoysia",E195)),"Zoysia",
ISNUMBER(SEARCH("ryegrass",E195)),"Perennial Ryegrass",
ISNUMBER(SEARCH("centipede",E195)),"Centipede Grass",
ISNUMBER(SEARCH("dense shade",E195)),"Dense Shade Mix",
ISNUMBER(SEARCH("southern gold",E195)),"Southern Gold Mix",
ISNUMBER(SEARCH("heat-tolerant blue",E195)),"Heat-Tolerant Blue Mix",
ISNUMBER(SEARCH("high traffic",E195)),"High Traffic Mix",
ISNUMBER(SEARCH("quick fix",E195)),"Quick Fix Mix",
ISNUMBER(SEARCH("starter",E195)),"Starter Fertilizer",
ISNUMBER(SEARCH("weed &amp; feed",E195)),"Weed &amp; Feed",
ISNUMBER(SEARCH("lawn food",E195)),"Lawn Food",
ISNUMBER(SEARCH("triple action",E195)),"Triple Action Fertilizer",
ISNUMBER(SEARCH("green max",E195)),"Green Max Lawn Food",
ISNUMBER(SEARCH("patchmaster",E195)),"PatchMaster Repair",
ISNUMBER(SEARCH("ez seed",E195)),"EZ Seed Repair",
ISNUMBER(SEARCH("rapid grass",E195)),"Rapid Grass",
ISNUMBER(SEARCH("thick'r lawn",E195)),"Thick'R Lawn",
ISNUMBER(SEARCH("fungicide",E195)),"Fungicide",
ISNUMBER(SEARCH("moss",E195)),"Moss Control",
ISNUMBER(SEARCH("perlite",E195)),"Perlite",
ISNUMBER(SEARCH("plant food",E195)),"Plant Food",
ISNUMBER(SEARCH("spreader",E195)),"Spreader",
ISNUMBER(SEARCH("sprayer",E195)),"Sprayer",
ISNUMBER(SEARCH("mower",E195)),"Lawn Mower",
ISNUMBER(SEARCH("sweeper",E195)),"Lawn Sweeper",
OR(ISNUMBER(SEARCH("pruner",E195)),ISNUMBER(SEARCH("trimmer",E195)),ISNUMBER(SEARCH("pole saw",E195))),"Pruning Tools",
TRUE,"Other"
)</f>
        <v>Bermudagrass</v>
      </c>
      <c r="J195" s="7" t="str">
        <f t="shared" ref="J195:J258" si="54">H195&amp;" - "&amp;I195</f>
        <v>Grass Seed - Bermudagrass</v>
      </c>
      <c r="K195" s="4">
        <v>300</v>
      </c>
      <c r="L195" s="4">
        <v>4</v>
      </c>
      <c r="M195" s="4">
        <v>2733</v>
      </c>
      <c r="N195" s="4" t="s">
        <v>920</v>
      </c>
      <c r="O195" s="4">
        <f>VLOOKUP(A195,[3]Sheet1!$A:$B,2,0)</f>
        <v>50</v>
      </c>
      <c r="P195" s="4">
        <f>VLOOKUP(A195,[3]Sheet1!$A:$C,3,0)</f>
        <v>50</v>
      </c>
      <c r="Q195" s="4">
        <f>VLOOKUP(A195,[3]Sheet1!$A:$D,4,0)</f>
        <v>1000</v>
      </c>
      <c r="R195" s="4">
        <f>VLOOKUP(A195,[3]Sheet1!$A:$E,5,0)</f>
        <v>1000</v>
      </c>
      <c r="S195" s="4">
        <f>VLOOKUP(A195,[3]Sheet1!$A:$F,6,0)</f>
        <v>1000</v>
      </c>
      <c r="T195" s="4">
        <f>VLOOKUP(A195,[3]Sheet1!$A:$G,7,0)</f>
        <v>1000</v>
      </c>
      <c r="U195" s="4">
        <f>VLOOKUP(A195,[3]Sheet1!$A:$I,8,0)</f>
        <v>700</v>
      </c>
      <c r="V195" s="4">
        <f>VLOOKUP(A195,[3]Sheet1!$A:$J,9,0)</f>
        <v>400</v>
      </c>
      <c r="W195" s="4">
        <f>VLOOKUP(A195,[3]Sheet1!$A:$J,10,0)</f>
        <v>400</v>
      </c>
      <c r="X195" s="4">
        <f>VLOOKUP(A195,[3]Sheet1!$A:$K,11,0)</f>
        <v>500</v>
      </c>
      <c r="Y195" s="4">
        <f>VLOOKUP(A195,[3]Sheet1!$A:$L,12,0)</f>
        <v>100</v>
      </c>
      <c r="Z195" s="4">
        <f>VLOOKUP(A195,[3]Sheet1!$A:$M,13,0)</f>
        <v>100</v>
      </c>
      <c r="AA195" s="4">
        <f t="shared" si="48"/>
        <v>6300</v>
      </c>
      <c r="AB195" s="7">
        <f t="shared" ref="AB195:AB258" si="55">ROUND(AA195/12,0)</f>
        <v>525</v>
      </c>
      <c r="AC195" s="15">
        <f t="shared" si="49"/>
        <v>525</v>
      </c>
      <c r="AD195" s="16">
        <f t="shared" si="50"/>
        <v>220311</v>
      </c>
      <c r="AE195" s="16">
        <f t="shared" si="51"/>
        <v>18359.25</v>
      </c>
      <c r="AF195" s="16">
        <v>7.63</v>
      </c>
      <c r="AG195" s="16">
        <v>34.97</v>
      </c>
      <c r="AH195" s="8">
        <f t="shared" si="52"/>
        <v>0.35720000000000007</v>
      </c>
      <c r="AI195" s="8">
        <f t="shared" si="53"/>
        <v>1.2502000000000002</v>
      </c>
      <c r="AJ195" s="10">
        <v>0.5</v>
      </c>
      <c r="AK195" s="10">
        <v>0.5</v>
      </c>
      <c r="AL195" s="16">
        <v>7.63</v>
      </c>
      <c r="AM195" s="9">
        <f t="shared" ref="AM195:AM258" si="56">0.15*AG195</f>
        <v>5.2454999999999998</v>
      </c>
      <c r="AN195" s="9">
        <f t="shared" ref="AN195:AN258" si="57">0.03*AG195</f>
        <v>1.0490999999999999</v>
      </c>
      <c r="AO195" s="9">
        <f t="shared" ref="AO195:AO258" si="58">0.2*AG195</f>
        <v>6.9939999999999998</v>
      </c>
      <c r="AP195" s="9">
        <f t="shared" ref="AP195:AP258" si="59">0.02*AG195</f>
        <v>0.69940000000000002</v>
      </c>
      <c r="AQ195" s="9">
        <f t="shared" ref="AQ195:AQ258" si="60">0.2*AG195</f>
        <v>6.9939999999999998</v>
      </c>
      <c r="AR195" s="9">
        <f t="shared" ref="AR195:AR258" si="61">0.25*AG195</f>
        <v>8.7424999999999997</v>
      </c>
      <c r="AS195" s="11">
        <f t="shared" ref="AS195:AS258" si="62">(AG195*(1-(0.15+0.03+0.2+0.02))-AJ195-AK195-AL195-AQ195)/(1+0.1+0.4)</f>
        <v>3.5720000000000005</v>
      </c>
      <c r="AT195" s="12">
        <f t="shared" ref="AT195:AT258" si="63">(AG195*(1-(0.15+0.03+0.2+0.02))-AJ195-AK195-AL195-AR195)/(1+0.1+0.4)</f>
        <v>2.4063333333333339</v>
      </c>
    </row>
    <row r="196" spans="1:46" ht="16.5" x14ac:dyDescent="0.4">
      <c r="A196" s="4" t="s">
        <v>925</v>
      </c>
      <c r="B196" s="4" t="s">
        <v>513</v>
      </c>
      <c r="C196" s="7" t="s">
        <v>1784</v>
      </c>
      <c r="D196" s="4" t="s">
        <v>926</v>
      </c>
      <c r="E196" s="4" t="s">
        <v>927</v>
      </c>
      <c r="F196" s="4" t="s">
        <v>928</v>
      </c>
      <c r="G196" s="7" t="str">
        <f>VLOOKUP(A196,[1]done!$A:$I,9,0)</f>
        <v>Lawn Fertilizer</v>
      </c>
      <c r="H196" s="7" t="str" cm="1">
        <f t="array" ref="H196">_xlfn.IFS(
OR(ISNUMBER(SEARCH("mouse",E196)),ISNUMBER(SEARCH("rat",E196)),ISNUMBER(SEARCH("mice",E196)),ISNUMBER(SEARCH("rodent",E196))),"Rodent Control",
OR(ISNUMBER(SEARCH("fly",E196)),ISNUMBER(SEARCH("gnat",E196)),ISNUMBER(SEARCH("insect",E196)),ISNUMBER(SEARCH("mosquito",E196))),"Flying Insect Control",
OR(ISNUMBER(SEARCH("roach",E196)),ISNUMBER(SEARCH("ant",E196)),ISNUMBER(SEARCH("spider",E196)),ISNUMBER(SEARCH("cricket",E196)),ISNUMBER(SEARCH("scorpion",E196)),ISNUMBER(SEARCH("centipede",E196)),ISNUMBER(SEARCH("beetle",E196))),"Crawling Insect Control",
OR(ISNUMBER(SEARCH("tree",E196)),ISNUMBER(SEARCH("lantern",E196)),ISNUMBER(SEARCH("garden",E196)),ISNUMBER(SEARCH("plant",E196))),"Garden Pest Control",
OR(ISNUMBER(SEARCH("grass seed",E196)),ISNUMBER(SEARCH("seed mix",E196))),"Grass Seed",
OR(ISNUMBER(SEARCH("lawn food",E196)),ISNUMBER(SEARCH("fertilizer",E196))),"Lawn Fertilizer",
OR(ISNUMBER(SEARCH("patch",E196)),ISNUMBER(SEARCH("repair",E196)),ISNUMBER(SEARCH("thick'r",E196)),ISNUMBER(SEARCH("thick'r lawn",E196)),ISNUMBER(SEARCH("rapid grass",E196))),"Lawn Repair",
OR(ISNUMBER(SEARCH("weed",E196)),ISNUMBER(SEARCH("crabgrass",E196))),"Weed Control",
OR(ISNUMBER(SEARCH("fungicide",E196)),ISNUMBER(SEARCH("moss",E196))),"Disease &amp; Moss Control",
OR(ISNUMBER(SEARCH("plant food",E196)),ISNUMBER(SEARCH("miracid",E196))),"Plant Nutrition",
OR(ISNUMBER(SEARCH("perlite",E196))),"Soil Amendment",
OR(ISNUMBER(SEARCH("spreader",E196)),ISNUMBER(SEARCH("sprayer",E196)),ISNUMBER(SEARCH("mower",E196)),ISNUMBER(SEARCH("sweeper",E196)),ISNUMBER(SEARCH("pruner",E196)),ISNUMBER(SEARCH("trimmer",E196)),ISNUMBER(SEARCH("pole saw",E196))),"Garden Equipment",
TRUE,"Other"
)</f>
        <v>Lawn Repair</v>
      </c>
      <c r="I196" s="7" t="str" cm="1">
        <f t="array" ref="I196">_xlfn.IFS(
OR(ISNUMBER(SEARCH("glue trap",E196)),ISNUMBER(SEARCH("glue board",E196))),"Glue Traps",
OR(ISNUMBER(SEARCH("snap trap",E196)),ISNUMBER(SEARCH("power-kill",E196)),ISNUMBER(SEARCH("wide pedal",E196)),ISNUMBER(SEARCH("metal pedal",E196))),"Snap Traps",
OR(ISNUMBER(SEARCH("electronic",E196)),ISNUMBER(SEARCH("zapper",E196))),"Electronic Traps",
OR(ISNUMBER(SEARCH("live catch",E196)),ISNUMBER(SEARCH("multi-catch",E196)),ISNUMBER(SEARCH("catch &amp; hold",E196)),ISNUMBER(SEARCH("tin cat",E196))),"Live Catch Traps",
OR(ISNUMBER(SEARCH("bait",E196)),ISNUMBER(SEARCH("poison",E196))),"Bait &amp; Poison",
ISNUMBER(SEARCH("repellent",E196)),"Repellents",
OR(ISNUMBER(SEARCH("fly trap",E196)),ISNUMBER(SEARCH("fly ribbon",E196)),ISNUMBER(SEARCH("fly stick",E196)),ISNUMBER(SEARCH("window fly",E196)),ISNUMBER(SEARCH("fly magnet",E196))),"Fly Traps",
OR(ISNUMBER(SEARCH("uv",E196)),ISNUMBER(SEARCH("fly light",E196)),ISNUMBER(SEARCH("plug-in",E196))),"UV Fly Traps",
ISNUMBER(SEARCH("roach",E196)),"Roach Traps",
ISNUMBER(SEARCH("ant",E196)),"Ant Traps",
ISNUMBER(SEARCH("spider",E196)),"Spider Traps",
ISNUMBER(SEARCH("mosquito",E196)),"Mosquito Traps",
ISNUMBER(SEARCH("beetle",E196)),"Beetle Traps",
ISNUMBER(SEARCH("lantern",E196)),"Lanternfly Control",
OR(ISNUMBER(SEARCH("tree shield",E196)),ISNUMBER(SEARCH("tree banding",E196)),ISNUMBER(SEARCH("insect barrier",E196))),"Tree Barriers",
OR(ISNUMBER(SEARCH("sun &amp; shade",E196)),ISNUMBER(SEARCH("sun and shade",E196))),"Sun &amp; Shade Mix",
ISNUMBER(SEARCH("tall fescue",E196)),"Tall Fescue",
ISNUMBER(SEARCH("bermudagrass",E196)),"Bermudagrass",
ISNUMBER(SEARCH("kentucky",E196)),"Kentucky Bluegrass",
ISNUMBER(SEARCH("zoysia",E196)),"Zoysia",
ISNUMBER(SEARCH("ryegrass",E196)),"Perennial Ryegrass",
ISNUMBER(SEARCH("centipede",E196)),"Centipede Grass",
ISNUMBER(SEARCH("dense shade",E196)),"Dense Shade Mix",
ISNUMBER(SEARCH("southern gold",E196)),"Southern Gold Mix",
ISNUMBER(SEARCH("heat-tolerant blue",E196)),"Heat-Tolerant Blue Mix",
ISNUMBER(SEARCH("high traffic",E196)),"High Traffic Mix",
ISNUMBER(SEARCH("quick fix",E196)),"Quick Fix Mix",
ISNUMBER(SEARCH("starter",E196)),"Starter Fertilizer",
ISNUMBER(SEARCH("weed &amp; feed",E196)),"Weed &amp; Feed",
ISNUMBER(SEARCH("lawn food",E196)),"Lawn Food",
ISNUMBER(SEARCH("triple action",E196)),"Triple Action Fertilizer",
ISNUMBER(SEARCH("green max",E196)),"Green Max Lawn Food",
ISNUMBER(SEARCH("patchmaster",E196)),"PatchMaster Repair",
ISNUMBER(SEARCH("ez seed",E196)),"EZ Seed Repair",
ISNUMBER(SEARCH("rapid grass",E196)),"Rapid Grass",
ISNUMBER(SEARCH("thick'r lawn",E196)),"Thick'R Lawn",
ISNUMBER(SEARCH("fungicide",E196)),"Fungicide",
ISNUMBER(SEARCH("moss",E196)),"Moss Control",
ISNUMBER(SEARCH("perlite",E196)),"Perlite",
ISNUMBER(SEARCH("plant food",E196)),"Plant Food",
ISNUMBER(SEARCH("spreader",E196)),"Spreader",
ISNUMBER(SEARCH("sprayer",E196)),"Sprayer",
ISNUMBER(SEARCH("mower",E196)),"Lawn Mower",
ISNUMBER(SEARCH("sweeper",E196)),"Lawn Sweeper",
OR(ISNUMBER(SEARCH("pruner",E196)),ISNUMBER(SEARCH("trimmer",E196)),ISNUMBER(SEARCH("pole saw",E196))),"Pruning Tools",
TRUE,"Other"
)</f>
        <v>Tall Fescue</v>
      </c>
      <c r="J196" s="7" t="str">
        <f t="shared" si="54"/>
        <v>Lawn Repair - Tall Fescue</v>
      </c>
      <c r="K196" s="4">
        <v>300</v>
      </c>
      <c r="L196" s="4">
        <v>4.3</v>
      </c>
      <c r="M196" s="4">
        <v>1391</v>
      </c>
      <c r="N196" s="4" t="s">
        <v>593</v>
      </c>
      <c r="O196" s="4">
        <f>VLOOKUP(A196,[3]Sheet1!$A:$B,2,0)</f>
        <v>0</v>
      </c>
      <c r="P196" s="4">
        <f>VLOOKUP(A196,[3]Sheet1!$A:$C,3,0)</f>
        <v>0</v>
      </c>
      <c r="Q196" s="4">
        <f>VLOOKUP(A196,[3]Sheet1!$A:$D,4,0)</f>
        <v>100</v>
      </c>
      <c r="R196" s="4">
        <f>VLOOKUP(A196,[3]Sheet1!$A:$E,5,0)</f>
        <v>200</v>
      </c>
      <c r="S196" s="4">
        <f>VLOOKUP(A196,[3]Sheet1!$A:$F,6,0)</f>
        <v>900</v>
      </c>
      <c r="T196" s="4">
        <f>VLOOKUP(A196,[3]Sheet1!$A:$G,7,0)</f>
        <v>100</v>
      </c>
      <c r="U196" s="4">
        <f>VLOOKUP(A196,[3]Sheet1!$A:$I,8,0)</f>
        <v>100</v>
      </c>
      <c r="V196" s="4">
        <f>VLOOKUP(A196,[3]Sheet1!$A:$J,9,0)</f>
        <v>100</v>
      </c>
      <c r="W196" s="4">
        <f>VLOOKUP(A196,[3]Sheet1!$A:$J,10,0)</f>
        <v>300</v>
      </c>
      <c r="X196" s="4">
        <f>VLOOKUP(A196,[3]Sheet1!$A:$K,11,0)</f>
        <v>100</v>
      </c>
      <c r="Y196" s="4">
        <f>VLOOKUP(A196,[3]Sheet1!$A:$L,12,0)</f>
        <v>50</v>
      </c>
      <c r="Z196" s="4">
        <f>VLOOKUP(A196,[3]Sheet1!$A:$M,13,0)</f>
        <v>0</v>
      </c>
      <c r="AA196" s="4">
        <f t="shared" si="48"/>
        <v>1950</v>
      </c>
      <c r="AB196" s="7">
        <f t="shared" si="55"/>
        <v>163</v>
      </c>
      <c r="AC196" s="15">
        <f t="shared" si="49"/>
        <v>162.5</v>
      </c>
      <c r="AD196" s="16">
        <f t="shared" si="50"/>
        <v>123123</v>
      </c>
      <c r="AE196" s="16">
        <f t="shared" si="51"/>
        <v>10260.25</v>
      </c>
      <c r="AF196" s="16">
        <v>25.52</v>
      </c>
      <c r="AG196" s="16">
        <v>63.14</v>
      </c>
      <c r="AH196" s="8">
        <f t="shared" si="52"/>
        <v>-8.4266666666666629E-2</v>
      </c>
      <c r="AI196" s="8">
        <f t="shared" si="53"/>
        <v>-0.29493333333333316</v>
      </c>
      <c r="AJ196" s="10">
        <v>0.5</v>
      </c>
      <c r="AK196" s="10">
        <v>0.5</v>
      </c>
      <c r="AL196" s="16">
        <v>25.52</v>
      </c>
      <c r="AM196" s="9">
        <f t="shared" si="56"/>
        <v>9.4710000000000001</v>
      </c>
      <c r="AN196" s="9">
        <f t="shared" si="57"/>
        <v>1.8941999999999999</v>
      </c>
      <c r="AO196" s="9">
        <f t="shared" si="58"/>
        <v>12.628</v>
      </c>
      <c r="AP196" s="9">
        <f t="shared" si="59"/>
        <v>1.2628000000000001</v>
      </c>
      <c r="AQ196" s="9">
        <f t="shared" si="60"/>
        <v>12.628</v>
      </c>
      <c r="AR196" s="9">
        <f t="shared" si="61"/>
        <v>15.785</v>
      </c>
      <c r="AS196" s="11">
        <f t="shared" si="62"/>
        <v>-0.84266666666666623</v>
      </c>
      <c r="AT196" s="12">
        <f t="shared" si="63"/>
        <v>-2.9473333333333329</v>
      </c>
    </row>
    <row r="197" spans="1:46" ht="16.5" x14ac:dyDescent="0.4">
      <c r="A197" s="4" t="s">
        <v>929</v>
      </c>
      <c r="B197" s="4" t="s">
        <v>513</v>
      </c>
      <c r="C197" s="7" t="s">
        <v>1784</v>
      </c>
      <c r="D197" s="4" t="s">
        <v>559</v>
      </c>
      <c r="E197" s="4" t="s">
        <v>930</v>
      </c>
      <c r="F197" s="4" t="s">
        <v>931</v>
      </c>
      <c r="G197" s="7" t="str">
        <f>VLOOKUP(A197,[1]done!$A:$I,9,0)</f>
        <v>Lawn Fertilizer</v>
      </c>
      <c r="H197" s="7" t="str" cm="1">
        <f t="array" ref="H197">_xlfn.IFS(
OR(ISNUMBER(SEARCH("mouse",E197)),ISNUMBER(SEARCH("rat",E197)),ISNUMBER(SEARCH("mice",E197)),ISNUMBER(SEARCH("rodent",E197))),"Rodent Control",
OR(ISNUMBER(SEARCH("fly",E197)),ISNUMBER(SEARCH("gnat",E197)),ISNUMBER(SEARCH("insect",E197)),ISNUMBER(SEARCH("mosquito",E197))),"Flying Insect Control",
OR(ISNUMBER(SEARCH("roach",E197)),ISNUMBER(SEARCH("ant",E197)),ISNUMBER(SEARCH("spider",E197)),ISNUMBER(SEARCH("cricket",E197)),ISNUMBER(SEARCH("scorpion",E197)),ISNUMBER(SEARCH("centipede",E197)),ISNUMBER(SEARCH("beetle",E197))),"Crawling Insect Control",
OR(ISNUMBER(SEARCH("tree",E197)),ISNUMBER(SEARCH("lantern",E197)),ISNUMBER(SEARCH("garden",E197)),ISNUMBER(SEARCH("plant",E197))),"Garden Pest Control",
OR(ISNUMBER(SEARCH("grass seed",E197)),ISNUMBER(SEARCH("seed mix",E197))),"Grass Seed",
OR(ISNUMBER(SEARCH("lawn food",E197)),ISNUMBER(SEARCH("fertilizer",E197))),"Lawn Fertilizer",
OR(ISNUMBER(SEARCH("patch",E197)),ISNUMBER(SEARCH("repair",E197)),ISNUMBER(SEARCH("thick'r",E197)),ISNUMBER(SEARCH("thick'r lawn",E197)),ISNUMBER(SEARCH("rapid grass",E197))),"Lawn Repair",
OR(ISNUMBER(SEARCH("weed",E197)),ISNUMBER(SEARCH("crabgrass",E197))),"Weed Control",
OR(ISNUMBER(SEARCH("fungicide",E197)),ISNUMBER(SEARCH("moss",E197))),"Disease &amp; Moss Control",
OR(ISNUMBER(SEARCH("plant food",E197)),ISNUMBER(SEARCH("miracid",E197))),"Plant Nutrition",
OR(ISNUMBER(SEARCH("perlite",E197))),"Soil Amendment",
OR(ISNUMBER(SEARCH("spreader",E197)),ISNUMBER(SEARCH("sprayer",E197)),ISNUMBER(SEARCH("mower",E197)),ISNUMBER(SEARCH("sweeper",E197)),ISNUMBER(SEARCH("pruner",E197)),ISNUMBER(SEARCH("trimmer",E197)),ISNUMBER(SEARCH("pole saw",E197))),"Garden Equipment",
TRUE,"Other"
)</f>
        <v>Weed Control</v>
      </c>
      <c r="I197" s="7" t="str" cm="1">
        <f t="array" ref="I197">_xlfn.IFS(
OR(ISNUMBER(SEARCH("glue trap",E197)),ISNUMBER(SEARCH("glue board",E197))),"Glue Traps",
OR(ISNUMBER(SEARCH("snap trap",E197)),ISNUMBER(SEARCH("power-kill",E197)),ISNUMBER(SEARCH("wide pedal",E197)),ISNUMBER(SEARCH("metal pedal",E197))),"Snap Traps",
OR(ISNUMBER(SEARCH("electronic",E197)),ISNUMBER(SEARCH("zapper",E197))),"Electronic Traps",
OR(ISNUMBER(SEARCH("live catch",E197)),ISNUMBER(SEARCH("multi-catch",E197)),ISNUMBER(SEARCH("catch &amp; hold",E197)),ISNUMBER(SEARCH("tin cat",E197))),"Live Catch Traps",
OR(ISNUMBER(SEARCH("bait",E197)),ISNUMBER(SEARCH("poison",E197))),"Bait &amp; Poison",
ISNUMBER(SEARCH("repellent",E197)),"Repellents",
OR(ISNUMBER(SEARCH("fly trap",E197)),ISNUMBER(SEARCH("fly ribbon",E197)),ISNUMBER(SEARCH("fly stick",E197)),ISNUMBER(SEARCH("window fly",E197)),ISNUMBER(SEARCH("fly magnet",E197))),"Fly Traps",
OR(ISNUMBER(SEARCH("uv",E197)),ISNUMBER(SEARCH("fly light",E197)),ISNUMBER(SEARCH("plug-in",E197))),"UV Fly Traps",
ISNUMBER(SEARCH("roach",E197)),"Roach Traps",
ISNUMBER(SEARCH("ant",E197)),"Ant Traps",
ISNUMBER(SEARCH("spider",E197)),"Spider Traps",
ISNUMBER(SEARCH("mosquito",E197)),"Mosquito Traps",
ISNUMBER(SEARCH("beetle",E197)),"Beetle Traps",
ISNUMBER(SEARCH("lantern",E197)),"Lanternfly Control",
OR(ISNUMBER(SEARCH("tree shield",E197)),ISNUMBER(SEARCH("tree banding",E197)),ISNUMBER(SEARCH("insect barrier",E197))),"Tree Barriers",
OR(ISNUMBER(SEARCH("sun &amp; shade",E197)),ISNUMBER(SEARCH("sun and shade",E197))),"Sun &amp; Shade Mix",
ISNUMBER(SEARCH("tall fescue",E197)),"Tall Fescue",
ISNUMBER(SEARCH("bermudagrass",E197)),"Bermudagrass",
ISNUMBER(SEARCH("kentucky",E197)),"Kentucky Bluegrass",
ISNUMBER(SEARCH("zoysia",E197)),"Zoysia",
ISNUMBER(SEARCH("ryegrass",E197)),"Perennial Ryegrass",
ISNUMBER(SEARCH("centipede",E197)),"Centipede Grass",
ISNUMBER(SEARCH("dense shade",E197)),"Dense Shade Mix",
ISNUMBER(SEARCH("southern gold",E197)),"Southern Gold Mix",
ISNUMBER(SEARCH("heat-tolerant blue",E197)),"Heat-Tolerant Blue Mix",
ISNUMBER(SEARCH("high traffic",E197)),"High Traffic Mix",
ISNUMBER(SEARCH("quick fix",E197)),"Quick Fix Mix",
ISNUMBER(SEARCH("starter",E197)),"Starter Fertilizer",
ISNUMBER(SEARCH("weed &amp; feed",E197)),"Weed &amp; Feed",
ISNUMBER(SEARCH("lawn food",E197)),"Lawn Food",
ISNUMBER(SEARCH("triple action",E197)),"Triple Action Fertilizer",
ISNUMBER(SEARCH("green max",E197)),"Green Max Lawn Food",
ISNUMBER(SEARCH("patchmaster",E197)),"PatchMaster Repair",
ISNUMBER(SEARCH("ez seed",E197)),"EZ Seed Repair",
ISNUMBER(SEARCH("rapid grass",E197)),"Rapid Grass",
ISNUMBER(SEARCH("thick'r lawn",E197)),"Thick'R Lawn",
ISNUMBER(SEARCH("fungicide",E197)),"Fungicide",
ISNUMBER(SEARCH("moss",E197)),"Moss Control",
ISNUMBER(SEARCH("perlite",E197)),"Perlite",
ISNUMBER(SEARCH("plant food",E197)),"Plant Food",
ISNUMBER(SEARCH("spreader",E197)),"Spreader",
ISNUMBER(SEARCH("sprayer",E197)),"Sprayer",
ISNUMBER(SEARCH("mower",E197)),"Lawn Mower",
ISNUMBER(SEARCH("sweeper",E197)),"Lawn Sweeper",
OR(ISNUMBER(SEARCH("pruner",E197)),ISNUMBER(SEARCH("trimmer",E197)),ISNUMBER(SEARCH("pole saw",E197))),"Pruning Tools",
TRUE,"Other"
)</f>
        <v>Weed &amp; Feed</v>
      </c>
      <c r="J197" s="7" t="str">
        <f t="shared" si="54"/>
        <v>Weed Control - Weed &amp; Feed</v>
      </c>
      <c r="K197" s="4">
        <v>200</v>
      </c>
      <c r="L197" s="4">
        <v>4.5</v>
      </c>
      <c r="M197" s="4">
        <v>8919</v>
      </c>
      <c r="N197" s="4" t="s">
        <v>932</v>
      </c>
      <c r="O197" s="4">
        <f>VLOOKUP(A197,[3]Sheet1!$A:$B,2,0)</f>
        <v>50</v>
      </c>
      <c r="P197" s="4">
        <f>VLOOKUP(A197,[3]Sheet1!$A:$C,3,0)</f>
        <v>50</v>
      </c>
      <c r="Q197" s="4">
        <f>VLOOKUP(A197,[3]Sheet1!$A:$D,4,0)</f>
        <v>0</v>
      </c>
      <c r="R197" s="4">
        <f>VLOOKUP(A197,[3]Sheet1!$A:$E,5,0)</f>
        <v>0</v>
      </c>
      <c r="S197" s="4">
        <f>VLOOKUP(A197,[3]Sheet1!$A:$F,6,0)</f>
        <v>0</v>
      </c>
      <c r="T197" s="4">
        <f>VLOOKUP(A197,[3]Sheet1!$A:$G,7,0)</f>
        <v>0</v>
      </c>
      <c r="U197" s="4">
        <f>VLOOKUP(A197,[3]Sheet1!$A:$I,8,0)</f>
        <v>0</v>
      </c>
      <c r="V197" s="4">
        <f>VLOOKUP(A197,[3]Sheet1!$A:$J,9,0)</f>
        <v>0</v>
      </c>
      <c r="W197" s="4">
        <f>VLOOKUP(A197,[3]Sheet1!$A:$J,10,0)</f>
        <v>500</v>
      </c>
      <c r="X197" s="4">
        <f>VLOOKUP(A197,[3]Sheet1!$A:$K,11,0)</f>
        <v>2000</v>
      </c>
      <c r="Y197" s="4">
        <f>VLOOKUP(A197,[3]Sheet1!$A:$L,12,0)</f>
        <v>300</v>
      </c>
      <c r="Z197" s="4">
        <f>VLOOKUP(A197,[3]Sheet1!$A:$M,13,0)</f>
        <v>200</v>
      </c>
      <c r="AA197" s="4">
        <f t="shared" si="48"/>
        <v>3100</v>
      </c>
      <c r="AB197" s="7">
        <f t="shared" si="55"/>
        <v>258</v>
      </c>
      <c r="AC197" s="15">
        <f t="shared" si="49"/>
        <v>258.33333333333331</v>
      </c>
      <c r="AD197" s="16">
        <f t="shared" si="50"/>
        <v>282069</v>
      </c>
      <c r="AE197" s="16">
        <f t="shared" si="51"/>
        <v>23505.749999999996</v>
      </c>
      <c r="AF197" s="16">
        <v>25.36</v>
      </c>
      <c r="AG197" s="16">
        <v>90.99</v>
      </c>
      <c r="AH197" s="8">
        <f t="shared" si="52"/>
        <v>0.66906666666666625</v>
      </c>
      <c r="AI197" s="8">
        <f t="shared" si="53"/>
        <v>2.3417333333333317</v>
      </c>
      <c r="AJ197" s="10">
        <v>0.5</v>
      </c>
      <c r="AK197" s="10">
        <v>0.5</v>
      </c>
      <c r="AL197" s="16">
        <v>25.36</v>
      </c>
      <c r="AM197" s="9">
        <f t="shared" si="56"/>
        <v>13.648499999999999</v>
      </c>
      <c r="AN197" s="9">
        <f t="shared" si="57"/>
        <v>2.7296999999999998</v>
      </c>
      <c r="AO197" s="9">
        <f t="shared" si="58"/>
        <v>18.198</v>
      </c>
      <c r="AP197" s="9">
        <f t="shared" si="59"/>
        <v>1.8197999999999999</v>
      </c>
      <c r="AQ197" s="9">
        <f t="shared" si="60"/>
        <v>18.198</v>
      </c>
      <c r="AR197" s="9">
        <f t="shared" si="61"/>
        <v>22.747499999999999</v>
      </c>
      <c r="AS197" s="11">
        <f t="shared" si="62"/>
        <v>6.6906666666666625</v>
      </c>
      <c r="AT197" s="12">
        <f t="shared" si="63"/>
        <v>3.657666666666664</v>
      </c>
    </row>
    <row r="198" spans="1:46" ht="16.5" x14ac:dyDescent="0.4">
      <c r="A198" s="4" t="s">
        <v>933</v>
      </c>
      <c r="B198" s="4" t="s">
        <v>513</v>
      </c>
      <c r="C198" s="7" t="s">
        <v>1784</v>
      </c>
      <c r="D198" s="4" t="s">
        <v>934</v>
      </c>
      <c r="E198" s="4" t="s">
        <v>935</v>
      </c>
      <c r="F198" s="4" t="s">
        <v>936</v>
      </c>
      <c r="G198" s="7" t="str">
        <f>VLOOKUP(A198,[1]done!$A:$I,9,0)</f>
        <v>Insecticide/Fungicide</v>
      </c>
      <c r="H198" s="7" t="str" cm="1">
        <f t="array" ref="H198">_xlfn.IFS(
OR(ISNUMBER(SEARCH("mouse",E198)),ISNUMBER(SEARCH("rat",E198)),ISNUMBER(SEARCH("mice",E198)),ISNUMBER(SEARCH("rodent",E198))),"Rodent Control",
OR(ISNUMBER(SEARCH("fly",E198)),ISNUMBER(SEARCH("gnat",E198)),ISNUMBER(SEARCH("insect",E198)),ISNUMBER(SEARCH("mosquito",E198))),"Flying Insect Control",
OR(ISNUMBER(SEARCH("roach",E198)),ISNUMBER(SEARCH("ant",E198)),ISNUMBER(SEARCH("spider",E198)),ISNUMBER(SEARCH("cricket",E198)),ISNUMBER(SEARCH("scorpion",E198)),ISNUMBER(SEARCH("centipede",E198)),ISNUMBER(SEARCH("beetle",E198))),"Crawling Insect Control",
OR(ISNUMBER(SEARCH("tree",E198)),ISNUMBER(SEARCH("lantern",E198)),ISNUMBER(SEARCH("garden",E198)),ISNUMBER(SEARCH("plant",E198))),"Garden Pest Control",
OR(ISNUMBER(SEARCH("grass seed",E198)),ISNUMBER(SEARCH("seed mix",E198))),"Grass Seed",
OR(ISNUMBER(SEARCH("lawn food",E198)),ISNUMBER(SEARCH("fertilizer",E198))),"Lawn Fertilizer",
OR(ISNUMBER(SEARCH("patch",E198)),ISNUMBER(SEARCH("repair",E198)),ISNUMBER(SEARCH("thick'r",E198)),ISNUMBER(SEARCH("thick'r lawn",E198)),ISNUMBER(SEARCH("rapid grass",E198))),"Lawn Repair",
OR(ISNUMBER(SEARCH("weed",E198)),ISNUMBER(SEARCH("crabgrass",E198))),"Weed Control",
OR(ISNUMBER(SEARCH("fungicide",E198)),ISNUMBER(SEARCH("moss",E198))),"Disease &amp; Moss Control",
OR(ISNUMBER(SEARCH("plant food",E198)),ISNUMBER(SEARCH("miracid",E198))),"Plant Nutrition",
OR(ISNUMBER(SEARCH("perlite",E198))),"Soil Amendment",
OR(ISNUMBER(SEARCH("spreader",E198)),ISNUMBER(SEARCH("sprayer",E198)),ISNUMBER(SEARCH("mower",E198)),ISNUMBER(SEARCH("sweeper",E198)),ISNUMBER(SEARCH("pruner",E198)),ISNUMBER(SEARCH("trimmer",E198)),ISNUMBER(SEARCH("pole saw",E198))),"Garden Equipment",
TRUE,"Other"
)</f>
        <v>Disease &amp; Moss Control</v>
      </c>
      <c r="I198" s="7" t="str" cm="1">
        <f t="array" ref="I198">_xlfn.IFS(
OR(ISNUMBER(SEARCH("glue trap",E198)),ISNUMBER(SEARCH("glue board",E198))),"Glue Traps",
OR(ISNUMBER(SEARCH("snap trap",E198)),ISNUMBER(SEARCH("power-kill",E198)),ISNUMBER(SEARCH("wide pedal",E198)),ISNUMBER(SEARCH("metal pedal",E198))),"Snap Traps",
OR(ISNUMBER(SEARCH("electronic",E198)),ISNUMBER(SEARCH("zapper",E198))),"Electronic Traps",
OR(ISNUMBER(SEARCH("live catch",E198)),ISNUMBER(SEARCH("multi-catch",E198)),ISNUMBER(SEARCH("catch &amp; hold",E198)),ISNUMBER(SEARCH("tin cat",E198))),"Live Catch Traps",
OR(ISNUMBER(SEARCH("bait",E198)),ISNUMBER(SEARCH("poison",E198))),"Bait &amp; Poison",
ISNUMBER(SEARCH("repellent",E198)),"Repellents",
OR(ISNUMBER(SEARCH("fly trap",E198)),ISNUMBER(SEARCH("fly ribbon",E198)),ISNUMBER(SEARCH("fly stick",E198)),ISNUMBER(SEARCH("window fly",E198)),ISNUMBER(SEARCH("fly magnet",E198))),"Fly Traps",
OR(ISNUMBER(SEARCH("uv",E198)),ISNUMBER(SEARCH("fly light",E198)),ISNUMBER(SEARCH("plug-in",E198))),"UV Fly Traps",
ISNUMBER(SEARCH("roach",E198)),"Roach Traps",
ISNUMBER(SEARCH("ant",E198)),"Ant Traps",
ISNUMBER(SEARCH("spider",E198)),"Spider Traps",
ISNUMBER(SEARCH("mosquito",E198)),"Mosquito Traps",
ISNUMBER(SEARCH("beetle",E198)),"Beetle Traps",
ISNUMBER(SEARCH("lantern",E198)),"Lanternfly Control",
OR(ISNUMBER(SEARCH("tree shield",E198)),ISNUMBER(SEARCH("tree banding",E198)),ISNUMBER(SEARCH("insect barrier",E198))),"Tree Barriers",
OR(ISNUMBER(SEARCH("sun &amp; shade",E198)),ISNUMBER(SEARCH("sun and shade",E198))),"Sun &amp; Shade Mix",
ISNUMBER(SEARCH("tall fescue",E198)),"Tall Fescue",
ISNUMBER(SEARCH("bermudagrass",E198)),"Bermudagrass",
ISNUMBER(SEARCH("kentucky",E198)),"Kentucky Bluegrass",
ISNUMBER(SEARCH("zoysia",E198)),"Zoysia",
ISNUMBER(SEARCH("ryegrass",E198)),"Perennial Ryegrass",
ISNUMBER(SEARCH("centipede",E198)),"Centipede Grass",
ISNUMBER(SEARCH("dense shade",E198)),"Dense Shade Mix",
ISNUMBER(SEARCH("southern gold",E198)),"Southern Gold Mix",
ISNUMBER(SEARCH("heat-tolerant blue",E198)),"Heat-Tolerant Blue Mix",
ISNUMBER(SEARCH("high traffic",E198)),"High Traffic Mix",
ISNUMBER(SEARCH("quick fix",E198)),"Quick Fix Mix",
ISNUMBER(SEARCH("starter",E198)),"Starter Fertilizer",
ISNUMBER(SEARCH("weed &amp; feed",E198)),"Weed &amp; Feed",
ISNUMBER(SEARCH("lawn food",E198)),"Lawn Food",
ISNUMBER(SEARCH("triple action",E198)),"Triple Action Fertilizer",
ISNUMBER(SEARCH("green max",E198)),"Green Max Lawn Food",
ISNUMBER(SEARCH("patchmaster",E198)),"PatchMaster Repair",
ISNUMBER(SEARCH("ez seed",E198)),"EZ Seed Repair",
ISNUMBER(SEARCH("rapid grass",E198)),"Rapid Grass",
ISNUMBER(SEARCH("thick'r lawn",E198)),"Thick'R Lawn",
ISNUMBER(SEARCH("fungicide",E198)),"Fungicide",
ISNUMBER(SEARCH("moss",E198)),"Moss Control",
ISNUMBER(SEARCH("perlite",E198)),"Perlite",
ISNUMBER(SEARCH("plant food",E198)),"Plant Food",
ISNUMBER(SEARCH("spreader",E198)),"Spreader",
ISNUMBER(SEARCH("sprayer",E198)),"Sprayer",
ISNUMBER(SEARCH("mower",E198)),"Lawn Mower",
ISNUMBER(SEARCH("sweeper",E198)),"Lawn Sweeper",
OR(ISNUMBER(SEARCH("pruner",E198)),ISNUMBER(SEARCH("trimmer",E198)),ISNUMBER(SEARCH("pole saw",E198))),"Pruning Tools",
TRUE,"Other"
)</f>
        <v>Fungicide</v>
      </c>
      <c r="J198" s="7" t="str">
        <f t="shared" si="54"/>
        <v>Disease &amp; Moss Control - Fungicide</v>
      </c>
      <c r="K198" s="4">
        <v>200</v>
      </c>
      <c r="L198" s="4">
        <v>4.4000000000000004</v>
      </c>
      <c r="M198" s="4">
        <v>14420</v>
      </c>
      <c r="N198" s="4" t="s">
        <v>937</v>
      </c>
      <c r="O198" s="4">
        <f>VLOOKUP(A198,[3]Sheet1!$A:$B,2,0)</f>
        <v>50</v>
      </c>
      <c r="P198" s="4">
        <f>VLOOKUP(A198,[3]Sheet1!$A:$C,3,0)</f>
        <v>100</v>
      </c>
      <c r="Q198" s="4">
        <f>VLOOKUP(A198,[3]Sheet1!$A:$D,4,0)</f>
        <v>300</v>
      </c>
      <c r="R198" s="4">
        <f>VLOOKUP(A198,[3]Sheet1!$A:$E,5,0)</f>
        <v>500</v>
      </c>
      <c r="S198" s="4">
        <f>VLOOKUP(A198,[3]Sheet1!$A:$F,6,0)</f>
        <v>800</v>
      </c>
      <c r="T198" s="4">
        <f>VLOOKUP(A198,[3]Sheet1!$A:$G,7,0)</f>
        <v>1000</v>
      </c>
      <c r="U198" s="4">
        <f>VLOOKUP(A198,[3]Sheet1!$A:$I,8,0)</f>
        <v>1000</v>
      </c>
      <c r="V198" s="4">
        <f>VLOOKUP(A198,[3]Sheet1!$A:$J,9,0)</f>
        <v>1000</v>
      </c>
      <c r="W198" s="4">
        <f>VLOOKUP(A198,[3]Sheet1!$A:$J,10,0)</f>
        <v>200</v>
      </c>
      <c r="X198" s="4">
        <f>VLOOKUP(A198,[3]Sheet1!$A:$K,11,0)</f>
        <v>500</v>
      </c>
      <c r="Y198" s="4">
        <f>VLOOKUP(A198,[3]Sheet1!$A:$L,12,0)</f>
        <v>100</v>
      </c>
      <c r="Z198" s="4">
        <f>VLOOKUP(A198,[3]Sheet1!$A:$M,13,0)</f>
        <v>50</v>
      </c>
      <c r="AA198" s="4">
        <f t="shared" si="48"/>
        <v>5600</v>
      </c>
      <c r="AB198" s="7">
        <f t="shared" si="55"/>
        <v>467</v>
      </c>
      <c r="AC198" s="15">
        <f t="shared" si="49"/>
        <v>466.66666666666669</v>
      </c>
      <c r="AD198" s="16">
        <f t="shared" si="50"/>
        <v>267512</v>
      </c>
      <c r="AE198" s="16">
        <f t="shared" si="51"/>
        <v>22292.666666666668</v>
      </c>
      <c r="AF198" s="16">
        <v>18.28</v>
      </c>
      <c r="AG198" s="16">
        <v>47.77</v>
      </c>
      <c r="AH198" s="8">
        <f t="shared" si="52"/>
        <v>-1.1466666666666589E-2</v>
      </c>
      <c r="AI198" s="8">
        <f t="shared" si="53"/>
        <v>-4.0133333333333056E-2</v>
      </c>
      <c r="AJ198" s="10">
        <v>0.5</v>
      </c>
      <c r="AK198" s="10">
        <v>0.5</v>
      </c>
      <c r="AL198" s="16">
        <v>18.28</v>
      </c>
      <c r="AM198" s="9">
        <f t="shared" si="56"/>
        <v>7.1655000000000006</v>
      </c>
      <c r="AN198" s="9">
        <f t="shared" si="57"/>
        <v>1.4331</v>
      </c>
      <c r="AO198" s="9">
        <f t="shared" si="58"/>
        <v>9.5540000000000003</v>
      </c>
      <c r="AP198" s="9">
        <f t="shared" si="59"/>
        <v>0.95540000000000003</v>
      </c>
      <c r="AQ198" s="9">
        <f t="shared" si="60"/>
        <v>9.5540000000000003</v>
      </c>
      <c r="AR198" s="9">
        <f t="shared" si="61"/>
        <v>11.942500000000001</v>
      </c>
      <c r="AS198" s="11">
        <f t="shared" si="62"/>
        <v>-0.11466666666666588</v>
      </c>
      <c r="AT198" s="12">
        <f t="shared" si="63"/>
        <v>-1.7069999999999996</v>
      </c>
    </row>
    <row r="199" spans="1:46" ht="16.5" x14ac:dyDescent="0.4">
      <c r="A199" s="4" t="s">
        <v>938</v>
      </c>
      <c r="B199" s="4" t="s">
        <v>513</v>
      </c>
      <c r="C199" s="7" t="s">
        <v>513</v>
      </c>
      <c r="D199" s="4" t="s">
        <v>850</v>
      </c>
      <c r="E199" s="4" t="s">
        <v>939</v>
      </c>
      <c r="F199" s="4" t="s">
        <v>940</v>
      </c>
      <c r="G199" s="7" t="str">
        <f>VLOOKUP(A199,[1]done!$A:$I,9,0)</f>
        <v>Grass Seed</v>
      </c>
      <c r="H199" s="7" t="str" cm="1">
        <f t="array" ref="H199">_xlfn.IFS(
OR(ISNUMBER(SEARCH("mouse",E199)),ISNUMBER(SEARCH("rat",E199)),ISNUMBER(SEARCH("mice",E199)),ISNUMBER(SEARCH("rodent",E199))),"Rodent Control",
OR(ISNUMBER(SEARCH("fly",E199)),ISNUMBER(SEARCH("gnat",E199)),ISNUMBER(SEARCH("insect",E199)),ISNUMBER(SEARCH("mosquito",E199))),"Flying Insect Control",
OR(ISNUMBER(SEARCH("roach",E199)),ISNUMBER(SEARCH("ant",E199)),ISNUMBER(SEARCH("spider",E199)),ISNUMBER(SEARCH("cricket",E199)),ISNUMBER(SEARCH("scorpion",E199)),ISNUMBER(SEARCH("centipede",E199)),ISNUMBER(SEARCH("beetle",E199))),"Crawling Insect Control",
OR(ISNUMBER(SEARCH("tree",E199)),ISNUMBER(SEARCH("lantern",E199)),ISNUMBER(SEARCH("garden",E199)),ISNUMBER(SEARCH("plant",E199))),"Garden Pest Control",
OR(ISNUMBER(SEARCH("grass seed",E199)),ISNUMBER(SEARCH("seed mix",E199))),"Grass Seed",
OR(ISNUMBER(SEARCH("lawn food",E199)),ISNUMBER(SEARCH("fertilizer",E199))),"Lawn Fertilizer",
OR(ISNUMBER(SEARCH("patch",E199)),ISNUMBER(SEARCH("repair",E199)),ISNUMBER(SEARCH("thick'r",E199)),ISNUMBER(SEARCH("thick'r lawn",E199)),ISNUMBER(SEARCH("rapid grass",E199))),"Lawn Repair",
OR(ISNUMBER(SEARCH("weed",E199)),ISNUMBER(SEARCH("crabgrass",E199))),"Weed Control",
OR(ISNUMBER(SEARCH("fungicide",E199)),ISNUMBER(SEARCH("moss",E199))),"Disease &amp; Moss Control",
OR(ISNUMBER(SEARCH("plant food",E199)),ISNUMBER(SEARCH("miracid",E199))),"Plant Nutrition",
OR(ISNUMBER(SEARCH("perlite",E199))),"Soil Amendment",
OR(ISNUMBER(SEARCH("spreader",E199)),ISNUMBER(SEARCH("sprayer",E199)),ISNUMBER(SEARCH("mower",E199)),ISNUMBER(SEARCH("sweeper",E199)),ISNUMBER(SEARCH("pruner",E199)),ISNUMBER(SEARCH("trimmer",E199)),ISNUMBER(SEARCH("pole saw",E199))),"Garden Equipment",
TRUE,"Other"
)</f>
        <v>Grass Seed</v>
      </c>
      <c r="I199" s="7" t="str" cm="1">
        <f t="array" ref="I199">_xlfn.IFS(
OR(ISNUMBER(SEARCH("glue trap",E199)),ISNUMBER(SEARCH("glue board",E199))),"Glue Traps",
OR(ISNUMBER(SEARCH("snap trap",E199)),ISNUMBER(SEARCH("power-kill",E199)),ISNUMBER(SEARCH("wide pedal",E199)),ISNUMBER(SEARCH("metal pedal",E199))),"Snap Traps",
OR(ISNUMBER(SEARCH("electronic",E199)),ISNUMBER(SEARCH("zapper",E199))),"Electronic Traps",
OR(ISNUMBER(SEARCH("live catch",E199)),ISNUMBER(SEARCH("multi-catch",E199)),ISNUMBER(SEARCH("catch &amp; hold",E199)),ISNUMBER(SEARCH("tin cat",E199))),"Live Catch Traps",
OR(ISNUMBER(SEARCH("bait",E199)),ISNUMBER(SEARCH("poison",E199))),"Bait &amp; Poison",
ISNUMBER(SEARCH("repellent",E199)),"Repellents",
OR(ISNUMBER(SEARCH("fly trap",E199)),ISNUMBER(SEARCH("fly ribbon",E199)),ISNUMBER(SEARCH("fly stick",E199)),ISNUMBER(SEARCH("window fly",E199)),ISNUMBER(SEARCH("fly magnet",E199))),"Fly Traps",
OR(ISNUMBER(SEARCH("uv",E199)),ISNUMBER(SEARCH("fly light",E199)),ISNUMBER(SEARCH("plug-in",E199))),"UV Fly Traps",
ISNUMBER(SEARCH("roach",E199)),"Roach Traps",
ISNUMBER(SEARCH("ant",E199)),"Ant Traps",
ISNUMBER(SEARCH("spider",E199)),"Spider Traps",
ISNUMBER(SEARCH("mosquito",E199)),"Mosquito Traps",
ISNUMBER(SEARCH("beetle",E199)),"Beetle Traps",
ISNUMBER(SEARCH("lantern",E199)),"Lanternfly Control",
OR(ISNUMBER(SEARCH("tree shield",E199)),ISNUMBER(SEARCH("tree banding",E199)),ISNUMBER(SEARCH("insect barrier",E199))),"Tree Barriers",
OR(ISNUMBER(SEARCH("sun &amp; shade",E199)),ISNUMBER(SEARCH("sun and shade",E199))),"Sun &amp; Shade Mix",
ISNUMBER(SEARCH("tall fescue",E199)),"Tall Fescue",
ISNUMBER(SEARCH("bermudagrass",E199)),"Bermudagrass",
ISNUMBER(SEARCH("kentucky",E199)),"Kentucky Bluegrass",
ISNUMBER(SEARCH("zoysia",E199)),"Zoysia",
ISNUMBER(SEARCH("ryegrass",E199)),"Perennial Ryegrass",
ISNUMBER(SEARCH("centipede",E199)),"Centipede Grass",
ISNUMBER(SEARCH("dense shade",E199)),"Dense Shade Mix",
ISNUMBER(SEARCH("southern gold",E199)),"Southern Gold Mix",
ISNUMBER(SEARCH("heat-tolerant blue",E199)),"Heat-Tolerant Blue Mix",
ISNUMBER(SEARCH("high traffic",E199)),"High Traffic Mix",
ISNUMBER(SEARCH("quick fix",E199)),"Quick Fix Mix",
ISNUMBER(SEARCH("starter",E199)),"Starter Fertilizer",
ISNUMBER(SEARCH("weed &amp; feed",E199)),"Weed &amp; Feed",
ISNUMBER(SEARCH("lawn food",E199)),"Lawn Food",
ISNUMBER(SEARCH("triple action",E199)),"Triple Action Fertilizer",
ISNUMBER(SEARCH("green max",E199)),"Green Max Lawn Food",
ISNUMBER(SEARCH("patchmaster",E199)),"PatchMaster Repair",
ISNUMBER(SEARCH("ez seed",E199)),"EZ Seed Repair",
ISNUMBER(SEARCH("rapid grass",E199)),"Rapid Grass",
ISNUMBER(SEARCH("thick'r lawn",E199)),"Thick'R Lawn",
ISNUMBER(SEARCH("fungicide",E199)),"Fungicide",
ISNUMBER(SEARCH("moss",E199)),"Moss Control",
ISNUMBER(SEARCH("perlite",E199)),"Perlite",
ISNUMBER(SEARCH("plant food",E199)),"Plant Food",
ISNUMBER(SEARCH("spreader",E199)),"Spreader",
ISNUMBER(SEARCH("sprayer",E199)),"Sprayer",
ISNUMBER(SEARCH("mower",E199)),"Lawn Mower",
ISNUMBER(SEARCH("sweeper",E199)),"Lawn Sweeper",
OR(ISNUMBER(SEARCH("pruner",E199)),ISNUMBER(SEARCH("trimmer",E199)),ISNUMBER(SEARCH("pole saw",E199))),"Pruning Tools",
TRUE,"Other"
)</f>
        <v>Tall Fescue</v>
      </c>
      <c r="J199" s="7" t="str">
        <f t="shared" si="54"/>
        <v>Grass Seed - Tall Fescue</v>
      </c>
      <c r="K199" s="4">
        <v>200</v>
      </c>
      <c r="L199" s="4">
        <v>4.2</v>
      </c>
      <c r="M199" s="4">
        <v>3657</v>
      </c>
      <c r="N199" s="4" t="s">
        <v>853</v>
      </c>
      <c r="O199" s="4">
        <f>VLOOKUP(A199,[3]Sheet1!$A:$B,2,0)</f>
        <v>0</v>
      </c>
      <c r="P199" s="4">
        <f>VLOOKUP(A199,[3]Sheet1!$A:$C,3,0)</f>
        <v>0</v>
      </c>
      <c r="Q199" s="4">
        <f>VLOOKUP(A199,[3]Sheet1!$A:$D,4,0)</f>
        <v>700</v>
      </c>
      <c r="R199" s="4">
        <f>VLOOKUP(A199,[3]Sheet1!$A:$E,5,0)</f>
        <v>800</v>
      </c>
      <c r="S199" s="4">
        <f>VLOOKUP(A199,[3]Sheet1!$A:$F,6,0)</f>
        <v>200</v>
      </c>
      <c r="T199" s="4">
        <f>VLOOKUP(A199,[3]Sheet1!$A:$G,7,0)</f>
        <v>100</v>
      </c>
      <c r="U199" s="4">
        <f>VLOOKUP(A199,[3]Sheet1!$A:$I,8,0)</f>
        <v>1000</v>
      </c>
      <c r="V199" s="4">
        <f>VLOOKUP(A199,[3]Sheet1!$A:$J,9,0)</f>
        <v>100</v>
      </c>
      <c r="W199" s="4">
        <f>VLOOKUP(A199,[3]Sheet1!$A:$J,10,0)</f>
        <v>200</v>
      </c>
      <c r="X199" s="4">
        <f>VLOOKUP(A199,[3]Sheet1!$A:$K,11,0)</f>
        <v>1000</v>
      </c>
      <c r="Y199" s="4">
        <f>VLOOKUP(A199,[3]Sheet1!$A:$L,12,0)</f>
        <v>50</v>
      </c>
      <c r="Z199" s="4">
        <f>VLOOKUP(A199,[3]Sheet1!$A:$M,13,0)</f>
        <v>50</v>
      </c>
      <c r="AA199" s="4">
        <f t="shared" si="48"/>
        <v>4200</v>
      </c>
      <c r="AB199" s="7">
        <f t="shared" si="55"/>
        <v>350</v>
      </c>
      <c r="AC199" s="15">
        <f t="shared" si="49"/>
        <v>350</v>
      </c>
      <c r="AD199" s="16">
        <f t="shared" si="50"/>
        <v>629958</v>
      </c>
      <c r="AE199" s="16">
        <f t="shared" si="51"/>
        <v>52496.5</v>
      </c>
      <c r="AF199" s="16">
        <v>44.06</v>
      </c>
      <c r="AG199" s="16">
        <v>149.99</v>
      </c>
      <c r="AH199" s="8">
        <f t="shared" si="52"/>
        <v>0.99573333333333292</v>
      </c>
      <c r="AI199" s="8">
        <f t="shared" si="53"/>
        <v>3.4850666666666652</v>
      </c>
      <c r="AJ199" s="10">
        <v>0.5</v>
      </c>
      <c r="AK199" s="10">
        <v>0.5</v>
      </c>
      <c r="AL199" s="16">
        <v>44.06</v>
      </c>
      <c r="AM199" s="9">
        <f t="shared" si="56"/>
        <v>22.4985</v>
      </c>
      <c r="AN199" s="9">
        <f t="shared" si="57"/>
        <v>4.4996999999999998</v>
      </c>
      <c r="AO199" s="9">
        <f t="shared" si="58"/>
        <v>29.998000000000005</v>
      </c>
      <c r="AP199" s="9">
        <f t="shared" si="59"/>
        <v>2.9998000000000005</v>
      </c>
      <c r="AQ199" s="9">
        <f t="shared" si="60"/>
        <v>29.998000000000005</v>
      </c>
      <c r="AR199" s="9">
        <f t="shared" si="61"/>
        <v>37.497500000000002</v>
      </c>
      <c r="AS199" s="11">
        <f t="shared" si="62"/>
        <v>9.9573333333333292</v>
      </c>
      <c r="AT199" s="12">
        <f t="shared" si="63"/>
        <v>4.9576666666666638</v>
      </c>
    </row>
    <row r="200" spans="1:46" ht="16.5" x14ac:dyDescent="0.4">
      <c r="A200" s="4" t="s">
        <v>941</v>
      </c>
      <c r="B200" s="4" t="s">
        <v>513</v>
      </c>
      <c r="C200" s="7" t="s">
        <v>1784</v>
      </c>
      <c r="D200" s="4" t="s">
        <v>942</v>
      </c>
      <c r="E200" s="4" t="s">
        <v>943</v>
      </c>
      <c r="F200" s="4" t="s">
        <v>944</v>
      </c>
      <c r="G200" s="7" t="str">
        <f>VLOOKUP(A200,[1]done!$A:$I,9,0)</f>
        <v>Lawn Fertilizer</v>
      </c>
      <c r="H200" s="7" t="str" cm="1">
        <f t="array" ref="H200">_xlfn.IFS(
OR(ISNUMBER(SEARCH("mouse",E200)),ISNUMBER(SEARCH("rat",E200)),ISNUMBER(SEARCH("mice",E200)),ISNUMBER(SEARCH("rodent",E200))),"Rodent Control",
OR(ISNUMBER(SEARCH("fly",E200)),ISNUMBER(SEARCH("gnat",E200)),ISNUMBER(SEARCH("insect",E200)),ISNUMBER(SEARCH("mosquito",E200))),"Flying Insect Control",
OR(ISNUMBER(SEARCH("roach",E200)),ISNUMBER(SEARCH("ant",E200)),ISNUMBER(SEARCH("spider",E200)),ISNUMBER(SEARCH("cricket",E200)),ISNUMBER(SEARCH("scorpion",E200)),ISNUMBER(SEARCH("centipede",E200)),ISNUMBER(SEARCH("beetle",E200))),"Crawling Insect Control",
OR(ISNUMBER(SEARCH("tree",E200)),ISNUMBER(SEARCH("lantern",E200)),ISNUMBER(SEARCH("garden",E200)),ISNUMBER(SEARCH("plant",E200))),"Garden Pest Control",
OR(ISNUMBER(SEARCH("grass seed",E200)),ISNUMBER(SEARCH("seed mix",E200))),"Grass Seed",
OR(ISNUMBER(SEARCH("lawn food",E200)),ISNUMBER(SEARCH("fertilizer",E200))),"Lawn Fertilizer",
OR(ISNUMBER(SEARCH("patch",E200)),ISNUMBER(SEARCH("repair",E200)),ISNUMBER(SEARCH("thick'r",E200)),ISNUMBER(SEARCH("thick'r lawn",E200)),ISNUMBER(SEARCH("rapid grass",E200))),"Lawn Repair",
OR(ISNUMBER(SEARCH("weed",E200)),ISNUMBER(SEARCH("crabgrass",E200))),"Weed Control",
OR(ISNUMBER(SEARCH("fungicide",E200)),ISNUMBER(SEARCH("moss",E200))),"Disease &amp; Moss Control",
OR(ISNUMBER(SEARCH("plant food",E200)),ISNUMBER(SEARCH("miracid",E200))),"Plant Nutrition",
OR(ISNUMBER(SEARCH("perlite",E200))),"Soil Amendment",
OR(ISNUMBER(SEARCH("spreader",E200)),ISNUMBER(SEARCH("sprayer",E200)),ISNUMBER(SEARCH("mower",E200)),ISNUMBER(SEARCH("sweeper",E200)),ISNUMBER(SEARCH("pruner",E200)),ISNUMBER(SEARCH("trimmer",E200)),ISNUMBER(SEARCH("pole saw",E200))),"Garden Equipment",
TRUE,"Other"
)</f>
        <v>Lawn Repair</v>
      </c>
      <c r="I200" s="7" t="str" cm="1">
        <f t="array" ref="I200">_xlfn.IFS(
OR(ISNUMBER(SEARCH("glue trap",E200)),ISNUMBER(SEARCH("glue board",E200))),"Glue Traps",
OR(ISNUMBER(SEARCH("snap trap",E200)),ISNUMBER(SEARCH("power-kill",E200)),ISNUMBER(SEARCH("wide pedal",E200)),ISNUMBER(SEARCH("metal pedal",E200))),"Snap Traps",
OR(ISNUMBER(SEARCH("electronic",E200)),ISNUMBER(SEARCH("zapper",E200))),"Electronic Traps",
OR(ISNUMBER(SEARCH("live catch",E200)),ISNUMBER(SEARCH("multi-catch",E200)),ISNUMBER(SEARCH("catch &amp; hold",E200)),ISNUMBER(SEARCH("tin cat",E200))),"Live Catch Traps",
OR(ISNUMBER(SEARCH("bait",E200)),ISNUMBER(SEARCH("poison",E200))),"Bait &amp; Poison",
ISNUMBER(SEARCH("repellent",E200)),"Repellents",
OR(ISNUMBER(SEARCH("fly trap",E200)),ISNUMBER(SEARCH("fly ribbon",E200)),ISNUMBER(SEARCH("fly stick",E200)),ISNUMBER(SEARCH("window fly",E200)),ISNUMBER(SEARCH("fly magnet",E200))),"Fly Traps",
OR(ISNUMBER(SEARCH("uv",E200)),ISNUMBER(SEARCH("fly light",E200)),ISNUMBER(SEARCH("plug-in",E200))),"UV Fly Traps",
ISNUMBER(SEARCH("roach",E200)),"Roach Traps",
ISNUMBER(SEARCH("ant",E200)),"Ant Traps",
ISNUMBER(SEARCH("spider",E200)),"Spider Traps",
ISNUMBER(SEARCH("mosquito",E200)),"Mosquito Traps",
ISNUMBER(SEARCH("beetle",E200)),"Beetle Traps",
ISNUMBER(SEARCH("lantern",E200)),"Lanternfly Control",
OR(ISNUMBER(SEARCH("tree shield",E200)),ISNUMBER(SEARCH("tree banding",E200)),ISNUMBER(SEARCH("insect barrier",E200))),"Tree Barriers",
OR(ISNUMBER(SEARCH("sun &amp; shade",E200)),ISNUMBER(SEARCH("sun and shade",E200))),"Sun &amp; Shade Mix",
ISNUMBER(SEARCH("tall fescue",E200)),"Tall Fescue",
ISNUMBER(SEARCH("bermudagrass",E200)),"Bermudagrass",
ISNUMBER(SEARCH("kentucky",E200)),"Kentucky Bluegrass",
ISNUMBER(SEARCH("zoysia",E200)),"Zoysia",
ISNUMBER(SEARCH("ryegrass",E200)),"Perennial Ryegrass",
ISNUMBER(SEARCH("centipede",E200)),"Centipede Grass",
ISNUMBER(SEARCH("dense shade",E200)),"Dense Shade Mix",
ISNUMBER(SEARCH("southern gold",E200)),"Southern Gold Mix",
ISNUMBER(SEARCH("heat-tolerant blue",E200)),"Heat-Tolerant Blue Mix",
ISNUMBER(SEARCH("high traffic",E200)),"High Traffic Mix",
ISNUMBER(SEARCH("quick fix",E200)),"Quick Fix Mix",
ISNUMBER(SEARCH("starter",E200)),"Starter Fertilizer",
ISNUMBER(SEARCH("weed &amp; feed",E200)),"Weed &amp; Feed",
ISNUMBER(SEARCH("lawn food",E200)),"Lawn Food",
ISNUMBER(SEARCH("triple action",E200)),"Triple Action Fertilizer",
ISNUMBER(SEARCH("green max",E200)),"Green Max Lawn Food",
ISNUMBER(SEARCH("patchmaster",E200)),"PatchMaster Repair",
ISNUMBER(SEARCH("ez seed",E200)),"EZ Seed Repair",
ISNUMBER(SEARCH("rapid grass",E200)),"Rapid Grass",
ISNUMBER(SEARCH("thick'r lawn",E200)),"Thick'R Lawn",
ISNUMBER(SEARCH("fungicide",E200)),"Fungicide",
ISNUMBER(SEARCH("moss",E200)),"Moss Control",
ISNUMBER(SEARCH("perlite",E200)),"Perlite",
ISNUMBER(SEARCH("plant food",E200)),"Plant Food",
ISNUMBER(SEARCH("spreader",E200)),"Spreader",
ISNUMBER(SEARCH("sprayer",E200)),"Sprayer",
ISNUMBER(SEARCH("mower",E200)),"Lawn Mower",
ISNUMBER(SEARCH("sweeper",E200)),"Lawn Sweeper",
OR(ISNUMBER(SEARCH("pruner",E200)),ISNUMBER(SEARCH("trimmer",E200)),ISNUMBER(SEARCH("pole saw",E200))),"Pruning Tools",
TRUE,"Other"
)</f>
        <v>Sun &amp; Shade Mix</v>
      </c>
      <c r="J200" s="7" t="str">
        <f t="shared" si="54"/>
        <v>Lawn Repair - Sun &amp; Shade Mix</v>
      </c>
      <c r="K200" s="4">
        <v>200</v>
      </c>
      <c r="L200" s="4">
        <v>4.2</v>
      </c>
      <c r="M200" s="4">
        <v>9557</v>
      </c>
      <c r="N200" s="4" t="s">
        <v>744</v>
      </c>
      <c r="O200" s="4">
        <f>VLOOKUP(A200,[3]Sheet1!$A:$B,2,0)</f>
        <v>0</v>
      </c>
      <c r="P200" s="4">
        <f>VLOOKUP(A200,[3]Sheet1!$A:$C,3,0)</f>
        <v>0</v>
      </c>
      <c r="Q200" s="4">
        <f>VLOOKUP(A200,[3]Sheet1!$A:$D,4,0)</f>
        <v>100</v>
      </c>
      <c r="R200" s="4">
        <f>VLOOKUP(A200,[3]Sheet1!$A:$E,5,0)</f>
        <v>1000</v>
      </c>
      <c r="S200" s="4">
        <f>VLOOKUP(A200,[3]Sheet1!$A:$F,6,0)</f>
        <v>200</v>
      </c>
      <c r="T200" s="4">
        <f>VLOOKUP(A200,[3]Sheet1!$A:$G,7,0)</f>
        <v>100</v>
      </c>
      <c r="U200" s="4">
        <f>VLOOKUP(A200,[3]Sheet1!$A:$I,8,0)</f>
        <v>200</v>
      </c>
      <c r="V200" s="4">
        <f>VLOOKUP(A200,[3]Sheet1!$A:$J,9,0)</f>
        <v>50</v>
      </c>
      <c r="W200" s="4">
        <f>VLOOKUP(A200,[3]Sheet1!$A:$J,10,0)</f>
        <v>100</v>
      </c>
      <c r="X200" s="4">
        <f>VLOOKUP(A200,[3]Sheet1!$A:$K,11,0)</f>
        <v>0</v>
      </c>
      <c r="Y200" s="4">
        <f>VLOOKUP(A200,[3]Sheet1!$A:$L,12,0)</f>
        <v>0</v>
      </c>
      <c r="Z200" s="4">
        <f>VLOOKUP(A200,[3]Sheet1!$A:$M,13,0)</f>
        <v>0</v>
      </c>
      <c r="AA200" s="4">
        <f t="shared" si="48"/>
        <v>1750</v>
      </c>
      <c r="AB200" s="7">
        <f t="shared" si="55"/>
        <v>146</v>
      </c>
      <c r="AC200" s="15">
        <f t="shared" si="49"/>
        <v>145.83333333333334</v>
      </c>
      <c r="AD200" s="16">
        <f t="shared" si="50"/>
        <v>126717.5</v>
      </c>
      <c r="AE200" s="16">
        <f t="shared" si="51"/>
        <v>10559.791666666666</v>
      </c>
      <c r="AF200" s="16">
        <v>13.43</v>
      </c>
      <c r="AG200" s="16">
        <v>72.41</v>
      </c>
      <c r="AH200" s="8">
        <f t="shared" si="52"/>
        <v>0.9689333333333332</v>
      </c>
      <c r="AI200" s="8">
        <f t="shared" si="53"/>
        <v>3.3912666666666662</v>
      </c>
      <c r="AJ200" s="10">
        <v>0.5</v>
      </c>
      <c r="AK200" s="10">
        <v>0.5</v>
      </c>
      <c r="AL200" s="16">
        <v>13.43</v>
      </c>
      <c r="AM200" s="9">
        <f t="shared" si="56"/>
        <v>10.861499999999999</v>
      </c>
      <c r="AN200" s="9">
        <f t="shared" si="57"/>
        <v>2.1722999999999999</v>
      </c>
      <c r="AO200" s="9">
        <f t="shared" si="58"/>
        <v>14.481999999999999</v>
      </c>
      <c r="AP200" s="9">
        <f t="shared" si="59"/>
        <v>1.4481999999999999</v>
      </c>
      <c r="AQ200" s="9">
        <f t="shared" si="60"/>
        <v>14.481999999999999</v>
      </c>
      <c r="AR200" s="9">
        <f t="shared" si="61"/>
        <v>18.102499999999999</v>
      </c>
      <c r="AS200" s="11">
        <f t="shared" si="62"/>
        <v>9.689333333333332</v>
      </c>
      <c r="AT200" s="12">
        <f t="shared" si="63"/>
        <v>7.2756666666666661</v>
      </c>
    </row>
    <row r="201" spans="1:46" ht="16.5" x14ac:dyDescent="0.4">
      <c r="A201" s="4" t="s">
        <v>945</v>
      </c>
      <c r="B201" s="4" t="s">
        <v>513</v>
      </c>
      <c r="C201" s="7" t="s">
        <v>1784</v>
      </c>
      <c r="D201" s="4" t="s">
        <v>946</v>
      </c>
      <c r="E201" s="4" t="s">
        <v>947</v>
      </c>
      <c r="F201" s="4" t="s">
        <v>948</v>
      </c>
      <c r="G201" s="7" t="str">
        <f>VLOOKUP(A201,[1]done!$A:$I,9,0)</f>
        <v>Lawn Fertilizer</v>
      </c>
      <c r="H201" s="7" t="str" cm="1">
        <f t="array" ref="H201">_xlfn.IFS(
OR(ISNUMBER(SEARCH("mouse",E201)),ISNUMBER(SEARCH("rat",E201)),ISNUMBER(SEARCH("mice",E201)),ISNUMBER(SEARCH("rodent",E201))),"Rodent Control",
OR(ISNUMBER(SEARCH("fly",E201)),ISNUMBER(SEARCH("gnat",E201)),ISNUMBER(SEARCH("insect",E201)),ISNUMBER(SEARCH("mosquito",E201))),"Flying Insect Control",
OR(ISNUMBER(SEARCH("roach",E201)),ISNUMBER(SEARCH("ant",E201)),ISNUMBER(SEARCH("spider",E201)),ISNUMBER(SEARCH("cricket",E201)),ISNUMBER(SEARCH("scorpion",E201)),ISNUMBER(SEARCH("centipede",E201)),ISNUMBER(SEARCH("beetle",E201))),"Crawling Insect Control",
OR(ISNUMBER(SEARCH("tree",E201)),ISNUMBER(SEARCH("lantern",E201)),ISNUMBER(SEARCH("garden",E201)),ISNUMBER(SEARCH("plant",E201))),"Garden Pest Control",
OR(ISNUMBER(SEARCH("grass seed",E201)),ISNUMBER(SEARCH("seed mix",E201))),"Grass Seed",
OR(ISNUMBER(SEARCH("lawn food",E201)),ISNUMBER(SEARCH("fertilizer",E201))),"Lawn Fertilizer",
OR(ISNUMBER(SEARCH("patch",E201)),ISNUMBER(SEARCH("repair",E201)),ISNUMBER(SEARCH("thick'r",E201)),ISNUMBER(SEARCH("thick'r lawn",E201)),ISNUMBER(SEARCH("rapid grass",E201))),"Lawn Repair",
OR(ISNUMBER(SEARCH("weed",E201)),ISNUMBER(SEARCH("crabgrass",E201))),"Weed Control",
OR(ISNUMBER(SEARCH("fungicide",E201)),ISNUMBER(SEARCH("moss",E201))),"Disease &amp; Moss Control",
OR(ISNUMBER(SEARCH("plant food",E201)),ISNUMBER(SEARCH("miracid",E201))),"Plant Nutrition",
OR(ISNUMBER(SEARCH("perlite",E201))),"Soil Amendment",
OR(ISNUMBER(SEARCH("spreader",E201)),ISNUMBER(SEARCH("sprayer",E201)),ISNUMBER(SEARCH("mower",E201)),ISNUMBER(SEARCH("sweeper",E201)),ISNUMBER(SEARCH("pruner",E201)),ISNUMBER(SEARCH("trimmer",E201)),ISNUMBER(SEARCH("pole saw",E201))),"Garden Equipment",
TRUE,"Other"
)</f>
        <v>Lawn Fertilizer</v>
      </c>
      <c r="I201" s="7" t="str" cm="1">
        <f t="array" ref="I201">_xlfn.IFS(
OR(ISNUMBER(SEARCH("glue trap",E201)),ISNUMBER(SEARCH("glue board",E201))),"Glue Traps",
OR(ISNUMBER(SEARCH("snap trap",E201)),ISNUMBER(SEARCH("power-kill",E201)),ISNUMBER(SEARCH("wide pedal",E201)),ISNUMBER(SEARCH("metal pedal",E201))),"Snap Traps",
OR(ISNUMBER(SEARCH("electronic",E201)),ISNUMBER(SEARCH("zapper",E201))),"Electronic Traps",
OR(ISNUMBER(SEARCH("live catch",E201)),ISNUMBER(SEARCH("multi-catch",E201)),ISNUMBER(SEARCH("catch &amp; hold",E201)),ISNUMBER(SEARCH("tin cat",E201))),"Live Catch Traps",
OR(ISNUMBER(SEARCH("bait",E201)),ISNUMBER(SEARCH("poison",E201))),"Bait &amp; Poison",
ISNUMBER(SEARCH("repellent",E201)),"Repellents",
OR(ISNUMBER(SEARCH("fly trap",E201)),ISNUMBER(SEARCH("fly ribbon",E201)),ISNUMBER(SEARCH("fly stick",E201)),ISNUMBER(SEARCH("window fly",E201)),ISNUMBER(SEARCH("fly magnet",E201))),"Fly Traps",
OR(ISNUMBER(SEARCH("uv",E201)),ISNUMBER(SEARCH("fly light",E201)),ISNUMBER(SEARCH("plug-in",E201))),"UV Fly Traps",
ISNUMBER(SEARCH("roach",E201)),"Roach Traps",
ISNUMBER(SEARCH("ant",E201)),"Ant Traps",
ISNUMBER(SEARCH("spider",E201)),"Spider Traps",
ISNUMBER(SEARCH("mosquito",E201)),"Mosquito Traps",
ISNUMBER(SEARCH("beetle",E201)),"Beetle Traps",
ISNUMBER(SEARCH("lantern",E201)),"Lanternfly Control",
OR(ISNUMBER(SEARCH("tree shield",E201)),ISNUMBER(SEARCH("tree banding",E201)),ISNUMBER(SEARCH("insect barrier",E201))),"Tree Barriers",
OR(ISNUMBER(SEARCH("sun &amp; shade",E201)),ISNUMBER(SEARCH("sun and shade",E201))),"Sun &amp; Shade Mix",
ISNUMBER(SEARCH("tall fescue",E201)),"Tall Fescue",
ISNUMBER(SEARCH("bermudagrass",E201)),"Bermudagrass",
ISNUMBER(SEARCH("kentucky",E201)),"Kentucky Bluegrass",
ISNUMBER(SEARCH("zoysia",E201)),"Zoysia",
ISNUMBER(SEARCH("ryegrass",E201)),"Perennial Ryegrass",
ISNUMBER(SEARCH("centipede",E201)),"Centipede Grass",
ISNUMBER(SEARCH("dense shade",E201)),"Dense Shade Mix",
ISNUMBER(SEARCH("southern gold",E201)),"Southern Gold Mix",
ISNUMBER(SEARCH("heat-tolerant blue",E201)),"Heat-Tolerant Blue Mix",
ISNUMBER(SEARCH("high traffic",E201)),"High Traffic Mix",
ISNUMBER(SEARCH("quick fix",E201)),"Quick Fix Mix",
ISNUMBER(SEARCH("starter",E201)),"Starter Fertilizer",
ISNUMBER(SEARCH("weed &amp; feed",E201)),"Weed &amp; Feed",
ISNUMBER(SEARCH("lawn food",E201)),"Lawn Food",
ISNUMBER(SEARCH("triple action",E201)),"Triple Action Fertilizer",
ISNUMBER(SEARCH("green max",E201)),"Green Max Lawn Food",
ISNUMBER(SEARCH("patchmaster",E201)),"PatchMaster Repair",
ISNUMBER(SEARCH("ez seed",E201)),"EZ Seed Repair",
ISNUMBER(SEARCH("rapid grass",E201)),"Rapid Grass",
ISNUMBER(SEARCH("thick'r lawn",E201)),"Thick'R Lawn",
ISNUMBER(SEARCH("fungicide",E201)),"Fungicide",
ISNUMBER(SEARCH("moss",E201)),"Moss Control",
ISNUMBER(SEARCH("perlite",E201)),"Perlite",
ISNUMBER(SEARCH("plant food",E201)),"Plant Food",
ISNUMBER(SEARCH("spreader",E201)),"Spreader",
ISNUMBER(SEARCH("sprayer",E201)),"Sprayer",
ISNUMBER(SEARCH("mower",E201)),"Lawn Mower",
ISNUMBER(SEARCH("sweeper",E201)),"Lawn Sweeper",
OR(ISNUMBER(SEARCH("pruner",E201)),ISNUMBER(SEARCH("trimmer",E201)),ISNUMBER(SEARCH("pole saw",E201))),"Pruning Tools",
TRUE,"Other"
)</f>
        <v>Starter Fertilizer</v>
      </c>
      <c r="J201" s="7" t="str">
        <f t="shared" si="54"/>
        <v>Lawn Fertilizer - Starter Fertilizer</v>
      </c>
      <c r="K201" s="4">
        <v>200</v>
      </c>
      <c r="L201" s="4">
        <v>4.7</v>
      </c>
      <c r="M201" s="4">
        <v>54</v>
      </c>
      <c r="N201" s="4" t="s">
        <v>775</v>
      </c>
      <c r="O201" s="4">
        <f>VLOOKUP(A201,[3]Sheet1!$A:$B,2,0)</f>
        <v>0</v>
      </c>
      <c r="P201" s="4">
        <f>VLOOKUP(A201,[3]Sheet1!$A:$C,3,0)</f>
        <v>0</v>
      </c>
      <c r="Q201" s="4">
        <f>VLOOKUP(A201,[3]Sheet1!$A:$D,4,0)</f>
        <v>0</v>
      </c>
      <c r="R201" s="4">
        <f>VLOOKUP(A201,[3]Sheet1!$A:$E,5,0)</f>
        <v>200</v>
      </c>
      <c r="S201" s="4">
        <f>VLOOKUP(A201,[3]Sheet1!$A:$F,6,0)</f>
        <v>400</v>
      </c>
      <c r="T201" s="4">
        <f>VLOOKUP(A201,[3]Sheet1!$A:$G,7,0)</f>
        <v>500</v>
      </c>
      <c r="U201" s="4">
        <f>VLOOKUP(A201,[3]Sheet1!$A:$I,8,0)</f>
        <v>200</v>
      </c>
      <c r="V201" s="4">
        <f>VLOOKUP(A201,[3]Sheet1!$A:$J,9,0)</f>
        <v>200</v>
      </c>
      <c r="W201" s="4">
        <f>VLOOKUP(A201,[3]Sheet1!$A:$J,10,0)</f>
        <v>200</v>
      </c>
      <c r="X201" s="4">
        <f>VLOOKUP(A201,[3]Sheet1!$A:$K,11,0)</f>
        <v>0</v>
      </c>
      <c r="Y201" s="4">
        <f>VLOOKUP(A201,[3]Sheet1!$A:$L,12,0)</f>
        <v>0</v>
      </c>
      <c r="Z201" s="4">
        <f>VLOOKUP(A201,[3]Sheet1!$A:$M,13,0)</f>
        <v>0</v>
      </c>
      <c r="AA201" s="4">
        <f t="shared" si="48"/>
        <v>1700</v>
      </c>
      <c r="AB201" s="7">
        <f t="shared" si="55"/>
        <v>142</v>
      </c>
      <c r="AC201" s="15">
        <f t="shared" si="49"/>
        <v>141.66666666666666</v>
      </c>
      <c r="AD201" s="16">
        <f t="shared" si="50"/>
        <v>42466</v>
      </c>
      <c r="AE201" s="16">
        <f t="shared" si="51"/>
        <v>3538.833333333333</v>
      </c>
      <c r="AF201" s="16">
        <v>7.3</v>
      </c>
      <c r="AG201" s="16">
        <v>24.98</v>
      </c>
      <c r="AH201" s="8">
        <f t="shared" si="52"/>
        <v>0.11279999999999996</v>
      </c>
      <c r="AI201" s="8">
        <f t="shared" si="53"/>
        <v>0.39479999999999976</v>
      </c>
      <c r="AJ201" s="10">
        <v>0.5</v>
      </c>
      <c r="AK201" s="10">
        <v>0.5</v>
      </c>
      <c r="AL201" s="16">
        <v>7.3</v>
      </c>
      <c r="AM201" s="9">
        <f t="shared" si="56"/>
        <v>3.7469999999999999</v>
      </c>
      <c r="AN201" s="9">
        <f t="shared" si="57"/>
        <v>0.74939999999999996</v>
      </c>
      <c r="AO201" s="9">
        <f t="shared" si="58"/>
        <v>4.9960000000000004</v>
      </c>
      <c r="AP201" s="9">
        <f t="shared" si="59"/>
        <v>0.49960000000000004</v>
      </c>
      <c r="AQ201" s="9">
        <f t="shared" si="60"/>
        <v>4.9960000000000004</v>
      </c>
      <c r="AR201" s="9">
        <f t="shared" si="61"/>
        <v>6.2450000000000001</v>
      </c>
      <c r="AS201" s="11">
        <f t="shared" si="62"/>
        <v>1.1279999999999994</v>
      </c>
      <c r="AT201" s="12">
        <f t="shared" si="63"/>
        <v>0.29533333333333306</v>
      </c>
    </row>
    <row r="202" spans="1:46" ht="16.5" x14ac:dyDescent="0.4">
      <c r="A202" s="4" t="s">
        <v>949</v>
      </c>
      <c r="B202" s="4" t="s">
        <v>513</v>
      </c>
      <c r="C202" s="7" t="s">
        <v>1784</v>
      </c>
      <c r="D202" s="4" t="s">
        <v>950</v>
      </c>
      <c r="E202" s="4" t="s">
        <v>951</v>
      </c>
      <c r="F202" s="4" t="s">
        <v>952</v>
      </c>
      <c r="G202" s="7" t="str">
        <f>VLOOKUP(A202,[1]done!$A:$I,9,0)</f>
        <v>Grass Seed</v>
      </c>
      <c r="H202" s="7" t="str" cm="1">
        <f t="array" ref="H202">_xlfn.IFS(
OR(ISNUMBER(SEARCH("mouse",E202)),ISNUMBER(SEARCH("rat",E202)),ISNUMBER(SEARCH("mice",E202)),ISNUMBER(SEARCH("rodent",E202))),"Rodent Control",
OR(ISNUMBER(SEARCH("fly",E202)),ISNUMBER(SEARCH("gnat",E202)),ISNUMBER(SEARCH("insect",E202)),ISNUMBER(SEARCH("mosquito",E202))),"Flying Insect Control",
OR(ISNUMBER(SEARCH("roach",E202)),ISNUMBER(SEARCH("ant",E202)),ISNUMBER(SEARCH("spider",E202)),ISNUMBER(SEARCH("cricket",E202)),ISNUMBER(SEARCH("scorpion",E202)),ISNUMBER(SEARCH("centipede",E202)),ISNUMBER(SEARCH("beetle",E202))),"Crawling Insect Control",
OR(ISNUMBER(SEARCH("tree",E202)),ISNUMBER(SEARCH("lantern",E202)),ISNUMBER(SEARCH("garden",E202)),ISNUMBER(SEARCH("plant",E202))),"Garden Pest Control",
OR(ISNUMBER(SEARCH("grass seed",E202)),ISNUMBER(SEARCH("seed mix",E202))),"Grass Seed",
OR(ISNUMBER(SEARCH("lawn food",E202)),ISNUMBER(SEARCH("fertilizer",E202))),"Lawn Fertilizer",
OR(ISNUMBER(SEARCH("patch",E202)),ISNUMBER(SEARCH("repair",E202)),ISNUMBER(SEARCH("thick'r",E202)),ISNUMBER(SEARCH("thick'r lawn",E202)),ISNUMBER(SEARCH("rapid grass",E202))),"Lawn Repair",
OR(ISNUMBER(SEARCH("weed",E202)),ISNUMBER(SEARCH("crabgrass",E202))),"Weed Control",
OR(ISNUMBER(SEARCH("fungicide",E202)),ISNUMBER(SEARCH("moss",E202))),"Disease &amp; Moss Control",
OR(ISNUMBER(SEARCH("plant food",E202)),ISNUMBER(SEARCH("miracid",E202))),"Plant Nutrition",
OR(ISNUMBER(SEARCH("perlite",E202))),"Soil Amendment",
OR(ISNUMBER(SEARCH("spreader",E202)),ISNUMBER(SEARCH("sprayer",E202)),ISNUMBER(SEARCH("mower",E202)),ISNUMBER(SEARCH("sweeper",E202)),ISNUMBER(SEARCH("pruner",E202)),ISNUMBER(SEARCH("trimmer",E202)),ISNUMBER(SEARCH("pole saw",E202))),"Garden Equipment",
TRUE,"Other"
)</f>
        <v>Grass Seed</v>
      </c>
      <c r="I202" s="7" t="str" cm="1">
        <f t="array" ref="I202">_xlfn.IFS(
OR(ISNUMBER(SEARCH("glue trap",E202)),ISNUMBER(SEARCH("glue board",E202))),"Glue Traps",
OR(ISNUMBER(SEARCH("snap trap",E202)),ISNUMBER(SEARCH("power-kill",E202)),ISNUMBER(SEARCH("wide pedal",E202)),ISNUMBER(SEARCH("metal pedal",E202))),"Snap Traps",
OR(ISNUMBER(SEARCH("electronic",E202)),ISNUMBER(SEARCH("zapper",E202))),"Electronic Traps",
OR(ISNUMBER(SEARCH("live catch",E202)),ISNUMBER(SEARCH("multi-catch",E202)),ISNUMBER(SEARCH("catch &amp; hold",E202)),ISNUMBER(SEARCH("tin cat",E202))),"Live Catch Traps",
OR(ISNUMBER(SEARCH("bait",E202)),ISNUMBER(SEARCH("poison",E202))),"Bait &amp; Poison",
ISNUMBER(SEARCH("repellent",E202)),"Repellents",
OR(ISNUMBER(SEARCH("fly trap",E202)),ISNUMBER(SEARCH("fly ribbon",E202)),ISNUMBER(SEARCH("fly stick",E202)),ISNUMBER(SEARCH("window fly",E202)),ISNUMBER(SEARCH("fly magnet",E202))),"Fly Traps",
OR(ISNUMBER(SEARCH("uv",E202)),ISNUMBER(SEARCH("fly light",E202)),ISNUMBER(SEARCH("plug-in",E202))),"UV Fly Traps",
ISNUMBER(SEARCH("roach",E202)),"Roach Traps",
ISNUMBER(SEARCH("ant",E202)),"Ant Traps",
ISNUMBER(SEARCH("spider",E202)),"Spider Traps",
ISNUMBER(SEARCH("mosquito",E202)),"Mosquito Traps",
ISNUMBER(SEARCH("beetle",E202)),"Beetle Traps",
ISNUMBER(SEARCH("lantern",E202)),"Lanternfly Control",
OR(ISNUMBER(SEARCH("tree shield",E202)),ISNUMBER(SEARCH("tree banding",E202)),ISNUMBER(SEARCH("insect barrier",E202))),"Tree Barriers",
OR(ISNUMBER(SEARCH("sun &amp; shade",E202)),ISNUMBER(SEARCH("sun and shade",E202))),"Sun &amp; Shade Mix",
ISNUMBER(SEARCH("tall fescue",E202)),"Tall Fescue",
ISNUMBER(SEARCH("bermudagrass",E202)),"Bermudagrass",
ISNUMBER(SEARCH("kentucky",E202)),"Kentucky Bluegrass",
ISNUMBER(SEARCH("zoysia",E202)),"Zoysia",
ISNUMBER(SEARCH("ryegrass",E202)),"Perennial Ryegrass",
ISNUMBER(SEARCH("centipede",E202)),"Centipede Grass",
ISNUMBER(SEARCH("dense shade",E202)),"Dense Shade Mix",
ISNUMBER(SEARCH("southern gold",E202)),"Southern Gold Mix",
ISNUMBER(SEARCH("heat-tolerant blue",E202)),"Heat-Tolerant Blue Mix",
ISNUMBER(SEARCH("high traffic",E202)),"High Traffic Mix",
ISNUMBER(SEARCH("quick fix",E202)),"Quick Fix Mix",
ISNUMBER(SEARCH("starter",E202)),"Starter Fertilizer",
ISNUMBER(SEARCH("weed &amp; feed",E202)),"Weed &amp; Feed",
ISNUMBER(SEARCH("lawn food",E202)),"Lawn Food",
ISNUMBER(SEARCH("triple action",E202)),"Triple Action Fertilizer",
ISNUMBER(SEARCH("green max",E202)),"Green Max Lawn Food",
ISNUMBER(SEARCH("patchmaster",E202)),"PatchMaster Repair",
ISNUMBER(SEARCH("ez seed",E202)),"EZ Seed Repair",
ISNUMBER(SEARCH("rapid grass",E202)),"Rapid Grass",
ISNUMBER(SEARCH("thick'r lawn",E202)),"Thick'R Lawn",
ISNUMBER(SEARCH("fungicide",E202)),"Fungicide",
ISNUMBER(SEARCH("moss",E202)),"Moss Control",
ISNUMBER(SEARCH("perlite",E202)),"Perlite",
ISNUMBER(SEARCH("plant food",E202)),"Plant Food",
ISNUMBER(SEARCH("spreader",E202)),"Spreader",
ISNUMBER(SEARCH("sprayer",E202)),"Sprayer",
ISNUMBER(SEARCH("mower",E202)),"Lawn Mower",
ISNUMBER(SEARCH("sweeper",E202)),"Lawn Sweeper",
OR(ISNUMBER(SEARCH("pruner",E202)),ISNUMBER(SEARCH("trimmer",E202)),ISNUMBER(SEARCH("pole saw",E202))),"Pruning Tools",
TRUE,"Other"
)</f>
        <v>Bermudagrass</v>
      </c>
      <c r="J202" s="7" t="str">
        <f t="shared" si="54"/>
        <v>Grass Seed - Bermudagrass</v>
      </c>
      <c r="K202" s="4">
        <v>200</v>
      </c>
      <c r="L202" s="4">
        <v>4.0999999999999996</v>
      </c>
      <c r="M202" s="4">
        <v>1128</v>
      </c>
      <c r="N202" s="4" t="s">
        <v>953</v>
      </c>
      <c r="O202" s="4">
        <f>VLOOKUP(A202,[3]Sheet1!$A:$B,2,0)</f>
        <v>0</v>
      </c>
      <c r="P202" s="4">
        <f>VLOOKUP(A202,[3]Sheet1!$A:$C,3,0)</f>
        <v>100</v>
      </c>
      <c r="Q202" s="4">
        <f>VLOOKUP(A202,[3]Sheet1!$A:$D,4,0)</f>
        <v>1000</v>
      </c>
      <c r="R202" s="4">
        <f>VLOOKUP(A202,[3]Sheet1!$A:$E,5,0)</f>
        <v>1000</v>
      </c>
      <c r="S202" s="4">
        <f>VLOOKUP(A202,[3]Sheet1!$A:$F,6,0)</f>
        <v>1000</v>
      </c>
      <c r="T202" s="4">
        <f>VLOOKUP(A202,[3]Sheet1!$A:$G,7,0)</f>
        <v>1000</v>
      </c>
      <c r="U202" s="4">
        <f>VLOOKUP(A202,[3]Sheet1!$A:$I,8,0)</f>
        <v>1000</v>
      </c>
      <c r="V202" s="4">
        <f>VLOOKUP(A202,[3]Sheet1!$A:$J,9,0)</f>
        <v>400</v>
      </c>
      <c r="W202" s="4">
        <f>VLOOKUP(A202,[3]Sheet1!$A:$J,10,0)</f>
        <v>300</v>
      </c>
      <c r="X202" s="4">
        <f>VLOOKUP(A202,[3]Sheet1!$A:$K,11,0)</f>
        <v>100</v>
      </c>
      <c r="Y202" s="4">
        <f>VLOOKUP(A202,[3]Sheet1!$A:$L,12,0)</f>
        <v>50</v>
      </c>
      <c r="Z202" s="4">
        <f>VLOOKUP(A202,[3]Sheet1!$A:$M,13,0)</f>
        <v>50</v>
      </c>
      <c r="AA202" s="4">
        <f t="shared" si="48"/>
        <v>6000</v>
      </c>
      <c r="AB202" s="7">
        <f t="shared" si="55"/>
        <v>500</v>
      </c>
      <c r="AC202" s="15">
        <f t="shared" si="49"/>
        <v>500</v>
      </c>
      <c r="AD202" s="16">
        <f t="shared" si="50"/>
        <v>389820</v>
      </c>
      <c r="AE202" s="16">
        <f t="shared" si="51"/>
        <v>32485</v>
      </c>
      <c r="AF202" s="16">
        <v>9.2200000000000006</v>
      </c>
      <c r="AG202" s="16">
        <v>64.97</v>
      </c>
      <c r="AH202" s="8">
        <f t="shared" si="52"/>
        <v>1.0512000000000001</v>
      </c>
      <c r="AI202" s="8">
        <f t="shared" si="53"/>
        <v>3.6791999999999998</v>
      </c>
      <c r="AJ202" s="10">
        <v>0.5</v>
      </c>
      <c r="AK202" s="10">
        <v>0.5</v>
      </c>
      <c r="AL202" s="16">
        <v>9.2200000000000006</v>
      </c>
      <c r="AM202" s="9">
        <f t="shared" si="56"/>
        <v>9.7454999999999998</v>
      </c>
      <c r="AN202" s="9">
        <f t="shared" si="57"/>
        <v>1.9490999999999998</v>
      </c>
      <c r="AO202" s="9">
        <f t="shared" si="58"/>
        <v>12.994</v>
      </c>
      <c r="AP202" s="9">
        <f t="shared" si="59"/>
        <v>1.2994000000000001</v>
      </c>
      <c r="AQ202" s="9">
        <f t="shared" si="60"/>
        <v>12.994</v>
      </c>
      <c r="AR202" s="9">
        <f t="shared" si="61"/>
        <v>16.2425</v>
      </c>
      <c r="AS202" s="11">
        <f t="shared" si="62"/>
        <v>10.512</v>
      </c>
      <c r="AT202" s="12">
        <f t="shared" si="63"/>
        <v>8.3463333333333338</v>
      </c>
    </row>
    <row r="203" spans="1:46" ht="16.5" x14ac:dyDescent="0.4">
      <c r="A203" s="4" t="s">
        <v>954</v>
      </c>
      <c r="B203" s="4" t="s">
        <v>513</v>
      </c>
      <c r="C203" s="7" t="s">
        <v>513</v>
      </c>
      <c r="D203" s="4" t="s">
        <v>955</v>
      </c>
      <c r="E203" s="4" t="s">
        <v>956</v>
      </c>
      <c r="F203" s="4" t="s">
        <v>957</v>
      </c>
      <c r="G203" s="7" t="str">
        <f>VLOOKUP(A203,[1]done!$A:$I,9,0)</f>
        <v>Grass Seed</v>
      </c>
      <c r="H203" s="7" t="str" cm="1">
        <f t="array" ref="H203">_xlfn.IFS(
OR(ISNUMBER(SEARCH("mouse",E203)),ISNUMBER(SEARCH("rat",E203)),ISNUMBER(SEARCH("mice",E203)),ISNUMBER(SEARCH("rodent",E203))),"Rodent Control",
OR(ISNUMBER(SEARCH("fly",E203)),ISNUMBER(SEARCH("gnat",E203)),ISNUMBER(SEARCH("insect",E203)),ISNUMBER(SEARCH("mosquito",E203))),"Flying Insect Control",
OR(ISNUMBER(SEARCH("roach",E203)),ISNUMBER(SEARCH("ant",E203)),ISNUMBER(SEARCH("spider",E203)),ISNUMBER(SEARCH("cricket",E203)),ISNUMBER(SEARCH("scorpion",E203)),ISNUMBER(SEARCH("centipede",E203)),ISNUMBER(SEARCH("beetle",E203))),"Crawling Insect Control",
OR(ISNUMBER(SEARCH("tree",E203)),ISNUMBER(SEARCH("lantern",E203)),ISNUMBER(SEARCH("garden",E203)),ISNUMBER(SEARCH("plant",E203))),"Garden Pest Control",
OR(ISNUMBER(SEARCH("grass seed",E203)),ISNUMBER(SEARCH("seed mix",E203))),"Grass Seed",
OR(ISNUMBER(SEARCH("lawn food",E203)),ISNUMBER(SEARCH("fertilizer",E203))),"Lawn Fertilizer",
OR(ISNUMBER(SEARCH("patch",E203)),ISNUMBER(SEARCH("repair",E203)),ISNUMBER(SEARCH("thick'r",E203)),ISNUMBER(SEARCH("thick'r lawn",E203)),ISNUMBER(SEARCH("rapid grass",E203))),"Lawn Repair",
OR(ISNUMBER(SEARCH("weed",E203)),ISNUMBER(SEARCH("crabgrass",E203))),"Weed Control",
OR(ISNUMBER(SEARCH("fungicide",E203)),ISNUMBER(SEARCH("moss",E203))),"Disease &amp; Moss Control",
OR(ISNUMBER(SEARCH("plant food",E203)),ISNUMBER(SEARCH("miracid",E203))),"Plant Nutrition",
OR(ISNUMBER(SEARCH("perlite",E203))),"Soil Amendment",
OR(ISNUMBER(SEARCH("spreader",E203)),ISNUMBER(SEARCH("sprayer",E203)),ISNUMBER(SEARCH("mower",E203)),ISNUMBER(SEARCH("sweeper",E203)),ISNUMBER(SEARCH("pruner",E203)),ISNUMBER(SEARCH("trimmer",E203)),ISNUMBER(SEARCH("pole saw",E203))),"Garden Equipment",
TRUE,"Other"
)</f>
        <v>Crawling Insect Control</v>
      </c>
      <c r="I203" s="7" t="str" cm="1">
        <f t="array" ref="I203">_xlfn.IFS(
OR(ISNUMBER(SEARCH("glue trap",E203)),ISNUMBER(SEARCH("glue board",E203))),"Glue Traps",
OR(ISNUMBER(SEARCH("snap trap",E203)),ISNUMBER(SEARCH("power-kill",E203)),ISNUMBER(SEARCH("wide pedal",E203)),ISNUMBER(SEARCH("metal pedal",E203))),"Snap Traps",
OR(ISNUMBER(SEARCH("electronic",E203)),ISNUMBER(SEARCH("zapper",E203))),"Electronic Traps",
OR(ISNUMBER(SEARCH("live catch",E203)),ISNUMBER(SEARCH("multi-catch",E203)),ISNUMBER(SEARCH("catch &amp; hold",E203)),ISNUMBER(SEARCH("tin cat",E203))),"Live Catch Traps",
OR(ISNUMBER(SEARCH("bait",E203)),ISNUMBER(SEARCH("poison",E203))),"Bait &amp; Poison",
ISNUMBER(SEARCH("repellent",E203)),"Repellents",
OR(ISNUMBER(SEARCH("fly trap",E203)),ISNUMBER(SEARCH("fly ribbon",E203)),ISNUMBER(SEARCH("fly stick",E203)),ISNUMBER(SEARCH("window fly",E203)),ISNUMBER(SEARCH("fly magnet",E203))),"Fly Traps",
OR(ISNUMBER(SEARCH("uv",E203)),ISNUMBER(SEARCH("fly light",E203)),ISNUMBER(SEARCH("plug-in",E203))),"UV Fly Traps",
ISNUMBER(SEARCH("roach",E203)),"Roach Traps",
ISNUMBER(SEARCH("ant",E203)),"Ant Traps",
ISNUMBER(SEARCH("spider",E203)),"Spider Traps",
ISNUMBER(SEARCH("mosquito",E203)),"Mosquito Traps",
ISNUMBER(SEARCH("beetle",E203)),"Beetle Traps",
ISNUMBER(SEARCH("lantern",E203)),"Lanternfly Control",
OR(ISNUMBER(SEARCH("tree shield",E203)),ISNUMBER(SEARCH("tree banding",E203)),ISNUMBER(SEARCH("insect barrier",E203))),"Tree Barriers",
OR(ISNUMBER(SEARCH("sun &amp; shade",E203)),ISNUMBER(SEARCH("sun and shade",E203))),"Sun &amp; Shade Mix",
ISNUMBER(SEARCH("tall fescue",E203)),"Tall Fescue",
ISNUMBER(SEARCH("bermudagrass",E203)),"Bermudagrass",
ISNUMBER(SEARCH("kentucky",E203)),"Kentucky Bluegrass",
ISNUMBER(SEARCH("zoysia",E203)),"Zoysia",
ISNUMBER(SEARCH("ryegrass",E203)),"Perennial Ryegrass",
ISNUMBER(SEARCH("centipede",E203)),"Centipede Grass",
ISNUMBER(SEARCH("dense shade",E203)),"Dense Shade Mix",
ISNUMBER(SEARCH("southern gold",E203)),"Southern Gold Mix",
ISNUMBER(SEARCH("heat-tolerant blue",E203)),"Heat-Tolerant Blue Mix",
ISNUMBER(SEARCH("high traffic",E203)),"High Traffic Mix",
ISNUMBER(SEARCH("quick fix",E203)),"Quick Fix Mix",
ISNUMBER(SEARCH("starter",E203)),"Starter Fertilizer",
ISNUMBER(SEARCH("weed &amp; feed",E203)),"Weed &amp; Feed",
ISNUMBER(SEARCH("lawn food",E203)),"Lawn Food",
ISNUMBER(SEARCH("triple action",E203)),"Triple Action Fertilizer",
ISNUMBER(SEARCH("green max",E203)),"Green Max Lawn Food",
ISNUMBER(SEARCH("patchmaster",E203)),"PatchMaster Repair",
ISNUMBER(SEARCH("ez seed",E203)),"EZ Seed Repair",
ISNUMBER(SEARCH("rapid grass",E203)),"Rapid Grass",
ISNUMBER(SEARCH("thick'r lawn",E203)),"Thick'R Lawn",
ISNUMBER(SEARCH("fungicide",E203)),"Fungicide",
ISNUMBER(SEARCH("moss",E203)),"Moss Control",
ISNUMBER(SEARCH("perlite",E203)),"Perlite",
ISNUMBER(SEARCH("plant food",E203)),"Plant Food",
ISNUMBER(SEARCH("spreader",E203)),"Spreader",
ISNUMBER(SEARCH("sprayer",E203)),"Sprayer",
ISNUMBER(SEARCH("mower",E203)),"Lawn Mower",
ISNUMBER(SEARCH("sweeper",E203)),"Lawn Sweeper",
OR(ISNUMBER(SEARCH("pruner",E203)),ISNUMBER(SEARCH("trimmer",E203)),ISNUMBER(SEARCH("pole saw",E203))),"Pruning Tools",
TRUE,"Other"
)</f>
        <v>Ant Traps</v>
      </c>
      <c r="J203" s="7" t="str">
        <f t="shared" si="54"/>
        <v>Crawling Insect Control - Ant Traps</v>
      </c>
      <c r="K203" s="4">
        <v>200</v>
      </c>
      <c r="L203" s="4">
        <v>4.2</v>
      </c>
      <c r="M203" s="4">
        <v>463</v>
      </c>
      <c r="N203" s="4" t="s">
        <v>584</v>
      </c>
      <c r="O203" s="4">
        <f>VLOOKUP(A203,[3]Sheet1!$A:$B,2,0)</f>
        <v>0</v>
      </c>
      <c r="P203" s="4">
        <f>VLOOKUP(A203,[3]Sheet1!$A:$C,3,0)</f>
        <v>0</v>
      </c>
      <c r="Q203" s="4">
        <f>VLOOKUP(A203,[3]Sheet1!$A:$D,4,0)</f>
        <v>200</v>
      </c>
      <c r="R203" s="4">
        <f>VLOOKUP(A203,[3]Sheet1!$A:$E,5,0)</f>
        <v>800</v>
      </c>
      <c r="S203" s="4">
        <f>VLOOKUP(A203,[3]Sheet1!$A:$F,6,0)</f>
        <v>500</v>
      </c>
      <c r="T203" s="4">
        <f>VLOOKUP(A203,[3]Sheet1!$A:$G,7,0)</f>
        <v>300</v>
      </c>
      <c r="U203" s="4">
        <f>VLOOKUP(A203,[3]Sheet1!$A:$I,8,0)</f>
        <v>600</v>
      </c>
      <c r="V203" s="4">
        <f>VLOOKUP(A203,[3]Sheet1!$A:$J,9,0)</f>
        <v>700</v>
      </c>
      <c r="W203" s="4">
        <f>VLOOKUP(A203,[3]Sheet1!$A:$J,10,0)</f>
        <v>100</v>
      </c>
      <c r="X203" s="4">
        <f>VLOOKUP(A203,[3]Sheet1!$A:$K,11,0)</f>
        <v>100</v>
      </c>
      <c r="Y203" s="4">
        <f>VLOOKUP(A203,[3]Sheet1!$A:$L,12,0)</f>
        <v>60</v>
      </c>
      <c r="Z203" s="4">
        <f>VLOOKUP(A203,[3]Sheet1!$A:$M,13,0)</f>
        <v>0</v>
      </c>
      <c r="AA203" s="4">
        <f t="shared" si="48"/>
        <v>3360</v>
      </c>
      <c r="AB203" s="7">
        <f t="shared" si="55"/>
        <v>280</v>
      </c>
      <c r="AC203" s="15">
        <f t="shared" si="49"/>
        <v>280</v>
      </c>
      <c r="AD203" s="16">
        <f t="shared" si="50"/>
        <v>235065.59999999998</v>
      </c>
      <c r="AE203" s="16">
        <f t="shared" si="51"/>
        <v>19588.8</v>
      </c>
      <c r="AF203" s="16">
        <v>13.43</v>
      </c>
      <c r="AG203" s="16">
        <v>69.959999999999994</v>
      </c>
      <c r="AH203" s="8">
        <f t="shared" si="52"/>
        <v>0.90359999999999963</v>
      </c>
      <c r="AI203" s="8">
        <f t="shared" si="53"/>
        <v>3.1625999999999985</v>
      </c>
      <c r="AJ203" s="10">
        <v>0.5</v>
      </c>
      <c r="AK203" s="10">
        <v>0.5</v>
      </c>
      <c r="AL203" s="16">
        <v>13.43</v>
      </c>
      <c r="AM203" s="9">
        <f t="shared" si="56"/>
        <v>10.493999999999998</v>
      </c>
      <c r="AN203" s="9">
        <f t="shared" si="57"/>
        <v>2.0987999999999998</v>
      </c>
      <c r="AO203" s="9">
        <f t="shared" si="58"/>
        <v>13.991999999999999</v>
      </c>
      <c r="AP203" s="9">
        <f t="shared" si="59"/>
        <v>1.3992</v>
      </c>
      <c r="AQ203" s="9">
        <f t="shared" si="60"/>
        <v>13.991999999999999</v>
      </c>
      <c r="AR203" s="9">
        <f t="shared" si="61"/>
        <v>17.489999999999998</v>
      </c>
      <c r="AS203" s="11">
        <f t="shared" si="62"/>
        <v>9.035999999999996</v>
      </c>
      <c r="AT203" s="12">
        <f t="shared" si="63"/>
        <v>6.7039999999999962</v>
      </c>
    </row>
    <row r="204" spans="1:46" ht="16.5" x14ac:dyDescent="0.4">
      <c r="A204" s="4" t="s">
        <v>958</v>
      </c>
      <c r="B204" s="4" t="s">
        <v>513</v>
      </c>
      <c r="C204" s="7" t="s">
        <v>1791</v>
      </c>
      <c r="D204" s="4" t="s">
        <v>959</v>
      </c>
      <c r="E204" s="4" t="s">
        <v>960</v>
      </c>
      <c r="F204" s="4" t="s">
        <v>961</v>
      </c>
      <c r="G204" s="7" t="str">
        <f>VLOOKUP(A204,[1]done!$A:$I,9,0)</f>
        <v>Other Lawn products</v>
      </c>
      <c r="H204" s="7" t="str" cm="1">
        <f t="array" ref="H204">_xlfn.IFS(
OR(ISNUMBER(SEARCH("mouse",E204)),ISNUMBER(SEARCH("rat",E204)),ISNUMBER(SEARCH("mice",E204)),ISNUMBER(SEARCH("rodent",E204))),"Rodent Control",
OR(ISNUMBER(SEARCH("fly",E204)),ISNUMBER(SEARCH("gnat",E204)),ISNUMBER(SEARCH("insect",E204)),ISNUMBER(SEARCH("mosquito",E204))),"Flying Insect Control",
OR(ISNUMBER(SEARCH("roach",E204)),ISNUMBER(SEARCH("ant",E204)),ISNUMBER(SEARCH("spider",E204)),ISNUMBER(SEARCH("cricket",E204)),ISNUMBER(SEARCH("scorpion",E204)),ISNUMBER(SEARCH("centipede",E204)),ISNUMBER(SEARCH("beetle",E204))),"Crawling Insect Control",
OR(ISNUMBER(SEARCH("tree",E204)),ISNUMBER(SEARCH("lantern",E204)),ISNUMBER(SEARCH("garden",E204)),ISNUMBER(SEARCH("plant",E204))),"Garden Pest Control",
OR(ISNUMBER(SEARCH("grass seed",E204)),ISNUMBER(SEARCH("seed mix",E204))),"Grass Seed",
OR(ISNUMBER(SEARCH("lawn food",E204)),ISNUMBER(SEARCH("fertilizer",E204))),"Lawn Fertilizer",
OR(ISNUMBER(SEARCH("patch",E204)),ISNUMBER(SEARCH("repair",E204)),ISNUMBER(SEARCH("thick'r",E204)),ISNUMBER(SEARCH("thick'r lawn",E204)),ISNUMBER(SEARCH("rapid grass",E204))),"Lawn Repair",
OR(ISNUMBER(SEARCH("weed",E204)),ISNUMBER(SEARCH("crabgrass",E204))),"Weed Control",
OR(ISNUMBER(SEARCH("fungicide",E204)),ISNUMBER(SEARCH("moss",E204))),"Disease &amp; Moss Control",
OR(ISNUMBER(SEARCH("plant food",E204)),ISNUMBER(SEARCH("miracid",E204))),"Plant Nutrition",
OR(ISNUMBER(SEARCH("perlite",E204))),"Soil Amendment",
OR(ISNUMBER(SEARCH("spreader",E204)),ISNUMBER(SEARCH("sprayer",E204)),ISNUMBER(SEARCH("mower",E204)),ISNUMBER(SEARCH("sweeper",E204)),ISNUMBER(SEARCH("pruner",E204)),ISNUMBER(SEARCH("trimmer",E204)),ISNUMBER(SEARCH("pole saw",E204))),"Garden Equipment",
TRUE,"Other"
)</f>
        <v>Garden Equipment</v>
      </c>
      <c r="I204" s="7" t="str" cm="1">
        <f t="array" ref="I204">_xlfn.IFS(
OR(ISNUMBER(SEARCH("glue trap",E204)),ISNUMBER(SEARCH("glue board",E204))),"Glue Traps",
OR(ISNUMBER(SEARCH("snap trap",E204)),ISNUMBER(SEARCH("power-kill",E204)),ISNUMBER(SEARCH("wide pedal",E204)),ISNUMBER(SEARCH("metal pedal",E204))),"Snap Traps",
OR(ISNUMBER(SEARCH("electronic",E204)),ISNUMBER(SEARCH("zapper",E204))),"Electronic Traps",
OR(ISNUMBER(SEARCH("live catch",E204)),ISNUMBER(SEARCH("multi-catch",E204)),ISNUMBER(SEARCH("catch &amp; hold",E204)),ISNUMBER(SEARCH("tin cat",E204))),"Live Catch Traps",
OR(ISNUMBER(SEARCH("bait",E204)),ISNUMBER(SEARCH("poison",E204))),"Bait &amp; Poison",
ISNUMBER(SEARCH("repellent",E204)),"Repellents",
OR(ISNUMBER(SEARCH("fly trap",E204)),ISNUMBER(SEARCH("fly ribbon",E204)),ISNUMBER(SEARCH("fly stick",E204)),ISNUMBER(SEARCH("window fly",E204)),ISNUMBER(SEARCH("fly magnet",E204))),"Fly Traps",
OR(ISNUMBER(SEARCH("uv",E204)),ISNUMBER(SEARCH("fly light",E204)),ISNUMBER(SEARCH("plug-in",E204))),"UV Fly Traps",
ISNUMBER(SEARCH("roach",E204)),"Roach Traps",
ISNUMBER(SEARCH("ant",E204)),"Ant Traps",
ISNUMBER(SEARCH("spider",E204)),"Spider Traps",
ISNUMBER(SEARCH("mosquito",E204)),"Mosquito Traps",
ISNUMBER(SEARCH("beetle",E204)),"Beetle Traps",
ISNUMBER(SEARCH("lantern",E204)),"Lanternfly Control",
OR(ISNUMBER(SEARCH("tree shield",E204)),ISNUMBER(SEARCH("tree banding",E204)),ISNUMBER(SEARCH("insect barrier",E204))),"Tree Barriers",
OR(ISNUMBER(SEARCH("sun &amp; shade",E204)),ISNUMBER(SEARCH("sun and shade",E204))),"Sun &amp; Shade Mix",
ISNUMBER(SEARCH("tall fescue",E204)),"Tall Fescue",
ISNUMBER(SEARCH("bermudagrass",E204)),"Bermudagrass",
ISNUMBER(SEARCH("kentucky",E204)),"Kentucky Bluegrass",
ISNUMBER(SEARCH("zoysia",E204)),"Zoysia",
ISNUMBER(SEARCH("ryegrass",E204)),"Perennial Ryegrass",
ISNUMBER(SEARCH("centipede",E204)),"Centipede Grass",
ISNUMBER(SEARCH("dense shade",E204)),"Dense Shade Mix",
ISNUMBER(SEARCH("southern gold",E204)),"Southern Gold Mix",
ISNUMBER(SEARCH("heat-tolerant blue",E204)),"Heat-Tolerant Blue Mix",
ISNUMBER(SEARCH("high traffic",E204)),"High Traffic Mix",
ISNUMBER(SEARCH("quick fix",E204)),"Quick Fix Mix",
ISNUMBER(SEARCH("starter",E204)),"Starter Fertilizer",
ISNUMBER(SEARCH("weed &amp; feed",E204)),"Weed &amp; Feed",
ISNUMBER(SEARCH("lawn food",E204)),"Lawn Food",
ISNUMBER(SEARCH("triple action",E204)),"Triple Action Fertilizer",
ISNUMBER(SEARCH("green max",E204)),"Green Max Lawn Food",
ISNUMBER(SEARCH("patchmaster",E204)),"PatchMaster Repair",
ISNUMBER(SEARCH("ez seed",E204)),"EZ Seed Repair",
ISNUMBER(SEARCH("rapid grass",E204)),"Rapid Grass",
ISNUMBER(SEARCH("thick'r lawn",E204)),"Thick'R Lawn",
ISNUMBER(SEARCH("fungicide",E204)),"Fungicide",
ISNUMBER(SEARCH("moss",E204)),"Moss Control",
ISNUMBER(SEARCH("perlite",E204)),"Perlite",
ISNUMBER(SEARCH("plant food",E204)),"Plant Food",
ISNUMBER(SEARCH("spreader",E204)),"Spreader",
ISNUMBER(SEARCH("sprayer",E204)),"Sprayer",
ISNUMBER(SEARCH("mower",E204)),"Lawn Mower",
ISNUMBER(SEARCH("sweeper",E204)),"Lawn Sweeper",
OR(ISNUMBER(SEARCH("pruner",E204)),ISNUMBER(SEARCH("trimmer",E204)),ISNUMBER(SEARCH("pole saw",E204))),"Pruning Tools",
TRUE,"Other"
)</f>
        <v>Lawn Mower</v>
      </c>
      <c r="J204" s="7" t="str">
        <f t="shared" si="54"/>
        <v>Garden Equipment - Lawn Mower</v>
      </c>
      <c r="K204" s="4">
        <v>200</v>
      </c>
      <c r="L204" s="4">
        <v>4.0999999999999996</v>
      </c>
      <c r="M204" s="4">
        <v>2906</v>
      </c>
      <c r="N204" s="4" t="s">
        <v>962</v>
      </c>
      <c r="O204" s="4">
        <f>VLOOKUP(A204,[3]Sheet1!$A:$B,2,0)</f>
        <v>0</v>
      </c>
      <c r="P204" s="4">
        <f>VLOOKUP(A204,[3]Sheet1!$A:$C,3,0)</f>
        <v>0</v>
      </c>
      <c r="Q204" s="4">
        <f>VLOOKUP(A204,[3]Sheet1!$A:$D,4,0)</f>
        <v>60</v>
      </c>
      <c r="R204" s="4">
        <f>VLOOKUP(A204,[3]Sheet1!$A:$E,5,0)</f>
        <v>400</v>
      </c>
      <c r="S204" s="4">
        <f>VLOOKUP(A204,[3]Sheet1!$A:$F,6,0)</f>
        <v>700</v>
      </c>
      <c r="T204" s="4">
        <f>VLOOKUP(A204,[3]Sheet1!$A:$G,7,0)</f>
        <v>400</v>
      </c>
      <c r="U204" s="4">
        <f>VLOOKUP(A204,[3]Sheet1!$A:$I,8,0)</f>
        <v>200</v>
      </c>
      <c r="V204" s="4">
        <f>VLOOKUP(A204,[3]Sheet1!$A:$J,9,0)</f>
        <v>100</v>
      </c>
      <c r="W204" s="4">
        <f>VLOOKUP(A204,[3]Sheet1!$A:$J,10,0)</f>
        <v>200</v>
      </c>
      <c r="X204" s="4">
        <f>VLOOKUP(A204,[3]Sheet1!$A:$K,11,0)</f>
        <v>100</v>
      </c>
      <c r="Y204" s="4">
        <f>VLOOKUP(A204,[3]Sheet1!$A:$L,12,0)</f>
        <v>60</v>
      </c>
      <c r="Z204" s="4">
        <f>VLOOKUP(A204,[3]Sheet1!$A:$M,13,0)</f>
        <v>0</v>
      </c>
      <c r="AA204" s="4">
        <f t="shared" si="48"/>
        <v>2220</v>
      </c>
      <c r="AB204" s="7">
        <f t="shared" si="55"/>
        <v>185</v>
      </c>
      <c r="AC204" s="15">
        <f t="shared" si="49"/>
        <v>185</v>
      </c>
      <c r="AD204" s="16">
        <f t="shared" si="50"/>
        <v>332977.80000000005</v>
      </c>
      <c r="AE204" s="16">
        <f t="shared" si="51"/>
        <v>27748.15</v>
      </c>
      <c r="AF204" s="16">
        <v>22.37</v>
      </c>
      <c r="AG204" s="16">
        <v>149.99</v>
      </c>
      <c r="AH204" s="8">
        <f t="shared" si="52"/>
        <v>2.4417333333333331</v>
      </c>
      <c r="AI204" s="8">
        <f t="shared" si="53"/>
        <v>8.5460666666666647</v>
      </c>
      <c r="AJ204" s="10">
        <v>0.5</v>
      </c>
      <c r="AK204" s="10">
        <v>0.5</v>
      </c>
      <c r="AL204" s="16">
        <v>22.37</v>
      </c>
      <c r="AM204" s="9">
        <f t="shared" si="56"/>
        <v>22.4985</v>
      </c>
      <c r="AN204" s="9">
        <f t="shared" si="57"/>
        <v>4.4996999999999998</v>
      </c>
      <c r="AO204" s="9">
        <f t="shared" si="58"/>
        <v>29.998000000000005</v>
      </c>
      <c r="AP204" s="9">
        <f t="shared" si="59"/>
        <v>2.9998000000000005</v>
      </c>
      <c r="AQ204" s="9">
        <f t="shared" si="60"/>
        <v>29.998000000000005</v>
      </c>
      <c r="AR204" s="9">
        <f t="shared" si="61"/>
        <v>37.497500000000002</v>
      </c>
      <c r="AS204" s="11">
        <f t="shared" si="62"/>
        <v>24.417333333333328</v>
      </c>
      <c r="AT204" s="12">
        <f t="shared" si="63"/>
        <v>19.417666666666662</v>
      </c>
    </row>
    <row r="205" spans="1:46" ht="16.5" x14ac:dyDescent="0.4">
      <c r="A205" s="4" t="s">
        <v>963</v>
      </c>
      <c r="B205" s="4" t="s">
        <v>513</v>
      </c>
      <c r="C205" s="7" t="s">
        <v>1791</v>
      </c>
      <c r="D205" s="4" t="s">
        <v>964</v>
      </c>
      <c r="E205" s="4" t="s">
        <v>965</v>
      </c>
      <c r="F205" s="4" t="s">
        <v>966</v>
      </c>
      <c r="G205" s="7" t="str">
        <f>VLOOKUP(A205,[1]done!$A:$I,9,0)</f>
        <v>Other Lawn products</v>
      </c>
      <c r="H205" s="7" t="str" cm="1">
        <f t="array" ref="H205">_xlfn.IFS(
OR(ISNUMBER(SEARCH("mouse",E205)),ISNUMBER(SEARCH("rat",E205)),ISNUMBER(SEARCH("mice",E205)),ISNUMBER(SEARCH("rodent",E205))),"Rodent Control",
OR(ISNUMBER(SEARCH("fly",E205)),ISNUMBER(SEARCH("gnat",E205)),ISNUMBER(SEARCH("insect",E205)),ISNUMBER(SEARCH("mosquito",E205))),"Flying Insect Control",
OR(ISNUMBER(SEARCH("roach",E205)),ISNUMBER(SEARCH("ant",E205)),ISNUMBER(SEARCH("spider",E205)),ISNUMBER(SEARCH("cricket",E205)),ISNUMBER(SEARCH("scorpion",E205)),ISNUMBER(SEARCH("centipede",E205)),ISNUMBER(SEARCH("beetle",E205))),"Crawling Insect Control",
OR(ISNUMBER(SEARCH("tree",E205)),ISNUMBER(SEARCH("lantern",E205)),ISNUMBER(SEARCH("garden",E205)),ISNUMBER(SEARCH("plant",E205))),"Garden Pest Control",
OR(ISNUMBER(SEARCH("grass seed",E205)),ISNUMBER(SEARCH("seed mix",E205))),"Grass Seed",
OR(ISNUMBER(SEARCH("lawn food",E205)),ISNUMBER(SEARCH("fertilizer",E205))),"Lawn Fertilizer",
OR(ISNUMBER(SEARCH("patch",E205)),ISNUMBER(SEARCH("repair",E205)),ISNUMBER(SEARCH("thick'r",E205)),ISNUMBER(SEARCH("thick'r lawn",E205)),ISNUMBER(SEARCH("rapid grass",E205))),"Lawn Repair",
OR(ISNUMBER(SEARCH("weed",E205)),ISNUMBER(SEARCH("crabgrass",E205))),"Weed Control",
OR(ISNUMBER(SEARCH("fungicide",E205)),ISNUMBER(SEARCH("moss",E205))),"Disease &amp; Moss Control",
OR(ISNUMBER(SEARCH("plant food",E205)),ISNUMBER(SEARCH("miracid",E205))),"Plant Nutrition",
OR(ISNUMBER(SEARCH("perlite",E205))),"Soil Amendment",
OR(ISNUMBER(SEARCH("spreader",E205)),ISNUMBER(SEARCH("sprayer",E205)),ISNUMBER(SEARCH("mower",E205)),ISNUMBER(SEARCH("sweeper",E205)),ISNUMBER(SEARCH("pruner",E205)),ISNUMBER(SEARCH("trimmer",E205)),ISNUMBER(SEARCH("pole saw",E205))),"Garden Equipment",
TRUE,"Other"
)</f>
        <v>Garden Equipment</v>
      </c>
      <c r="I205" s="7" t="str" cm="1">
        <f t="array" ref="I205">_xlfn.IFS(
OR(ISNUMBER(SEARCH("glue trap",E205)),ISNUMBER(SEARCH("glue board",E205))),"Glue Traps",
OR(ISNUMBER(SEARCH("snap trap",E205)),ISNUMBER(SEARCH("power-kill",E205)),ISNUMBER(SEARCH("wide pedal",E205)),ISNUMBER(SEARCH("metal pedal",E205))),"Snap Traps",
OR(ISNUMBER(SEARCH("electronic",E205)),ISNUMBER(SEARCH("zapper",E205))),"Electronic Traps",
OR(ISNUMBER(SEARCH("live catch",E205)),ISNUMBER(SEARCH("multi-catch",E205)),ISNUMBER(SEARCH("catch &amp; hold",E205)),ISNUMBER(SEARCH("tin cat",E205))),"Live Catch Traps",
OR(ISNUMBER(SEARCH("bait",E205)),ISNUMBER(SEARCH("poison",E205))),"Bait &amp; Poison",
ISNUMBER(SEARCH("repellent",E205)),"Repellents",
OR(ISNUMBER(SEARCH("fly trap",E205)),ISNUMBER(SEARCH("fly ribbon",E205)),ISNUMBER(SEARCH("fly stick",E205)),ISNUMBER(SEARCH("window fly",E205)),ISNUMBER(SEARCH("fly magnet",E205))),"Fly Traps",
OR(ISNUMBER(SEARCH("uv",E205)),ISNUMBER(SEARCH("fly light",E205)),ISNUMBER(SEARCH("plug-in",E205))),"UV Fly Traps",
ISNUMBER(SEARCH("roach",E205)),"Roach Traps",
ISNUMBER(SEARCH("ant",E205)),"Ant Traps",
ISNUMBER(SEARCH("spider",E205)),"Spider Traps",
ISNUMBER(SEARCH("mosquito",E205)),"Mosquito Traps",
ISNUMBER(SEARCH("beetle",E205)),"Beetle Traps",
ISNUMBER(SEARCH("lantern",E205)),"Lanternfly Control",
OR(ISNUMBER(SEARCH("tree shield",E205)),ISNUMBER(SEARCH("tree banding",E205)),ISNUMBER(SEARCH("insect barrier",E205))),"Tree Barriers",
OR(ISNUMBER(SEARCH("sun &amp; shade",E205)),ISNUMBER(SEARCH("sun and shade",E205))),"Sun &amp; Shade Mix",
ISNUMBER(SEARCH("tall fescue",E205)),"Tall Fescue",
ISNUMBER(SEARCH("bermudagrass",E205)),"Bermudagrass",
ISNUMBER(SEARCH("kentucky",E205)),"Kentucky Bluegrass",
ISNUMBER(SEARCH("zoysia",E205)),"Zoysia",
ISNUMBER(SEARCH("ryegrass",E205)),"Perennial Ryegrass",
ISNUMBER(SEARCH("centipede",E205)),"Centipede Grass",
ISNUMBER(SEARCH("dense shade",E205)),"Dense Shade Mix",
ISNUMBER(SEARCH("southern gold",E205)),"Southern Gold Mix",
ISNUMBER(SEARCH("heat-tolerant blue",E205)),"Heat-Tolerant Blue Mix",
ISNUMBER(SEARCH("high traffic",E205)),"High Traffic Mix",
ISNUMBER(SEARCH("quick fix",E205)),"Quick Fix Mix",
ISNUMBER(SEARCH("starter",E205)),"Starter Fertilizer",
ISNUMBER(SEARCH("weed &amp; feed",E205)),"Weed &amp; Feed",
ISNUMBER(SEARCH("lawn food",E205)),"Lawn Food",
ISNUMBER(SEARCH("triple action",E205)),"Triple Action Fertilizer",
ISNUMBER(SEARCH("green max",E205)),"Green Max Lawn Food",
ISNUMBER(SEARCH("patchmaster",E205)),"PatchMaster Repair",
ISNUMBER(SEARCH("ez seed",E205)),"EZ Seed Repair",
ISNUMBER(SEARCH("rapid grass",E205)),"Rapid Grass",
ISNUMBER(SEARCH("thick'r lawn",E205)),"Thick'R Lawn",
ISNUMBER(SEARCH("fungicide",E205)),"Fungicide",
ISNUMBER(SEARCH("moss",E205)),"Moss Control",
ISNUMBER(SEARCH("perlite",E205)),"Perlite",
ISNUMBER(SEARCH("plant food",E205)),"Plant Food",
ISNUMBER(SEARCH("spreader",E205)),"Spreader",
ISNUMBER(SEARCH("sprayer",E205)),"Sprayer",
ISNUMBER(SEARCH("mower",E205)),"Lawn Mower",
ISNUMBER(SEARCH("sweeper",E205)),"Lawn Sweeper",
OR(ISNUMBER(SEARCH("pruner",E205)),ISNUMBER(SEARCH("trimmer",E205)),ISNUMBER(SEARCH("pole saw",E205))),"Pruning Tools",
TRUE,"Other"
)</f>
        <v>Lawn Mower</v>
      </c>
      <c r="J205" s="7" t="str">
        <f t="shared" si="54"/>
        <v>Garden Equipment - Lawn Mower</v>
      </c>
      <c r="K205" s="4">
        <v>200</v>
      </c>
      <c r="L205" s="4">
        <v>4.0999999999999996</v>
      </c>
      <c r="M205" s="4">
        <v>428</v>
      </c>
      <c r="N205" s="4" t="s">
        <v>967</v>
      </c>
      <c r="O205" s="4">
        <f>VLOOKUP(A205,[3]Sheet1!$A:$B,2,0)</f>
        <v>0</v>
      </c>
      <c r="P205" s="4">
        <f>VLOOKUP(A205,[3]Sheet1!$A:$C,3,0)</f>
        <v>0</v>
      </c>
      <c r="Q205" s="4">
        <f>VLOOKUP(A205,[3]Sheet1!$A:$D,4,0)</f>
        <v>100</v>
      </c>
      <c r="R205" s="4">
        <f>VLOOKUP(A205,[3]Sheet1!$A:$E,5,0)</f>
        <v>200</v>
      </c>
      <c r="S205" s="4">
        <f>VLOOKUP(A205,[3]Sheet1!$A:$F,6,0)</f>
        <v>200</v>
      </c>
      <c r="T205" s="4">
        <f>VLOOKUP(A205,[3]Sheet1!$A:$G,7,0)</f>
        <v>300</v>
      </c>
      <c r="U205" s="4">
        <f>VLOOKUP(A205,[3]Sheet1!$A:$I,8,0)</f>
        <v>200</v>
      </c>
      <c r="V205" s="4">
        <f>VLOOKUP(A205,[3]Sheet1!$A:$J,9,0)</f>
        <v>300</v>
      </c>
      <c r="W205" s="4">
        <f>VLOOKUP(A205,[3]Sheet1!$A:$J,10,0)</f>
        <v>200</v>
      </c>
      <c r="X205" s="4">
        <f>VLOOKUP(A205,[3]Sheet1!$A:$K,11,0)</f>
        <v>100</v>
      </c>
      <c r="Y205" s="4">
        <f>VLOOKUP(A205,[3]Sheet1!$A:$L,12,0)</f>
        <v>60</v>
      </c>
      <c r="Z205" s="4">
        <f>VLOOKUP(A205,[3]Sheet1!$A:$M,13,0)</f>
        <v>0</v>
      </c>
      <c r="AA205" s="4">
        <f t="shared" si="48"/>
        <v>1660</v>
      </c>
      <c r="AB205" s="7">
        <f t="shared" si="55"/>
        <v>138</v>
      </c>
      <c r="AC205" s="15">
        <f t="shared" si="49"/>
        <v>138.33333333333334</v>
      </c>
      <c r="AD205" s="16">
        <f t="shared" si="50"/>
        <v>232383.40000000002</v>
      </c>
      <c r="AE205" s="16">
        <f t="shared" si="51"/>
        <v>19365.283333333336</v>
      </c>
      <c r="AF205" s="16">
        <v>21.19</v>
      </c>
      <c r="AG205" s="16">
        <v>139.99</v>
      </c>
      <c r="AH205" s="8">
        <f t="shared" si="52"/>
        <v>2.2537333333333334</v>
      </c>
      <c r="AI205" s="8">
        <f t="shared" si="53"/>
        <v>7.8880666666666661</v>
      </c>
      <c r="AJ205" s="10">
        <v>0.5</v>
      </c>
      <c r="AK205" s="10">
        <v>0.5</v>
      </c>
      <c r="AL205" s="16">
        <v>21.19</v>
      </c>
      <c r="AM205" s="9">
        <f t="shared" si="56"/>
        <v>20.9985</v>
      </c>
      <c r="AN205" s="9">
        <f t="shared" si="57"/>
        <v>4.1997</v>
      </c>
      <c r="AO205" s="9">
        <f t="shared" si="58"/>
        <v>27.998000000000005</v>
      </c>
      <c r="AP205" s="9">
        <f t="shared" si="59"/>
        <v>2.7998000000000003</v>
      </c>
      <c r="AQ205" s="9">
        <f t="shared" si="60"/>
        <v>27.998000000000005</v>
      </c>
      <c r="AR205" s="9">
        <f t="shared" si="61"/>
        <v>34.997500000000002</v>
      </c>
      <c r="AS205" s="11">
        <f t="shared" si="62"/>
        <v>22.537333333333333</v>
      </c>
      <c r="AT205" s="12">
        <f t="shared" si="63"/>
        <v>17.870999999999999</v>
      </c>
    </row>
    <row r="206" spans="1:46" ht="16.5" x14ac:dyDescent="0.4">
      <c r="A206" s="4" t="s">
        <v>968</v>
      </c>
      <c r="B206" s="4" t="s">
        <v>513</v>
      </c>
      <c r="C206" s="7" t="s">
        <v>1784</v>
      </c>
      <c r="D206" s="4" t="s">
        <v>969</v>
      </c>
      <c r="E206" s="4" t="s">
        <v>970</v>
      </c>
      <c r="F206" s="4" t="s">
        <v>971</v>
      </c>
      <c r="G206" s="7" t="str">
        <f>VLOOKUP(A206,[1]done!$A:$I,9,0)</f>
        <v>Lawn Fertilizer</v>
      </c>
      <c r="H206" s="7" t="str" cm="1">
        <f t="array" ref="H206">_xlfn.IFS(
OR(ISNUMBER(SEARCH("mouse",E206)),ISNUMBER(SEARCH("rat",E206)),ISNUMBER(SEARCH("mice",E206)),ISNUMBER(SEARCH("rodent",E206))),"Rodent Control",
OR(ISNUMBER(SEARCH("fly",E206)),ISNUMBER(SEARCH("gnat",E206)),ISNUMBER(SEARCH("insect",E206)),ISNUMBER(SEARCH("mosquito",E206))),"Flying Insect Control",
OR(ISNUMBER(SEARCH("roach",E206)),ISNUMBER(SEARCH("ant",E206)),ISNUMBER(SEARCH("spider",E206)),ISNUMBER(SEARCH("cricket",E206)),ISNUMBER(SEARCH("scorpion",E206)),ISNUMBER(SEARCH("centipede",E206)),ISNUMBER(SEARCH("beetle",E206))),"Crawling Insect Control",
OR(ISNUMBER(SEARCH("tree",E206)),ISNUMBER(SEARCH("lantern",E206)),ISNUMBER(SEARCH("garden",E206)),ISNUMBER(SEARCH("plant",E206))),"Garden Pest Control",
OR(ISNUMBER(SEARCH("grass seed",E206)),ISNUMBER(SEARCH("seed mix",E206))),"Grass Seed",
OR(ISNUMBER(SEARCH("lawn food",E206)),ISNUMBER(SEARCH("fertilizer",E206))),"Lawn Fertilizer",
OR(ISNUMBER(SEARCH("patch",E206)),ISNUMBER(SEARCH("repair",E206)),ISNUMBER(SEARCH("thick'r",E206)),ISNUMBER(SEARCH("thick'r lawn",E206)),ISNUMBER(SEARCH("rapid grass",E206))),"Lawn Repair",
OR(ISNUMBER(SEARCH("weed",E206)),ISNUMBER(SEARCH("crabgrass",E206))),"Weed Control",
OR(ISNUMBER(SEARCH("fungicide",E206)),ISNUMBER(SEARCH("moss",E206))),"Disease &amp; Moss Control",
OR(ISNUMBER(SEARCH("plant food",E206)),ISNUMBER(SEARCH("miracid",E206))),"Plant Nutrition",
OR(ISNUMBER(SEARCH("perlite",E206))),"Soil Amendment",
OR(ISNUMBER(SEARCH("spreader",E206)),ISNUMBER(SEARCH("sprayer",E206)),ISNUMBER(SEARCH("mower",E206)),ISNUMBER(SEARCH("sweeper",E206)),ISNUMBER(SEARCH("pruner",E206)),ISNUMBER(SEARCH("trimmer",E206)),ISNUMBER(SEARCH("pole saw",E206))),"Garden Equipment",
TRUE,"Other"
)</f>
        <v>Lawn Repair</v>
      </c>
      <c r="I206" s="7" t="str" cm="1">
        <f t="array" ref="I206">_xlfn.IFS(
OR(ISNUMBER(SEARCH("glue trap",E206)),ISNUMBER(SEARCH("glue board",E206))),"Glue Traps",
OR(ISNUMBER(SEARCH("snap trap",E206)),ISNUMBER(SEARCH("power-kill",E206)),ISNUMBER(SEARCH("wide pedal",E206)),ISNUMBER(SEARCH("metal pedal",E206))),"Snap Traps",
OR(ISNUMBER(SEARCH("electronic",E206)),ISNUMBER(SEARCH("zapper",E206))),"Electronic Traps",
OR(ISNUMBER(SEARCH("live catch",E206)),ISNUMBER(SEARCH("multi-catch",E206)),ISNUMBER(SEARCH("catch &amp; hold",E206)),ISNUMBER(SEARCH("tin cat",E206))),"Live Catch Traps",
OR(ISNUMBER(SEARCH("bait",E206)),ISNUMBER(SEARCH("poison",E206))),"Bait &amp; Poison",
ISNUMBER(SEARCH("repellent",E206)),"Repellents",
OR(ISNUMBER(SEARCH("fly trap",E206)),ISNUMBER(SEARCH("fly ribbon",E206)),ISNUMBER(SEARCH("fly stick",E206)),ISNUMBER(SEARCH("window fly",E206)),ISNUMBER(SEARCH("fly magnet",E206))),"Fly Traps",
OR(ISNUMBER(SEARCH("uv",E206)),ISNUMBER(SEARCH("fly light",E206)),ISNUMBER(SEARCH("plug-in",E206))),"UV Fly Traps",
ISNUMBER(SEARCH("roach",E206)),"Roach Traps",
ISNUMBER(SEARCH("ant",E206)),"Ant Traps",
ISNUMBER(SEARCH("spider",E206)),"Spider Traps",
ISNUMBER(SEARCH("mosquito",E206)),"Mosquito Traps",
ISNUMBER(SEARCH("beetle",E206)),"Beetle Traps",
ISNUMBER(SEARCH("lantern",E206)),"Lanternfly Control",
OR(ISNUMBER(SEARCH("tree shield",E206)),ISNUMBER(SEARCH("tree banding",E206)),ISNUMBER(SEARCH("insect barrier",E206))),"Tree Barriers",
OR(ISNUMBER(SEARCH("sun &amp; shade",E206)),ISNUMBER(SEARCH("sun and shade",E206))),"Sun &amp; Shade Mix",
ISNUMBER(SEARCH("tall fescue",E206)),"Tall Fescue",
ISNUMBER(SEARCH("bermudagrass",E206)),"Bermudagrass",
ISNUMBER(SEARCH("kentucky",E206)),"Kentucky Bluegrass",
ISNUMBER(SEARCH("zoysia",E206)),"Zoysia",
ISNUMBER(SEARCH("ryegrass",E206)),"Perennial Ryegrass",
ISNUMBER(SEARCH("centipede",E206)),"Centipede Grass",
ISNUMBER(SEARCH("dense shade",E206)),"Dense Shade Mix",
ISNUMBER(SEARCH("southern gold",E206)),"Southern Gold Mix",
ISNUMBER(SEARCH("heat-tolerant blue",E206)),"Heat-Tolerant Blue Mix",
ISNUMBER(SEARCH("high traffic",E206)),"High Traffic Mix",
ISNUMBER(SEARCH("quick fix",E206)),"Quick Fix Mix",
ISNUMBER(SEARCH("starter",E206)),"Starter Fertilizer",
ISNUMBER(SEARCH("weed &amp; feed",E206)),"Weed &amp; Feed",
ISNUMBER(SEARCH("lawn food",E206)),"Lawn Food",
ISNUMBER(SEARCH("triple action",E206)),"Triple Action Fertilizer",
ISNUMBER(SEARCH("green max",E206)),"Green Max Lawn Food",
ISNUMBER(SEARCH("patchmaster",E206)),"PatchMaster Repair",
ISNUMBER(SEARCH("ez seed",E206)),"EZ Seed Repair",
ISNUMBER(SEARCH("rapid grass",E206)),"Rapid Grass",
ISNUMBER(SEARCH("thick'r lawn",E206)),"Thick'R Lawn",
ISNUMBER(SEARCH("fungicide",E206)),"Fungicide",
ISNUMBER(SEARCH("moss",E206)),"Moss Control",
ISNUMBER(SEARCH("perlite",E206)),"Perlite",
ISNUMBER(SEARCH("plant food",E206)),"Plant Food",
ISNUMBER(SEARCH("spreader",E206)),"Spreader",
ISNUMBER(SEARCH("sprayer",E206)),"Sprayer",
ISNUMBER(SEARCH("mower",E206)),"Lawn Mower",
ISNUMBER(SEARCH("sweeper",E206)),"Lawn Sweeper",
OR(ISNUMBER(SEARCH("pruner",E206)),ISNUMBER(SEARCH("trimmer",E206)),ISNUMBER(SEARCH("pole saw",E206))),"Pruning Tools",
TRUE,"Other"
)</f>
        <v>Tall Fescue</v>
      </c>
      <c r="J206" s="7" t="str">
        <f t="shared" si="54"/>
        <v>Lawn Repair - Tall Fescue</v>
      </c>
      <c r="K206" s="4">
        <v>200</v>
      </c>
      <c r="L206" s="4">
        <v>3.9</v>
      </c>
      <c r="M206" s="4">
        <v>1228</v>
      </c>
      <c r="N206" s="4" t="s">
        <v>972</v>
      </c>
      <c r="O206" s="4">
        <f>VLOOKUP(A206,[3]Sheet1!$A:$B,2,0)</f>
        <v>0</v>
      </c>
      <c r="P206" s="4">
        <f>VLOOKUP(A206,[3]Sheet1!$A:$C,3,0)</f>
        <v>0</v>
      </c>
      <c r="Q206" s="4">
        <f>VLOOKUP(A206,[3]Sheet1!$A:$D,4,0)</f>
        <v>0</v>
      </c>
      <c r="R206" s="4">
        <f>VLOOKUP(A206,[3]Sheet1!$A:$E,5,0)</f>
        <v>100</v>
      </c>
      <c r="S206" s="4">
        <f>VLOOKUP(A206,[3]Sheet1!$A:$F,6,0)</f>
        <v>100</v>
      </c>
      <c r="T206" s="4">
        <f>VLOOKUP(A206,[3]Sheet1!$A:$G,7,0)</f>
        <v>100</v>
      </c>
      <c r="U206" s="4">
        <f>VLOOKUP(A206,[3]Sheet1!$A:$I,8,0)</f>
        <v>50</v>
      </c>
      <c r="V206" s="4">
        <f>VLOOKUP(A206,[3]Sheet1!$A:$J,9,0)</f>
        <v>50</v>
      </c>
      <c r="W206" s="4">
        <f>VLOOKUP(A206,[3]Sheet1!$A:$J,10,0)</f>
        <v>200</v>
      </c>
      <c r="X206" s="4">
        <f>VLOOKUP(A206,[3]Sheet1!$A:$K,11,0)</f>
        <v>50</v>
      </c>
      <c r="Y206" s="4">
        <f>VLOOKUP(A206,[3]Sheet1!$A:$L,12,0)</f>
        <v>0</v>
      </c>
      <c r="Z206" s="4">
        <f>VLOOKUP(A206,[3]Sheet1!$A:$M,13,0)</f>
        <v>0</v>
      </c>
      <c r="AA206" s="4">
        <f t="shared" si="48"/>
        <v>650</v>
      </c>
      <c r="AB206" s="7">
        <f t="shared" si="55"/>
        <v>54</v>
      </c>
      <c r="AC206" s="15">
        <f t="shared" si="49"/>
        <v>54.166666666666664</v>
      </c>
      <c r="AD206" s="16">
        <f t="shared" si="50"/>
        <v>14872</v>
      </c>
      <c r="AE206" s="16">
        <f t="shared" si="51"/>
        <v>1239.3333333333333</v>
      </c>
      <c r="AF206" s="16">
        <v>13.43</v>
      </c>
      <c r="AG206" s="16">
        <v>22.88</v>
      </c>
      <c r="AH206" s="8">
        <f t="shared" si="52"/>
        <v>-0.35186666666666666</v>
      </c>
      <c r="AI206" s="8">
        <f t="shared" si="53"/>
        <v>-1.2315333333333331</v>
      </c>
      <c r="AJ206" s="10">
        <v>0.5</v>
      </c>
      <c r="AK206" s="10">
        <v>0.5</v>
      </c>
      <c r="AL206" s="16">
        <v>13.43</v>
      </c>
      <c r="AM206" s="9">
        <f t="shared" si="56"/>
        <v>3.4319999999999999</v>
      </c>
      <c r="AN206" s="9">
        <f t="shared" si="57"/>
        <v>0.6863999999999999</v>
      </c>
      <c r="AO206" s="9">
        <f t="shared" si="58"/>
        <v>4.5759999999999996</v>
      </c>
      <c r="AP206" s="9">
        <f t="shared" si="59"/>
        <v>0.45760000000000001</v>
      </c>
      <c r="AQ206" s="9">
        <f t="shared" si="60"/>
        <v>4.5759999999999996</v>
      </c>
      <c r="AR206" s="9">
        <f t="shared" si="61"/>
        <v>5.72</v>
      </c>
      <c r="AS206" s="11">
        <f t="shared" si="62"/>
        <v>-3.5186666666666664</v>
      </c>
      <c r="AT206" s="12">
        <f t="shared" si="63"/>
        <v>-4.2813333333333334</v>
      </c>
    </row>
    <row r="207" spans="1:46" ht="16.5" x14ac:dyDescent="0.4">
      <c r="A207" s="4" t="s">
        <v>973</v>
      </c>
      <c r="B207" s="4" t="s">
        <v>513</v>
      </c>
      <c r="C207" s="7" t="s">
        <v>1784</v>
      </c>
      <c r="D207" s="4" t="s">
        <v>974</v>
      </c>
      <c r="E207" s="4" t="s">
        <v>975</v>
      </c>
      <c r="F207" s="4" t="s">
        <v>976</v>
      </c>
      <c r="G207" s="7" t="str">
        <f>VLOOKUP(A207,[1]done!$A:$I,9,0)</f>
        <v>Lawn Fertilizer</v>
      </c>
      <c r="H207" s="7" t="str" cm="1">
        <f t="array" ref="H207">_xlfn.IFS(
OR(ISNUMBER(SEARCH("mouse",E207)),ISNUMBER(SEARCH("rat",E207)),ISNUMBER(SEARCH("mice",E207)),ISNUMBER(SEARCH("rodent",E207))),"Rodent Control",
OR(ISNUMBER(SEARCH("fly",E207)),ISNUMBER(SEARCH("gnat",E207)),ISNUMBER(SEARCH("insect",E207)),ISNUMBER(SEARCH("mosquito",E207))),"Flying Insect Control",
OR(ISNUMBER(SEARCH("roach",E207)),ISNUMBER(SEARCH("ant",E207)),ISNUMBER(SEARCH("spider",E207)),ISNUMBER(SEARCH("cricket",E207)),ISNUMBER(SEARCH("scorpion",E207)),ISNUMBER(SEARCH("centipede",E207)),ISNUMBER(SEARCH("beetle",E207))),"Crawling Insect Control",
OR(ISNUMBER(SEARCH("tree",E207)),ISNUMBER(SEARCH("lantern",E207)),ISNUMBER(SEARCH("garden",E207)),ISNUMBER(SEARCH("plant",E207))),"Garden Pest Control",
OR(ISNUMBER(SEARCH("grass seed",E207)),ISNUMBER(SEARCH("seed mix",E207))),"Grass Seed",
OR(ISNUMBER(SEARCH("lawn food",E207)),ISNUMBER(SEARCH("fertilizer",E207))),"Lawn Fertilizer",
OR(ISNUMBER(SEARCH("patch",E207)),ISNUMBER(SEARCH("repair",E207)),ISNUMBER(SEARCH("thick'r",E207)),ISNUMBER(SEARCH("thick'r lawn",E207)),ISNUMBER(SEARCH("rapid grass",E207))),"Lawn Repair",
OR(ISNUMBER(SEARCH("weed",E207)),ISNUMBER(SEARCH("crabgrass",E207))),"Weed Control",
OR(ISNUMBER(SEARCH("fungicide",E207)),ISNUMBER(SEARCH("moss",E207))),"Disease &amp; Moss Control",
OR(ISNUMBER(SEARCH("plant food",E207)),ISNUMBER(SEARCH("miracid",E207))),"Plant Nutrition",
OR(ISNUMBER(SEARCH("perlite",E207))),"Soil Amendment",
OR(ISNUMBER(SEARCH("spreader",E207)),ISNUMBER(SEARCH("sprayer",E207)),ISNUMBER(SEARCH("mower",E207)),ISNUMBER(SEARCH("sweeper",E207)),ISNUMBER(SEARCH("pruner",E207)),ISNUMBER(SEARCH("trimmer",E207)),ISNUMBER(SEARCH("pole saw",E207))),"Garden Equipment",
TRUE,"Other"
)</f>
        <v>Disease &amp; Moss Control</v>
      </c>
      <c r="I207" s="7" t="str" cm="1">
        <f t="array" ref="I207">_xlfn.IFS(
OR(ISNUMBER(SEARCH("glue trap",E207)),ISNUMBER(SEARCH("glue board",E207))),"Glue Traps",
OR(ISNUMBER(SEARCH("snap trap",E207)),ISNUMBER(SEARCH("power-kill",E207)),ISNUMBER(SEARCH("wide pedal",E207)),ISNUMBER(SEARCH("metal pedal",E207))),"Snap Traps",
OR(ISNUMBER(SEARCH("electronic",E207)),ISNUMBER(SEARCH("zapper",E207))),"Electronic Traps",
OR(ISNUMBER(SEARCH("live catch",E207)),ISNUMBER(SEARCH("multi-catch",E207)),ISNUMBER(SEARCH("catch &amp; hold",E207)),ISNUMBER(SEARCH("tin cat",E207))),"Live Catch Traps",
OR(ISNUMBER(SEARCH("bait",E207)),ISNUMBER(SEARCH("poison",E207))),"Bait &amp; Poison",
ISNUMBER(SEARCH("repellent",E207)),"Repellents",
OR(ISNUMBER(SEARCH("fly trap",E207)),ISNUMBER(SEARCH("fly ribbon",E207)),ISNUMBER(SEARCH("fly stick",E207)),ISNUMBER(SEARCH("window fly",E207)),ISNUMBER(SEARCH("fly magnet",E207))),"Fly Traps",
OR(ISNUMBER(SEARCH("uv",E207)),ISNUMBER(SEARCH("fly light",E207)),ISNUMBER(SEARCH("plug-in",E207))),"UV Fly Traps",
ISNUMBER(SEARCH("roach",E207)),"Roach Traps",
ISNUMBER(SEARCH("ant",E207)),"Ant Traps",
ISNUMBER(SEARCH("spider",E207)),"Spider Traps",
ISNUMBER(SEARCH("mosquito",E207)),"Mosquito Traps",
ISNUMBER(SEARCH("beetle",E207)),"Beetle Traps",
ISNUMBER(SEARCH("lantern",E207)),"Lanternfly Control",
OR(ISNUMBER(SEARCH("tree shield",E207)),ISNUMBER(SEARCH("tree banding",E207)),ISNUMBER(SEARCH("insect barrier",E207))),"Tree Barriers",
OR(ISNUMBER(SEARCH("sun &amp; shade",E207)),ISNUMBER(SEARCH("sun and shade",E207))),"Sun &amp; Shade Mix",
ISNUMBER(SEARCH("tall fescue",E207)),"Tall Fescue",
ISNUMBER(SEARCH("bermudagrass",E207)),"Bermudagrass",
ISNUMBER(SEARCH("kentucky",E207)),"Kentucky Bluegrass",
ISNUMBER(SEARCH("zoysia",E207)),"Zoysia",
ISNUMBER(SEARCH("ryegrass",E207)),"Perennial Ryegrass",
ISNUMBER(SEARCH("centipede",E207)),"Centipede Grass",
ISNUMBER(SEARCH("dense shade",E207)),"Dense Shade Mix",
ISNUMBER(SEARCH("southern gold",E207)),"Southern Gold Mix",
ISNUMBER(SEARCH("heat-tolerant blue",E207)),"Heat-Tolerant Blue Mix",
ISNUMBER(SEARCH("high traffic",E207)),"High Traffic Mix",
ISNUMBER(SEARCH("quick fix",E207)),"Quick Fix Mix",
ISNUMBER(SEARCH("starter",E207)),"Starter Fertilizer",
ISNUMBER(SEARCH("weed &amp; feed",E207)),"Weed &amp; Feed",
ISNUMBER(SEARCH("lawn food",E207)),"Lawn Food",
ISNUMBER(SEARCH("triple action",E207)),"Triple Action Fertilizer",
ISNUMBER(SEARCH("green max",E207)),"Green Max Lawn Food",
ISNUMBER(SEARCH("patchmaster",E207)),"PatchMaster Repair",
ISNUMBER(SEARCH("ez seed",E207)),"EZ Seed Repair",
ISNUMBER(SEARCH("rapid grass",E207)),"Rapid Grass",
ISNUMBER(SEARCH("thick'r lawn",E207)),"Thick'R Lawn",
ISNUMBER(SEARCH("fungicide",E207)),"Fungicide",
ISNUMBER(SEARCH("moss",E207)),"Moss Control",
ISNUMBER(SEARCH("perlite",E207)),"Perlite",
ISNUMBER(SEARCH("plant food",E207)),"Plant Food",
ISNUMBER(SEARCH("spreader",E207)),"Spreader",
ISNUMBER(SEARCH("sprayer",E207)),"Sprayer",
ISNUMBER(SEARCH("mower",E207)),"Lawn Mower",
ISNUMBER(SEARCH("sweeper",E207)),"Lawn Sweeper",
OR(ISNUMBER(SEARCH("pruner",E207)),ISNUMBER(SEARCH("trimmer",E207)),ISNUMBER(SEARCH("pole saw",E207))),"Pruning Tools",
TRUE,"Other"
)</f>
        <v>Moss Control</v>
      </c>
      <c r="J207" s="7" t="str">
        <f t="shared" si="54"/>
        <v>Disease &amp; Moss Control - Moss Control</v>
      </c>
      <c r="K207" s="4">
        <v>200</v>
      </c>
      <c r="L207" s="4">
        <v>4.4000000000000004</v>
      </c>
      <c r="M207" s="4">
        <v>1968</v>
      </c>
      <c r="N207" s="4" t="s">
        <v>526</v>
      </c>
      <c r="O207" s="4">
        <f>VLOOKUP(A207,[3]Sheet1!$A:$B,2,0)</f>
        <v>0</v>
      </c>
      <c r="P207" s="4">
        <f>VLOOKUP(A207,[3]Sheet1!$A:$C,3,0)</f>
        <v>0</v>
      </c>
      <c r="Q207" s="4">
        <f>VLOOKUP(A207,[3]Sheet1!$A:$D,4,0)</f>
        <v>700</v>
      </c>
      <c r="R207" s="4">
        <f>VLOOKUP(A207,[3]Sheet1!$A:$E,5,0)</f>
        <v>1000</v>
      </c>
      <c r="S207" s="4">
        <f>VLOOKUP(A207,[3]Sheet1!$A:$F,6,0)</f>
        <v>1000</v>
      </c>
      <c r="T207" s="4">
        <f>VLOOKUP(A207,[3]Sheet1!$A:$G,7,0)</f>
        <v>200</v>
      </c>
      <c r="U207" s="4">
        <f>VLOOKUP(A207,[3]Sheet1!$A:$I,8,0)</f>
        <v>100</v>
      </c>
      <c r="V207" s="4">
        <f>VLOOKUP(A207,[3]Sheet1!$A:$J,9,0)</f>
        <v>50</v>
      </c>
      <c r="W207" s="4">
        <f>VLOOKUP(A207,[3]Sheet1!$A:$J,10,0)</f>
        <v>100</v>
      </c>
      <c r="X207" s="4">
        <f>VLOOKUP(A207,[3]Sheet1!$A:$K,11,0)</f>
        <v>0</v>
      </c>
      <c r="Y207" s="4">
        <f>VLOOKUP(A207,[3]Sheet1!$A:$L,12,0)</f>
        <v>0</v>
      </c>
      <c r="Z207" s="4">
        <f>VLOOKUP(A207,[3]Sheet1!$A:$M,13,0)</f>
        <v>0</v>
      </c>
      <c r="AA207" s="4">
        <f t="shared" si="48"/>
        <v>3150</v>
      </c>
      <c r="AB207" s="7">
        <f t="shared" si="55"/>
        <v>263</v>
      </c>
      <c r="AC207" s="15">
        <f t="shared" si="49"/>
        <v>262.5</v>
      </c>
      <c r="AD207" s="16">
        <f t="shared" si="50"/>
        <v>110218.5</v>
      </c>
      <c r="AE207" s="16">
        <f t="shared" si="51"/>
        <v>9184.875</v>
      </c>
      <c r="AF207" s="16">
        <v>19.329999999999998</v>
      </c>
      <c r="AG207" s="16">
        <v>34.99</v>
      </c>
      <c r="AH207" s="8">
        <f t="shared" si="52"/>
        <v>-0.42226666666666662</v>
      </c>
      <c r="AI207" s="8">
        <f t="shared" si="53"/>
        <v>-1.4779333333333331</v>
      </c>
      <c r="AJ207" s="10">
        <v>0.5</v>
      </c>
      <c r="AK207" s="10">
        <v>0.5</v>
      </c>
      <c r="AL207" s="16">
        <v>19.329999999999998</v>
      </c>
      <c r="AM207" s="9">
        <f t="shared" si="56"/>
        <v>5.2484999999999999</v>
      </c>
      <c r="AN207" s="9">
        <f t="shared" si="57"/>
        <v>1.0497000000000001</v>
      </c>
      <c r="AO207" s="9">
        <f t="shared" si="58"/>
        <v>6.9980000000000011</v>
      </c>
      <c r="AP207" s="9">
        <f t="shared" si="59"/>
        <v>0.69980000000000009</v>
      </c>
      <c r="AQ207" s="9">
        <f t="shared" si="60"/>
        <v>6.9980000000000011</v>
      </c>
      <c r="AR207" s="9">
        <f t="shared" si="61"/>
        <v>8.7475000000000005</v>
      </c>
      <c r="AS207" s="11">
        <f t="shared" si="62"/>
        <v>-4.2226666666666661</v>
      </c>
      <c r="AT207" s="12">
        <f t="shared" si="63"/>
        <v>-5.3889999999999993</v>
      </c>
    </row>
    <row r="208" spans="1:46" ht="16.5" x14ac:dyDescent="0.4">
      <c r="A208" s="4" t="s">
        <v>977</v>
      </c>
      <c r="B208" s="4" t="s">
        <v>513</v>
      </c>
      <c r="C208" s="7" t="s">
        <v>1784</v>
      </c>
      <c r="D208" s="4" t="s">
        <v>978</v>
      </c>
      <c r="E208" s="4" t="s">
        <v>979</v>
      </c>
      <c r="F208" s="4" t="s">
        <v>980</v>
      </c>
      <c r="G208" s="7" t="str">
        <f>VLOOKUP(A208,[1]done!$A:$I,9,0)</f>
        <v>Grass Seed</v>
      </c>
      <c r="H208" s="7" t="str" cm="1">
        <f t="array" ref="H208">_xlfn.IFS(
OR(ISNUMBER(SEARCH("mouse",E208)),ISNUMBER(SEARCH("rat",E208)),ISNUMBER(SEARCH("mice",E208)),ISNUMBER(SEARCH("rodent",E208))),"Rodent Control",
OR(ISNUMBER(SEARCH("fly",E208)),ISNUMBER(SEARCH("gnat",E208)),ISNUMBER(SEARCH("insect",E208)),ISNUMBER(SEARCH("mosquito",E208))),"Flying Insect Control",
OR(ISNUMBER(SEARCH("roach",E208)),ISNUMBER(SEARCH("ant",E208)),ISNUMBER(SEARCH("spider",E208)),ISNUMBER(SEARCH("cricket",E208)),ISNUMBER(SEARCH("scorpion",E208)),ISNUMBER(SEARCH("centipede",E208)),ISNUMBER(SEARCH("beetle",E208))),"Crawling Insect Control",
OR(ISNUMBER(SEARCH("tree",E208)),ISNUMBER(SEARCH("lantern",E208)),ISNUMBER(SEARCH("garden",E208)),ISNUMBER(SEARCH("plant",E208))),"Garden Pest Control",
OR(ISNUMBER(SEARCH("grass seed",E208)),ISNUMBER(SEARCH("seed mix",E208))),"Grass Seed",
OR(ISNUMBER(SEARCH("lawn food",E208)),ISNUMBER(SEARCH("fertilizer",E208))),"Lawn Fertilizer",
OR(ISNUMBER(SEARCH("patch",E208)),ISNUMBER(SEARCH("repair",E208)),ISNUMBER(SEARCH("thick'r",E208)),ISNUMBER(SEARCH("thick'r lawn",E208)),ISNUMBER(SEARCH("rapid grass",E208))),"Lawn Repair",
OR(ISNUMBER(SEARCH("weed",E208)),ISNUMBER(SEARCH("crabgrass",E208))),"Weed Control",
OR(ISNUMBER(SEARCH("fungicide",E208)),ISNUMBER(SEARCH("moss",E208))),"Disease &amp; Moss Control",
OR(ISNUMBER(SEARCH("plant food",E208)),ISNUMBER(SEARCH("miracid",E208))),"Plant Nutrition",
OR(ISNUMBER(SEARCH("perlite",E208))),"Soil Amendment",
OR(ISNUMBER(SEARCH("spreader",E208)),ISNUMBER(SEARCH("sprayer",E208)),ISNUMBER(SEARCH("mower",E208)),ISNUMBER(SEARCH("sweeper",E208)),ISNUMBER(SEARCH("pruner",E208)),ISNUMBER(SEARCH("trimmer",E208)),ISNUMBER(SEARCH("pole saw",E208))),"Garden Equipment",
TRUE,"Other"
)</f>
        <v>Grass Seed</v>
      </c>
      <c r="I208" s="7" t="str" cm="1">
        <f t="array" ref="I208">_xlfn.IFS(
OR(ISNUMBER(SEARCH("glue trap",E208)),ISNUMBER(SEARCH("glue board",E208))),"Glue Traps",
OR(ISNUMBER(SEARCH("snap trap",E208)),ISNUMBER(SEARCH("power-kill",E208)),ISNUMBER(SEARCH("wide pedal",E208)),ISNUMBER(SEARCH("metal pedal",E208))),"Snap Traps",
OR(ISNUMBER(SEARCH("electronic",E208)),ISNUMBER(SEARCH("zapper",E208))),"Electronic Traps",
OR(ISNUMBER(SEARCH("live catch",E208)),ISNUMBER(SEARCH("multi-catch",E208)),ISNUMBER(SEARCH("catch &amp; hold",E208)),ISNUMBER(SEARCH("tin cat",E208))),"Live Catch Traps",
OR(ISNUMBER(SEARCH("bait",E208)),ISNUMBER(SEARCH("poison",E208))),"Bait &amp; Poison",
ISNUMBER(SEARCH("repellent",E208)),"Repellents",
OR(ISNUMBER(SEARCH("fly trap",E208)),ISNUMBER(SEARCH("fly ribbon",E208)),ISNUMBER(SEARCH("fly stick",E208)),ISNUMBER(SEARCH("window fly",E208)),ISNUMBER(SEARCH("fly magnet",E208))),"Fly Traps",
OR(ISNUMBER(SEARCH("uv",E208)),ISNUMBER(SEARCH("fly light",E208)),ISNUMBER(SEARCH("plug-in",E208))),"UV Fly Traps",
ISNUMBER(SEARCH("roach",E208)),"Roach Traps",
ISNUMBER(SEARCH("ant",E208)),"Ant Traps",
ISNUMBER(SEARCH("spider",E208)),"Spider Traps",
ISNUMBER(SEARCH("mosquito",E208)),"Mosquito Traps",
ISNUMBER(SEARCH("beetle",E208)),"Beetle Traps",
ISNUMBER(SEARCH("lantern",E208)),"Lanternfly Control",
OR(ISNUMBER(SEARCH("tree shield",E208)),ISNUMBER(SEARCH("tree banding",E208)),ISNUMBER(SEARCH("insect barrier",E208))),"Tree Barriers",
OR(ISNUMBER(SEARCH("sun &amp; shade",E208)),ISNUMBER(SEARCH("sun and shade",E208))),"Sun &amp; Shade Mix",
ISNUMBER(SEARCH("tall fescue",E208)),"Tall Fescue",
ISNUMBER(SEARCH("bermudagrass",E208)),"Bermudagrass",
ISNUMBER(SEARCH("kentucky",E208)),"Kentucky Bluegrass",
ISNUMBER(SEARCH("zoysia",E208)),"Zoysia",
ISNUMBER(SEARCH("ryegrass",E208)),"Perennial Ryegrass",
ISNUMBER(SEARCH("centipede",E208)),"Centipede Grass",
ISNUMBER(SEARCH("dense shade",E208)),"Dense Shade Mix",
ISNUMBER(SEARCH("southern gold",E208)),"Southern Gold Mix",
ISNUMBER(SEARCH("heat-tolerant blue",E208)),"Heat-Tolerant Blue Mix",
ISNUMBER(SEARCH("high traffic",E208)),"High Traffic Mix",
ISNUMBER(SEARCH("quick fix",E208)),"Quick Fix Mix",
ISNUMBER(SEARCH("starter",E208)),"Starter Fertilizer",
ISNUMBER(SEARCH("weed &amp; feed",E208)),"Weed &amp; Feed",
ISNUMBER(SEARCH("lawn food",E208)),"Lawn Food",
ISNUMBER(SEARCH("triple action",E208)),"Triple Action Fertilizer",
ISNUMBER(SEARCH("green max",E208)),"Green Max Lawn Food",
ISNUMBER(SEARCH("patchmaster",E208)),"PatchMaster Repair",
ISNUMBER(SEARCH("ez seed",E208)),"EZ Seed Repair",
ISNUMBER(SEARCH("rapid grass",E208)),"Rapid Grass",
ISNUMBER(SEARCH("thick'r lawn",E208)),"Thick'R Lawn",
ISNUMBER(SEARCH("fungicide",E208)),"Fungicide",
ISNUMBER(SEARCH("moss",E208)),"Moss Control",
ISNUMBER(SEARCH("perlite",E208)),"Perlite",
ISNUMBER(SEARCH("plant food",E208)),"Plant Food",
ISNUMBER(SEARCH("spreader",E208)),"Spreader",
ISNUMBER(SEARCH("sprayer",E208)),"Sprayer",
ISNUMBER(SEARCH("mower",E208)),"Lawn Mower",
ISNUMBER(SEARCH("sweeper",E208)),"Lawn Sweeper",
OR(ISNUMBER(SEARCH("pruner",E208)),ISNUMBER(SEARCH("trimmer",E208)),ISNUMBER(SEARCH("pole saw",E208))),"Pruning Tools",
TRUE,"Other"
)</f>
        <v>Other</v>
      </c>
      <c r="J208" s="7" t="str">
        <f t="shared" si="54"/>
        <v>Grass Seed - Other</v>
      </c>
      <c r="K208" s="4">
        <v>200</v>
      </c>
      <c r="L208" s="4">
        <v>4.2</v>
      </c>
      <c r="M208" s="4">
        <v>803</v>
      </c>
      <c r="N208" s="4" t="s">
        <v>606</v>
      </c>
      <c r="O208" s="4">
        <f>VLOOKUP(A208,[3]Sheet1!$A:$B,2,0)</f>
        <v>0</v>
      </c>
      <c r="P208" s="4">
        <f>VLOOKUP(A208,[3]Sheet1!$A:$C,3,0)</f>
        <v>0</v>
      </c>
      <c r="Q208" s="4">
        <f>VLOOKUP(A208,[3]Sheet1!$A:$D,4,0)</f>
        <v>100</v>
      </c>
      <c r="R208" s="4">
        <f>VLOOKUP(A208,[3]Sheet1!$A:$E,5,0)</f>
        <v>200</v>
      </c>
      <c r="S208" s="4">
        <f>VLOOKUP(A208,[3]Sheet1!$A:$F,6,0)</f>
        <v>500</v>
      </c>
      <c r="T208" s="4">
        <f>VLOOKUP(A208,[3]Sheet1!$A:$G,7,0)</f>
        <v>400</v>
      </c>
      <c r="U208" s="4">
        <f>VLOOKUP(A208,[3]Sheet1!$A:$I,8,0)</f>
        <v>300</v>
      </c>
      <c r="V208" s="4">
        <f>VLOOKUP(A208,[3]Sheet1!$A:$J,9,0)</f>
        <v>200</v>
      </c>
      <c r="W208" s="4">
        <f>VLOOKUP(A208,[3]Sheet1!$A:$J,10,0)</f>
        <v>200</v>
      </c>
      <c r="X208" s="4">
        <f>VLOOKUP(A208,[3]Sheet1!$A:$K,11,0)</f>
        <v>200</v>
      </c>
      <c r="Y208" s="4">
        <f>VLOOKUP(A208,[3]Sheet1!$A:$L,12,0)</f>
        <v>50</v>
      </c>
      <c r="Z208" s="4">
        <f>VLOOKUP(A208,[3]Sheet1!$A:$M,13,0)</f>
        <v>0</v>
      </c>
      <c r="AA208" s="4">
        <f t="shared" si="48"/>
        <v>2150</v>
      </c>
      <c r="AB208" s="7">
        <f t="shared" si="55"/>
        <v>179</v>
      </c>
      <c r="AC208" s="15">
        <f t="shared" si="49"/>
        <v>179.16666666666666</v>
      </c>
      <c r="AD208" s="16">
        <f t="shared" si="50"/>
        <v>53685.5</v>
      </c>
      <c r="AE208" s="16">
        <f t="shared" si="51"/>
        <v>4473.7916666666661</v>
      </c>
      <c r="AF208" s="16">
        <v>6.48</v>
      </c>
      <c r="AG208" s="16">
        <v>24.97</v>
      </c>
      <c r="AH208" s="8">
        <f t="shared" si="52"/>
        <v>0.16719999999999996</v>
      </c>
      <c r="AI208" s="8">
        <f t="shared" si="53"/>
        <v>0.58519999999999983</v>
      </c>
      <c r="AJ208" s="10">
        <v>0.5</v>
      </c>
      <c r="AK208" s="10">
        <v>0.5</v>
      </c>
      <c r="AL208" s="16">
        <v>6.48</v>
      </c>
      <c r="AM208" s="9">
        <f t="shared" si="56"/>
        <v>3.7454999999999998</v>
      </c>
      <c r="AN208" s="9">
        <f t="shared" si="57"/>
        <v>0.74909999999999999</v>
      </c>
      <c r="AO208" s="9">
        <f t="shared" si="58"/>
        <v>4.9939999999999998</v>
      </c>
      <c r="AP208" s="9">
        <f t="shared" si="59"/>
        <v>0.49940000000000001</v>
      </c>
      <c r="AQ208" s="9">
        <f t="shared" si="60"/>
        <v>4.9939999999999998</v>
      </c>
      <c r="AR208" s="9">
        <f t="shared" si="61"/>
        <v>6.2424999999999997</v>
      </c>
      <c r="AS208" s="11">
        <f t="shared" si="62"/>
        <v>1.6719999999999995</v>
      </c>
      <c r="AT208" s="12">
        <f t="shared" si="63"/>
        <v>0.83966666666666612</v>
      </c>
    </row>
    <row r="209" spans="1:46" ht="16.5" x14ac:dyDescent="0.4">
      <c r="A209" s="4" t="s">
        <v>981</v>
      </c>
      <c r="B209" s="4" t="s">
        <v>513</v>
      </c>
      <c r="C209" s="7" t="s">
        <v>1791</v>
      </c>
      <c r="D209" s="4" t="s">
        <v>982</v>
      </c>
      <c r="E209" s="4" t="s">
        <v>983</v>
      </c>
      <c r="F209" s="4" t="s">
        <v>984</v>
      </c>
      <c r="G209" s="7" t="str">
        <f>VLOOKUP(A209,[1]done!$A:$I,9,0)</f>
        <v>Other - Scotts</v>
      </c>
      <c r="H209" s="7" t="str" cm="1">
        <f t="array" ref="H209">_xlfn.IFS(
OR(ISNUMBER(SEARCH("mouse",E209)),ISNUMBER(SEARCH("rat",E209)),ISNUMBER(SEARCH("mice",E209)),ISNUMBER(SEARCH("rodent",E209))),"Rodent Control",
OR(ISNUMBER(SEARCH("fly",E209)),ISNUMBER(SEARCH("gnat",E209)),ISNUMBER(SEARCH("insect",E209)),ISNUMBER(SEARCH("mosquito",E209))),"Flying Insect Control",
OR(ISNUMBER(SEARCH("roach",E209)),ISNUMBER(SEARCH("ant",E209)),ISNUMBER(SEARCH("spider",E209)),ISNUMBER(SEARCH("cricket",E209)),ISNUMBER(SEARCH("scorpion",E209)),ISNUMBER(SEARCH("centipede",E209)),ISNUMBER(SEARCH("beetle",E209))),"Crawling Insect Control",
OR(ISNUMBER(SEARCH("tree",E209)),ISNUMBER(SEARCH("lantern",E209)),ISNUMBER(SEARCH("garden",E209)),ISNUMBER(SEARCH("plant",E209))),"Garden Pest Control",
OR(ISNUMBER(SEARCH("grass seed",E209)),ISNUMBER(SEARCH("seed mix",E209))),"Grass Seed",
OR(ISNUMBER(SEARCH("lawn food",E209)),ISNUMBER(SEARCH("fertilizer",E209))),"Lawn Fertilizer",
OR(ISNUMBER(SEARCH("patch",E209)),ISNUMBER(SEARCH("repair",E209)),ISNUMBER(SEARCH("thick'r",E209)),ISNUMBER(SEARCH("thick'r lawn",E209)),ISNUMBER(SEARCH("rapid grass",E209))),"Lawn Repair",
OR(ISNUMBER(SEARCH("weed",E209)),ISNUMBER(SEARCH("crabgrass",E209))),"Weed Control",
OR(ISNUMBER(SEARCH("fungicide",E209)),ISNUMBER(SEARCH("moss",E209))),"Disease &amp; Moss Control",
OR(ISNUMBER(SEARCH("plant food",E209)),ISNUMBER(SEARCH("miracid",E209))),"Plant Nutrition",
OR(ISNUMBER(SEARCH("perlite",E209))),"Soil Amendment",
OR(ISNUMBER(SEARCH("spreader",E209)),ISNUMBER(SEARCH("sprayer",E209)),ISNUMBER(SEARCH("mower",E209)),ISNUMBER(SEARCH("sweeper",E209)),ISNUMBER(SEARCH("pruner",E209)),ISNUMBER(SEARCH("trimmer",E209)),ISNUMBER(SEARCH("pole saw",E209))),"Garden Equipment",
TRUE,"Other"
)</f>
        <v>Garden Equipment</v>
      </c>
      <c r="I209" s="7" t="str" cm="1">
        <f t="array" ref="I209">_xlfn.IFS(
OR(ISNUMBER(SEARCH("glue trap",E209)),ISNUMBER(SEARCH("glue board",E209))),"Glue Traps",
OR(ISNUMBER(SEARCH("snap trap",E209)),ISNUMBER(SEARCH("power-kill",E209)),ISNUMBER(SEARCH("wide pedal",E209)),ISNUMBER(SEARCH("metal pedal",E209))),"Snap Traps",
OR(ISNUMBER(SEARCH("electronic",E209)),ISNUMBER(SEARCH("zapper",E209))),"Electronic Traps",
OR(ISNUMBER(SEARCH("live catch",E209)),ISNUMBER(SEARCH("multi-catch",E209)),ISNUMBER(SEARCH("catch &amp; hold",E209)),ISNUMBER(SEARCH("tin cat",E209))),"Live Catch Traps",
OR(ISNUMBER(SEARCH("bait",E209)),ISNUMBER(SEARCH("poison",E209))),"Bait &amp; Poison",
ISNUMBER(SEARCH("repellent",E209)),"Repellents",
OR(ISNUMBER(SEARCH("fly trap",E209)),ISNUMBER(SEARCH("fly ribbon",E209)),ISNUMBER(SEARCH("fly stick",E209)),ISNUMBER(SEARCH("window fly",E209)),ISNUMBER(SEARCH("fly magnet",E209))),"Fly Traps",
OR(ISNUMBER(SEARCH("uv",E209)),ISNUMBER(SEARCH("fly light",E209)),ISNUMBER(SEARCH("plug-in",E209))),"UV Fly Traps",
ISNUMBER(SEARCH("roach",E209)),"Roach Traps",
ISNUMBER(SEARCH("ant",E209)),"Ant Traps",
ISNUMBER(SEARCH("spider",E209)),"Spider Traps",
ISNUMBER(SEARCH("mosquito",E209)),"Mosquito Traps",
ISNUMBER(SEARCH("beetle",E209)),"Beetle Traps",
ISNUMBER(SEARCH("lantern",E209)),"Lanternfly Control",
OR(ISNUMBER(SEARCH("tree shield",E209)),ISNUMBER(SEARCH("tree banding",E209)),ISNUMBER(SEARCH("insect barrier",E209))),"Tree Barriers",
OR(ISNUMBER(SEARCH("sun &amp; shade",E209)),ISNUMBER(SEARCH("sun and shade",E209))),"Sun &amp; Shade Mix",
ISNUMBER(SEARCH("tall fescue",E209)),"Tall Fescue",
ISNUMBER(SEARCH("bermudagrass",E209)),"Bermudagrass",
ISNUMBER(SEARCH("kentucky",E209)),"Kentucky Bluegrass",
ISNUMBER(SEARCH("zoysia",E209)),"Zoysia",
ISNUMBER(SEARCH("ryegrass",E209)),"Perennial Ryegrass",
ISNUMBER(SEARCH("centipede",E209)),"Centipede Grass",
ISNUMBER(SEARCH("dense shade",E209)),"Dense Shade Mix",
ISNUMBER(SEARCH("southern gold",E209)),"Southern Gold Mix",
ISNUMBER(SEARCH("heat-tolerant blue",E209)),"Heat-Tolerant Blue Mix",
ISNUMBER(SEARCH("high traffic",E209)),"High Traffic Mix",
ISNUMBER(SEARCH("quick fix",E209)),"Quick Fix Mix",
ISNUMBER(SEARCH("starter",E209)),"Starter Fertilizer",
ISNUMBER(SEARCH("weed &amp; feed",E209)),"Weed &amp; Feed",
ISNUMBER(SEARCH("lawn food",E209)),"Lawn Food",
ISNUMBER(SEARCH("triple action",E209)),"Triple Action Fertilizer",
ISNUMBER(SEARCH("green max",E209)),"Green Max Lawn Food",
ISNUMBER(SEARCH("patchmaster",E209)),"PatchMaster Repair",
ISNUMBER(SEARCH("ez seed",E209)),"EZ Seed Repair",
ISNUMBER(SEARCH("rapid grass",E209)),"Rapid Grass",
ISNUMBER(SEARCH("thick'r lawn",E209)),"Thick'R Lawn",
ISNUMBER(SEARCH("fungicide",E209)),"Fungicide",
ISNUMBER(SEARCH("moss",E209)),"Moss Control",
ISNUMBER(SEARCH("perlite",E209)),"Perlite",
ISNUMBER(SEARCH("plant food",E209)),"Plant Food",
ISNUMBER(SEARCH("spreader",E209)),"Spreader",
ISNUMBER(SEARCH("sprayer",E209)),"Sprayer",
ISNUMBER(SEARCH("mower",E209)),"Lawn Mower",
ISNUMBER(SEARCH("sweeper",E209)),"Lawn Sweeper",
OR(ISNUMBER(SEARCH("pruner",E209)),ISNUMBER(SEARCH("trimmer",E209)),ISNUMBER(SEARCH("pole saw",E209))),"Pruning Tools",
TRUE,"Other"
)</f>
        <v>Pruning Tools</v>
      </c>
      <c r="J209" s="7" t="str">
        <f t="shared" si="54"/>
        <v>Garden Equipment - Pruning Tools</v>
      </c>
      <c r="K209" s="4">
        <v>200</v>
      </c>
      <c r="L209" s="4">
        <v>4.2</v>
      </c>
      <c r="M209" s="4">
        <v>3283</v>
      </c>
      <c r="N209" s="4" t="s">
        <v>985</v>
      </c>
      <c r="O209" s="4">
        <f>VLOOKUP(A209,[3]Sheet1!$A:$B,2,0)</f>
        <v>0</v>
      </c>
      <c r="P209" s="4">
        <f>VLOOKUP(A209,[3]Sheet1!$A:$C,3,0)</f>
        <v>0</v>
      </c>
      <c r="Q209" s="4">
        <f>VLOOKUP(A209,[3]Sheet1!$A:$D,4,0)</f>
        <v>0</v>
      </c>
      <c r="R209" s="4">
        <f>VLOOKUP(A209,[3]Sheet1!$A:$E,5,0)</f>
        <v>100</v>
      </c>
      <c r="S209" s="4">
        <f>VLOOKUP(A209,[3]Sheet1!$A:$F,6,0)</f>
        <v>100</v>
      </c>
      <c r="T209" s="4">
        <f>VLOOKUP(A209,[3]Sheet1!$A:$G,7,0)</f>
        <v>200</v>
      </c>
      <c r="U209" s="4">
        <f>VLOOKUP(A209,[3]Sheet1!$A:$I,8,0)</f>
        <v>200</v>
      </c>
      <c r="V209" s="4">
        <f>VLOOKUP(A209,[3]Sheet1!$A:$J,9,0)</f>
        <v>100</v>
      </c>
      <c r="W209" s="4">
        <f>VLOOKUP(A209,[3]Sheet1!$A:$J,10,0)</f>
        <v>200</v>
      </c>
      <c r="X209" s="4">
        <f>VLOOKUP(A209,[3]Sheet1!$A:$K,11,0)</f>
        <v>300</v>
      </c>
      <c r="Y209" s="4">
        <f>VLOOKUP(A209,[3]Sheet1!$A:$L,12,0)</f>
        <v>400</v>
      </c>
      <c r="Z209" s="4">
        <f>VLOOKUP(A209,[3]Sheet1!$A:$M,13,0)</f>
        <v>0</v>
      </c>
      <c r="AA209" s="4">
        <f t="shared" si="48"/>
        <v>1600</v>
      </c>
      <c r="AB209" s="7">
        <f t="shared" si="55"/>
        <v>133</v>
      </c>
      <c r="AC209" s="15">
        <f t="shared" si="49"/>
        <v>133.33333333333334</v>
      </c>
      <c r="AD209" s="16">
        <f t="shared" si="50"/>
        <v>135984</v>
      </c>
      <c r="AE209" s="16">
        <f t="shared" si="51"/>
        <v>11332</v>
      </c>
      <c r="AF209" s="16">
        <v>15.29</v>
      </c>
      <c r="AG209" s="16">
        <v>84.99</v>
      </c>
      <c r="AH209" s="8">
        <f t="shared" si="52"/>
        <v>1.1803999999999994</v>
      </c>
      <c r="AI209" s="8">
        <f t="shared" si="53"/>
        <v>4.1313999999999984</v>
      </c>
      <c r="AJ209" s="10">
        <v>0.5</v>
      </c>
      <c r="AK209" s="10">
        <v>0.5</v>
      </c>
      <c r="AL209" s="16">
        <v>15.29</v>
      </c>
      <c r="AM209" s="9">
        <f t="shared" si="56"/>
        <v>12.748499999999998</v>
      </c>
      <c r="AN209" s="9">
        <f t="shared" si="57"/>
        <v>2.5496999999999996</v>
      </c>
      <c r="AO209" s="9">
        <f t="shared" si="58"/>
        <v>16.998000000000001</v>
      </c>
      <c r="AP209" s="9">
        <f t="shared" si="59"/>
        <v>1.6998</v>
      </c>
      <c r="AQ209" s="9">
        <f t="shared" si="60"/>
        <v>16.998000000000001</v>
      </c>
      <c r="AR209" s="9">
        <f t="shared" si="61"/>
        <v>21.247499999999999</v>
      </c>
      <c r="AS209" s="11">
        <f t="shared" si="62"/>
        <v>11.803999999999995</v>
      </c>
      <c r="AT209" s="12">
        <f t="shared" si="63"/>
        <v>8.9709999999999965</v>
      </c>
    </row>
    <row r="210" spans="1:46" ht="16.5" x14ac:dyDescent="0.4">
      <c r="A210" s="4" t="s">
        <v>986</v>
      </c>
      <c r="B210" s="4" t="s">
        <v>513</v>
      </c>
      <c r="C210" s="7" t="s">
        <v>1789</v>
      </c>
      <c r="D210" s="4" t="s">
        <v>987</v>
      </c>
      <c r="E210" s="4" t="s">
        <v>988</v>
      </c>
      <c r="F210" s="4" t="s">
        <v>989</v>
      </c>
      <c r="G210" s="7" t="str">
        <f>VLOOKUP(A210,[1]done!$A:$I,9,0)</f>
        <v>Lawn Fertilizer</v>
      </c>
      <c r="H210" s="7" t="str" cm="1">
        <f t="array" ref="H210">_xlfn.IFS(
OR(ISNUMBER(SEARCH("mouse",E210)),ISNUMBER(SEARCH("rat",E210)),ISNUMBER(SEARCH("mice",E210)),ISNUMBER(SEARCH("rodent",E210))),"Rodent Control",
OR(ISNUMBER(SEARCH("fly",E210)),ISNUMBER(SEARCH("gnat",E210)),ISNUMBER(SEARCH("insect",E210)),ISNUMBER(SEARCH("mosquito",E210))),"Flying Insect Control",
OR(ISNUMBER(SEARCH("roach",E210)),ISNUMBER(SEARCH("ant",E210)),ISNUMBER(SEARCH("spider",E210)),ISNUMBER(SEARCH("cricket",E210)),ISNUMBER(SEARCH("scorpion",E210)),ISNUMBER(SEARCH("centipede",E210)),ISNUMBER(SEARCH("beetle",E210))),"Crawling Insect Control",
OR(ISNUMBER(SEARCH("tree",E210)),ISNUMBER(SEARCH("lantern",E210)),ISNUMBER(SEARCH("garden",E210)),ISNUMBER(SEARCH("plant",E210))),"Garden Pest Control",
OR(ISNUMBER(SEARCH("grass seed",E210)),ISNUMBER(SEARCH("seed mix",E210))),"Grass Seed",
OR(ISNUMBER(SEARCH("lawn food",E210)),ISNUMBER(SEARCH("fertilizer",E210))),"Lawn Fertilizer",
OR(ISNUMBER(SEARCH("patch",E210)),ISNUMBER(SEARCH("repair",E210)),ISNUMBER(SEARCH("thick'r",E210)),ISNUMBER(SEARCH("thick'r lawn",E210)),ISNUMBER(SEARCH("rapid grass",E210))),"Lawn Repair",
OR(ISNUMBER(SEARCH("weed",E210)),ISNUMBER(SEARCH("crabgrass",E210))),"Weed Control",
OR(ISNUMBER(SEARCH("fungicide",E210)),ISNUMBER(SEARCH("moss",E210))),"Disease &amp; Moss Control",
OR(ISNUMBER(SEARCH("plant food",E210)),ISNUMBER(SEARCH("miracid",E210))),"Plant Nutrition",
OR(ISNUMBER(SEARCH("perlite",E210))),"Soil Amendment",
OR(ISNUMBER(SEARCH("spreader",E210)),ISNUMBER(SEARCH("sprayer",E210)),ISNUMBER(SEARCH("mower",E210)),ISNUMBER(SEARCH("sweeper",E210)),ISNUMBER(SEARCH("pruner",E210)),ISNUMBER(SEARCH("trimmer",E210)),ISNUMBER(SEARCH("pole saw",E210))),"Garden Equipment",
TRUE,"Other"
)</f>
        <v>Lawn Fertilizer</v>
      </c>
      <c r="I210" s="7" t="str" cm="1">
        <f t="array" ref="I210">_xlfn.IFS(
OR(ISNUMBER(SEARCH("glue trap",E210)),ISNUMBER(SEARCH("glue board",E210))),"Glue Traps",
OR(ISNUMBER(SEARCH("snap trap",E210)),ISNUMBER(SEARCH("power-kill",E210)),ISNUMBER(SEARCH("wide pedal",E210)),ISNUMBER(SEARCH("metal pedal",E210))),"Snap Traps",
OR(ISNUMBER(SEARCH("electronic",E210)),ISNUMBER(SEARCH("zapper",E210))),"Electronic Traps",
OR(ISNUMBER(SEARCH("live catch",E210)),ISNUMBER(SEARCH("multi-catch",E210)),ISNUMBER(SEARCH("catch &amp; hold",E210)),ISNUMBER(SEARCH("tin cat",E210))),"Live Catch Traps",
OR(ISNUMBER(SEARCH("bait",E210)),ISNUMBER(SEARCH("poison",E210))),"Bait &amp; Poison",
ISNUMBER(SEARCH("repellent",E210)),"Repellents",
OR(ISNUMBER(SEARCH("fly trap",E210)),ISNUMBER(SEARCH("fly ribbon",E210)),ISNUMBER(SEARCH("fly stick",E210)),ISNUMBER(SEARCH("window fly",E210)),ISNUMBER(SEARCH("fly magnet",E210))),"Fly Traps",
OR(ISNUMBER(SEARCH("uv",E210)),ISNUMBER(SEARCH("fly light",E210)),ISNUMBER(SEARCH("plug-in",E210))),"UV Fly Traps",
ISNUMBER(SEARCH("roach",E210)),"Roach Traps",
ISNUMBER(SEARCH("ant",E210)),"Ant Traps",
ISNUMBER(SEARCH("spider",E210)),"Spider Traps",
ISNUMBER(SEARCH("mosquito",E210)),"Mosquito Traps",
ISNUMBER(SEARCH("beetle",E210)),"Beetle Traps",
ISNUMBER(SEARCH("lantern",E210)),"Lanternfly Control",
OR(ISNUMBER(SEARCH("tree shield",E210)),ISNUMBER(SEARCH("tree banding",E210)),ISNUMBER(SEARCH("insect barrier",E210))),"Tree Barriers",
OR(ISNUMBER(SEARCH("sun &amp; shade",E210)),ISNUMBER(SEARCH("sun and shade",E210))),"Sun &amp; Shade Mix",
ISNUMBER(SEARCH("tall fescue",E210)),"Tall Fescue",
ISNUMBER(SEARCH("bermudagrass",E210)),"Bermudagrass",
ISNUMBER(SEARCH("kentucky",E210)),"Kentucky Bluegrass",
ISNUMBER(SEARCH("zoysia",E210)),"Zoysia",
ISNUMBER(SEARCH("ryegrass",E210)),"Perennial Ryegrass",
ISNUMBER(SEARCH("centipede",E210)),"Centipede Grass",
ISNUMBER(SEARCH("dense shade",E210)),"Dense Shade Mix",
ISNUMBER(SEARCH("southern gold",E210)),"Southern Gold Mix",
ISNUMBER(SEARCH("heat-tolerant blue",E210)),"Heat-Tolerant Blue Mix",
ISNUMBER(SEARCH("high traffic",E210)),"High Traffic Mix",
ISNUMBER(SEARCH("quick fix",E210)),"Quick Fix Mix",
ISNUMBER(SEARCH("starter",E210)),"Starter Fertilizer",
ISNUMBER(SEARCH("weed &amp; feed",E210)),"Weed &amp; Feed",
ISNUMBER(SEARCH("lawn food",E210)),"Lawn Food",
ISNUMBER(SEARCH("triple action",E210)),"Triple Action Fertilizer",
ISNUMBER(SEARCH("green max",E210)),"Green Max Lawn Food",
ISNUMBER(SEARCH("patchmaster",E210)),"PatchMaster Repair",
ISNUMBER(SEARCH("ez seed",E210)),"EZ Seed Repair",
ISNUMBER(SEARCH("rapid grass",E210)),"Rapid Grass",
ISNUMBER(SEARCH("thick'r lawn",E210)),"Thick'R Lawn",
ISNUMBER(SEARCH("fungicide",E210)),"Fungicide",
ISNUMBER(SEARCH("moss",E210)),"Moss Control",
ISNUMBER(SEARCH("perlite",E210)),"Perlite",
ISNUMBER(SEARCH("plant food",E210)),"Plant Food",
ISNUMBER(SEARCH("spreader",E210)),"Spreader",
ISNUMBER(SEARCH("sprayer",E210)),"Sprayer",
ISNUMBER(SEARCH("mower",E210)),"Lawn Mower",
ISNUMBER(SEARCH("sweeper",E210)),"Lawn Sweeper",
OR(ISNUMBER(SEARCH("pruner",E210)),ISNUMBER(SEARCH("trimmer",E210)),ISNUMBER(SEARCH("pole saw",E210))),"Pruning Tools",
TRUE,"Other"
)</f>
        <v>Lawn Food</v>
      </c>
      <c r="J210" s="7" t="str">
        <f t="shared" si="54"/>
        <v>Lawn Fertilizer - Lawn Food</v>
      </c>
      <c r="K210" s="4">
        <v>200</v>
      </c>
      <c r="L210" s="4">
        <v>4.5</v>
      </c>
      <c r="M210" s="4">
        <v>519</v>
      </c>
      <c r="N210" s="4" t="s">
        <v>990</v>
      </c>
      <c r="O210" s="4">
        <f>VLOOKUP(A210,[3]Sheet1!$A:$B,2,0)</f>
        <v>0</v>
      </c>
      <c r="P210" s="4">
        <f>VLOOKUP(A210,[3]Sheet1!$A:$C,3,0)</f>
        <v>0</v>
      </c>
      <c r="Q210" s="4">
        <f>VLOOKUP(A210,[3]Sheet1!$A:$D,4,0)</f>
        <v>50</v>
      </c>
      <c r="R210" s="4">
        <f>VLOOKUP(A210,[3]Sheet1!$A:$E,5,0)</f>
        <v>100</v>
      </c>
      <c r="S210" s="4">
        <f>VLOOKUP(A210,[3]Sheet1!$A:$F,6,0)</f>
        <v>200</v>
      </c>
      <c r="T210" s="4">
        <f>VLOOKUP(A210,[3]Sheet1!$A:$G,7,0)</f>
        <v>400</v>
      </c>
      <c r="U210" s="4">
        <f>VLOOKUP(A210,[3]Sheet1!$A:$I,8,0)</f>
        <v>200</v>
      </c>
      <c r="V210" s="4">
        <f>VLOOKUP(A210,[3]Sheet1!$A:$J,9,0)</f>
        <v>200</v>
      </c>
      <c r="W210" s="4">
        <f>VLOOKUP(A210,[3]Sheet1!$A:$J,10,0)</f>
        <v>200</v>
      </c>
      <c r="X210" s="4">
        <f>VLOOKUP(A210,[3]Sheet1!$A:$K,11,0)</f>
        <v>100</v>
      </c>
      <c r="Y210" s="4">
        <f>VLOOKUP(A210,[3]Sheet1!$A:$L,12,0)</f>
        <v>50</v>
      </c>
      <c r="Z210" s="4">
        <f>VLOOKUP(A210,[3]Sheet1!$A:$M,13,0)</f>
        <v>0</v>
      </c>
      <c r="AA210" s="4">
        <f t="shared" si="48"/>
        <v>1500</v>
      </c>
      <c r="AB210" s="7">
        <f t="shared" si="55"/>
        <v>125</v>
      </c>
      <c r="AC210" s="15">
        <f t="shared" si="49"/>
        <v>125</v>
      </c>
      <c r="AD210" s="16">
        <f t="shared" si="50"/>
        <v>67335</v>
      </c>
      <c r="AE210" s="16">
        <f t="shared" si="51"/>
        <v>5611.25</v>
      </c>
      <c r="AF210" s="16">
        <v>10.86</v>
      </c>
      <c r="AG210" s="16">
        <v>44.89</v>
      </c>
      <c r="AH210" s="8">
        <f t="shared" si="52"/>
        <v>0.40640000000000009</v>
      </c>
      <c r="AI210" s="8">
        <f t="shared" si="53"/>
        <v>1.4224000000000003</v>
      </c>
      <c r="AJ210" s="10">
        <v>0.5</v>
      </c>
      <c r="AK210" s="10">
        <v>0.5</v>
      </c>
      <c r="AL210" s="16">
        <v>10.86</v>
      </c>
      <c r="AM210" s="9">
        <f t="shared" si="56"/>
        <v>6.7335000000000003</v>
      </c>
      <c r="AN210" s="9">
        <f t="shared" si="57"/>
        <v>1.3467</v>
      </c>
      <c r="AO210" s="9">
        <f t="shared" si="58"/>
        <v>8.9779999999999998</v>
      </c>
      <c r="AP210" s="9">
        <f t="shared" si="59"/>
        <v>0.89780000000000004</v>
      </c>
      <c r="AQ210" s="9">
        <f t="shared" si="60"/>
        <v>8.9779999999999998</v>
      </c>
      <c r="AR210" s="9">
        <f t="shared" si="61"/>
        <v>11.2225</v>
      </c>
      <c r="AS210" s="11">
        <f t="shared" si="62"/>
        <v>4.0640000000000009</v>
      </c>
      <c r="AT210" s="12">
        <f t="shared" si="63"/>
        <v>2.5676666666666677</v>
      </c>
    </row>
    <row r="211" spans="1:46" ht="16.5" x14ac:dyDescent="0.4">
      <c r="A211" s="4" t="s">
        <v>991</v>
      </c>
      <c r="B211" s="4" t="s">
        <v>513</v>
      </c>
      <c r="C211" s="7" t="s">
        <v>1784</v>
      </c>
      <c r="D211" s="4" t="s">
        <v>992</v>
      </c>
      <c r="E211" s="4" t="s">
        <v>993</v>
      </c>
      <c r="F211" s="4" t="s">
        <v>994</v>
      </c>
      <c r="G211" s="7" t="str">
        <f>VLOOKUP(A211,[1]done!$A:$I,9,0)</f>
        <v>Grass Seed</v>
      </c>
      <c r="H211" s="7" t="str" cm="1">
        <f t="array" ref="H211">_xlfn.IFS(
OR(ISNUMBER(SEARCH("mouse",E211)),ISNUMBER(SEARCH("rat",E211)),ISNUMBER(SEARCH("mice",E211)),ISNUMBER(SEARCH("rodent",E211))),"Rodent Control",
OR(ISNUMBER(SEARCH("fly",E211)),ISNUMBER(SEARCH("gnat",E211)),ISNUMBER(SEARCH("insect",E211)),ISNUMBER(SEARCH("mosquito",E211))),"Flying Insect Control",
OR(ISNUMBER(SEARCH("roach",E211)),ISNUMBER(SEARCH("ant",E211)),ISNUMBER(SEARCH("spider",E211)),ISNUMBER(SEARCH("cricket",E211)),ISNUMBER(SEARCH("scorpion",E211)),ISNUMBER(SEARCH("centipede",E211)),ISNUMBER(SEARCH("beetle",E211))),"Crawling Insect Control",
OR(ISNUMBER(SEARCH("tree",E211)),ISNUMBER(SEARCH("lantern",E211)),ISNUMBER(SEARCH("garden",E211)),ISNUMBER(SEARCH("plant",E211))),"Garden Pest Control",
OR(ISNUMBER(SEARCH("grass seed",E211)),ISNUMBER(SEARCH("seed mix",E211))),"Grass Seed",
OR(ISNUMBER(SEARCH("lawn food",E211)),ISNUMBER(SEARCH("fertilizer",E211))),"Lawn Fertilizer",
OR(ISNUMBER(SEARCH("patch",E211)),ISNUMBER(SEARCH("repair",E211)),ISNUMBER(SEARCH("thick'r",E211)),ISNUMBER(SEARCH("thick'r lawn",E211)),ISNUMBER(SEARCH("rapid grass",E211))),"Lawn Repair",
OR(ISNUMBER(SEARCH("weed",E211)),ISNUMBER(SEARCH("crabgrass",E211))),"Weed Control",
OR(ISNUMBER(SEARCH("fungicide",E211)),ISNUMBER(SEARCH("moss",E211))),"Disease &amp; Moss Control",
OR(ISNUMBER(SEARCH("plant food",E211)),ISNUMBER(SEARCH("miracid",E211))),"Plant Nutrition",
OR(ISNUMBER(SEARCH("perlite",E211))),"Soil Amendment",
OR(ISNUMBER(SEARCH("spreader",E211)),ISNUMBER(SEARCH("sprayer",E211)),ISNUMBER(SEARCH("mower",E211)),ISNUMBER(SEARCH("sweeper",E211)),ISNUMBER(SEARCH("pruner",E211)),ISNUMBER(SEARCH("trimmer",E211)),ISNUMBER(SEARCH("pole saw",E211))),"Garden Equipment",
TRUE,"Other"
)</f>
        <v>Grass Seed</v>
      </c>
      <c r="I211" s="7" t="str" cm="1">
        <f t="array" ref="I211">_xlfn.IFS(
OR(ISNUMBER(SEARCH("glue trap",E211)),ISNUMBER(SEARCH("glue board",E211))),"Glue Traps",
OR(ISNUMBER(SEARCH("snap trap",E211)),ISNUMBER(SEARCH("power-kill",E211)),ISNUMBER(SEARCH("wide pedal",E211)),ISNUMBER(SEARCH("metal pedal",E211))),"Snap Traps",
OR(ISNUMBER(SEARCH("electronic",E211)),ISNUMBER(SEARCH("zapper",E211))),"Electronic Traps",
OR(ISNUMBER(SEARCH("live catch",E211)),ISNUMBER(SEARCH("multi-catch",E211)),ISNUMBER(SEARCH("catch &amp; hold",E211)),ISNUMBER(SEARCH("tin cat",E211))),"Live Catch Traps",
OR(ISNUMBER(SEARCH("bait",E211)),ISNUMBER(SEARCH("poison",E211))),"Bait &amp; Poison",
ISNUMBER(SEARCH("repellent",E211)),"Repellents",
OR(ISNUMBER(SEARCH("fly trap",E211)),ISNUMBER(SEARCH("fly ribbon",E211)),ISNUMBER(SEARCH("fly stick",E211)),ISNUMBER(SEARCH("window fly",E211)),ISNUMBER(SEARCH("fly magnet",E211))),"Fly Traps",
OR(ISNUMBER(SEARCH("uv",E211)),ISNUMBER(SEARCH("fly light",E211)),ISNUMBER(SEARCH("plug-in",E211))),"UV Fly Traps",
ISNUMBER(SEARCH("roach",E211)),"Roach Traps",
ISNUMBER(SEARCH("ant",E211)),"Ant Traps",
ISNUMBER(SEARCH("spider",E211)),"Spider Traps",
ISNUMBER(SEARCH("mosquito",E211)),"Mosquito Traps",
ISNUMBER(SEARCH("beetle",E211)),"Beetle Traps",
ISNUMBER(SEARCH("lantern",E211)),"Lanternfly Control",
OR(ISNUMBER(SEARCH("tree shield",E211)),ISNUMBER(SEARCH("tree banding",E211)),ISNUMBER(SEARCH("insect barrier",E211))),"Tree Barriers",
OR(ISNUMBER(SEARCH("sun &amp; shade",E211)),ISNUMBER(SEARCH("sun and shade",E211))),"Sun &amp; Shade Mix",
ISNUMBER(SEARCH("tall fescue",E211)),"Tall Fescue",
ISNUMBER(SEARCH("bermudagrass",E211)),"Bermudagrass",
ISNUMBER(SEARCH("kentucky",E211)),"Kentucky Bluegrass",
ISNUMBER(SEARCH("zoysia",E211)),"Zoysia",
ISNUMBER(SEARCH("ryegrass",E211)),"Perennial Ryegrass",
ISNUMBER(SEARCH("centipede",E211)),"Centipede Grass",
ISNUMBER(SEARCH("dense shade",E211)),"Dense Shade Mix",
ISNUMBER(SEARCH("southern gold",E211)),"Southern Gold Mix",
ISNUMBER(SEARCH("heat-tolerant blue",E211)),"Heat-Tolerant Blue Mix",
ISNUMBER(SEARCH("high traffic",E211)),"High Traffic Mix",
ISNUMBER(SEARCH("quick fix",E211)),"Quick Fix Mix",
ISNUMBER(SEARCH("starter",E211)),"Starter Fertilizer",
ISNUMBER(SEARCH("weed &amp; feed",E211)),"Weed &amp; Feed",
ISNUMBER(SEARCH("lawn food",E211)),"Lawn Food",
ISNUMBER(SEARCH("triple action",E211)),"Triple Action Fertilizer",
ISNUMBER(SEARCH("green max",E211)),"Green Max Lawn Food",
ISNUMBER(SEARCH("patchmaster",E211)),"PatchMaster Repair",
ISNUMBER(SEARCH("ez seed",E211)),"EZ Seed Repair",
ISNUMBER(SEARCH("rapid grass",E211)),"Rapid Grass",
ISNUMBER(SEARCH("thick'r lawn",E211)),"Thick'R Lawn",
ISNUMBER(SEARCH("fungicide",E211)),"Fungicide",
ISNUMBER(SEARCH("moss",E211)),"Moss Control",
ISNUMBER(SEARCH("perlite",E211)),"Perlite",
ISNUMBER(SEARCH("plant food",E211)),"Plant Food",
ISNUMBER(SEARCH("spreader",E211)),"Spreader",
ISNUMBER(SEARCH("sprayer",E211)),"Sprayer",
ISNUMBER(SEARCH("mower",E211)),"Lawn Mower",
ISNUMBER(SEARCH("sweeper",E211)),"Lawn Sweeper",
OR(ISNUMBER(SEARCH("pruner",E211)),ISNUMBER(SEARCH("trimmer",E211)),ISNUMBER(SEARCH("pole saw",E211))),"Pruning Tools",
TRUE,"Other"
)</f>
        <v>Tall Fescue</v>
      </c>
      <c r="J211" s="7" t="str">
        <f t="shared" si="54"/>
        <v>Grass Seed - Tall Fescue</v>
      </c>
      <c r="K211" s="4">
        <v>100</v>
      </c>
      <c r="L211" s="4">
        <v>4.2</v>
      </c>
      <c r="M211" s="4">
        <v>3657</v>
      </c>
      <c r="N211" s="4" t="s">
        <v>995</v>
      </c>
      <c r="O211" s="4">
        <f>VLOOKUP(A211,[3]Sheet1!$A:$B,2,0)</f>
        <v>0</v>
      </c>
      <c r="P211" s="4">
        <f>VLOOKUP(A211,[3]Sheet1!$A:$C,3,0)</f>
        <v>0</v>
      </c>
      <c r="Q211" s="4">
        <f>VLOOKUP(A211,[3]Sheet1!$A:$D,4,0)</f>
        <v>100</v>
      </c>
      <c r="R211" s="4">
        <f>VLOOKUP(A211,[3]Sheet1!$A:$E,5,0)</f>
        <v>400</v>
      </c>
      <c r="S211" s="4">
        <f>VLOOKUP(A211,[3]Sheet1!$A:$F,6,0)</f>
        <v>200</v>
      </c>
      <c r="T211" s="4">
        <f>VLOOKUP(A211,[3]Sheet1!$A:$G,7,0)</f>
        <v>200</v>
      </c>
      <c r="U211" s="4">
        <f>VLOOKUP(A211,[3]Sheet1!$A:$I,8,0)</f>
        <v>50</v>
      </c>
      <c r="V211" s="4">
        <f>VLOOKUP(A211,[3]Sheet1!$A:$J,9,0)</f>
        <v>100</v>
      </c>
      <c r="W211" s="4">
        <f>VLOOKUP(A211,[3]Sheet1!$A:$J,10,0)</f>
        <v>100</v>
      </c>
      <c r="X211" s="4">
        <f>VLOOKUP(A211,[3]Sheet1!$A:$K,11,0)</f>
        <v>100</v>
      </c>
      <c r="Y211" s="4">
        <f>VLOOKUP(A211,[3]Sheet1!$A:$L,12,0)</f>
        <v>50</v>
      </c>
      <c r="Z211" s="4">
        <f>VLOOKUP(A211,[3]Sheet1!$A:$M,13,0)</f>
        <v>0</v>
      </c>
      <c r="AA211" s="4">
        <f t="shared" si="48"/>
        <v>1300</v>
      </c>
      <c r="AB211" s="7">
        <f t="shared" si="55"/>
        <v>108</v>
      </c>
      <c r="AC211" s="15">
        <f t="shared" si="49"/>
        <v>108.33333333333333</v>
      </c>
      <c r="AD211" s="16">
        <f t="shared" si="50"/>
        <v>159900</v>
      </c>
      <c r="AE211" s="16">
        <f t="shared" si="51"/>
        <v>13325</v>
      </c>
      <c r="AF211" s="16">
        <v>23</v>
      </c>
      <c r="AG211" s="16">
        <v>123</v>
      </c>
      <c r="AH211" s="8">
        <f t="shared" si="52"/>
        <v>1.6799999999999997</v>
      </c>
      <c r="AI211" s="8">
        <f t="shared" si="53"/>
        <v>5.879999999999999</v>
      </c>
      <c r="AJ211" s="10">
        <v>0.5</v>
      </c>
      <c r="AK211" s="10">
        <v>0.5</v>
      </c>
      <c r="AL211" s="16">
        <v>23</v>
      </c>
      <c r="AM211" s="9">
        <f t="shared" si="56"/>
        <v>18.45</v>
      </c>
      <c r="AN211" s="9">
        <f t="shared" si="57"/>
        <v>3.69</v>
      </c>
      <c r="AO211" s="9">
        <f t="shared" si="58"/>
        <v>24.6</v>
      </c>
      <c r="AP211" s="9">
        <f t="shared" si="59"/>
        <v>2.46</v>
      </c>
      <c r="AQ211" s="9">
        <f t="shared" si="60"/>
        <v>24.6</v>
      </c>
      <c r="AR211" s="9">
        <f t="shared" si="61"/>
        <v>30.75</v>
      </c>
      <c r="AS211" s="11">
        <f t="shared" si="62"/>
        <v>16.799999999999997</v>
      </c>
      <c r="AT211" s="12">
        <f t="shared" si="63"/>
        <v>12.699999999999998</v>
      </c>
    </row>
    <row r="212" spans="1:46" ht="16.5" x14ac:dyDescent="0.4">
      <c r="A212" s="4" t="s">
        <v>996</v>
      </c>
      <c r="B212" s="4" t="s">
        <v>513</v>
      </c>
      <c r="C212" s="7" t="s">
        <v>1784</v>
      </c>
      <c r="D212" s="4" t="s">
        <v>997</v>
      </c>
      <c r="E212" s="4" t="s">
        <v>998</v>
      </c>
      <c r="F212" s="4" t="s">
        <v>999</v>
      </c>
      <c r="G212" s="7" t="str">
        <f>VLOOKUP(A212,[1]done!$A:$I,9,0)</f>
        <v>Grass Seed</v>
      </c>
      <c r="H212" s="7" t="str" cm="1">
        <f t="array" ref="H212">_xlfn.IFS(
OR(ISNUMBER(SEARCH("mouse",E212)),ISNUMBER(SEARCH("rat",E212)),ISNUMBER(SEARCH("mice",E212)),ISNUMBER(SEARCH("rodent",E212))),"Rodent Control",
OR(ISNUMBER(SEARCH("fly",E212)),ISNUMBER(SEARCH("gnat",E212)),ISNUMBER(SEARCH("insect",E212)),ISNUMBER(SEARCH("mosquito",E212))),"Flying Insect Control",
OR(ISNUMBER(SEARCH("roach",E212)),ISNUMBER(SEARCH("ant",E212)),ISNUMBER(SEARCH("spider",E212)),ISNUMBER(SEARCH("cricket",E212)),ISNUMBER(SEARCH("scorpion",E212)),ISNUMBER(SEARCH("centipede",E212)),ISNUMBER(SEARCH("beetle",E212))),"Crawling Insect Control",
OR(ISNUMBER(SEARCH("tree",E212)),ISNUMBER(SEARCH("lantern",E212)),ISNUMBER(SEARCH("garden",E212)),ISNUMBER(SEARCH("plant",E212))),"Garden Pest Control",
OR(ISNUMBER(SEARCH("grass seed",E212)),ISNUMBER(SEARCH("seed mix",E212))),"Grass Seed",
OR(ISNUMBER(SEARCH("lawn food",E212)),ISNUMBER(SEARCH("fertilizer",E212))),"Lawn Fertilizer",
OR(ISNUMBER(SEARCH("patch",E212)),ISNUMBER(SEARCH("repair",E212)),ISNUMBER(SEARCH("thick'r",E212)),ISNUMBER(SEARCH("thick'r lawn",E212)),ISNUMBER(SEARCH("rapid grass",E212))),"Lawn Repair",
OR(ISNUMBER(SEARCH("weed",E212)),ISNUMBER(SEARCH("crabgrass",E212))),"Weed Control",
OR(ISNUMBER(SEARCH("fungicide",E212)),ISNUMBER(SEARCH("moss",E212))),"Disease &amp; Moss Control",
OR(ISNUMBER(SEARCH("plant food",E212)),ISNUMBER(SEARCH("miracid",E212))),"Plant Nutrition",
OR(ISNUMBER(SEARCH("perlite",E212))),"Soil Amendment",
OR(ISNUMBER(SEARCH("spreader",E212)),ISNUMBER(SEARCH("sprayer",E212)),ISNUMBER(SEARCH("mower",E212)),ISNUMBER(SEARCH("sweeper",E212)),ISNUMBER(SEARCH("pruner",E212)),ISNUMBER(SEARCH("trimmer",E212)),ISNUMBER(SEARCH("pole saw",E212))),"Garden Equipment",
TRUE,"Other"
)</f>
        <v>Grass Seed</v>
      </c>
      <c r="I212" s="7" t="str" cm="1">
        <f t="array" ref="I212">_xlfn.IFS(
OR(ISNUMBER(SEARCH("glue trap",E212)),ISNUMBER(SEARCH("glue board",E212))),"Glue Traps",
OR(ISNUMBER(SEARCH("snap trap",E212)),ISNUMBER(SEARCH("power-kill",E212)),ISNUMBER(SEARCH("wide pedal",E212)),ISNUMBER(SEARCH("metal pedal",E212))),"Snap Traps",
OR(ISNUMBER(SEARCH("electronic",E212)),ISNUMBER(SEARCH("zapper",E212))),"Electronic Traps",
OR(ISNUMBER(SEARCH("live catch",E212)),ISNUMBER(SEARCH("multi-catch",E212)),ISNUMBER(SEARCH("catch &amp; hold",E212)),ISNUMBER(SEARCH("tin cat",E212))),"Live Catch Traps",
OR(ISNUMBER(SEARCH("bait",E212)),ISNUMBER(SEARCH("poison",E212))),"Bait &amp; Poison",
ISNUMBER(SEARCH("repellent",E212)),"Repellents",
OR(ISNUMBER(SEARCH("fly trap",E212)),ISNUMBER(SEARCH("fly ribbon",E212)),ISNUMBER(SEARCH("fly stick",E212)),ISNUMBER(SEARCH("window fly",E212)),ISNUMBER(SEARCH("fly magnet",E212))),"Fly Traps",
OR(ISNUMBER(SEARCH("uv",E212)),ISNUMBER(SEARCH("fly light",E212)),ISNUMBER(SEARCH("plug-in",E212))),"UV Fly Traps",
ISNUMBER(SEARCH("roach",E212)),"Roach Traps",
ISNUMBER(SEARCH("ant",E212)),"Ant Traps",
ISNUMBER(SEARCH("spider",E212)),"Spider Traps",
ISNUMBER(SEARCH("mosquito",E212)),"Mosquito Traps",
ISNUMBER(SEARCH("beetle",E212)),"Beetle Traps",
ISNUMBER(SEARCH("lantern",E212)),"Lanternfly Control",
OR(ISNUMBER(SEARCH("tree shield",E212)),ISNUMBER(SEARCH("tree banding",E212)),ISNUMBER(SEARCH("insect barrier",E212))),"Tree Barriers",
OR(ISNUMBER(SEARCH("sun &amp; shade",E212)),ISNUMBER(SEARCH("sun and shade",E212))),"Sun &amp; Shade Mix",
ISNUMBER(SEARCH("tall fescue",E212)),"Tall Fescue",
ISNUMBER(SEARCH("bermudagrass",E212)),"Bermudagrass",
ISNUMBER(SEARCH("kentucky",E212)),"Kentucky Bluegrass",
ISNUMBER(SEARCH("zoysia",E212)),"Zoysia",
ISNUMBER(SEARCH("ryegrass",E212)),"Perennial Ryegrass",
ISNUMBER(SEARCH("centipede",E212)),"Centipede Grass",
ISNUMBER(SEARCH("dense shade",E212)),"Dense Shade Mix",
ISNUMBER(SEARCH("southern gold",E212)),"Southern Gold Mix",
ISNUMBER(SEARCH("heat-tolerant blue",E212)),"Heat-Tolerant Blue Mix",
ISNUMBER(SEARCH("high traffic",E212)),"High Traffic Mix",
ISNUMBER(SEARCH("quick fix",E212)),"Quick Fix Mix",
ISNUMBER(SEARCH("starter",E212)),"Starter Fertilizer",
ISNUMBER(SEARCH("weed &amp; feed",E212)),"Weed &amp; Feed",
ISNUMBER(SEARCH("lawn food",E212)),"Lawn Food",
ISNUMBER(SEARCH("triple action",E212)),"Triple Action Fertilizer",
ISNUMBER(SEARCH("green max",E212)),"Green Max Lawn Food",
ISNUMBER(SEARCH("patchmaster",E212)),"PatchMaster Repair",
ISNUMBER(SEARCH("ez seed",E212)),"EZ Seed Repair",
ISNUMBER(SEARCH("rapid grass",E212)),"Rapid Grass",
ISNUMBER(SEARCH("thick'r lawn",E212)),"Thick'R Lawn",
ISNUMBER(SEARCH("fungicide",E212)),"Fungicide",
ISNUMBER(SEARCH("moss",E212)),"Moss Control",
ISNUMBER(SEARCH("perlite",E212)),"Perlite",
ISNUMBER(SEARCH("plant food",E212)),"Plant Food",
ISNUMBER(SEARCH("spreader",E212)),"Spreader",
ISNUMBER(SEARCH("sprayer",E212)),"Sprayer",
ISNUMBER(SEARCH("mower",E212)),"Lawn Mower",
ISNUMBER(SEARCH("sweeper",E212)),"Lawn Sweeper",
OR(ISNUMBER(SEARCH("pruner",E212)),ISNUMBER(SEARCH("trimmer",E212)),ISNUMBER(SEARCH("pole saw",E212))),"Pruning Tools",
TRUE,"Other"
)</f>
        <v>Tall Fescue</v>
      </c>
      <c r="J212" s="7" t="str">
        <f t="shared" si="54"/>
        <v>Grass Seed - Tall Fescue</v>
      </c>
      <c r="K212" s="4">
        <v>100</v>
      </c>
      <c r="L212" s="4">
        <v>4.2</v>
      </c>
      <c r="M212" s="4">
        <v>3657</v>
      </c>
      <c r="N212" s="4" t="s">
        <v>606</v>
      </c>
      <c r="O212" s="4">
        <f>VLOOKUP(A212,[3]Sheet1!$A:$B,2,0)</f>
        <v>0</v>
      </c>
      <c r="P212" s="4">
        <f>VLOOKUP(A212,[3]Sheet1!$A:$C,3,0)</f>
        <v>0</v>
      </c>
      <c r="Q212" s="4">
        <f>VLOOKUP(A212,[3]Sheet1!$A:$D,4,0)</f>
        <v>800</v>
      </c>
      <c r="R212" s="4">
        <f>VLOOKUP(A212,[3]Sheet1!$A:$E,5,0)</f>
        <v>400</v>
      </c>
      <c r="S212" s="4">
        <f>VLOOKUP(A212,[3]Sheet1!$A:$F,6,0)</f>
        <v>200</v>
      </c>
      <c r="T212" s="4">
        <f>VLOOKUP(A212,[3]Sheet1!$A:$G,7,0)</f>
        <v>200</v>
      </c>
      <c r="U212" s="4">
        <f>VLOOKUP(A212,[3]Sheet1!$A:$I,8,0)</f>
        <v>100</v>
      </c>
      <c r="V212" s="4">
        <f>VLOOKUP(A212,[3]Sheet1!$A:$J,9,0)</f>
        <v>100</v>
      </c>
      <c r="W212" s="4">
        <f>VLOOKUP(A212,[3]Sheet1!$A:$J,10,0)</f>
        <v>100</v>
      </c>
      <c r="X212" s="4">
        <f>VLOOKUP(A212,[3]Sheet1!$A:$K,11,0)</f>
        <v>200</v>
      </c>
      <c r="Y212" s="4">
        <f>VLOOKUP(A212,[3]Sheet1!$A:$L,12,0)</f>
        <v>100</v>
      </c>
      <c r="Z212" s="4">
        <f>VLOOKUP(A212,[3]Sheet1!$A:$M,13,0)</f>
        <v>50</v>
      </c>
      <c r="AA212" s="4">
        <f t="shared" si="48"/>
        <v>2250</v>
      </c>
      <c r="AB212" s="7">
        <f t="shared" si="55"/>
        <v>188</v>
      </c>
      <c r="AC212" s="15">
        <f t="shared" si="49"/>
        <v>187.5</v>
      </c>
      <c r="AD212" s="16">
        <f t="shared" si="50"/>
        <v>35932.5</v>
      </c>
      <c r="AE212" s="16">
        <f t="shared" si="51"/>
        <v>2994.375</v>
      </c>
      <c r="AF212" s="16">
        <v>6.48</v>
      </c>
      <c r="AG212" s="16">
        <v>15.97</v>
      </c>
      <c r="AH212" s="8">
        <f t="shared" si="52"/>
        <v>-7.2800000000000017E-2</v>
      </c>
      <c r="AI212" s="8">
        <f t="shared" si="53"/>
        <v>-0.25480000000000003</v>
      </c>
      <c r="AJ212" s="10">
        <v>0.5</v>
      </c>
      <c r="AK212" s="10">
        <v>0.5</v>
      </c>
      <c r="AL212" s="16">
        <v>6.48</v>
      </c>
      <c r="AM212" s="9">
        <f t="shared" si="56"/>
        <v>2.3955000000000002</v>
      </c>
      <c r="AN212" s="9">
        <f t="shared" si="57"/>
        <v>0.47910000000000003</v>
      </c>
      <c r="AO212" s="9">
        <f t="shared" si="58"/>
        <v>3.1940000000000004</v>
      </c>
      <c r="AP212" s="9">
        <f t="shared" si="59"/>
        <v>0.31940000000000002</v>
      </c>
      <c r="AQ212" s="9">
        <f t="shared" si="60"/>
        <v>3.1940000000000004</v>
      </c>
      <c r="AR212" s="9">
        <f t="shared" si="61"/>
        <v>3.9925000000000002</v>
      </c>
      <c r="AS212" s="11">
        <f t="shared" si="62"/>
        <v>-0.72800000000000009</v>
      </c>
      <c r="AT212" s="12">
        <f t="shared" si="63"/>
        <v>-1.2603333333333333</v>
      </c>
    </row>
    <row r="213" spans="1:46" ht="16.5" x14ac:dyDescent="0.4">
      <c r="A213" s="4" t="s">
        <v>1000</v>
      </c>
      <c r="B213" s="4" t="s">
        <v>513</v>
      </c>
      <c r="C213" s="7" t="s">
        <v>1784</v>
      </c>
      <c r="D213" s="4" t="s">
        <v>1001</v>
      </c>
      <c r="E213" s="4" t="s">
        <v>1002</v>
      </c>
      <c r="F213" s="4" t="s">
        <v>1003</v>
      </c>
      <c r="G213" s="7" t="str">
        <f>VLOOKUP(A213,[1]done!$A:$I,9,0)</f>
        <v>Other - Scotts</v>
      </c>
      <c r="H213" s="7" t="str" cm="1">
        <f t="array" ref="H213">_xlfn.IFS(
OR(ISNUMBER(SEARCH("mouse",E213)),ISNUMBER(SEARCH("rat",E213)),ISNUMBER(SEARCH("mice",E213)),ISNUMBER(SEARCH("rodent",E213))),"Rodent Control",
OR(ISNUMBER(SEARCH("fly",E213)),ISNUMBER(SEARCH("gnat",E213)),ISNUMBER(SEARCH("insect",E213)),ISNUMBER(SEARCH("mosquito",E213))),"Flying Insect Control",
OR(ISNUMBER(SEARCH("roach",E213)),ISNUMBER(SEARCH("ant",E213)),ISNUMBER(SEARCH("spider",E213)),ISNUMBER(SEARCH("cricket",E213)),ISNUMBER(SEARCH("scorpion",E213)),ISNUMBER(SEARCH("centipede",E213)),ISNUMBER(SEARCH("beetle",E213))),"Crawling Insect Control",
OR(ISNUMBER(SEARCH("tree",E213)),ISNUMBER(SEARCH("lantern",E213)),ISNUMBER(SEARCH("garden",E213)),ISNUMBER(SEARCH("plant",E213))),"Garden Pest Control",
OR(ISNUMBER(SEARCH("grass seed",E213)),ISNUMBER(SEARCH("seed mix",E213))),"Grass Seed",
OR(ISNUMBER(SEARCH("lawn food",E213)),ISNUMBER(SEARCH("fertilizer",E213))),"Lawn Fertilizer",
OR(ISNUMBER(SEARCH("patch",E213)),ISNUMBER(SEARCH("repair",E213)),ISNUMBER(SEARCH("thick'r",E213)),ISNUMBER(SEARCH("thick'r lawn",E213)),ISNUMBER(SEARCH("rapid grass",E213))),"Lawn Repair",
OR(ISNUMBER(SEARCH("weed",E213)),ISNUMBER(SEARCH("crabgrass",E213))),"Weed Control",
OR(ISNUMBER(SEARCH("fungicide",E213)),ISNUMBER(SEARCH("moss",E213))),"Disease &amp; Moss Control",
OR(ISNUMBER(SEARCH("plant food",E213)),ISNUMBER(SEARCH("miracid",E213))),"Plant Nutrition",
OR(ISNUMBER(SEARCH("perlite",E213))),"Soil Amendment",
OR(ISNUMBER(SEARCH("spreader",E213)),ISNUMBER(SEARCH("sprayer",E213)),ISNUMBER(SEARCH("mower",E213)),ISNUMBER(SEARCH("sweeper",E213)),ISNUMBER(SEARCH("pruner",E213)),ISNUMBER(SEARCH("trimmer",E213)),ISNUMBER(SEARCH("pole saw",E213))),"Garden Equipment",
TRUE,"Other"
)</f>
        <v>Other</v>
      </c>
      <c r="I213" s="7" t="str" cm="1">
        <f t="array" ref="I213">_xlfn.IFS(
OR(ISNUMBER(SEARCH("glue trap",E213)),ISNUMBER(SEARCH("glue board",E213))),"Glue Traps",
OR(ISNUMBER(SEARCH("snap trap",E213)),ISNUMBER(SEARCH("power-kill",E213)),ISNUMBER(SEARCH("wide pedal",E213)),ISNUMBER(SEARCH("metal pedal",E213))),"Snap Traps",
OR(ISNUMBER(SEARCH("electronic",E213)),ISNUMBER(SEARCH("zapper",E213))),"Electronic Traps",
OR(ISNUMBER(SEARCH("live catch",E213)),ISNUMBER(SEARCH("multi-catch",E213)),ISNUMBER(SEARCH("catch &amp; hold",E213)),ISNUMBER(SEARCH("tin cat",E213))),"Live Catch Traps",
OR(ISNUMBER(SEARCH("bait",E213)),ISNUMBER(SEARCH("poison",E213))),"Bait &amp; Poison",
ISNUMBER(SEARCH("repellent",E213)),"Repellents",
OR(ISNUMBER(SEARCH("fly trap",E213)),ISNUMBER(SEARCH("fly ribbon",E213)),ISNUMBER(SEARCH("fly stick",E213)),ISNUMBER(SEARCH("window fly",E213)),ISNUMBER(SEARCH("fly magnet",E213))),"Fly Traps",
OR(ISNUMBER(SEARCH("uv",E213)),ISNUMBER(SEARCH("fly light",E213)),ISNUMBER(SEARCH("plug-in",E213))),"UV Fly Traps",
ISNUMBER(SEARCH("roach",E213)),"Roach Traps",
ISNUMBER(SEARCH("ant",E213)),"Ant Traps",
ISNUMBER(SEARCH("spider",E213)),"Spider Traps",
ISNUMBER(SEARCH("mosquito",E213)),"Mosquito Traps",
ISNUMBER(SEARCH("beetle",E213)),"Beetle Traps",
ISNUMBER(SEARCH("lantern",E213)),"Lanternfly Control",
OR(ISNUMBER(SEARCH("tree shield",E213)),ISNUMBER(SEARCH("tree banding",E213)),ISNUMBER(SEARCH("insect barrier",E213))),"Tree Barriers",
OR(ISNUMBER(SEARCH("sun &amp; shade",E213)),ISNUMBER(SEARCH("sun and shade",E213))),"Sun &amp; Shade Mix",
ISNUMBER(SEARCH("tall fescue",E213)),"Tall Fescue",
ISNUMBER(SEARCH("bermudagrass",E213)),"Bermudagrass",
ISNUMBER(SEARCH("kentucky",E213)),"Kentucky Bluegrass",
ISNUMBER(SEARCH("zoysia",E213)),"Zoysia",
ISNUMBER(SEARCH("ryegrass",E213)),"Perennial Ryegrass",
ISNUMBER(SEARCH("centipede",E213)),"Centipede Grass",
ISNUMBER(SEARCH("dense shade",E213)),"Dense Shade Mix",
ISNUMBER(SEARCH("southern gold",E213)),"Southern Gold Mix",
ISNUMBER(SEARCH("heat-tolerant blue",E213)),"Heat-Tolerant Blue Mix",
ISNUMBER(SEARCH("high traffic",E213)),"High Traffic Mix",
ISNUMBER(SEARCH("quick fix",E213)),"Quick Fix Mix",
ISNUMBER(SEARCH("starter",E213)),"Starter Fertilizer",
ISNUMBER(SEARCH("weed &amp; feed",E213)),"Weed &amp; Feed",
ISNUMBER(SEARCH("lawn food",E213)),"Lawn Food",
ISNUMBER(SEARCH("triple action",E213)),"Triple Action Fertilizer",
ISNUMBER(SEARCH("green max",E213)),"Green Max Lawn Food",
ISNUMBER(SEARCH("patchmaster",E213)),"PatchMaster Repair",
ISNUMBER(SEARCH("ez seed",E213)),"EZ Seed Repair",
ISNUMBER(SEARCH("rapid grass",E213)),"Rapid Grass",
ISNUMBER(SEARCH("thick'r lawn",E213)),"Thick'R Lawn",
ISNUMBER(SEARCH("fungicide",E213)),"Fungicide",
ISNUMBER(SEARCH("moss",E213)),"Moss Control",
ISNUMBER(SEARCH("perlite",E213)),"Perlite",
ISNUMBER(SEARCH("plant food",E213)),"Plant Food",
ISNUMBER(SEARCH("spreader",E213)),"Spreader",
ISNUMBER(SEARCH("sprayer",E213)),"Sprayer",
ISNUMBER(SEARCH("mower",E213)),"Lawn Mower",
ISNUMBER(SEARCH("sweeper",E213)),"Lawn Sweeper",
OR(ISNUMBER(SEARCH("pruner",E213)),ISNUMBER(SEARCH("trimmer",E213)),ISNUMBER(SEARCH("pole saw",E213))),"Pruning Tools",
TRUE,"Other"
)</f>
        <v>Other</v>
      </c>
      <c r="J213" s="7" t="str">
        <f t="shared" si="54"/>
        <v>Other - Other</v>
      </c>
      <c r="K213" s="4">
        <v>100</v>
      </c>
      <c r="L213" s="4">
        <v>4.2</v>
      </c>
      <c r="M213" s="4">
        <v>74</v>
      </c>
      <c r="N213" s="4" t="s">
        <v>193</v>
      </c>
      <c r="O213" s="4">
        <f>VLOOKUP(A213,[3]Sheet1!$A:$B,2,0)</f>
        <v>0</v>
      </c>
      <c r="P213" s="4">
        <f>VLOOKUP(A213,[3]Sheet1!$A:$C,3,0)</f>
        <v>0</v>
      </c>
      <c r="Q213" s="4">
        <f>VLOOKUP(A213,[3]Sheet1!$A:$D,4,0)</f>
        <v>100</v>
      </c>
      <c r="R213" s="4">
        <f>VLOOKUP(A213,[3]Sheet1!$A:$E,5,0)</f>
        <v>400</v>
      </c>
      <c r="S213" s="4">
        <f>VLOOKUP(A213,[3]Sheet1!$A:$F,6,0)</f>
        <v>400</v>
      </c>
      <c r="T213" s="4">
        <f>VLOOKUP(A213,[3]Sheet1!$A:$G,7,0)</f>
        <v>300</v>
      </c>
      <c r="U213" s="4">
        <f>VLOOKUP(A213,[3]Sheet1!$A:$I,8,0)</f>
        <v>100</v>
      </c>
      <c r="V213" s="4">
        <f>VLOOKUP(A213,[3]Sheet1!$A:$J,9,0)</f>
        <v>100</v>
      </c>
      <c r="W213" s="4">
        <f>VLOOKUP(A213,[3]Sheet1!$A:$J,10,0)</f>
        <v>100</v>
      </c>
      <c r="X213" s="4">
        <f>VLOOKUP(A213,[3]Sheet1!$A:$K,11,0)</f>
        <v>0</v>
      </c>
      <c r="Y213" s="4">
        <f>VLOOKUP(A213,[3]Sheet1!$A:$L,12,0)</f>
        <v>0</v>
      </c>
      <c r="Z213" s="4">
        <f>VLOOKUP(A213,[3]Sheet1!$A:$M,13,0)</f>
        <v>0</v>
      </c>
      <c r="AA213" s="4">
        <f t="shared" si="48"/>
        <v>1500</v>
      </c>
      <c r="AB213" s="7">
        <f t="shared" si="55"/>
        <v>125</v>
      </c>
      <c r="AC213" s="15">
        <f t="shared" si="49"/>
        <v>125</v>
      </c>
      <c r="AD213" s="16">
        <f t="shared" si="50"/>
        <v>32040</v>
      </c>
      <c r="AE213" s="16">
        <f t="shared" si="51"/>
        <v>2670</v>
      </c>
      <c r="AF213" s="16">
        <v>5.61</v>
      </c>
      <c r="AG213" s="16">
        <v>21.36</v>
      </c>
      <c r="AH213" s="8">
        <f t="shared" si="52"/>
        <v>0.12893333333333323</v>
      </c>
      <c r="AI213" s="8">
        <f t="shared" si="53"/>
        <v>0.45126666666666626</v>
      </c>
      <c r="AJ213" s="10">
        <v>0.5</v>
      </c>
      <c r="AK213" s="10">
        <v>0.5</v>
      </c>
      <c r="AL213" s="16">
        <v>5.61</v>
      </c>
      <c r="AM213" s="9">
        <f t="shared" si="56"/>
        <v>3.2039999999999997</v>
      </c>
      <c r="AN213" s="9">
        <f t="shared" si="57"/>
        <v>0.64079999999999993</v>
      </c>
      <c r="AO213" s="9">
        <f t="shared" si="58"/>
        <v>4.2720000000000002</v>
      </c>
      <c r="AP213" s="9">
        <f t="shared" si="59"/>
        <v>0.42720000000000002</v>
      </c>
      <c r="AQ213" s="9">
        <f t="shared" si="60"/>
        <v>4.2720000000000002</v>
      </c>
      <c r="AR213" s="9">
        <f t="shared" si="61"/>
        <v>5.34</v>
      </c>
      <c r="AS213" s="11">
        <f t="shared" si="62"/>
        <v>1.2893333333333323</v>
      </c>
      <c r="AT213" s="12">
        <f t="shared" si="63"/>
        <v>0.57733333333333248</v>
      </c>
    </row>
    <row r="214" spans="1:46" ht="16.5" x14ac:dyDescent="0.4">
      <c r="A214" s="4" t="s">
        <v>1004</v>
      </c>
      <c r="B214" s="4" t="s">
        <v>513</v>
      </c>
      <c r="C214" s="7" t="s">
        <v>1784</v>
      </c>
      <c r="D214" s="4" t="s">
        <v>1005</v>
      </c>
      <c r="E214" s="4" t="s">
        <v>1006</v>
      </c>
      <c r="F214" s="4" t="s">
        <v>1007</v>
      </c>
      <c r="G214" s="7" t="str">
        <f>VLOOKUP(A214,[1]done!$A:$I,9,0)</f>
        <v>Lawn Fertilizer</v>
      </c>
      <c r="H214" s="7" t="str" cm="1">
        <f t="array" ref="H214">_xlfn.IFS(
OR(ISNUMBER(SEARCH("mouse",E214)),ISNUMBER(SEARCH("rat",E214)),ISNUMBER(SEARCH("mice",E214)),ISNUMBER(SEARCH("rodent",E214))),"Rodent Control",
OR(ISNUMBER(SEARCH("fly",E214)),ISNUMBER(SEARCH("gnat",E214)),ISNUMBER(SEARCH("insect",E214)),ISNUMBER(SEARCH("mosquito",E214))),"Flying Insect Control",
OR(ISNUMBER(SEARCH("roach",E214)),ISNUMBER(SEARCH("ant",E214)),ISNUMBER(SEARCH("spider",E214)),ISNUMBER(SEARCH("cricket",E214)),ISNUMBER(SEARCH("scorpion",E214)),ISNUMBER(SEARCH("centipede",E214)),ISNUMBER(SEARCH("beetle",E214))),"Crawling Insect Control",
OR(ISNUMBER(SEARCH("tree",E214)),ISNUMBER(SEARCH("lantern",E214)),ISNUMBER(SEARCH("garden",E214)),ISNUMBER(SEARCH("plant",E214))),"Garden Pest Control",
OR(ISNUMBER(SEARCH("grass seed",E214)),ISNUMBER(SEARCH("seed mix",E214))),"Grass Seed",
OR(ISNUMBER(SEARCH("lawn food",E214)),ISNUMBER(SEARCH("fertilizer",E214))),"Lawn Fertilizer",
OR(ISNUMBER(SEARCH("patch",E214)),ISNUMBER(SEARCH("repair",E214)),ISNUMBER(SEARCH("thick'r",E214)),ISNUMBER(SEARCH("thick'r lawn",E214)),ISNUMBER(SEARCH("rapid grass",E214))),"Lawn Repair",
OR(ISNUMBER(SEARCH("weed",E214)),ISNUMBER(SEARCH("crabgrass",E214))),"Weed Control",
OR(ISNUMBER(SEARCH("fungicide",E214)),ISNUMBER(SEARCH("moss",E214))),"Disease &amp; Moss Control",
OR(ISNUMBER(SEARCH("plant food",E214)),ISNUMBER(SEARCH("miracid",E214))),"Plant Nutrition",
OR(ISNUMBER(SEARCH("perlite",E214))),"Soil Amendment",
OR(ISNUMBER(SEARCH("spreader",E214)),ISNUMBER(SEARCH("sprayer",E214)),ISNUMBER(SEARCH("mower",E214)),ISNUMBER(SEARCH("sweeper",E214)),ISNUMBER(SEARCH("pruner",E214)),ISNUMBER(SEARCH("trimmer",E214)),ISNUMBER(SEARCH("pole saw",E214))),"Garden Equipment",
TRUE,"Other"
)</f>
        <v>Lawn Repair</v>
      </c>
      <c r="I214" s="7" t="str" cm="1">
        <f t="array" ref="I214">_xlfn.IFS(
OR(ISNUMBER(SEARCH("glue trap",E214)),ISNUMBER(SEARCH("glue board",E214))),"Glue Traps",
OR(ISNUMBER(SEARCH("snap trap",E214)),ISNUMBER(SEARCH("power-kill",E214)),ISNUMBER(SEARCH("wide pedal",E214)),ISNUMBER(SEARCH("metal pedal",E214))),"Snap Traps",
OR(ISNUMBER(SEARCH("electronic",E214)),ISNUMBER(SEARCH("zapper",E214))),"Electronic Traps",
OR(ISNUMBER(SEARCH("live catch",E214)),ISNUMBER(SEARCH("multi-catch",E214)),ISNUMBER(SEARCH("catch &amp; hold",E214)),ISNUMBER(SEARCH("tin cat",E214))),"Live Catch Traps",
OR(ISNUMBER(SEARCH("bait",E214)),ISNUMBER(SEARCH("poison",E214))),"Bait &amp; Poison",
ISNUMBER(SEARCH("repellent",E214)),"Repellents",
OR(ISNUMBER(SEARCH("fly trap",E214)),ISNUMBER(SEARCH("fly ribbon",E214)),ISNUMBER(SEARCH("fly stick",E214)),ISNUMBER(SEARCH("window fly",E214)),ISNUMBER(SEARCH("fly magnet",E214))),"Fly Traps",
OR(ISNUMBER(SEARCH("uv",E214)),ISNUMBER(SEARCH("fly light",E214)),ISNUMBER(SEARCH("plug-in",E214))),"UV Fly Traps",
ISNUMBER(SEARCH("roach",E214)),"Roach Traps",
ISNUMBER(SEARCH("ant",E214)),"Ant Traps",
ISNUMBER(SEARCH("spider",E214)),"Spider Traps",
ISNUMBER(SEARCH("mosquito",E214)),"Mosquito Traps",
ISNUMBER(SEARCH("beetle",E214)),"Beetle Traps",
ISNUMBER(SEARCH("lantern",E214)),"Lanternfly Control",
OR(ISNUMBER(SEARCH("tree shield",E214)),ISNUMBER(SEARCH("tree banding",E214)),ISNUMBER(SEARCH("insect barrier",E214))),"Tree Barriers",
OR(ISNUMBER(SEARCH("sun &amp; shade",E214)),ISNUMBER(SEARCH("sun and shade",E214))),"Sun &amp; Shade Mix",
ISNUMBER(SEARCH("tall fescue",E214)),"Tall Fescue",
ISNUMBER(SEARCH("bermudagrass",E214)),"Bermudagrass",
ISNUMBER(SEARCH("kentucky",E214)),"Kentucky Bluegrass",
ISNUMBER(SEARCH("zoysia",E214)),"Zoysia",
ISNUMBER(SEARCH("ryegrass",E214)),"Perennial Ryegrass",
ISNUMBER(SEARCH("centipede",E214)),"Centipede Grass",
ISNUMBER(SEARCH("dense shade",E214)),"Dense Shade Mix",
ISNUMBER(SEARCH("southern gold",E214)),"Southern Gold Mix",
ISNUMBER(SEARCH("heat-tolerant blue",E214)),"Heat-Tolerant Blue Mix",
ISNUMBER(SEARCH("high traffic",E214)),"High Traffic Mix",
ISNUMBER(SEARCH("quick fix",E214)),"Quick Fix Mix",
ISNUMBER(SEARCH("starter",E214)),"Starter Fertilizer",
ISNUMBER(SEARCH("weed &amp; feed",E214)),"Weed &amp; Feed",
ISNUMBER(SEARCH("lawn food",E214)),"Lawn Food",
ISNUMBER(SEARCH("triple action",E214)),"Triple Action Fertilizer",
ISNUMBER(SEARCH("green max",E214)),"Green Max Lawn Food",
ISNUMBER(SEARCH("patchmaster",E214)),"PatchMaster Repair",
ISNUMBER(SEARCH("ez seed",E214)),"EZ Seed Repair",
ISNUMBER(SEARCH("rapid grass",E214)),"Rapid Grass",
ISNUMBER(SEARCH("thick'r lawn",E214)),"Thick'R Lawn",
ISNUMBER(SEARCH("fungicide",E214)),"Fungicide",
ISNUMBER(SEARCH("moss",E214)),"Moss Control",
ISNUMBER(SEARCH("perlite",E214)),"Perlite",
ISNUMBER(SEARCH("plant food",E214)),"Plant Food",
ISNUMBER(SEARCH("spreader",E214)),"Spreader",
ISNUMBER(SEARCH("sprayer",E214)),"Sprayer",
ISNUMBER(SEARCH("mower",E214)),"Lawn Mower",
ISNUMBER(SEARCH("sweeper",E214)),"Lawn Sweeper",
OR(ISNUMBER(SEARCH("pruner",E214)),ISNUMBER(SEARCH("trimmer",E214)),ISNUMBER(SEARCH("pole saw",E214))),"Pruning Tools",
TRUE,"Other"
)</f>
        <v>Tall Fescue</v>
      </c>
      <c r="J214" s="7" t="str">
        <f t="shared" si="54"/>
        <v>Lawn Repair - Tall Fescue</v>
      </c>
      <c r="K214" s="4">
        <v>100</v>
      </c>
      <c r="L214" s="4">
        <v>3.9</v>
      </c>
      <c r="M214" s="4">
        <v>954</v>
      </c>
      <c r="N214" s="4" t="s">
        <v>699</v>
      </c>
      <c r="O214" s="4">
        <f>VLOOKUP(A214,[3]Sheet1!$A:$B,2,0)</f>
        <v>0</v>
      </c>
      <c r="P214" s="4">
        <f>VLOOKUP(A214,[3]Sheet1!$A:$C,3,0)</f>
        <v>0</v>
      </c>
      <c r="Q214" s="4">
        <f>VLOOKUP(A214,[3]Sheet1!$A:$D,4,0)</f>
        <v>0</v>
      </c>
      <c r="R214" s="4">
        <f>VLOOKUP(A214,[3]Sheet1!$A:$E,5,0)</f>
        <v>100</v>
      </c>
      <c r="S214" s="4">
        <f>VLOOKUP(A214,[3]Sheet1!$A:$F,6,0)</f>
        <v>50</v>
      </c>
      <c r="T214" s="4">
        <f>VLOOKUP(A214,[3]Sheet1!$A:$G,7,0)</f>
        <v>50</v>
      </c>
      <c r="U214" s="4">
        <f>VLOOKUP(A214,[3]Sheet1!$A:$I,8,0)</f>
        <v>50</v>
      </c>
      <c r="V214" s="4">
        <f>VLOOKUP(A214,[3]Sheet1!$A:$J,9,0)</f>
        <v>100</v>
      </c>
      <c r="W214" s="4">
        <f>VLOOKUP(A214,[3]Sheet1!$A:$J,10,0)</f>
        <v>100</v>
      </c>
      <c r="X214" s="4">
        <f>VLOOKUP(A214,[3]Sheet1!$A:$K,11,0)</f>
        <v>50</v>
      </c>
      <c r="Y214" s="4">
        <f>VLOOKUP(A214,[3]Sheet1!$A:$L,12,0)</f>
        <v>0</v>
      </c>
      <c r="Z214" s="4">
        <f>VLOOKUP(A214,[3]Sheet1!$A:$M,13,0)</f>
        <v>0</v>
      </c>
      <c r="AA214" s="4">
        <f t="shared" si="48"/>
        <v>500</v>
      </c>
      <c r="AB214" s="7">
        <f t="shared" si="55"/>
        <v>42</v>
      </c>
      <c r="AC214" s="15">
        <f t="shared" si="49"/>
        <v>41.666666666666664</v>
      </c>
      <c r="AD214" s="16">
        <f t="shared" si="50"/>
        <v>12495</v>
      </c>
      <c r="AE214" s="16">
        <f t="shared" si="51"/>
        <v>1041.2499999999998</v>
      </c>
      <c r="AF214" s="16">
        <v>6.31</v>
      </c>
      <c r="AG214" s="16">
        <v>24.99</v>
      </c>
      <c r="AH214" s="8">
        <f t="shared" si="52"/>
        <v>0.17906666666666657</v>
      </c>
      <c r="AI214" s="8">
        <f t="shared" si="53"/>
        <v>0.62673333333333292</v>
      </c>
      <c r="AJ214" s="10">
        <v>0.5</v>
      </c>
      <c r="AK214" s="10">
        <v>0.5</v>
      </c>
      <c r="AL214" s="16">
        <v>6.31</v>
      </c>
      <c r="AM214" s="9">
        <f t="shared" si="56"/>
        <v>3.7484999999999995</v>
      </c>
      <c r="AN214" s="9">
        <f t="shared" si="57"/>
        <v>0.74969999999999992</v>
      </c>
      <c r="AO214" s="9">
        <f t="shared" si="58"/>
        <v>4.9980000000000002</v>
      </c>
      <c r="AP214" s="9">
        <f t="shared" si="59"/>
        <v>0.49979999999999997</v>
      </c>
      <c r="AQ214" s="9">
        <f t="shared" si="60"/>
        <v>4.9980000000000002</v>
      </c>
      <c r="AR214" s="9">
        <f t="shared" si="61"/>
        <v>6.2474999999999996</v>
      </c>
      <c r="AS214" s="11">
        <f t="shared" si="62"/>
        <v>1.7906666666666655</v>
      </c>
      <c r="AT214" s="12">
        <f t="shared" si="63"/>
        <v>0.95766666666666589</v>
      </c>
    </row>
    <row r="215" spans="1:46" ht="16.5" x14ac:dyDescent="0.4">
      <c r="A215" s="4" t="s">
        <v>1008</v>
      </c>
      <c r="B215" s="4" t="s">
        <v>513</v>
      </c>
      <c r="C215" s="7" t="s">
        <v>513</v>
      </c>
      <c r="D215" s="4" t="s">
        <v>1009</v>
      </c>
      <c r="E215" s="4" t="s">
        <v>1010</v>
      </c>
      <c r="F215" s="4" t="s">
        <v>1011</v>
      </c>
      <c r="G215" s="7" t="str">
        <f>VLOOKUP(A215,[1]done!$A:$I,9,0)</f>
        <v>Grass Seed</v>
      </c>
      <c r="H215" s="7" t="str" cm="1">
        <f t="array" ref="H215">_xlfn.IFS(
OR(ISNUMBER(SEARCH("mouse",E215)),ISNUMBER(SEARCH("rat",E215)),ISNUMBER(SEARCH("mice",E215)),ISNUMBER(SEARCH("rodent",E215))),"Rodent Control",
OR(ISNUMBER(SEARCH("fly",E215)),ISNUMBER(SEARCH("gnat",E215)),ISNUMBER(SEARCH("insect",E215)),ISNUMBER(SEARCH("mosquito",E215))),"Flying Insect Control",
OR(ISNUMBER(SEARCH("roach",E215)),ISNUMBER(SEARCH("ant",E215)),ISNUMBER(SEARCH("spider",E215)),ISNUMBER(SEARCH("cricket",E215)),ISNUMBER(SEARCH("scorpion",E215)),ISNUMBER(SEARCH("centipede",E215)),ISNUMBER(SEARCH("beetle",E215))),"Crawling Insect Control",
OR(ISNUMBER(SEARCH("tree",E215)),ISNUMBER(SEARCH("lantern",E215)),ISNUMBER(SEARCH("garden",E215)),ISNUMBER(SEARCH("plant",E215))),"Garden Pest Control",
OR(ISNUMBER(SEARCH("grass seed",E215)),ISNUMBER(SEARCH("seed mix",E215))),"Grass Seed",
OR(ISNUMBER(SEARCH("lawn food",E215)),ISNUMBER(SEARCH("fertilizer",E215))),"Lawn Fertilizer",
OR(ISNUMBER(SEARCH("patch",E215)),ISNUMBER(SEARCH("repair",E215)),ISNUMBER(SEARCH("thick'r",E215)),ISNUMBER(SEARCH("thick'r lawn",E215)),ISNUMBER(SEARCH("rapid grass",E215))),"Lawn Repair",
OR(ISNUMBER(SEARCH("weed",E215)),ISNUMBER(SEARCH("crabgrass",E215))),"Weed Control",
OR(ISNUMBER(SEARCH("fungicide",E215)),ISNUMBER(SEARCH("moss",E215))),"Disease &amp; Moss Control",
OR(ISNUMBER(SEARCH("plant food",E215)),ISNUMBER(SEARCH("miracid",E215))),"Plant Nutrition",
OR(ISNUMBER(SEARCH("perlite",E215))),"Soil Amendment",
OR(ISNUMBER(SEARCH("spreader",E215)),ISNUMBER(SEARCH("sprayer",E215)),ISNUMBER(SEARCH("mower",E215)),ISNUMBER(SEARCH("sweeper",E215)),ISNUMBER(SEARCH("pruner",E215)),ISNUMBER(SEARCH("trimmer",E215)),ISNUMBER(SEARCH("pole saw",E215))),"Garden Equipment",
TRUE,"Other"
)</f>
        <v>Grass Seed</v>
      </c>
      <c r="I215" s="7" t="str" cm="1">
        <f t="array" ref="I215">_xlfn.IFS(
OR(ISNUMBER(SEARCH("glue trap",E215)),ISNUMBER(SEARCH("glue board",E215))),"Glue Traps",
OR(ISNUMBER(SEARCH("snap trap",E215)),ISNUMBER(SEARCH("power-kill",E215)),ISNUMBER(SEARCH("wide pedal",E215)),ISNUMBER(SEARCH("metal pedal",E215))),"Snap Traps",
OR(ISNUMBER(SEARCH("electronic",E215)),ISNUMBER(SEARCH("zapper",E215))),"Electronic Traps",
OR(ISNUMBER(SEARCH("live catch",E215)),ISNUMBER(SEARCH("multi-catch",E215)),ISNUMBER(SEARCH("catch &amp; hold",E215)),ISNUMBER(SEARCH("tin cat",E215))),"Live Catch Traps",
OR(ISNUMBER(SEARCH("bait",E215)),ISNUMBER(SEARCH("poison",E215))),"Bait &amp; Poison",
ISNUMBER(SEARCH("repellent",E215)),"Repellents",
OR(ISNUMBER(SEARCH("fly trap",E215)),ISNUMBER(SEARCH("fly ribbon",E215)),ISNUMBER(SEARCH("fly stick",E215)),ISNUMBER(SEARCH("window fly",E215)),ISNUMBER(SEARCH("fly magnet",E215))),"Fly Traps",
OR(ISNUMBER(SEARCH("uv",E215)),ISNUMBER(SEARCH("fly light",E215)),ISNUMBER(SEARCH("plug-in",E215))),"UV Fly Traps",
ISNUMBER(SEARCH("roach",E215)),"Roach Traps",
ISNUMBER(SEARCH("ant",E215)),"Ant Traps",
ISNUMBER(SEARCH("spider",E215)),"Spider Traps",
ISNUMBER(SEARCH("mosquito",E215)),"Mosquito Traps",
ISNUMBER(SEARCH("beetle",E215)),"Beetle Traps",
ISNUMBER(SEARCH("lantern",E215)),"Lanternfly Control",
OR(ISNUMBER(SEARCH("tree shield",E215)),ISNUMBER(SEARCH("tree banding",E215)),ISNUMBER(SEARCH("insect barrier",E215))),"Tree Barriers",
OR(ISNUMBER(SEARCH("sun &amp; shade",E215)),ISNUMBER(SEARCH("sun and shade",E215))),"Sun &amp; Shade Mix",
ISNUMBER(SEARCH("tall fescue",E215)),"Tall Fescue",
ISNUMBER(SEARCH("bermudagrass",E215)),"Bermudagrass",
ISNUMBER(SEARCH("kentucky",E215)),"Kentucky Bluegrass",
ISNUMBER(SEARCH("zoysia",E215)),"Zoysia",
ISNUMBER(SEARCH("ryegrass",E215)),"Perennial Ryegrass",
ISNUMBER(SEARCH("centipede",E215)),"Centipede Grass",
ISNUMBER(SEARCH("dense shade",E215)),"Dense Shade Mix",
ISNUMBER(SEARCH("southern gold",E215)),"Southern Gold Mix",
ISNUMBER(SEARCH("heat-tolerant blue",E215)),"Heat-Tolerant Blue Mix",
ISNUMBER(SEARCH("high traffic",E215)),"High Traffic Mix",
ISNUMBER(SEARCH("quick fix",E215)),"Quick Fix Mix",
ISNUMBER(SEARCH("starter",E215)),"Starter Fertilizer",
ISNUMBER(SEARCH("weed &amp; feed",E215)),"Weed &amp; Feed",
ISNUMBER(SEARCH("lawn food",E215)),"Lawn Food",
ISNUMBER(SEARCH("triple action",E215)),"Triple Action Fertilizer",
ISNUMBER(SEARCH("green max",E215)),"Green Max Lawn Food",
ISNUMBER(SEARCH("patchmaster",E215)),"PatchMaster Repair",
ISNUMBER(SEARCH("ez seed",E215)),"EZ Seed Repair",
ISNUMBER(SEARCH("rapid grass",E215)),"Rapid Grass",
ISNUMBER(SEARCH("thick'r lawn",E215)),"Thick'R Lawn",
ISNUMBER(SEARCH("fungicide",E215)),"Fungicide",
ISNUMBER(SEARCH("moss",E215)),"Moss Control",
ISNUMBER(SEARCH("perlite",E215)),"Perlite",
ISNUMBER(SEARCH("plant food",E215)),"Plant Food",
ISNUMBER(SEARCH("spreader",E215)),"Spreader",
ISNUMBER(SEARCH("sprayer",E215)),"Sprayer",
ISNUMBER(SEARCH("mower",E215)),"Lawn Mower",
ISNUMBER(SEARCH("sweeper",E215)),"Lawn Sweeper",
OR(ISNUMBER(SEARCH("pruner",E215)),ISNUMBER(SEARCH("trimmer",E215)),ISNUMBER(SEARCH("pole saw",E215))),"Pruning Tools",
TRUE,"Other"
)</f>
        <v>Other</v>
      </c>
      <c r="J215" s="7" t="str">
        <f t="shared" si="54"/>
        <v>Grass Seed - Other</v>
      </c>
      <c r="K215" s="4">
        <v>100</v>
      </c>
      <c r="L215" s="4">
        <v>4.3</v>
      </c>
      <c r="M215" s="4">
        <v>2269</v>
      </c>
      <c r="N215" s="4" t="s">
        <v>815</v>
      </c>
      <c r="O215" s="4">
        <f>VLOOKUP(A215,[3]Sheet1!$A:$B,2,0)</f>
        <v>0</v>
      </c>
      <c r="P215" s="4">
        <f>VLOOKUP(A215,[3]Sheet1!$A:$C,3,0)</f>
        <v>0</v>
      </c>
      <c r="Q215" s="4">
        <f>VLOOKUP(A215,[3]Sheet1!$A:$D,4,0)</f>
        <v>0</v>
      </c>
      <c r="R215" s="4">
        <f>VLOOKUP(A215,[3]Sheet1!$A:$E,5,0)</f>
        <v>0</v>
      </c>
      <c r="S215" s="4">
        <f>VLOOKUP(A215,[3]Sheet1!$A:$F,6,0)</f>
        <v>0</v>
      </c>
      <c r="T215" s="4">
        <f>VLOOKUP(A215,[3]Sheet1!$A:$G,7,0)</f>
        <v>0</v>
      </c>
      <c r="U215" s="4">
        <f>VLOOKUP(A215,[3]Sheet1!$A:$I,8,0)</f>
        <v>0</v>
      </c>
      <c r="V215" s="4">
        <f>VLOOKUP(A215,[3]Sheet1!$A:$J,9,0)</f>
        <v>0</v>
      </c>
      <c r="W215" s="4">
        <f>VLOOKUP(A215,[3]Sheet1!$A:$J,10,0)</f>
        <v>50</v>
      </c>
      <c r="X215" s="4">
        <f>VLOOKUP(A215,[3]Sheet1!$A:$K,11,0)</f>
        <v>200</v>
      </c>
      <c r="Y215" s="4">
        <f>VLOOKUP(A215,[3]Sheet1!$A:$L,12,0)</f>
        <v>50</v>
      </c>
      <c r="Z215" s="4">
        <f>VLOOKUP(A215,[3]Sheet1!$A:$M,13,0)</f>
        <v>0</v>
      </c>
      <c r="AA215" s="4">
        <f t="shared" si="48"/>
        <v>300</v>
      </c>
      <c r="AB215" s="7">
        <f t="shared" si="55"/>
        <v>25</v>
      </c>
      <c r="AC215" s="15">
        <f t="shared" si="49"/>
        <v>25</v>
      </c>
      <c r="AD215" s="16">
        <f t="shared" si="50"/>
        <v>32298</v>
      </c>
      <c r="AE215" s="16">
        <f t="shared" si="51"/>
        <v>2691.5</v>
      </c>
      <c r="AF215" s="16">
        <v>15.79</v>
      </c>
      <c r="AG215" s="16">
        <v>107.66</v>
      </c>
      <c r="AH215" s="8">
        <f t="shared" si="52"/>
        <v>1.7515999999999996</v>
      </c>
      <c r="AI215" s="8">
        <f t="shared" si="53"/>
        <v>6.1305999999999976</v>
      </c>
      <c r="AJ215" s="10">
        <v>0.5</v>
      </c>
      <c r="AK215" s="10">
        <v>0.5</v>
      </c>
      <c r="AL215" s="16">
        <v>15.79</v>
      </c>
      <c r="AM215" s="9">
        <f t="shared" si="56"/>
        <v>16.148999999999997</v>
      </c>
      <c r="AN215" s="9">
        <f t="shared" si="57"/>
        <v>3.2297999999999996</v>
      </c>
      <c r="AO215" s="9">
        <f t="shared" si="58"/>
        <v>21.532</v>
      </c>
      <c r="AP215" s="9">
        <f t="shared" si="59"/>
        <v>2.1532</v>
      </c>
      <c r="AQ215" s="9">
        <f t="shared" si="60"/>
        <v>21.532</v>
      </c>
      <c r="AR215" s="9">
        <f t="shared" si="61"/>
        <v>26.914999999999999</v>
      </c>
      <c r="AS215" s="11">
        <f t="shared" si="62"/>
        <v>17.515999999999995</v>
      </c>
      <c r="AT215" s="12">
        <f t="shared" si="63"/>
        <v>13.927333333333328</v>
      </c>
    </row>
    <row r="216" spans="1:46" ht="16.5" x14ac:dyDescent="0.4">
      <c r="A216" s="4" t="s">
        <v>1012</v>
      </c>
      <c r="B216" s="4" t="s">
        <v>513</v>
      </c>
      <c r="C216" s="7" t="s">
        <v>1784</v>
      </c>
      <c r="D216" s="4" t="s">
        <v>1013</v>
      </c>
      <c r="E216" s="4" t="s">
        <v>1014</v>
      </c>
      <c r="F216" s="4" t="s">
        <v>1015</v>
      </c>
      <c r="G216" s="7" t="str">
        <f>VLOOKUP(A216,[1]done!$A:$I,9,0)</f>
        <v>Weed Control</v>
      </c>
      <c r="H216" s="7" t="str" cm="1">
        <f t="array" ref="H216">_xlfn.IFS(
OR(ISNUMBER(SEARCH("mouse",E216)),ISNUMBER(SEARCH("rat",E216)),ISNUMBER(SEARCH("mice",E216)),ISNUMBER(SEARCH("rodent",E216))),"Rodent Control",
OR(ISNUMBER(SEARCH("fly",E216)),ISNUMBER(SEARCH("gnat",E216)),ISNUMBER(SEARCH("insect",E216)),ISNUMBER(SEARCH("mosquito",E216))),"Flying Insect Control",
OR(ISNUMBER(SEARCH("roach",E216)),ISNUMBER(SEARCH("ant",E216)),ISNUMBER(SEARCH("spider",E216)),ISNUMBER(SEARCH("cricket",E216)),ISNUMBER(SEARCH("scorpion",E216)),ISNUMBER(SEARCH("centipede",E216)),ISNUMBER(SEARCH("beetle",E216))),"Crawling Insect Control",
OR(ISNUMBER(SEARCH("tree",E216)),ISNUMBER(SEARCH("lantern",E216)),ISNUMBER(SEARCH("garden",E216)),ISNUMBER(SEARCH("plant",E216))),"Garden Pest Control",
OR(ISNUMBER(SEARCH("grass seed",E216)),ISNUMBER(SEARCH("seed mix",E216))),"Grass Seed",
OR(ISNUMBER(SEARCH("lawn food",E216)),ISNUMBER(SEARCH("fertilizer",E216))),"Lawn Fertilizer",
OR(ISNUMBER(SEARCH("patch",E216)),ISNUMBER(SEARCH("repair",E216)),ISNUMBER(SEARCH("thick'r",E216)),ISNUMBER(SEARCH("thick'r lawn",E216)),ISNUMBER(SEARCH("rapid grass",E216))),"Lawn Repair",
OR(ISNUMBER(SEARCH("weed",E216)),ISNUMBER(SEARCH("crabgrass",E216))),"Weed Control",
OR(ISNUMBER(SEARCH("fungicide",E216)),ISNUMBER(SEARCH("moss",E216))),"Disease &amp; Moss Control",
OR(ISNUMBER(SEARCH("plant food",E216)),ISNUMBER(SEARCH("miracid",E216))),"Plant Nutrition",
OR(ISNUMBER(SEARCH("perlite",E216))),"Soil Amendment",
OR(ISNUMBER(SEARCH("spreader",E216)),ISNUMBER(SEARCH("sprayer",E216)),ISNUMBER(SEARCH("mower",E216)),ISNUMBER(SEARCH("sweeper",E216)),ISNUMBER(SEARCH("pruner",E216)),ISNUMBER(SEARCH("trimmer",E216)),ISNUMBER(SEARCH("pole saw",E216))),"Garden Equipment",
TRUE,"Other"
)</f>
        <v>Weed Control</v>
      </c>
      <c r="I216" s="7" t="str" cm="1">
        <f t="array" ref="I216">_xlfn.IFS(
OR(ISNUMBER(SEARCH("glue trap",E216)),ISNUMBER(SEARCH("glue board",E216))),"Glue Traps",
OR(ISNUMBER(SEARCH("snap trap",E216)),ISNUMBER(SEARCH("power-kill",E216)),ISNUMBER(SEARCH("wide pedal",E216)),ISNUMBER(SEARCH("metal pedal",E216))),"Snap Traps",
OR(ISNUMBER(SEARCH("electronic",E216)),ISNUMBER(SEARCH("zapper",E216))),"Electronic Traps",
OR(ISNUMBER(SEARCH("live catch",E216)),ISNUMBER(SEARCH("multi-catch",E216)),ISNUMBER(SEARCH("catch &amp; hold",E216)),ISNUMBER(SEARCH("tin cat",E216))),"Live Catch Traps",
OR(ISNUMBER(SEARCH("bait",E216)),ISNUMBER(SEARCH("poison",E216))),"Bait &amp; Poison",
ISNUMBER(SEARCH("repellent",E216)),"Repellents",
OR(ISNUMBER(SEARCH("fly trap",E216)),ISNUMBER(SEARCH("fly ribbon",E216)),ISNUMBER(SEARCH("fly stick",E216)),ISNUMBER(SEARCH("window fly",E216)),ISNUMBER(SEARCH("fly magnet",E216))),"Fly Traps",
OR(ISNUMBER(SEARCH("uv",E216)),ISNUMBER(SEARCH("fly light",E216)),ISNUMBER(SEARCH("plug-in",E216))),"UV Fly Traps",
ISNUMBER(SEARCH("roach",E216)),"Roach Traps",
ISNUMBER(SEARCH("ant",E216)),"Ant Traps",
ISNUMBER(SEARCH("spider",E216)),"Spider Traps",
ISNUMBER(SEARCH("mosquito",E216)),"Mosquito Traps",
ISNUMBER(SEARCH("beetle",E216)),"Beetle Traps",
ISNUMBER(SEARCH("lantern",E216)),"Lanternfly Control",
OR(ISNUMBER(SEARCH("tree shield",E216)),ISNUMBER(SEARCH("tree banding",E216)),ISNUMBER(SEARCH("insect barrier",E216))),"Tree Barriers",
OR(ISNUMBER(SEARCH("sun &amp; shade",E216)),ISNUMBER(SEARCH("sun and shade",E216))),"Sun &amp; Shade Mix",
ISNUMBER(SEARCH("tall fescue",E216)),"Tall Fescue",
ISNUMBER(SEARCH("bermudagrass",E216)),"Bermudagrass",
ISNUMBER(SEARCH("kentucky",E216)),"Kentucky Bluegrass",
ISNUMBER(SEARCH("zoysia",E216)),"Zoysia",
ISNUMBER(SEARCH("ryegrass",E216)),"Perennial Ryegrass",
ISNUMBER(SEARCH("centipede",E216)),"Centipede Grass",
ISNUMBER(SEARCH("dense shade",E216)),"Dense Shade Mix",
ISNUMBER(SEARCH("southern gold",E216)),"Southern Gold Mix",
ISNUMBER(SEARCH("heat-tolerant blue",E216)),"Heat-Tolerant Blue Mix",
ISNUMBER(SEARCH("high traffic",E216)),"High Traffic Mix",
ISNUMBER(SEARCH("quick fix",E216)),"Quick Fix Mix",
ISNUMBER(SEARCH("starter",E216)),"Starter Fertilizer",
ISNUMBER(SEARCH("weed &amp; feed",E216)),"Weed &amp; Feed",
ISNUMBER(SEARCH("lawn food",E216)),"Lawn Food",
ISNUMBER(SEARCH("triple action",E216)),"Triple Action Fertilizer",
ISNUMBER(SEARCH("green max",E216)),"Green Max Lawn Food",
ISNUMBER(SEARCH("patchmaster",E216)),"PatchMaster Repair",
ISNUMBER(SEARCH("ez seed",E216)),"EZ Seed Repair",
ISNUMBER(SEARCH("rapid grass",E216)),"Rapid Grass",
ISNUMBER(SEARCH("thick'r lawn",E216)),"Thick'R Lawn",
ISNUMBER(SEARCH("fungicide",E216)),"Fungicide",
ISNUMBER(SEARCH("moss",E216)),"Moss Control",
ISNUMBER(SEARCH("perlite",E216)),"Perlite",
ISNUMBER(SEARCH("plant food",E216)),"Plant Food",
ISNUMBER(SEARCH("spreader",E216)),"Spreader",
ISNUMBER(SEARCH("sprayer",E216)),"Sprayer",
ISNUMBER(SEARCH("mower",E216)),"Lawn Mower",
ISNUMBER(SEARCH("sweeper",E216)),"Lawn Sweeper",
OR(ISNUMBER(SEARCH("pruner",E216)),ISNUMBER(SEARCH("trimmer",E216)),ISNUMBER(SEARCH("pole saw",E216))),"Pruning Tools",
TRUE,"Other"
)</f>
        <v>Other</v>
      </c>
      <c r="J216" s="7" t="str">
        <f t="shared" si="54"/>
        <v>Weed Control - Other</v>
      </c>
      <c r="K216" s="4">
        <v>100</v>
      </c>
      <c r="L216" s="4">
        <v>4.2</v>
      </c>
      <c r="M216" s="4">
        <v>9625</v>
      </c>
      <c r="N216" s="4" t="s">
        <v>937</v>
      </c>
      <c r="O216" s="4">
        <f>VLOOKUP(A216,[3]Sheet1!$A:$B,2,0)</f>
        <v>100</v>
      </c>
      <c r="P216" s="4">
        <f>VLOOKUP(A216,[3]Sheet1!$A:$C,3,0)</f>
        <v>1000</v>
      </c>
      <c r="Q216" s="4">
        <f>VLOOKUP(A216,[3]Sheet1!$A:$D,4,0)</f>
        <v>1000</v>
      </c>
      <c r="R216" s="4">
        <f>VLOOKUP(A216,[3]Sheet1!$A:$E,5,0)</f>
        <v>400</v>
      </c>
      <c r="S216" s="4">
        <f>VLOOKUP(A216,[3]Sheet1!$A:$F,6,0)</f>
        <v>100</v>
      </c>
      <c r="T216" s="4">
        <f>VLOOKUP(A216,[3]Sheet1!$A:$G,7,0)</f>
        <v>50</v>
      </c>
      <c r="U216" s="4">
        <f>VLOOKUP(A216,[3]Sheet1!$A:$I,8,0)</f>
        <v>50</v>
      </c>
      <c r="V216" s="4">
        <f>VLOOKUP(A216,[3]Sheet1!$A:$J,9,0)</f>
        <v>100</v>
      </c>
      <c r="W216" s="4">
        <f>VLOOKUP(A216,[3]Sheet1!$A:$J,10,0)</f>
        <v>100</v>
      </c>
      <c r="X216" s="4">
        <f>VLOOKUP(A216,[3]Sheet1!$A:$K,11,0)</f>
        <v>300</v>
      </c>
      <c r="Y216" s="4">
        <f>VLOOKUP(A216,[3]Sheet1!$A:$L,12,0)</f>
        <v>100</v>
      </c>
      <c r="Z216" s="4">
        <f>VLOOKUP(A216,[3]Sheet1!$A:$M,13,0)</f>
        <v>50</v>
      </c>
      <c r="AA216" s="4">
        <f t="shared" si="48"/>
        <v>3350</v>
      </c>
      <c r="AB216" s="7">
        <f t="shared" si="55"/>
        <v>279</v>
      </c>
      <c r="AC216" s="15">
        <f t="shared" si="49"/>
        <v>279.16666666666669</v>
      </c>
      <c r="AD216" s="16">
        <f t="shared" si="50"/>
        <v>182843</v>
      </c>
      <c r="AE216" s="16">
        <f t="shared" si="51"/>
        <v>15236.916666666668</v>
      </c>
      <c r="AF216" s="16">
        <v>17.649999999999999</v>
      </c>
      <c r="AG216" s="16">
        <v>54.58</v>
      </c>
      <c r="AH216" s="8">
        <f t="shared" si="52"/>
        <v>0.21213333333333326</v>
      </c>
      <c r="AI216" s="8">
        <f t="shared" si="53"/>
        <v>0.74246666666666628</v>
      </c>
      <c r="AJ216" s="10">
        <v>0.5</v>
      </c>
      <c r="AK216" s="10">
        <v>0.5</v>
      </c>
      <c r="AL216" s="16">
        <v>17.649999999999999</v>
      </c>
      <c r="AM216" s="9">
        <f t="shared" si="56"/>
        <v>8.1869999999999994</v>
      </c>
      <c r="AN216" s="9">
        <f t="shared" si="57"/>
        <v>1.6374</v>
      </c>
      <c r="AO216" s="9">
        <f t="shared" si="58"/>
        <v>10.916</v>
      </c>
      <c r="AP216" s="9">
        <f t="shared" si="59"/>
        <v>1.0915999999999999</v>
      </c>
      <c r="AQ216" s="9">
        <f t="shared" si="60"/>
        <v>10.916</v>
      </c>
      <c r="AR216" s="9">
        <f t="shared" si="61"/>
        <v>13.645</v>
      </c>
      <c r="AS216" s="11">
        <f t="shared" si="62"/>
        <v>2.1213333333333324</v>
      </c>
      <c r="AT216" s="12">
        <f t="shared" si="63"/>
        <v>0.3019999999999996</v>
      </c>
    </row>
    <row r="217" spans="1:46" ht="16.5" x14ac:dyDescent="0.4">
      <c r="A217" s="4" t="s">
        <v>1016</v>
      </c>
      <c r="B217" s="4" t="s">
        <v>513</v>
      </c>
      <c r="C217" s="7" t="s">
        <v>1784</v>
      </c>
      <c r="D217" s="4" t="s">
        <v>1017</v>
      </c>
      <c r="E217" s="4" t="s">
        <v>1018</v>
      </c>
      <c r="F217" s="4" t="s">
        <v>1019</v>
      </c>
      <c r="G217" s="7" t="str">
        <f>VLOOKUP(A217,[1]done!$A:$I,9,0)</f>
        <v>Lawn Fertilizer</v>
      </c>
      <c r="H217" s="7" t="str" cm="1">
        <f t="array" ref="H217">_xlfn.IFS(
OR(ISNUMBER(SEARCH("mouse",E217)),ISNUMBER(SEARCH("rat",E217)),ISNUMBER(SEARCH("mice",E217)),ISNUMBER(SEARCH("rodent",E217))),"Rodent Control",
OR(ISNUMBER(SEARCH("fly",E217)),ISNUMBER(SEARCH("gnat",E217)),ISNUMBER(SEARCH("insect",E217)),ISNUMBER(SEARCH("mosquito",E217))),"Flying Insect Control",
OR(ISNUMBER(SEARCH("roach",E217)),ISNUMBER(SEARCH("ant",E217)),ISNUMBER(SEARCH("spider",E217)),ISNUMBER(SEARCH("cricket",E217)),ISNUMBER(SEARCH("scorpion",E217)),ISNUMBER(SEARCH("centipede",E217)),ISNUMBER(SEARCH("beetle",E217))),"Crawling Insect Control",
OR(ISNUMBER(SEARCH("tree",E217)),ISNUMBER(SEARCH("lantern",E217)),ISNUMBER(SEARCH("garden",E217)),ISNUMBER(SEARCH("plant",E217))),"Garden Pest Control",
OR(ISNUMBER(SEARCH("grass seed",E217)),ISNUMBER(SEARCH("seed mix",E217))),"Grass Seed",
OR(ISNUMBER(SEARCH("lawn food",E217)),ISNUMBER(SEARCH("fertilizer",E217))),"Lawn Fertilizer",
OR(ISNUMBER(SEARCH("patch",E217)),ISNUMBER(SEARCH("repair",E217)),ISNUMBER(SEARCH("thick'r",E217)),ISNUMBER(SEARCH("thick'r lawn",E217)),ISNUMBER(SEARCH("rapid grass",E217))),"Lawn Repair",
OR(ISNUMBER(SEARCH("weed",E217)),ISNUMBER(SEARCH("crabgrass",E217))),"Weed Control",
OR(ISNUMBER(SEARCH("fungicide",E217)),ISNUMBER(SEARCH("moss",E217))),"Disease &amp; Moss Control",
OR(ISNUMBER(SEARCH("plant food",E217)),ISNUMBER(SEARCH("miracid",E217))),"Plant Nutrition",
OR(ISNUMBER(SEARCH("perlite",E217))),"Soil Amendment",
OR(ISNUMBER(SEARCH("spreader",E217)),ISNUMBER(SEARCH("sprayer",E217)),ISNUMBER(SEARCH("mower",E217)),ISNUMBER(SEARCH("sweeper",E217)),ISNUMBER(SEARCH("pruner",E217)),ISNUMBER(SEARCH("trimmer",E217)),ISNUMBER(SEARCH("pole saw",E217))),"Garden Equipment",
TRUE,"Other"
)</f>
        <v>Other</v>
      </c>
      <c r="I217" s="7" t="str" cm="1">
        <f t="array" ref="I217">_xlfn.IFS(
OR(ISNUMBER(SEARCH("glue trap",E217)),ISNUMBER(SEARCH("glue board",E217))),"Glue Traps",
OR(ISNUMBER(SEARCH("snap trap",E217)),ISNUMBER(SEARCH("power-kill",E217)),ISNUMBER(SEARCH("wide pedal",E217)),ISNUMBER(SEARCH("metal pedal",E217))),"Snap Traps",
OR(ISNUMBER(SEARCH("electronic",E217)),ISNUMBER(SEARCH("zapper",E217))),"Electronic Traps",
OR(ISNUMBER(SEARCH("live catch",E217)),ISNUMBER(SEARCH("multi-catch",E217)),ISNUMBER(SEARCH("catch &amp; hold",E217)),ISNUMBER(SEARCH("tin cat",E217))),"Live Catch Traps",
OR(ISNUMBER(SEARCH("bait",E217)),ISNUMBER(SEARCH("poison",E217))),"Bait &amp; Poison",
ISNUMBER(SEARCH("repellent",E217)),"Repellents",
OR(ISNUMBER(SEARCH("fly trap",E217)),ISNUMBER(SEARCH("fly ribbon",E217)),ISNUMBER(SEARCH("fly stick",E217)),ISNUMBER(SEARCH("window fly",E217)),ISNUMBER(SEARCH("fly magnet",E217))),"Fly Traps",
OR(ISNUMBER(SEARCH("uv",E217)),ISNUMBER(SEARCH("fly light",E217)),ISNUMBER(SEARCH("plug-in",E217))),"UV Fly Traps",
ISNUMBER(SEARCH("roach",E217)),"Roach Traps",
ISNUMBER(SEARCH("ant",E217)),"Ant Traps",
ISNUMBER(SEARCH("spider",E217)),"Spider Traps",
ISNUMBER(SEARCH("mosquito",E217)),"Mosquito Traps",
ISNUMBER(SEARCH("beetle",E217)),"Beetle Traps",
ISNUMBER(SEARCH("lantern",E217)),"Lanternfly Control",
OR(ISNUMBER(SEARCH("tree shield",E217)),ISNUMBER(SEARCH("tree banding",E217)),ISNUMBER(SEARCH("insect barrier",E217))),"Tree Barriers",
OR(ISNUMBER(SEARCH("sun &amp; shade",E217)),ISNUMBER(SEARCH("sun and shade",E217))),"Sun &amp; Shade Mix",
ISNUMBER(SEARCH("tall fescue",E217)),"Tall Fescue",
ISNUMBER(SEARCH("bermudagrass",E217)),"Bermudagrass",
ISNUMBER(SEARCH("kentucky",E217)),"Kentucky Bluegrass",
ISNUMBER(SEARCH("zoysia",E217)),"Zoysia",
ISNUMBER(SEARCH("ryegrass",E217)),"Perennial Ryegrass",
ISNUMBER(SEARCH("centipede",E217)),"Centipede Grass",
ISNUMBER(SEARCH("dense shade",E217)),"Dense Shade Mix",
ISNUMBER(SEARCH("southern gold",E217)),"Southern Gold Mix",
ISNUMBER(SEARCH("heat-tolerant blue",E217)),"Heat-Tolerant Blue Mix",
ISNUMBER(SEARCH("high traffic",E217)),"High Traffic Mix",
ISNUMBER(SEARCH("quick fix",E217)),"Quick Fix Mix",
ISNUMBER(SEARCH("starter",E217)),"Starter Fertilizer",
ISNUMBER(SEARCH("weed &amp; feed",E217)),"Weed &amp; Feed",
ISNUMBER(SEARCH("lawn food",E217)),"Lawn Food",
ISNUMBER(SEARCH("triple action",E217)),"Triple Action Fertilizer",
ISNUMBER(SEARCH("green max",E217)),"Green Max Lawn Food",
ISNUMBER(SEARCH("patchmaster",E217)),"PatchMaster Repair",
ISNUMBER(SEARCH("ez seed",E217)),"EZ Seed Repair",
ISNUMBER(SEARCH("rapid grass",E217)),"Rapid Grass",
ISNUMBER(SEARCH("thick'r lawn",E217)),"Thick'R Lawn",
ISNUMBER(SEARCH("fungicide",E217)),"Fungicide",
ISNUMBER(SEARCH("moss",E217)),"Moss Control",
ISNUMBER(SEARCH("perlite",E217)),"Perlite",
ISNUMBER(SEARCH("plant food",E217)),"Plant Food",
ISNUMBER(SEARCH("spreader",E217)),"Spreader",
ISNUMBER(SEARCH("sprayer",E217)),"Sprayer",
ISNUMBER(SEARCH("mower",E217)),"Lawn Mower",
ISNUMBER(SEARCH("sweeper",E217)),"Lawn Sweeper",
OR(ISNUMBER(SEARCH("pruner",E217)),ISNUMBER(SEARCH("trimmer",E217)),ISNUMBER(SEARCH("pole saw",E217))),"Pruning Tools",
TRUE,"Other"
)</f>
        <v>Triple Action Fertilizer</v>
      </c>
      <c r="J217" s="7" t="str">
        <f t="shared" si="54"/>
        <v>Other - Triple Action Fertilizer</v>
      </c>
      <c r="K217" s="4">
        <v>100</v>
      </c>
      <c r="L217" s="4">
        <v>4.7</v>
      </c>
      <c r="M217" s="4">
        <v>44</v>
      </c>
      <c r="N217" s="4" t="s">
        <v>536</v>
      </c>
      <c r="O217" s="4">
        <f>VLOOKUP(A217,[3]Sheet1!$A:$B,2,0)</f>
        <v>0</v>
      </c>
      <c r="P217" s="4">
        <f>VLOOKUP(A217,[3]Sheet1!$A:$C,3,0)</f>
        <v>0</v>
      </c>
      <c r="Q217" s="4">
        <f>VLOOKUP(A217,[3]Sheet1!$A:$D,4,0)</f>
        <v>100</v>
      </c>
      <c r="R217" s="4">
        <f>VLOOKUP(A217,[3]Sheet1!$A:$E,5,0)</f>
        <v>100</v>
      </c>
      <c r="S217" s="4">
        <f>VLOOKUP(A217,[3]Sheet1!$A:$F,6,0)</f>
        <v>50</v>
      </c>
      <c r="T217" s="4">
        <f>VLOOKUP(A217,[3]Sheet1!$A:$G,7,0)</f>
        <v>0</v>
      </c>
      <c r="U217" s="4">
        <f>VLOOKUP(A217,[3]Sheet1!$A:$I,8,0)</f>
        <v>0</v>
      </c>
      <c r="V217" s="4">
        <f>VLOOKUP(A217,[3]Sheet1!$A:$J,9,0)</f>
        <v>50</v>
      </c>
      <c r="W217" s="4">
        <f>VLOOKUP(A217,[3]Sheet1!$A:$J,10,0)</f>
        <v>100</v>
      </c>
      <c r="X217" s="4">
        <f>VLOOKUP(A217,[3]Sheet1!$A:$K,11,0)</f>
        <v>50</v>
      </c>
      <c r="Y217" s="4">
        <f>VLOOKUP(A217,[3]Sheet1!$A:$L,12,0)</f>
        <v>0</v>
      </c>
      <c r="Z217" s="4">
        <f>VLOOKUP(A217,[3]Sheet1!$A:$M,13,0)</f>
        <v>0</v>
      </c>
      <c r="AA217" s="4">
        <f t="shared" si="48"/>
        <v>450</v>
      </c>
      <c r="AB217" s="7">
        <f t="shared" si="55"/>
        <v>38</v>
      </c>
      <c r="AC217" s="15">
        <f t="shared" si="49"/>
        <v>37.5</v>
      </c>
      <c r="AD217" s="16">
        <f t="shared" si="50"/>
        <v>49176</v>
      </c>
      <c r="AE217" s="16">
        <f t="shared" si="51"/>
        <v>4098</v>
      </c>
      <c r="AF217" s="16">
        <v>26.23</v>
      </c>
      <c r="AG217" s="16">
        <v>109.28</v>
      </c>
      <c r="AH217" s="8">
        <f t="shared" si="52"/>
        <v>1.0987999999999996</v>
      </c>
      <c r="AI217" s="8">
        <f t="shared" si="53"/>
        <v>3.8457999999999979</v>
      </c>
      <c r="AJ217" s="10">
        <v>0.5</v>
      </c>
      <c r="AK217" s="10">
        <v>0.5</v>
      </c>
      <c r="AL217" s="16">
        <v>26.23</v>
      </c>
      <c r="AM217" s="9">
        <f t="shared" si="56"/>
        <v>16.391999999999999</v>
      </c>
      <c r="AN217" s="9">
        <f t="shared" si="57"/>
        <v>3.2784</v>
      </c>
      <c r="AO217" s="9">
        <f t="shared" si="58"/>
        <v>21.856000000000002</v>
      </c>
      <c r="AP217" s="9">
        <f t="shared" si="59"/>
        <v>2.1856</v>
      </c>
      <c r="AQ217" s="9">
        <f t="shared" si="60"/>
        <v>21.856000000000002</v>
      </c>
      <c r="AR217" s="9">
        <f t="shared" si="61"/>
        <v>27.32</v>
      </c>
      <c r="AS217" s="11">
        <f t="shared" si="62"/>
        <v>10.987999999999994</v>
      </c>
      <c r="AT217" s="12">
        <f t="shared" si="63"/>
        <v>7.3453333333333291</v>
      </c>
    </row>
    <row r="218" spans="1:46" ht="16.5" x14ac:dyDescent="0.4">
      <c r="A218" s="4" t="s">
        <v>1020</v>
      </c>
      <c r="B218" s="4" t="s">
        <v>513</v>
      </c>
      <c r="C218" s="7" t="s">
        <v>1784</v>
      </c>
      <c r="D218" s="4" t="s">
        <v>1021</v>
      </c>
      <c r="E218" s="4" t="s">
        <v>1022</v>
      </c>
      <c r="F218" s="4" t="s">
        <v>1023</v>
      </c>
      <c r="G218" s="7" t="str">
        <f>VLOOKUP(A218,[1]done!$A:$I,9,0)</f>
        <v>Lawn Fertilizer</v>
      </c>
      <c r="H218" s="7" t="str" cm="1">
        <f t="array" ref="H218">_xlfn.IFS(
OR(ISNUMBER(SEARCH("mouse",E218)),ISNUMBER(SEARCH("rat",E218)),ISNUMBER(SEARCH("mice",E218)),ISNUMBER(SEARCH("rodent",E218))),"Rodent Control",
OR(ISNUMBER(SEARCH("fly",E218)),ISNUMBER(SEARCH("gnat",E218)),ISNUMBER(SEARCH("insect",E218)),ISNUMBER(SEARCH("mosquito",E218))),"Flying Insect Control",
OR(ISNUMBER(SEARCH("roach",E218)),ISNUMBER(SEARCH("ant",E218)),ISNUMBER(SEARCH("spider",E218)),ISNUMBER(SEARCH("cricket",E218)),ISNUMBER(SEARCH("scorpion",E218)),ISNUMBER(SEARCH("centipede",E218)),ISNUMBER(SEARCH("beetle",E218))),"Crawling Insect Control",
OR(ISNUMBER(SEARCH("tree",E218)),ISNUMBER(SEARCH("lantern",E218)),ISNUMBER(SEARCH("garden",E218)),ISNUMBER(SEARCH("plant",E218))),"Garden Pest Control",
OR(ISNUMBER(SEARCH("grass seed",E218)),ISNUMBER(SEARCH("seed mix",E218))),"Grass Seed",
OR(ISNUMBER(SEARCH("lawn food",E218)),ISNUMBER(SEARCH("fertilizer",E218))),"Lawn Fertilizer",
OR(ISNUMBER(SEARCH("patch",E218)),ISNUMBER(SEARCH("repair",E218)),ISNUMBER(SEARCH("thick'r",E218)),ISNUMBER(SEARCH("thick'r lawn",E218)),ISNUMBER(SEARCH("rapid grass",E218))),"Lawn Repair",
OR(ISNUMBER(SEARCH("weed",E218)),ISNUMBER(SEARCH("crabgrass",E218))),"Weed Control",
OR(ISNUMBER(SEARCH("fungicide",E218)),ISNUMBER(SEARCH("moss",E218))),"Disease &amp; Moss Control",
OR(ISNUMBER(SEARCH("plant food",E218)),ISNUMBER(SEARCH("miracid",E218))),"Plant Nutrition",
OR(ISNUMBER(SEARCH("perlite",E218))),"Soil Amendment",
OR(ISNUMBER(SEARCH("spreader",E218)),ISNUMBER(SEARCH("sprayer",E218)),ISNUMBER(SEARCH("mower",E218)),ISNUMBER(SEARCH("sweeper",E218)),ISNUMBER(SEARCH("pruner",E218)),ISNUMBER(SEARCH("trimmer",E218)),ISNUMBER(SEARCH("pole saw",E218))),"Garden Equipment",
TRUE,"Other"
)</f>
        <v>Lawn Fertilizer</v>
      </c>
      <c r="I218" s="7" t="str" cm="1">
        <f t="array" ref="I218">_xlfn.IFS(
OR(ISNUMBER(SEARCH("glue trap",E218)),ISNUMBER(SEARCH("glue board",E218))),"Glue Traps",
OR(ISNUMBER(SEARCH("snap trap",E218)),ISNUMBER(SEARCH("power-kill",E218)),ISNUMBER(SEARCH("wide pedal",E218)),ISNUMBER(SEARCH("metal pedal",E218))),"Snap Traps",
OR(ISNUMBER(SEARCH("electronic",E218)),ISNUMBER(SEARCH("zapper",E218))),"Electronic Traps",
OR(ISNUMBER(SEARCH("live catch",E218)),ISNUMBER(SEARCH("multi-catch",E218)),ISNUMBER(SEARCH("catch &amp; hold",E218)),ISNUMBER(SEARCH("tin cat",E218))),"Live Catch Traps",
OR(ISNUMBER(SEARCH("bait",E218)),ISNUMBER(SEARCH("poison",E218))),"Bait &amp; Poison",
ISNUMBER(SEARCH("repellent",E218)),"Repellents",
OR(ISNUMBER(SEARCH("fly trap",E218)),ISNUMBER(SEARCH("fly ribbon",E218)),ISNUMBER(SEARCH("fly stick",E218)),ISNUMBER(SEARCH("window fly",E218)),ISNUMBER(SEARCH("fly magnet",E218))),"Fly Traps",
OR(ISNUMBER(SEARCH("uv",E218)),ISNUMBER(SEARCH("fly light",E218)),ISNUMBER(SEARCH("plug-in",E218))),"UV Fly Traps",
ISNUMBER(SEARCH("roach",E218)),"Roach Traps",
ISNUMBER(SEARCH("ant",E218)),"Ant Traps",
ISNUMBER(SEARCH("spider",E218)),"Spider Traps",
ISNUMBER(SEARCH("mosquito",E218)),"Mosquito Traps",
ISNUMBER(SEARCH("beetle",E218)),"Beetle Traps",
ISNUMBER(SEARCH("lantern",E218)),"Lanternfly Control",
OR(ISNUMBER(SEARCH("tree shield",E218)),ISNUMBER(SEARCH("tree banding",E218)),ISNUMBER(SEARCH("insect barrier",E218))),"Tree Barriers",
OR(ISNUMBER(SEARCH("sun &amp; shade",E218)),ISNUMBER(SEARCH("sun and shade",E218))),"Sun &amp; Shade Mix",
ISNUMBER(SEARCH("tall fescue",E218)),"Tall Fescue",
ISNUMBER(SEARCH("bermudagrass",E218)),"Bermudagrass",
ISNUMBER(SEARCH("kentucky",E218)),"Kentucky Bluegrass",
ISNUMBER(SEARCH("zoysia",E218)),"Zoysia",
ISNUMBER(SEARCH("ryegrass",E218)),"Perennial Ryegrass",
ISNUMBER(SEARCH("centipede",E218)),"Centipede Grass",
ISNUMBER(SEARCH("dense shade",E218)),"Dense Shade Mix",
ISNUMBER(SEARCH("southern gold",E218)),"Southern Gold Mix",
ISNUMBER(SEARCH("heat-tolerant blue",E218)),"Heat-Tolerant Blue Mix",
ISNUMBER(SEARCH("high traffic",E218)),"High Traffic Mix",
ISNUMBER(SEARCH("quick fix",E218)),"Quick Fix Mix",
ISNUMBER(SEARCH("starter",E218)),"Starter Fertilizer",
ISNUMBER(SEARCH("weed &amp; feed",E218)),"Weed &amp; Feed",
ISNUMBER(SEARCH("lawn food",E218)),"Lawn Food",
ISNUMBER(SEARCH("triple action",E218)),"Triple Action Fertilizer",
ISNUMBER(SEARCH("green max",E218)),"Green Max Lawn Food",
ISNUMBER(SEARCH("patchmaster",E218)),"PatchMaster Repair",
ISNUMBER(SEARCH("ez seed",E218)),"EZ Seed Repair",
ISNUMBER(SEARCH("rapid grass",E218)),"Rapid Grass",
ISNUMBER(SEARCH("thick'r lawn",E218)),"Thick'R Lawn",
ISNUMBER(SEARCH("fungicide",E218)),"Fungicide",
ISNUMBER(SEARCH("moss",E218)),"Moss Control",
ISNUMBER(SEARCH("perlite",E218)),"Perlite",
ISNUMBER(SEARCH("plant food",E218)),"Plant Food",
ISNUMBER(SEARCH("spreader",E218)),"Spreader",
ISNUMBER(SEARCH("sprayer",E218)),"Sprayer",
ISNUMBER(SEARCH("mower",E218)),"Lawn Mower",
ISNUMBER(SEARCH("sweeper",E218)),"Lawn Sweeper",
OR(ISNUMBER(SEARCH("pruner",E218)),ISNUMBER(SEARCH("trimmer",E218)),ISNUMBER(SEARCH("pole saw",E218))),"Pruning Tools",
TRUE,"Other"
)</f>
        <v>Lawn Food</v>
      </c>
      <c r="J218" s="7" t="str">
        <f t="shared" si="54"/>
        <v>Lawn Fertilizer - Lawn Food</v>
      </c>
      <c r="K218" s="4">
        <v>100</v>
      </c>
      <c r="L218" s="4">
        <v>4.5999999999999996</v>
      </c>
      <c r="M218" s="4">
        <v>3890</v>
      </c>
      <c r="N218" s="4" t="s">
        <v>629</v>
      </c>
      <c r="O218" s="4">
        <f>VLOOKUP(A218,[3]Sheet1!$A:$B,2,0)</f>
        <v>0</v>
      </c>
      <c r="P218" s="4">
        <f>VLOOKUP(A218,[3]Sheet1!$A:$C,3,0)</f>
        <v>0</v>
      </c>
      <c r="Q218" s="4">
        <f>VLOOKUP(A218,[3]Sheet1!$A:$D,4,0)</f>
        <v>800</v>
      </c>
      <c r="R218" s="4">
        <f>VLOOKUP(A218,[3]Sheet1!$A:$E,5,0)</f>
        <v>700</v>
      </c>
      <c r="S218" s="4">
        <f>VLOOKUP(A218,[3]Sheet1!$A:$F,6,0)</f>
        <v>700</v>
      </c>
      <c r="T218" s="4">
        <f>VLOOKUP(A218,[3]Sheet1!$A:$G,7,0)</f>
        <v>400</v>
      </c>
      <c r="U218" s="4">
        <f>VLOOKUP(A218,[3]Sheet1!$A:$I,8,0)</f>
        <v>200</v>
      </c>
      <c r="V218" s="4">
        <f>VLOOKUP(A218,[3]Sheet1!$A:$J,9,0)</f>
        <v>200</v>
      </c>
      <c r="W218" s="4">
        <f>VLOOKUP(A218,[3]Sheet1!$A:$J,10,0)</f>
        <v>100</v>
      </c>
      <c r="X218" s="4">
        <f>VLOOKUP(A218,[3]Sheet1!$A:$K,11,0)</f>
        <v>100</v>
      </c>
      <c r="Y218" s="4">
        <f>VLOOKUP(A218,[3]Sheet1!$A:$L,12,0)</f>
        <v>50</v>
      </c>
      <c r="Z218" s="4">
        <f>VLOOKUP(A218,[3]Sheet1!$A:$M,13,0)</f>
        <v>0</v>
      </c>
      <c r="AA218" s="4">
        <f t="shared" si="48"/>
        <v>3250</v>
      </c>
      <c r="AB218" s="7">
        <f t="shared" si="55"/>
        <v>271</v>
      </c>
      <c r="AC218" s="15">
        <f t="shared" si="49"/>
        <v>270.83333333333331</v>
      </c>
      <c r="AD218" s="16">
        <f t="shared" si="50"/>
        <v>152717.5</v>
      </c>
      <c r="AE218" s="16">
        <f t="shared" si="51"/>
        <v>12726.458333333332</v>
      </c>
      <c r="AF218" s="16">
        <v>20.51</v>
      </c>
      <c r="AG218" s="16">
        <v>46.99</v>
      </c>
      <c r="AH218" s="8">
        <f t="shared" si="52"/>
        <v>-0.18093333333333361</v>
      </c>
      <c r="AI218" s="8">
        <f t="shared" si="53"/>
        <v>-0.63326666666666753</v>
      </c>
      <c r="AJ218" s="10">
        <v>0.5</v>
      </c>
      <c r="AK218" s="10">
        <v>0.5</v>
      </c>
      <c r="AL218" s="16">
        <v>20.51</v>
      </c>
      <c r="AM218" s="9">
        <f t="shared" si="56"/>
        <v>7.0484999999999998</v>
      </c>
      <c r="AN218" s="9">
        <f t="shared" si="57"/>
        <v>1.4097</v>
      </c>
      <c r="AO218" s="9">
        <f t="shared" si="58"/>
        <v>9.3980000000000015</v>
      </c>
      <c r="AP218" s="9">
        <f t="shared" si="59"/>
        <v>0.93980000000000008</v>
      </c>
      <c r="AQ218" s="9">
        <f t="shared" si="60"/>
        <v>9.3980000000000015</v>
      </c>
      <c r="AR218" s="9">
        <f t="shared" si="61"/>
        <v>11.7475</v>
      </c>
      <c r="AS218" s="11">
        <f t="shared" si="62"/>
        <v>-1.8093333333333359</v>
      </c>
      <c r="AT218" s="12">
        <f t="shared" si="63"/>
        <v>-3.3756666666666688</v>
      </c>
    </row>
    <row r="219" spans="1:46" ht="16.5" x14ac:dyDescent="0.4">
      <c r="A219" s="4" t="s">
        <v>1024</v>
      </c>
      <c r="B219" s="4" t="s">
        <v>513</v>
      </c>
      <c r="C219" s="7" t="s">
        <v>1784</v>
      </c>
      <c r="D219" s="4" t="s">
        <v>1025</v>
      </c>
      <c r="E219" s="4" t="s">
        <v>1026</v>
      </c>
      <c r="F219" s="4" t="s">
        <v>1027</v>
      </c>
      <c r="G219" s="7" t="str">
        <f>VLOOKUP(A219,[1]done!$A:$I,9,0)</f>
        <v>Lawn Fertilizer</v>
      </c>
      <c r="H219" s="7" t="str" cm="1">
        <f t="array" ref="H219">_xlfn.IFS(
OR(ISNUMBER(SEARCH("mouse",E219)),ISNUMBER(SEARCH("rat",E219)),ISNUMBER(SEARCH("mice",E219)),ISNUMBER(SEARCH("rodent",E219))),"Rodent Control",
OR(ISNUMBER(SEARCH("fly",E219)),ISNUMBER(SEARCH("gnat",E219)),ISNUMBER(SEARCH("insect",E219)),ISNUMBER(SEARCH("mosquito",E219))),"Flying Insect Control",
OR(ISNUMBER(SEARCH("roach",E219)),ISNUMBER(SEARCH("ant",E219)),ISNUMBER(SEARCH("spider",E219)),ISNUMBER(SEARCH("cricket",E219)),ISNUMBER(SEARCH("scorpion",E219)),ISNUMBER(SEARCH("centipede",E219)),ISNUMBER(SEARCH("beetle",E219))),"Crawling Insect Control",
OR(ISNUMBER(SEARCH("tree",E219)),ISNUMBER(SEARCH("lantern",E219)),ISNUMBER(SEARCH("garden",E219)),ISNUMBER(SEARCH("plant",E219))),"Garden Pest Control",
OR(ISNUMBER(SEARCH("grass seed",E219)),ISNUMBER(SEARCH("seed mix",E219))),"Grass Seed",
OR(ISNUMBER(SEARCH("lawn food",E219)),ISNUMBER(SEARCH("fertilizer",E219))),"Lawn Fertilizer",
OR(ISNUMBER(SEARCH("patch",E219)),ISNUMBER(SEARCH("repair",E219)),ISNUMBER(SEARCH("thick'r",E219)),ISNUMBER(SEARCH("thick'r lawn",E219)),ISNUMBER(SEARCH("rapid grass",E219))),"Lawn Repair",
OR(ISNUMBER(SEARCH("weed",E219)),ISNUMBER(SEARCH("crabgrass",E219))),"Weed Control",
OR(ISNUMBER(SEARCH("fungicide",E219)),ISNUMBER(SEARCH("moss",E219))),"Disease &amp; Moss Control",
OR(ISNUMBER(SEARCH("plant food",E219)),ISNUMBER(SEARCH("miracid",E219))),"Plant Nutrition",
OR(ISNUMBER(SEARCH("perlite",E219))),"Soil Amendment",
OR(ISNUMBER(SEARCH("spreader",E219)),ISNUMBER(SEARCH("sprayer",E219)),ISNUMBER(SEARCH("mower",E219)),ISNUMBER(SEARCH("sweeper",E219)),ISNUMBER(SEARCH("pruner",E219)),ISNUMBER(SEARCH("trimmer",E219)),ISNUMBER(SEARCH("pole saw",E219))),"Garden Equipment",
TRUE,"Other"
)</f>
        <v>Lawn Fertilizer</v>
      </c>
      <c r="I219" s="7" t="str" cm="1">
        <f t="array" ref="I219">_xlfn.IFS(
OR(ISNUMBER(SEARCH("glue trap",E219)),ISNUMBER(SEARCH("glue board",E219))),"Glue Traps",
OR(ISNUMBER(SEARCH("snap trap",E219)),ISNUMBER(SEARCH("power-kill",E219)),ISNUMBER(SEARCH("wide pedal",E219)),ISNUMBER(SEARCH("metal pedal",E219))),"Snap Traps",
OR(ISNUMBER(SEARCH("electronic",E219)),ISNUMBER(SEARCH("zapper",E219))),"Electronic Traps",
OR(ISNUMBER(SEARCH("live catch",E219)),ISNUMBER(SEARCH("multi-catch",E219)),ISNUMBER(SEARCH("catch &amp; hold",E219)),ISNUMBER(SEARCH("tin cat",E219))),"Live Catch Traps",
OR(ISNUMBER(SEARCH("bait",E219)),ISNUMBER(SEARCH("poison",E219))),"Bait &amp; Poison",
ISNUMBER(SEARCH("repellent",E219)),"Repellents",
OR(ISNUMBER(SEARCH("fly trap",E219)),ISNUMBER(SEARCH("fly ribbon",E219)),ISNUMBER(SEARCH("fly stick",E219)),ISNUMBER(SEARCH("window fly",E219)),ISNUMBER(SEARCH("fly magnet",E219))),"Fly Traps",
OR(ISNUMBER(SEARCH("uv",E219)),ISNUMBER(SEARCH("fly light",E219)),ISNUMBER(SEARCH("plug-in",E219))),"UV Fly Traps",
ISNUMBER(SEARCH("roach",E219)),"Roach Traps",
ISNUMBER(SEARCH("ant",E219)),"Ant Traps",
ISNUMBER(SEARCH("spider",E219)),"Spider Traps",
ISNUMBER(SEARCH("mosquito",E219)),"Mosquito Traps",
ISNUMBER(SEARCH("beetle",E219)),"Beetle Traps",
ISNUMBER(SEARCH("lantern",E219)),"Lanternfly Control",
OR(ISNUMBER(SEARCH("tree shield",E219)),ISNUMBER(SEARCH("tree banding",E219)),ISNUMBER(SEARCH("insect barrier",E219))),"Tree Barriers",
OR(ISNUMBER(SEARCH("sun &amp; shade",E219)),ISNUMBER(SEARCH("sun and shade",E219))),"Sun &amp; Shade Mix",
ISNUMBER(SEARCH("tall fescue",E219)),"Tall Fescue",
ISNUMBER(SEARCH("bermudagrass",E219)),"Bermudagrass",
ISNUMBER(SEARCH("kentucky",E219)),"Kentucky Bluegrass",
ISNUMBER(SEARCH("zoysia",E219)),"Zoysia",
ISNUMBER(SEARCH("ryegrass",E219)),"Perennial Ryegrass",
ISNUMBER(SEARCH("centipede",E219)),"Centipede Grass",
ISNUMBER(SEARCH("dense shade",E219)),"Dense Shade Mix",
ISNUMBER(SEARCH("southern gold",E219)),"Southern Gold Mix",
ISNUMBER(SEARCH("heat-tolerant blue",E219)),"Heat-Tolerant Blue Mix",
ISNUMBER(SEARCH("high traffic",E219)),"High Traffic Mix",
ISNUMBER(SEARCH("quick fix",E219)),"Quick Fix Mix",
ISNUMBER(SEARCH("starter",E219)),"Starter Fertilizer",
ISNUMBER(SEARCH("weed &amp; feed",E219)),"Weed &amp; Feed",
ISNUMBER(SEARCH("lawn food",E219)),"Lawn Food",
ISNUMBER(SEARCH("triple action",E219)),"Triple Action Fertilizer",
ISNUMBER(SEARCH("green max",E219)),"Green Max Lawn Food",
ISNUMBER(SEARCH("patchmaster",E219)),"PatchMaster Repair",
ISNUMBER(SEARCH("ez seed",E219)),"EZ Seed Repair",
ISNUMBER(SEARCH("rapid grass",E219)),"Rapid Grass",
ISNUMBER(SEARCH("thick'r lawn",E219)),"Thick'R Lawn",
ISNUMBER(SEARCH("fungicide",E219)),"Fungicide",
ISNUMBER(SEARCH("moss",E219)),"Moss Control",
ISNUMBER(SEARCH("perlite",E219)),"Perlite",
ISNUMBER(SEARCH("plant food",E219)),"Plant Food",
ISNUMBER(SEARCH("spreader",E219)),"Spreader",
ISNUMBER(SEARCH("sprayer",E219)),"Sprayer",
ISNUMBER(SEARCH("mower",E219)),"Lawn Mower",
ISNUMBER(SEARCH("sweeper",E219)),"Lawn Sweeper",
OR(ISNUMBER(SEARCH("pruner",E219)),ISNUMBER(SEARCH("trimmer",E219)),ISNUMBER(SEARCH("pole saw",E219))),"Pruning Tools",
TRUE,"Other"
)</f>
        <v>Lawn Food</v>
      </c>
      <c r="J219" s="7" t="str">
        <f t="shared" si="54"/>
        <v>Lawn Fertilizer - Lawn Food</v>
      </c>
      <c r="K219" s="4">
        <v>100</v>
      </c>
      <c r="L219" s="4">
        <v>4.5999999999999996</v>
      </c>
      <c r="M219" s="4">
        <v>3890</v>
      </c>
      <c r="N219" s="4" t="s">
        <v>655</v>
      </c>
      <c r="O219" s="4">
        <f>VLOOKUP(A219,[3]Sheet1!$A:$B,2,0)</f>
        <v>0</v>
      </c>
      <c r="P219" s="4">
        <f>VLOOKUP(A219,[3]Sheet1!$A:$C,3,0)</f>
        <v>0</v>
      </c>
      <c r="Q219" s="4">
        <f>VLOOKUP(A219,[3]Sheet1!$A:$D,4,0)</f>
        <v>500</v>
      </c>
      <c r="R219" s="4">
        <f>VLOOKUP(A219,[3]Sheet1!$A:$E,5,0)</f>
        <v>400</v>
      </c>
      <c r="S219" s="4">
        <f>VLOOKUP(A219,[3]Sheet1!$A:$F,6,0)</f>
        <v>600</v>
      </c>
      <c r="T219" s="4">
        <f>VLOOKUP(A219,[3]Sheet1!$A:$G,7,0)</f>
        <v>300</v>
      </c>
      <c r="U219" s="4">
        <f>VLOOKUP(A219,[3]Sheet1!$A:$I,8,0)</f>
        <v>1000</v>
      </c>
      <c r="V219" s="4">
        <f>VLOOKUP(A219,[3]Sheet1!$A:$J,9,0)</f>
        <v>200</v>
      </c>
      <c r="W219" s="4">
        <f>VLOOKUP(A219,[3]Sheet1!$A:$J,10,0)</f>
        <v>100</v>
      </c>
      <c r="X219" s="4">
        <f>VLOOKUP(A219,[3]Sheet1!$A:$K,11,0)</f>
        <v>50</v>
      </c>
      <c r="Y219" s="4">
        <f>VLOOKUP(A219,[3]Sheet1!$A:$L,12,0)</f>
        <v>0</v>
      </c>
      <c r="Z219" s="4">
        <f>VLOOKUP(A219,[3]Sheet1!$A:$M,13,0)</f>
        <v>0</v>
      </c>
      <c r="AA219" s="4">
        <f t="shared" si="48"/>
        <v>3150</v>
      </c>
      <c r="AB219" s="7">
        <f t="shared" si="55"/>
        <v>263</v>
      </c>
      <c r="AC219" s="15">
        <f t="shared" si="49"/>
        <v>262.5</v>
      </c>
      <c r="AD219" s="16">
        <f t="shared" si="50"/>
        <v>161217</v>
      </c>
      <c r="AE219" s="16">
        <f t="shared" si="51"/>
        <v>13434.75</v>
      </c>
      <c r="AF219" s="16">
        <v>26.3</v>
      </c>
      <c r="AG219" s="16">
        <v>51.18</v>
      </c>
      <c r="AH219" s="8">
        <f t="shared" si="52"/>
        <v>-0.45520000000000027</v>
      </c>
      <c r="AI219" s="8">
        <f t="shared" si="53"/>
        <v>-1.5932000000000006</v>
      </c>
      <c r="AJ219" s="10">
        <v>0.5</v>
      </c>
      <c r="AK219" s="10">
        <v>0.5</v>
      </c>
      <c r="AL219" s="16">
        <v>26.3</v>
      </c>
      <c r="AM219" s="9">
        <f t="shared" si="56"/>
        <v>7.6769999999999996</v>
      </c>
      <c r="AN219" s="9">
        <f t="shared" si="57"/>
        <v>1.5353999999999999</v>
      </c>
      <c r="AO219" s="9">
        <f t="shared" si="58"/>
        <v>10.236000000000001</v>
      </c>
      <c r="AP219" s="9">
        <f t="shared" si="59"/>
        <v>1.0236000000000001</v>
      </c>
      <c r="AQ219" s="9">
        <f t="shared" si="60"/>
        <v>10.236000000000001</v>
      </c>
      <c r="AR219" s="9">
        <f t="shared" si="61"/>
        <v>12.795</v>
      </c>
      <c r="AS219" s="11">
        <f t="shared" si="62"/>
        <v>-4.5520000000000023</v>
      </c>
      <c r="AT219" s="12">
        <f t="shared" si="63"/>
        <v>-6.2580000000000018</v>
      </c>
    </row>
    <row r="220" spans="1:46" ht="16.5" x14ac:dyDescent="0.4">
      <c r="A220" s="4" t="s">
        <v>1028</v>
      </c>
      <c r="B220" s="4" t="s">
        <v>513</v>
      </c>
      <c r="C220" s="7" t="s">
        <v>1784</v>
      </c>
      <c r="D220" s="4" t="s">
        <v>1029</v>
      </c>
      <c r="E220" s="4" t="s">
        <v>1030</v>
      </c>
      <c r="F220" s="4" t="s">
        <v>1031</v>
      </c>
      <c r="G220" s="7" t="str">
        <f>VLOOKUP(A220,[1]done!$A:$I,9,0)</f>
        <v>Lawn Fertilizer</v>
      </c>
      <c r="H220" s="7" t="str" cm="1">
        <f t="array" ref="H220">_xlfn.IFS(
OR(ISNUMBER(SEARCH("mouse",E220)),ISNUMBER(SEARCH("rat",E220)),ISNUMBER(SEARCH("mice",E220)),ISNUMBER(SEARCH("rodent",E220))),"Rodent Control",
OR(ISNUMBER(SEARCH("fly",E220)),ISNUMBER(SEARCH("gnat",E220)),ISNUMBER(SEARCH("insect",E220)),ISNUMBER(SEARCH("mosquito",E220))),"Flying Insect Control",
OR(ISNUMBER(SEARCH("roach",E220)),ISNUMBER(SEARCH("ant",E220)),ISNUMBER(SEARCH("spider",E220)),ISNUMBER(SEARCH("cricket",E220)),ISNUMBER(SEARCH("scorpion",E220)),ISNUMBER(SEARCH("centipede",E220)),ISNUMBER(SEARCH("beetle",E220))),"Crawling Insect Control",
OR(ISNUMBER(SEARCH("tree",E220)),ISNUMBER(SEARCH("lantern",E220)),ISNUMBER(SEARCH("garden",E220)),ISNUMBER(SEARCH("plant",E220))),"Garden Pest Control",
OR(ISNUMBER(SEARCH("grass seed",E220)),ISNUMBER(SEARCH("seed mix",E220))),"Grass Seed",
OR(ISNUMBER(SEARCH("lawn food",E220)),ISNUMBER(SEARCH("fertilizer",E220))),"Lawn Fertilizer",
OR(ISNUMBER(SEARCH("patch",E220)),ISNUMBER(SEARCH("repair",E220)),ISNUMBER(SEARCH("thick'r",E220)),ISNUMBER(SEARCH("thick'r lawn",E220)),ISNUMBER(SEARCH("rapid grass",E220))),"Lawn Repair",
OR(ISNUMBER(SEARCH("weed",E220)),ISNUMBER(SEARCH("crabgrass",E220))),"Weed Control",
OR(ISNUMBER(SEARCH("fungicide",E220)),ISNUMBER(SEARCH("moss",E220))),"Disease &amp; Moss Control",
OR(ISNUMBER(SEARCH("plant food",E220)),ISNUMBER(SEARCH("miracid",E220))),"Plant Nutrition",
OR(ISNUMBER(SEARCH("perlite",E220))),"Soil Amendment",
OR(ISNUMBER(SEARCH("spreader",E220)),ISNUMBER(SEARCH("sprayer",E220)),ISNUMBER(SEARCH("mower",E220)),ISNUMBER(SEARCH("sweeper",E220)),ISNUMBER(SEARCH("pruner",E220)),ISNUMBER(SEARCH("trimmer",E220)),ISNUMBER(SEARCH("pole saw",E220))),"Garden Equipment",
TRUE,"Other"
)</f>
        <v>Lawn Fertilizer</v>
      </c>
      <c r="I220" s="7" t="str" cm="1">
        <f t="array" ref="I220">_xlfn.IFS(
OR(ISNUMBER(SEARCH("glue trap",E220)),ISNUMBER(SEARCH("glue board",E220))),"Glue Traps",
OR(ISNUMBER(SEARCH("snap trap",E220)),ISNUMBER(SEARCH("power-kill",E220)),ISNUMBER(SEARCH("wide pedal",E220)),ISNUMBER(SEARCH("metal pedal",E220))),"Snap Traps",
OR(ISNUMBER(SEARCH("electronic",E220)),ISNUMBER(SEARCH("zapper",E220))),"Electronic Traps",
OR(ISNUMBER(SEARCH("live catch",E220)),ISNUMBER(SEARCH("multi-catch",E220)),ISNUMBER(SEARCH("catch &amp; hold",E220)),ISNUMBER(SEARCH("tin cat",E220))),"Live Catch Traps",
OR(ISNUMBER(SEARCH("bait",E220)),ISNUMBER(SEARCH("poison",E220))),"Bait &amp; Poison",
ISNUMBER(SEARCH("repellent",E220)),"Repellents",
OR(ISNUMBER(SEARCH("fly trap",E220)),ISNUMBER(SEARCH("fly ribbon",E220)),ISNUMBER(SEARCH("fly stick",E220)),ISNUMBER(SEARCH("window fly",E220)),ISNUMBER(SEARCH("fly magnet",E220))),"Fly Traps",
OR(ISNUMBER(SEARCH("uv",E220)),ISNUMBER(SEARCH("fly light",E220)),ISNUMBER(SEARCH("plug-in",E220))),"UV Fly Traps",
ISNUMBER(SEARCH("roach",E220)),"Roach Traps",
ISNUMBER(SEARCH("ant",E220)),"Ant Traps",
ISNUMBER(SEARCH("spider",E220)),"Spider Traps",
ISNUMBER(SEARCH("mosquito",E220)),"Mosquito Traps",
ISNUMBER(SEARCH("beetle",E220)),"Beetle Traps",
ISNUMBER(SEARCH("lantern",E220)),"Lanternfly Control",
OR(ISNUMBER(SEARCH("tree shield",E220)),ISNUMBER(SEARCH("tree banding",E220)),ISNUMBER(SEARCH("insect barrier",E220))),"Tree Barriers",
OR(ISNUMBER(SEARCH("sun &amp; shade",E220)),ISNUMBER(SEARCH("sun and shade",E220))),"Sun &amp; Shade Mix",
ISNUMBER(SEARCH("tall fescue",E220)),"Tall Fescue",
ISNUMBER(SEARCH("bermudagrass",E220)),"Bermudagrass",
ISNUMBER(SEARCH("kentucky",E220)),"Kentucky Bluegrass",
ISNUMBER(SEARCH("zoysia",E220)),"Zoysia",
ISNUMBER(SEARCH("ryegrass",E220)),"Perennial Ryegrass",
ISNUMBER(SEARCH("centipede",E220)),"Centipede Grass",
ISNUMBER(SEARCH("dense shade",E220)),"Dense Shade Mix",
ISNUMBER(SEARCH("southern gold",E220)),"Southern Gold Mix",
ISNUMBER(SEARCH("heat-tolerant blue",E220)),"Heat-Tolerant Blue Mix",
ISNUMBER(SEARCH("high traffic",E220)),"High Traffic Mix",
ISNUMBER(SEARCH("quick fix",E220)),"Quick Fix Mix",
ISNUMBER(SEARCH("starter",E220)),"Starter Fertilizer",
ISNUMBER(SEARCH("weed &amp; feed",E220)),"Weed &amp; Feed",
ISNUMBER(SEARCH("lawn food",E220)),"Lawn Food",
ISNUMBER(SEARCH("triple action",E220)),"Triple Action Fertilizer",
ISNUMBER(SEARCH("green max",E220)),"Green Max Lawn Food",
ISNUMBER(SEARCH("patchmaster",E220)),"PatchMaster Repair",
ISNUMBER(SEARCH("ez seed",E220)),"EZ Seed Repair",
ISNUMBER(SEARCH("rapid grass",E220)),"Rapid Grass",
ISNUMBER(SEARCH("thick'r lawn",E220)),"Thick'R Lawn",
ISNUMBER(SEARCH("fungicide",E220)),"Fungicide",
ISNUMBER(SEARCH("moss",E220)),"Moss Control",
ISNUMBER(SEARCH("perlite",E220)),"Perlite",
ISNUMBER(SEARCH("plant food",E220)),"Plant Food",
ISNUMBER(SEARCH("spreader",E220)),"Spreader",
ISNUMBER(SEARCH("sprayer",E220)),"Sprayer",
ISNUMBER(SEARCH("mower",E220)),"Lawn Mower",
ISNUMBER(SEARCH("sweeper",E220)),"Lawn Sweeper",
OR(ISNUMBER(SEARCH("pruner",E220)),ISNUMBER(SEARCH("trimmer",E220)),ISNUMBER(SEARCH("pole saw",E220))),"Pruning Tools",
TRUE,"Other"
)</f>
        <v>Other</v>
      </c>
      <c r="J220" s="7" t="str">
        <f t="shared" si="54"/>
        <v>Lawn Fertilizer - Other</v>
      </c>
      <c r="K220" s="4">
        <v>100</v>
      </c>
      <c r="L220" s="4">
        <v>4.5999999999999996</v>
      </c>
      <c r="M220" s="4">
        <v>502</v>
      </c>
      <c r="N220" s="4" t="s">
        <v>526</v>
      </c>
      <c r="O220" s="4">
        <f>VLOOKUP(A220,[3]Sheet1!$A:$B,2,0)</f>
        <v>0</v>
      </c>
      <c r="P220" s="4">
        <f>VLOOKUP(A220,[3]Sheet1!$A:$C,3,0)</f>
        <v>0</v>
      </c>
      <c r="Q220" s="4">
        <f>VLOOKUP(A220,[3]Sheet1!$A:$D,4,0)</f>
        <v>50</v>
      </c>
      <c r="R220" s="4">
        <f>VLOOKUP(A220,[3]Sheet1!$A:$E,5,0)</f>
        <v>50</v>
      </c>
      <c r="S220" s="4">
        <f>VLOOKUP(A220,[3]Sheet1!$A:$F,6,0)</f>
        <v>50</v>
      </c>
      <c r="T220" s="4">
        <f>VLOOKUP(A220,[3]Sheet1!$A:$G,7,0)</f>
        <v>50</v>
      </c>
      <c r="U220" s="4">
        <f>VLOOKUP(A220,[3]Sheet1!$A:$I,8,0)</f>
        <v>100</v>
      </c>
      <c r="V220" s="4">
        <f>VLOOKUP(A220,[3]Sheet1!$A:$J,9,0)</f>
        <v>100</v>
      </c>
      <c r="W220" s="4">
        <f>VLOOKUP(A220,[3]Sheet1!$A:$J,10,0)</f>
        <v>100</v>
      </c>
      <c r="X220" s="4">
        <f>VLOOKUP(A220,[3]Sheet1!$A:$K,11,0)</f>
        <v>100</v>
      </c>
      <c r="Y220" s="4">
        <f>VLOOKUP(A220,[3]Sheet1!$A:$L,12,0)</f>
        <v>100</v>
      </c>
      <c r="Z220" s="4">
        <f>VLOOKUP(A220,[3]Sheet1!$A:$M,13,0)</f>
        <v>50</v>
      </c>
      <c r="AA220" s="4">
        <f t="shared" si="48"/>
        <v>750</v>
      </c>
      <c r="AB220" s="7">
        <f t="shared" si="55"/>
        <v>63</v>
      </c>
      <c r="AC220" s="15">
        <f t="shared" si="49"/>
        <v>62.5</v>
      </c>
      <c r="AD220" s="16">
        <f t="shared" si="50"/>
        <v>20242.5</v>
      </c>
      <c r="AE220" s="16">
        <f t="shared" si="51"/>
        <v>1686.875</v>
      </c>
      <c r="AF220" s="16">
        <v>10.94</v>
      </c>
      <c r="AG220" s="16">
        <v>26.99</v>
      </c>
      <c r="AH220" s="8">
        <f t="shared" si="52"/>
        <v>-7.6266666666666677E-2</v>
      </c>
      <c r="AI220" s="8">
        <f t="shared" si="53"/>
        <v>-0.26693333333333336</v>
      </c>
      <c r="AJ220" s="10">
        <v>0.5</v>
      </c>
      <c r="AK220" s="10">
        <v>0.5</v>
      </c>
      <c r="AL220" s="16">
        <v>10.94</v>
      </c>
      <c r="AM220" s="9">
        <f t="shared" si="56"/>
        <v>4.0484999999999998</v>
      </c>
      <c r="AN220" s="9">
        <f t="shared" si="57"/>
        <v>0.80969999999999998</v>
      </c>
      <c r="AO220" s="9">
        <f t="shared" si="58"/>
        <v>5.3979999999999997</v>
      </c>
      <c r="AP220" s="9">
        <f t="shared" si="59"/>
        <v>0.53979999999999995</v>
      </c>
      <c r="AQ220" s="9">
        <f t="shared" si="60"/>
        <v>5.3979999999999997</v>
      </c>
      <c r="AR220" s="9">
        <f t="shared" si="61"/>
        <v>6.7474999999999996</v>
      </c>
      <c r="AS220" s="11">
        <f t="shared" si="62"/>
        <v>-0.76266666666666671</v>
      </c>
      <c r="AT220" s="12">
        <f t="shared" si="63"/>
        <v>-1.6623333333333334</v>
      </c>
    </row>
    <row r="221" spans="1:46" ht="16.5" x14ac:dyDescent="0.4">
      <c r="A221" s="4" t="s">
        <v>1032</v>
      </c>
      <c r="B221" s="4" t="s">
        <v>513</v>
      </c>
      <c r="C221" s="7" t="s">
        <v>513</v>
      </c>
      <c r="D221" s="4" t="s">
        <v>1033</v>
      </c>
      <c r="E221" s="4" t="s">
        <v>1034</v>
      </c>
      <c r="F221" s="4" t="s">
        <v>1035</v>
      </c>
      <c r="G221" s="7" t="str">
        <f>VLOOKUP(A221,[1]done!$A:$I,9,0)</f>
        <v>Lawn Fertilizer</v>
      </c>
      <c r="H221" s="7" t="str" cm="1">
        <f t="array" ref="H221">_xlfn.IFS(
OR(ISNUMBER(SEARCH("mouse",E221)),ISNUMBER(SEARCH("rat",E221)),ISNUMBER(SEARCH("mice",E221)),ISNUMBER(SEARCH("rodent",E221))),"Rodent Control",
OR(ISNUMBER(SEARCH("fly",E221)),ISNUMBER(SEARCH("gnat",E221)),ISNUMBER(SEARCH("insect",E221)),ISNUMBER(SEARCH("mosquito",E221))),"Flying Insect Control",
OR(ISNUMBER(SEARCH("roach",E221)),ISNUMBER(SEARCH("ant",E221)),ISNUMBER(SEARCH("spider",E221)),ISNUMBER(SEARCH("cricket",E221)),ISNUMBER(SEARCH("scorpion",E221)),ISNUMBER(SEARCH("centipede",E221)),ISNUMBER(SEARCH("beetle",E221))),"Crawling Insect Control",
OR(ISNUMBER(SEARCH("tree",E221)),ISNUMBER(SEARCH("lantern",E221)),ISNUMBER(SEARCH("garden",E221)),ISNUMBER(SEARCH("plant",E221))),"Garden Pest Control",
OR(ISNUMBER(SEARCH("grass seed",E221)),ISNUMBER(SEARCH("seed mix",E221))),"Grass Seed",
OR(ISNUMBER(SEARCH("lawn food",E221)),ISNUMBER(SEARCH("fertilizer",E221))),"Lawn Fertilizer",
OR(ISNUMBER(SEARCH("patch",E221)),ISNUMBER(SEARCH("repair",E221)),ISNUMBER(SEARCH("thick'r",E221)),ISNUMBER(SEARCH("thick'r lawn",E221)),ISNUMBER(SEARCH("rapid grass",E221))),"Lawn Repair",
OR(ISNUMBER(SEARCH("weed",E221)),ISNUMBER(SEARCH("crabgrass",E221))),"Weed Control",
OR(ISNUMBER(SEARCH("fungicide",E221)),ISNUMBER(SEARCH("moss",E221))),"Disease &amp; Moss Control",
OR(ISNUMBER(SEARCH("plant food",E221)),ISNUMBER(SEARCH("miracid",E221))),"Plant Nutrition",
OR(ISNUMBER(SEARCH("perlite",E221))),"Soil Amendment",
OR(ISNUMBER(SEARCH("spreader",E221)),ISNUMBER(SEARCH("sprayer",E221)),ISNUMBER(SEARCH("mower",E221)),ISNUMBER(SEARCH("sweeper",E221)),ISNUMBER(SEARCH("pruner",E221)),ISNUMBER(SEARCH("trimmer",E221)),ISNUMBER(SEARCH("pole saw",E221))),"Garden Equipment",
TRUE,"Other"
)</f>
        <v>Lawn Repair</v>
      </c>
      <c r="I221" s="7" t="str" cm="1">
        <f t="array" ref="I221">_xlfn.IFS(
OR(ISNUMBER(SEARCH("glue trap",E221)),ISNUMBER(SEARCH("glue board",E221))),"Glue Traps",
OR(ISNUMBER(SEARCH("snap trap",E221)),ISNUMBER(SEARCH("power-kill",E221)),ISNUMBER(SEARCH("wide pedal",E221)),ISNUMBER(SEARCH("metal pedal",E221))),"Snap Traps",
OR(ISNUMBER(SEARCH("electronic",E221)),ISNUMBER(SEARCH("zapper",E221))),"Electronic Traps",
OR(ISNUMBER(SEARCH("live catch",E221)),ISNUMBER(SEARCH("multi-catch",E221)),ISNUMBER(SEARCH("catch &amp; hold",E221)),ISNUMBER(SEARCH("tin cat",E221))),"Live Catch Traps",
OR(ISNUMBER(SEARCH("bait",E221)),ISNUMBER(SEARCH("poison",E221))),"Bait &amp; Poison",
ISNUMBER(SEARCH("repellent",E221)),"Repellents",
OR(ISNUMBER(SEARCH("fly trap",E221)),ISNUMBER(SEARCH("fly ribbon",E221)),ISNUMBER(SEARCH("fly stick",E221)),ISNUMBER(SEARCH("window fly",E221)),ISNUMBER(SEARCH("fly magnet",E221))),"Fly Traps",
OR(ISNUMBER(SEARCH("uv",E221)),ISNUMBER(SEARCH("fly light",E221)),ISNUMBER(SEARCH("plug-in",E221))),"UV Fly Traps",
ISNUMBER(SEARCH("roach",E221)),"Roach Traps",
ISNUMBER(SEARCH("ant",E221)),"Ant Traps",
ISNUMBER(SEARCH("spider",E221)),"Spider Traps",
ISNUMBER(SEARCH("mosquito",E221)),"Mosquito Traps",
ISNUMBER(SEARCH("beetle",E221)),"Beetle Traps",
ISNUMBER(SEARCH("lantern",E221)),"Lanternfly Control",
OR(ISNUMBER(SEARCH("tree shield",E221)),ISNUMBER(SEARCH("tree banding",E221)),ISNUMBER(SEARCH("insect barrier",E221))),"Tree Barriers",
OR(ISNUMBER(SEARCH("sun &amp; shade",E221)),ISNUMBER(SEARCH("sun and shade",E221))),"Sun &amp; Shade Mix",
ISNUMBER(SEARCH("tall fescue",E221)),"Tall Fescue",
ISNUMBER(SEARCH("bermudagrass",E221)),"Bermudagrass",
ISNUMBER(SEARCH("kentucky",E221)),"Kentucky Bluegrass",
ISNUMBER(SEARCH("zoysia",E221)),"Zoysia",
ISNUMBER(SEARCH("ryegrass",E221)),"Perennial Ryegrass",
ISNUMBER(SEARCH("centipede",E221)),"Centipede Grass",
ISNUMBER(SEARCH("dense shade",E221)),"Dense Shade Mix",
ISNUMBER(SEARCH("southern gold",E221)),"Southern Gold Mix",
ISNUMBER(SEARCH("heat-tolerant blue",E221)),"Heat-Tolerant Blue Mix",
ISNUMBER(SEARCH("high traffic",E221)),"High Traffic Mix",
ISNUMBER(SEARCH("quick fix",E221)),"Quick Fix Mix",
ISNUMBER(SEARCH("starter",E221)),"Starter Fertilizer",
ISNUMBER(SEARCH("weed &amp; feed",E221)),"Weed &amp; Feed",
ISNUMBER(SEARCH("lawn food",E221)),"Lawn Food",
ISNUMBER(SEARCH("triple action",E221)),"Triple Action Fertilizer",
ISNUMBER(SEARCH("green max",E221)),"Green Max Lawn Food",
ISNUMBER(SEARCH("patchmaster",E221)),"PatchMaster Repair",
ISNUMBER(SEARCH("ez seed",E221)),"EZ Seed Repair",
ISNUMBER(SEARCH("rapid grass",E221)),"Rapid Grass",
ISNUMBER(SEARCH("thick'r lawn",E221)),"Thick'R Lawn",
ISNUMBER(SEARCH("fungicide",E221)),"Fungicide",
ISNUMBER(SEARCH("moss",E221)),"Moss Control",
ISNUMBER(SEARCH("perlite",E221)),"Perlite",
ISNUMBER(SEARCH("plant food",E221)),"Plant Food",
ISNUMBER(SEARCH("spreader",E221)),"Spreader",
ISNUMBER(SEARCH("sprayer",E221)),"Sprayer",
ISNUMBER(SEARCH("mower",E221)),"Lawn Mower",
ISNUMBER(SEARCH("sweeper",E221)),"Lawn Sweeper",
OR(ISNUMBER(SEARCH("pruner",E221)),ISNUMBER(SEARCH("trimmer",E221)),ISNUMBER(SEARCH("pole saw",E221))),"Pruning Tools",
TRUE,"Other"
)</f>
        <v>Bermudagrass</v>
      </c>
      <c r="J221" s="7" t="str">
        <f t="shared" si="54"/>
        <v>Lawn Repair - Bermudagrass</v>
      </c>
      <c r="K221" s="4">
        <v>100</v>
      </c>
      <c r="L221" s="4">
        <v>3.5</v>
      </c>
      <c r="M221" s="4">
        <v>239</v>
      </c>
      <c r="N221" s="4" t="s">
        <v>517</v>
      </c>
      <c r="O221" s="4">
        <f>VLOOKUP(A221,[3]Sheet1!$A:$B,2,0)</f>
        <v>0</v>
      </c>
      <c r="P221" s="4">
        <f>VLOOKUP(A221,[3]Sheet1!$A:$C,3,0)</f>
        <v>0</v>
      </c>
      <c r="Q221" s="4">
        <f>VLOOKUP(A221,[3]Sheet1!$A:$D,4,0)</f>
        <v>100</v>
      </c>
      <c r="R221" s="4">
        <f>VLOOKUP(A221,[3]Sheet1!$A:$E,5,0)</f>
        <v>200</v>
      </c>
      <c r="S221" s="4">
        <f>VLOOKUP(A221,[3]Sheet1!$A:$F,6,0)</f>
        <v>200</v>
      </c>
      <c r="T221" s="4">
        <f>VLOOKUP(A221,[3]Sheet1!$A:$G,7,0)</f>
        <v>100</v>
      </c>
      <c r="U221" s="4">
        <f>VLOOKUP(A221,[3]Sheet1!$A:$I,8,0)</f>
        <v>300</v>
      </c>
      <c r="V221" s="4">
        <f>VLOOKUP(A221,[3]Sheet1!$A:$J,9,0)</f>
        <v>100</v>
      </c>
      <c r="W221" s="4">
        <f>VLOOKUP(A221,[3]Sheet1!$A:$J,10,0)</f>
        <v>100</v>
      </c>
      <c r="X221" s="4">
        <f>VLOOKUP(A221,[3]Sheet1!$A:$K,11,0)</f>
        <v>100</v>
      </c>
      <c r="Y221" s="4">
        <f>VLOOKUP(A221,[3]Sheet1!$A:$L,12,0)</f>
        <v>50</v>
      </c>
      <c r="Z221" s="4">
        <f>VLOOKUP(A221,[3]Sheet1!$A:$M,13,0)</f>
        <v>0</v>
      </c>
      <c r="AA221" s="4">
        <f t="shared" si="48"/>
        <v>1250</v>
      </c>
      <c r="AB221" s="7">
        <f t="shared" si="55"/>
        <v>104</v>
      </c>
      <c r="AC221" s="15">
        <f t="shared" si="49"/>
        <v>104.16666666666667</v>
      </c>
      <c r="AD221" s="16">
        <f t="shared" si="50"/>
        <v>22487.499999999996</v>
      </c>
      <c r="AE221" s="16">
        <f t="shared" si="51"/>
        <v>1873.9583333333333</v>
      </c>
      <c r="AF221" s="16">
        <v>7.88</v>
      </c>
      <c r="AG221" s="16">
        <v>17.989999999999998</v>
      </c>
      <c r="AH221" s="8">
        <f t="shared" si="52"/>
        <v>-0.11226666666666674</v>
      </c>
      <c r="AI221" s="8">
        <f t="shared" si="53"/>
        <v>-0.39293333333333358</v>
      </c>
      <c r="AJ221" s="10">
        <v>0.5</v>
      </c>
      <c r="AK221" s="10">
        <v>0.5</v>
      </c>
      <c r="AL221" s="16">
        <v>7.88</v>
      </c>
      <c r="AM221" s="9">
        <f t="shared" si="56"/>
        <v>2.6984999999999997</v>
      </c>
      <c r="AN221" s="9">
        <f t="shared" si="57"/>
        <v>0.53969999999999996</v>
      </c>
      <c r="AO221" s="9">
        <f t="shared" si="58"/>
        <v>3.5979999999999999</v>
      </c>
      <c r="AP221" s="9">
        <f t="shared" si="59"/>
        <v>0.35979999999999995</v>
      </c>
      <c r="AQ221" s="9">
        <f t="shared" si="60"/>
        <v>3.5979999999999999</v>
      </c>
      <c r="AR221" s="9">
        <f t="shared" si="61"/>
        <v>4.4974999999999996</v>
      </c>
      <c r="AS221" s="11">
        <f t="shared" si="62"/>
        <v>-1.1226666666666674</v>
      </c>
      <c r="AT221" s="12">
        <f t="shared" si="63"/>
        <v>-1.7223333333333339</v>
      </c>
    </row>
    <row r="222" spans="1:46" ht="16.5" x14ac:dyDescent="0.4">
      <c r="A222" s="4" t="s">
        <v>1036</v>
      </c>
      <c r="B222" s="4" t="s">
        <v>513</v>
      </c>
      <c r="C222" s="7" t="s">
        <v>1784</v>
      </c>
      <c r="D222" s="4" t="s">
        <v>1037</v>
      </c>
      <c r="E222" s="4" t="s">
        <v>1038</v>
      </c>
      <c r="F222" s="4" t="s">
        <v>1039</v>
      </c>
      <c r="G222" s="7" t="str">
        <f>VLOOKUP(A222,[1]done!$A:$I,9,0)</f>
        <v>Lawn Fertilizer</v>
      </c>
      <c r="H222" s="7" t="str" cm="1">
        <f t="array" ref="H222">_xlfn.IFS(
OR(ISNUMBER(SEARCH("mouse",E222)),ISNUMBER(SEARCH("rat",E222)),ISNUMBER(SEARCH("mice",E222)),ISNUMBER(SEARCH("rodent",E222))),"Rodent Control",
OR(ISNUMBER(SEARCH("fly",E222)),ISNUMBER(SEARCH("gnat",E222)),ISNUMBER(SEARCH("insect",E222)),ISNUMBER(SEARCH("mosquito",E222))),"Flying Insect Control",
OR(ISNUMBER(SEARCH("roach",E222)),ISNUMBER(SEARCH("ant",E222)),ISNUMBER(SEARCH("spider",E222)),ISNUMBER(SEARCH("cricket",E222)),ISNUMBER(SEARCH("scorpion",E222)),ISNUMBER(SEARCH("centipede",E222)),ISNUMBER(SEARCH("beetle",E222))),"Crawling Insect Control",
OR(ISNUMBER(SEARCH("tree",E222)),ISNUMBER(SEARCH("lantern",E222)),ISNUMBER(SEARCH("garden",E222)),ISNUMBER(SEARCH("plant",E222))),"Garden Pest Control",
OR(ISNUMBER(SEARCH("grass seed",E222)),ISNUMBER(SEARCH("seed mix",E222))),"Grass Seed",
OR(ISNUMBER(SEARCH("lawn food",E222)),ISNUMBER(SEARCH("fertilizer",E222))),"Lawn Fertilizer",
OR(ISNUMBER(SEARCH("patch",E222)),ISNUMBER(SEARCH("repair",E222)),ISNUMBER(SEARCH("thick'r",E222)),ISNUMBER(SEARCH("thick'r lawn",E222)),ISNUMBER(SEARCH("rapid grass",E222))),"Lawn Repair",
OR(ISNUMBER(SEARCH("weed",E222)),ISNUMBER(SEARCH("crabgrass",E222))),"Weed Control",
OR(ISNUMBER(SEARCH("fungicide",E222)),ISNUMBER(SEARCH("moss",E222))),"Disease &amp; Moss Control",
OR(ISNUMBER(SEARCH("plant food",E222)),ISNUMBER(SEARCH("miracid",E222))),"Plant Nutrition",
OR(ISNUMBER(SEARCH("perlite",E222))),"Soil Amendment",
OR(ISNUMBER(SEARCH("spreader",E222)),ISNUMBER(SEARCH("sprayer",E222)),ISNUMBER(SEARCH("mower",E222)),ISNUMBER(SEARCH("sweeper",E222)),ISNUMBER(SEARCH("pruner",E222)),ISNUMBER(SEARCH("trimmer",E222)),ISNUMBER(SEARCH("pole saw",E222))),"Garden Equipment",
TRUE,"Other"
)</f>
        <v>Lawn Repair</v>
      </c>
      <c r="I222" s="7" t="str" cm="1">
        <f t="array" ref="I222">_xlfn.IFS(
OR(ISNUMBER(SEARCH("glue trap",E222)),ISNUMBER(SEARCH("glue board",E222))),"Glue Traps",
OR(ISNUMBER(SEARCH("snap trap",E222)),ISNUMBER(SEARCH("power-kill",E222)),ISNUMBER(SEARCH("wide pedal",E222)),ISNUMBER(SEARCH("metal pedal",E222))),"Snap Traps",
OR(ISNUMBER(SEARCH("electronic",E222)),ISNUMBER(SEARCH("zapper",E222))),"Electronic Traps",
OR(ISNUMBER(SEARCH("live catch",E222)),ISNUMBER(SEARCH("multi-catch",E222)),ISNUMBER(SEARCH("catch &amp; hold",E222)),ISNUMBER(SEARCH("tin cat",E222))),"Live Catch Traps",
OR(ISNUMBER(SEARCH("bait",E222)),ISNUMBER(SEARCH("poison",E222))),"Bait &amp; Poison",
ISNUMBER(SEARCH("repellent",E222)),"Repellents",
OR(ISNUMBER(SEARCH("fly trap",E222)),ISNUMBER(SEARCH("fly ribbon",E222)),ISNUMBER(SEARCH("fly stick",E222)),ISNUMBER(SEARCH("window fly",E222)),ISNUMBER(SEARCH("fly magnet",E222))),"Fly Traps",
OR(ISNUMBER(SEARCH("uv",E222)),ISNUMBER(SEARCH("fly light",E222)),ISNUMBER(SEARCH("plug-in",E222))),"UV Fly Traps",
ISNUMBER(SEARCH("roach",E222)),"Roach Traps",
ISNUMBER(SEARCH("ant",E222)),"Ant Traps",
ISNUMBER(SEARCH("spider",E222)),"Spider Traps",
ISNUMBER(SEARCH("mosquito",E222)),"Mosquito Traps",
ISNUMBER(SEARCH("beetle",E222)),"Beetle Traps",
ISNUMBER(SEARCH("lantern",E222)),"Lanternfly Control",
OR(ISNUMBER(SEARCH("tree shield",E222)),ISNUMBER(SEARCH("tree banding",E222)),ISNUMBER(SEARCH("insect barrier",E222))),"Tree Barriers",
OR(ISNUMBER(SEARCH("sun &amp; shade",E222)),ISNUMBER(SEARCH("sun and shade",E222))),"Sun &amp; Shade Mix",
ISNUMBER(SEARCH("tall fescue",E222)),"Tall Fescue",
ISNUMBER(SEARCH("bermudagrass",E222)),"Bermudagrass",
ISNUMBER(SEARCH("kentucky",E222)),"Kentucky Bluegrass",
ISNUMBER(SEARCH("zoysia",E222)),"Zoysia",
ISNUMBER(SEARCH("ryegrass",E222)),"Perennial Ryegrass",
ISNUMBER(SEARCH("centipede",E222)),"Centipede Grass",
ISNUMBER(SEARCH("dense shade",E222)),"Dense Shade Mix",
ISNUMBER(SEARCH("southern gold",E222)),"Southern Gold Mix",
ISNUMBER(SEARCH("heat-tolerant blue",E222)),"Heat-Tolerant Blue Mix",
ISNUMBER(SEARCH("high traffic",E222)),"High Traffic Mix",
ISNUMBER(SEARCH("quick fix",E222)),"Quick Fix Mix",
ISNUMBER(SEARCH("starter",E222)),"Starter Fertilizer",
ISNUMBER(SEARCH("weed &amp; feed",E222)),"Weed &amp; Feed",
ISNUMBER(SEARCH("lawn food",E222)),"Lawn Food",
ISNUMBER(SEARCH("triple action",E222)),"Triple Action Fertilizer",
ISNUMBER(SEARCH("green max",E222)),"Green Max Lawn Food",
ISNUMBER(SEARCH("patchmaster",E222)),"PatchMaster Repair",
ISNUMBER(SEARCH("ez seed",E222)),"EZ Seed Repair",
ISNUMBER(SEARCH("rapid grass",E222)),"Rapid Grass",
ISNUMBER(SEARCH("thick'r lawn",E222)),"Thick'R Lawn",
ISNUMBER(SEARCH("fungicide",E222)),"Fungicide",
ISNUMBER(SEARCH("moss",E222)),"Moss Control",
ISNUMBER(SEARCH("perlite",E222)),"Perlite",
ISNUMBER(SEARCH("plant food",E222)),"Plant Food",
ISNUMBER(SEARCH("spreader",E222)),"Spreader",
ISNUMBER(SEARCH("sprayer",E222)),"Sprayer",
ISNUMBER(SEARCH("mower",E222)),"Lawn Mower",
ISNUMBER(SEARCH("sweeper",E222)),"Lawn Sweeper",
OR(ISNUMBER(SEARCH("pruner",E222)),ISNUMBER(SEARCH("trimmer",E222)),ISNUMBER(SEARCH("pole saw",E222))),"Pruning Tools",
TRUE,"Other"
)</f>
        <v>Tall Fescue</v>
      </c>
      <c r="J222" s="7" t="str">
        <f t="shared" si="54"/>
        <v>Lawn Repair - Tall Fescue</v>
      </c>
      <c r="K222" s="4">
        <v>100</v>
      </c>
      <c r="L222" s="4">
        <v>4.2</v>
      </c>
      <c r="M222" s="4">
        <v>1075</v>
      </c>
      <c r="N222" s="4" t="s">
        <v>606</v>
      </c>
      <c r="O222" s="4">
        <f>VLOOKUP(A222,[3]Sheet1!$A:$B,2,0)</f>
        <v>0</v>
      </c>
      <c r="P222" s="4">
        <f>VLOOKUP(A222,[3]Sheet1!$A:$C,3,0)</f>
        <v>0</v>
      </c>
      <c r="Q222" s="4">
        <f>VLOOKUP(A222,[3]Sheet1!$A:$D,4,0)</f>
        <v>0</v>
      </c>
      <c r="R222" s="4">
        <f>VLOOKUP(A222,[3]Sheet1!$A:$E,5,0)</f>
        <v>0</v>
      </c>
      <c r="S222" s="4">
        <f>VLOOKUP(A222,[3]Sheet1!$A:$F,6,0)</f>
        <v>100</v>
      </c>
      <c r="T222" s="4">
        <f>VLOOKUP(A222,[3]Sheet1!$A:$G,7,0)</f>
        <v>100</v>
      </c>
      <c r="U222" s="4">
        <f>VLOOKUP(A222,[3]Sheet1!$A:$I,8,0)</f>
        <v>50</v>
      </c>
      <c r="V222" s="4">
        <f>VLOOKUP(A222,[3]Sheet1!$A:$J,9,0)</f>
        <v>50</v>
      </c>
      <c r="W222" s="4">
        <f>VLOOKUP(A222,[3]Sheet1!$A:$J,10,0)</f>
        <v>100</v>
      </c>
      <c r="X222" s="4">
        <f>VLOOKUP(A222,[3]Sheet1!$A:$K,11,0)</f>
        <v>0</v>
      </c>
      <c r="Y222" s="4">
        <f>VLOOKUP(A222,[3]Sheet1!$A:$L,12,0)</f>
        <v>0</v>
      </c>
      <c r="Z222" s="4">
        <f>VLOOKUP(A222,[3]Sheet1!$A:$M,13,0)</f>
        <v>0</v>
      </c>
      <c r="AA222" s="4">
        <f t="shared" si="48"/>
        <v>400</v>
      </c>
      <c r="AB222" s="7">
        <f t="shared" si="55"/>
        <v>33</v>
      </c>
      <c r="AC222" s="15">
        <f t="shared" si="49"/>
        <v>33.333333333333336</v>
      </c>
      <c r="AD222" s="16">
        <f t="shared" si="50"/>
        <v>10396</v>
      </c>
      <c r="AE222" s="16">
        <f t="shared" si="51"/>
        <v>866.33333333333337</v>
      </c>
      <c r="AF222" s="16">
        <v>6.31</v>
      </c>
      <c r="AG222" s="16">
        <v>25.99</v>
      </c>
      <c r="AH222" s="8">
        <f t="shared" si="52"/>
        <v>0.20573333333333324</v>
      </c>
      <c r="AI222" s="8">
        <f t="shared" si="53"/>
        <v>0.7200666666666663</v>
      </c>
      <c r="AJ222" s="10">
        <v>0.5</v>
      </c>
      <c r="AK222" s="10">
        <v>0.5</v>
      </c>
      <c r="AL222" s="16">
        <v>6.31</v>
      </c>
      <c r="AM222" s="9">
        <f t="shared" si="56"/>
        <v>3.8984999999999994</v>
      </c>
      <c r="AN222" s="9">
        <f t="shared" si="57"/>
        <v>0.77969999999999995</v>
      </c>
      <c r="AO222" s="9">
        <f t="shared" si="58"/>
        <v>5.1980000000000004</v>
      </c>
      <c r="AP222" s="9">
        <f t="shared" si="59"/>
        <v>0.51979999999999993</v>
      </c>
      <c r="AQ222" s="9">
        <f t="shared" si="60"/>
        <v>5.1980000000000004</v>
      </c>
      <c r="AR222" s="9">
        <f t="shared" si="61"/>
        <v>6.4974999999999996</v>
      </c>
      <c r="AS222" s="11">
        <f t="shared" si="62"/>
        <v>2.0573333333333323</v>
      </c>
      <c r="AT222" s="12">
        <f t="shared" si="63"/>
        <v>1.1909999999999996</v>
      </c>
    </row>
    <row r="223" spans="1:46" ht="16.5" x14ac:dyDescent="0.4">
      <c r="A223" s="4" t="s">
        <v>1040</v>
      </c>
      <c r="B223" s="4" t="s">
        <v>513</v>
      </c>
      <c r="C223" s="7" t="s">
        <v>1784</v>
      </c>
      <c r="D223" s="4" t="s">
        <v>1041</v>
      </c>
      <c r="E223" s="4" t="s">
        <v>1042</v>
      </c>
      <c r="F223" s="4" t="s">
        <v>1043</v>
      </c>
      <c r="G223" s="7" t="str">
        <f>VLOOKUP(A223,[1]done!$A:$I,9,0)</f>
        <v>Lawn Fertilizer</v>
      </c>
      <c r="H223" s="7" t="str" cm="1">
        <f t="array" ref="H223">_xlfn.IFS(
OR(ISNUMBER(SEARCH("mouse",E223)),ISNUMBER(SEARCH("rat",E223)),ISNUMBER(SEARCH("mice",E223)),ISNUMBER(SEARCH("rodent",E223))),"Rodent Control",
OR(ISNUMBER(SEARCH("fly",E223)),ISNUMBER(SEARCH("gnat",E223)),ISNUMBER(SEARCH("insect",E223)),ISNUMBER(SEARCH("mosquito",E223))),"Flying Insect Control",
OR(ISNUMBER(SEARCH("roach",E223)),ISNUMBER(SEARCH("ant",E223)),ISNUMBER(SEARCH("spider",E223)),ISNUMBER(SEARCH("cricket",E223)),ISNUMBER(SEARCH("scorpion",E223)),ISNUMBER(SEARCH("centipede",E223)),ISNUMBER(SEARCH("beetle",E223))),"Crawling Insect Control",
OR(ISNUMBER(SEARCH("tree",E223)),ISNUMBER(SEARCH("lantern",E223)),ISNUMBER(SEARCH("garden",E223)),ISNUMBER(SEARCH("plant",E223))),"Garden Pest Control",
OR(ISNUMBER(SEARCH("grass seed",E223)),ISNUMBER(SEARCH("seed mix",E223))),"Grass Seed",
OR(ISNUMBER(SEARCH("lawn food",E223)),ISNUMBER(SEARCH("fertilizer",E223))),"Lawn Fertilizer",
OR(ISNUMBER(SEARCH("patch",E223)),ISNUMBER(SEARCH("repair",E223)),ISNUMBER(SEARCH("thick'r",E223)),ISNUMBER(SEARCH("thick'r lawn",E223)),ISNUMBER(SEARCH("rapid grass",E223))),"Lawn Repair",
OR(ISNUMBER(SEARCH("weed",E223)),ISNUMBER(SEARCH("crabgrass",E223))),"Weed Control",
OR(ISNUMBER(SEARCH("fungicide",E223)),ISNUMBER(SEARCH("moss",E223))),"Disease &amp; Moss Control",
OR(ISNUMBER(SEARCH("plant food",E223)),ISNUMBER(SEARCH("miracid",E223))),"Plant Nutrition",
OR(ISNUMBER(SEARCH("perlite",E223))),"Soil Amendment",
OR(ISNUMBER(SEARCH("spreader",E223)),ISNUMBER(SEARCH("sprayer",E223)),ISNUMBER(SEARCH("mower",E223)),ISNUMBER(SEARCH("sweeper",E223)),ISNUMBER(SEARCH("pruner",E223)),ISNUMBER(SEARCH("trimmer",E223)),ISNUMBER(SEARCH("pole saw",E223))),"Garden Equipment",
TRUE,"Other"
)</f>
        <v>Lawn Repair</v>
      </c>
      <c r="I223" s="7" t="str" cm="1">
        <f t="array" ref="I223">_xlfn.IFS(
OR(ISNUMBER(SEARCH("glue trap",E223)),ISNUMBER(SEARCH("glue board",E223))),"Glue Traps",
OR(ISNUMBER(SEARCH("snap trap",E223)),ISNUMBER(SEARCH("power-kill",E223)),ISNUMBER(SEARCH("wide pedal",E223)),ISNUMBER(SEARCH("metal pedal",E223))),"Snap Traps",
OR(ISNUMBER(SEARCH("electronic",E223)),ISNUMBER(SEARCH("zapper",E223))),"Electronic Traps",
OR(ISNUMBER(SEARCH("live catch",E223)),ISNUMBER(SEARCH("multi-catch",E223)),ISNUMBER(SEARCH("catch &amp; hold",E223)),ISNUMBER(SEARCH("tin cat",E223))),"Live Catch Traps",
OR(ISNUMBER(SEARCH("bait",E223)),ISNUMBER(SEARCH("poison",E223))),"Bait &amp; Poison",
ISNUMBER(SEARCH("repellent",E223)),"Repellents",
OR(ISNUMBER(SEARCH("fly trap",E223)),ISNUMBER(SEARCH("fly ribbon",E223)),ISNUMBER(SEARCH("fly stick",E223)),ISNUMBER(SEARCH("window fly",E223)),ISNUMBER(SEARCH("fly magnet",E223))),"Fly Traps",
OR(ISNUMBER(SEARCH("uv",E223)),ISNUMBER(SEARCH("fly light",E223)),ISNUMBER(SEARCH("plug-in",E223))),"UV Fly Traps",
ISNUMBER(SEARCH("roach",E223)),"Roach Traps",
ISNUMBER(SEARCH("ant",E223)),"Ant Traps",
ISNUMBER(SEARCH("spider",E223)),"Spider Traps",
ISNUMBER(SEARCH("mosquito",E223)),"Mosquito Traps",
ISNUMBER(SEARCH("beetle",E223)),"Beetle Traps",
ISNUMBER(SEARCH("lantern",E223)),"Lanternfly Control",
OR(ISNUMBER(SEARCH("tree shield",E223)),ISNUMBER(SEARCH("tree banding",E223)),ISNUMBER(SEARCH("insect barrier",E223))),"Tree Barriers",
OR(ISNUMBER(SEARCH("sun &amp; shade",E223)),ISNUMBER(SEARCH("sun and shade",E223))),"Sun &amp; Shade Mix",
ISNUMBER(SEARCH("tall fescue",E223)),"Tall Fescue",
ISNUMBER(SEARCH("bermudagrass",E223)),"Bermudagrass",
ISNUMBER(SEARCH("kentucky",E223)),"Kentucky Bluegrass",
ISNUMBER(SEARCH("zoysia",E223)),"Zoysia",
ISNUMBER(SEARCH("ryegrass",E223)),"Perennial Ryegrass",
ISNUMBER(SEARCH("centipede",E223)),"Centipede Grass",
ISNUMBER(SEARCH("dense shade",E223)),"Dense Shade Mix",
ISNUMBER(SEARCH("southern gold",E223)),"Southern Gold Mix",
ISNUMBER(SEARCH("heat-tolerant blue",E223)),"Heat-Tolerant Blue Mix",
ISNUMBER(SEARCH("high traffic",E223)),"High Traffic Mix",
ISNUMBER(SEARCH("quick fix",E223)),"Quick Fix Mix",
ISNUMBER(SEARCH("starter",E223)),"Starter Fertilizer",
ISNUMBER(SEARCH("weed &amp; feed",E223)),"Weed &amp; Feed",
ISNUMBER(SEARCH("lawn food",E223)),"Lawn Food",
ISNUMBER(SEARCH("triple action",E223)),"Triple Action Fertilizer",
ISNUMBER(SEARCH("green max",E223)),"Green Max Lawn Food",
ISNUMBER(SEARCH("patchmaster",E223)),"PatchMaster Repair",
ISNUMBER(SEARCH("ez seed",E223)),"EZ Seed Repair",
ISNUMBER(SEARCH("rapid grass",E223)),"Rapid Grass",
ISNUMBER(SEARCH("thick'r lawn",E223)),"Thick'R Lawn",
ISNUMBER(SEARCH("fungicide",E223)),"Fungicide",
ISNUMBER(SEARCH("moss",E223)),"Moss Control",
ISNUMBER(SEARCH("perlite",E223)),"Perlite",
ISNUMBER(SEARCH("plant food",E223)),"Plant Food",
ISNUMBER(SEARCH("spreader",E223)),"Spreader",
ISNUMBER(SEARCH("sprayer",E223)),"Sprayer",
ISNUMBER(SEARCH("mower",E223)),"Lawn Mower",
ISNUMBER(SEARCH("sweeper",E223)),"Lawn Sweeper",
OR(ISNUMBER(SEARCH("pruner",E223)),ISNUMBER(SEARCH("trimmer",E223)),ISNUMBER(SEARCH("pole saw",E223))),"Pruning Tools",
TRUE,"Other"
)</f>
        <v>Bermudagrass</v>
      </c>
      <c r="J223" s="7" t="str">
        <f t="shared" si="54"/>
        <v>Lawn Repair - Bermudagrass</v>
      </c>
      <c r="K223" s="4">
        <v>100</v>
      </c>
      <c r="L223" s="4">
        <v>4</v>
      </c>
      <c r="M223" s="4">
        <v>878</v>
      </c>
      <c r="N223" s="4" t="s">
        <v>953</v>
      </c>
      <c r="O223" s="4">
        <f>VLOOKUP(A223,[3]Sheet1!$A:$B,2,0)</f>
        <v>0</v>
      </c>
      <c r="P223" s="4">
        <f>VLOOKUP(A223,[3]Sheet1!$A:$C,3,0)</f>
        <v>50</v>
      </c>
      <c r="Q223" s="4">
        <f>VLOOKUP(A223,[3]Sheet1!$A:$D,4,0)</f>
        <v>100</v>
      </c>
      <c r="R223" s="4">
        <f>VLOOKUP(A223,[3]Sheet1!$A:$E,5,0)</f>
        <v>1000</v>
      </c>
      <c r="S223" s="4">
        <f>VLOOKUP(A223,[3]Sheet1!$A:$F,6,0)</f>
        <v>900</v>
      </c>
      <c r="T223" s="4">
        <f>VLOOKUP(A223,[3]Sheet1!$A:$G,7,0)</f>
        <v>500</v>
      </c>
      <c r="U223" s="4">
        <f>VLOOKUP(A223,[3]Sheet1!$A:$I,8,0)</f>
        <v>300</v>
      </c>
      <c r="V223" s="4">
        <f>VLOOKUP(A223,[3]Sheet1!$A:$J,9,0)</f>
        <v>200</v>
      </c>
      <c r="W223" s="4">
        <f>VLOOKUP(A223,[3]Sheet1!$A:$J,10,0)</f>
        <v>100</v>
      </c>
      <c r="X223" s="4">
        <f>VLOOKUP(A223,[3]Sheet1!$A:$K,11,0)</f>
        <v>50</v>
      </c>
      <c r="Y223" s="4">
        <f>VLOOKUP(A223,[3]Sheet1!$A:$L,12,0)</f>
        <v>50</v>
      </c>
      <c r="Z223" s="4">
        <f>VLOOKUP(A223,[3]Sheet1!$A:$M,13,0)</f>
        <v>0</v>
      </c>
      <c r="AA223" s="4">
        <f t="shared" si="48"/>
        <v>3250</v>
      </c>
      <c r="AB223" s="7">
        <f t="shared" si="55"/>
        <v>271</v>
      </c>
      <c r="AC223" s="15">
        <f t="shared" si="49"/>
        <v>270.83333333333331</v>
      </c>
      <c r="AD223" s="16">
        <f t="shared" si="50"/>
        <v>276217.5</v>
      </c>
      <c r="AE223" s="16">
        <f t="shared" si="51"/>
        <v>23018.124999999996</v>
      </c>
      <c r="AF223" s="16">
        <v>9.2200000000000006</v>
      </c>
      <c r="AG223" s="16">
        <v>84.99</v>
      </c>
      <c r="AH223" s="8">
        <f t="shared" si="52"/>
        <v>1.5850666666666662</v>
      </c>
      <c r="AI223" s="8">
        <f t="shared" si="53"/>
        <v>5.5477333333333316</v>
      </c>
      <c r="AJ223" s="10">
        <v>0.5</v>
      </c>
      <c r="AK223" s="10">
        <v>0.5</v>
      </c>
      <c r="AL223" s="16">
        <v>9.2200000000000006</v>
      </c>
      <c r="AM223" s="9">
        <f t="shared" si="56"/>
        <v>12.748499999999998</v>
      </c>
      <c r="AN223" s="9">
        <f t="shared" si="57"/>
        <v>2.5496999999999996</v>
      </c>
      <c r="AO223" s="9">
        <f t="shared" si="58"/>
        <v>16.998000000000001</v>
      </c>
      <c r="AP223" s="9">
        <f t="shared" si="59"/>
        <v>1.6998</v>
      </c>
      <c r="AQ223" s="9">
        <f t="shared" si="60"/>
        <v>16.998000000000001</v>
      </c>
      <c r="AR223" s="9">
        <f t="shared" si="61"/>
        <v>21.247499999999999</v>
      </c>
      <c r="AS223" s="11">
        <f t="shared" si="62"/>
        <v>15.850666666666662</v>
      </c>
      <c r="AT223" s="12">
        <f t="shared" si="63"/>
        <v>13.017666666666663</v>
      </c>
    </row>
    <row r="224" spans="1:46" ht="16.5" x14ac:dyDescent="0.4">
      <c r="A224" s="4" t="s">
        <v>1044</v>
      </c>
      <c r="B224" s="4" t="s">
        <v>513</v>
      </c>
      <c r="C224" s="7" t="s">
        <v>1784</v>
      </c>
      <c r="D224" s="4" t="s">
        <v>1045</v>
      </c>
      <c r="E224" s="4" t="s">
        <v>1046</v>
      </c>
      <c r="F224" s="4" t="s">
        <v>1047</v>
      </c>
      <c r="G224" s="7" t="str">
        <f>VLOOKUP(A224,[1]done!$A:$I,9,0)</f>
        <v>Lawn Fertilizer</v>
      </c>
      <c r="H224" s="7" t="str" cm="1">
        <f t="array" ref="H224">_xlfn.IFS(
OR(ISNUMBER(SEARCH("mouse",E224)),ISNUMBER(SEARCH("rat",E224)),ISNUMBER(SEARCH("mice",E224)),ISNUMBER(SEARCH("rodent",E224))),"Rodent Control",
OR(ISNUMBER(SEARCH("fly",E224)),ISNUMBER(SEARCH("gnat",E224)),ISNUMBER(SEARCH("insect",E224)),ISNUMBER(SEARCH("mosquito",E224))),"Flying Insect Control",
OR(ISNUMBER(SEARCH("roach",E224)),ISNUMBER(SEARCH("ant",E224)),ISNUMBER(SEARCH("spider",E224)),ISNUMBER(SEARCH("cricket",E224)),ISNUMBER(SEARCH("scorpion",E224)),ISNUMBER(SEARCH("centipede",E224)),ISNUMBER(SEARCH("beetle",E224))),"Crawling Insect Control",
OR(ISNUMBER(SEARCH("tree",E224)),ISNUMBER(SEARCH("lantern",E224)),ISNUMBER(SEARCH("garden",E224)),ISNUMBER(SEARCH("plant",E224))),"Garden Pest Control",
OR(ISNUMBER(SEARCH("grass seed",E224)),ISNUMBER(SEARCH("seed mix",E224))),"Grass Seed",
OR(ISNUMBER(SEARCH("lawn food",E224)),ISNUMBER(SEARCH("fertilizer",E224))),"Lawn Fertilizer",
OR(ISNUMBER(SEARCH("patch",E224)),ISNUMBER(SEARCH("repair",E224)),ISNUMBER(SEARCH("thick'r",E224)),ISNUMBER(SEARCH("thick'r lawn",E224)),ISNUMBER(SEARCH("rapid grass",E224))),"Lawn Repair",
OR(ISNUMBER(SEARCH("weed",E224)),ISNUMBER(SEARCH("crabgrass",E224))),"Weed Control",
OR(ISNUMBER(SEARCH("fungicide",E224)),ISNUMBER(SEARCH("moss",E224))),"Disease &amp; Moss Control",
OR(ISNUMBER(SEARCH("plant food",E224)),ISNUMBER(SEARCH("miracid",E224))),"Plant Nutrition",
OR(ISNUMBER(SEARCH("perlite",E224))),"Soil Amendment",
OR(ISNUMBER(SEARCH("spreader",E224)),ISNUMBER(SEARCH("sprayer",E224)),ISNUMBER(SEARCH("mower",E224)),ISNUMBER(SEARCH("sweeper",E224)),ISNUMBER(SEARCH("pruner",E224)),ISNUMBER(SEARCH("trimmer",E224)),ISNUMBER(SEARCH("pole saw",E224))),"Garden Equipment",
TRUE,"Other"
)</f>
        <v>Lawn Repair</v>
      </c>
      <c r="I224" s="7" t="str" cm="1">
        <f t="array" ref="I224">_xlfn.IFS(
OR(ISNUMBER(SEARCH("glue trap",E224)),ISNUMBER(SEARCH("glue board",E224))),"Glue Traps",
OR(ISNUMBER(SEARCH("snap trap",E224)),ISNUMBER(SEARCH("power-kill",E224)),ISNUMBER(SEARCH("wide pedal",E224)),ISNUMBER(SEARCH("metal pedal",E224))),"Snap Traps",
OR(ISNUMBER(SEARCH("electronic",E224)),ISNUMBER(SEARCH("zapper",E224))),"Electronic Traps",
OR(ISNUMBER(SEARCH("live catch",E224)),ISNUMBER(SEARCH("multi-catch",E224)),ISNUMBER(SEARCH("catch &amp; hold",E224)),ISNUMBER(SEARCH("tin cat",E224))),"Live Catch Traps",
OR(ISNUMBER(SEARCH("bait",E224)),ISNUMBER(SEARCH("poison",E224))),"Bait &amp; Poison",
ISNUMBER(SEARCH("repellent",E224)),"Repellents",
OR(ISNUMBER(SEARCH("fly trap",E224)),ISNUMBER(SEARCH("fly ribbon",E224)),ISNUMBER(SEARCH("fly stick",E224)),ISNUMBER(SEARCH("window fly",E224)),ISNUMBER(SEARCH("fly magnet",E224))),"Fly Traps",
OR(ISNUMBER(SEARCH("uv",E224)),ISNUMBER(SEARCH("fly light",E224)),ISNUMBER(SEARCH("plug-in",E224))),"UV Fly Traps",
ISNUMBER(SEARCH("roach",E224)),"Roach Traps",
ISNUMBER(SEARCH("ant",E224)),"Ant Traps",
ISNUMBER(SEARCH("spider",E224)),"Spider Traps",
ISNUMBER(SEARCH("mosquito",E224)),"Mosquito Traps",
ISNUMBER(SEARCH("beetle",E224)),"Beetle Traps",
ISNUMBER(SEARCH("lantern",E224)),"Lanternfly Control",
OR(ISNUMBER(SEARCH("tree shield",E224)),ISNUMBER(SEARCH("tree banding",E224)),ISNUMBER(SEARCH("insect barrier",E224))),"Tree Barriers",
OR(ISNUMBER(SEARCH("sun &amp; shade",E224)),ISNUMBER(SEARCH("sun and shade",E224))),"Sun &amp; Shade Mix",
ISNUMBER(SEARCH("tall fescue",E224)),"Tall Fescue",
ISNUMBER(SEARCH("bermudagrass",E224)),"Bermudagrass",
ISNUMBER(SEARCH("kentucky",E224)),"Kentucky Bluegrass",
ISNUMBER(SEARCH("zoysia",E224)),"Zoysia",
ISNUMBER(SEARCH("ryegrass",E224)),"Perennial Ryegrass",
ISNUMBER(SEARCH("centipede",E224)),"Centipede Grass",
ISNUMBER(SEARCH("dense shade",E224)),"Dense Shade Mix",
ISNUMBER(SEARCH("southern gold",E224)),"Southern Gold Mix",
ISNUMBER(SEARCH("heat-tolerant blue",E224)),"Heat-Tolerant Blue Mix",
ISNUMBER(SEARCH("high traffic",E224)),"High Traffic Mix",
ISNUMBER(SEARCH("quick fix",E224)),"Quick Fix Mix",
ISNUMBER(SEARCH("starter",E224)),"Starter Fertilizer",
ISNUMBER(SEARCH("weed &amp; feed",E224)),"Weed &amp; Feed",
ISNUMBER(SEARCH("lawn food",E224)),"Lawn Food",
ISNUMBER(SEARCH("triple action",E224)),"Triple Action Fertilizer",
ISNUMBER(SEARCH("green max",E224)),"Green Max Lawn Food",
ISNUMBER(SEARCH("patchmaster",E224)),"PatchMaster Repair",
ISNUMBER(SEARCH("ez seed",E224)),"EZ Seed Repair",
ISNUMBER(SEARCH("rapid grass",E224)),"Rapid Grass",
ISNUMBER(SEARCH("thick'r lawn",E224)),"Thick'R Lawn",
ISNUMBER(SEARCH("fungicide",E224)),"Fungicide",
ISNUMBER(SEARCH("moss",E224)),"Moss Control",
ISNUMBER(SEARCH("perlite",E224)),"Perlite",
ISNUMBER(SEARCH("plant food",E224)),"Plant Food",
ISNUMBER(SEARCH("spreader",E224)),"Spreader",
ISNUMBER(SEARCH("sprayer",E224)),"Sprayer",
ISNUMBER(SEARCH("mower",E224)),"Lawn Mower",
ISNUMBER(SEARCH("sweeper",E224)),"Lawn Sweeper",
OR(ISNUMBER(SEARCH("pruner",E224)),ISNUMBER(SEARCH("trimmer",E224)),ISNUMBER(SEARCH("pole saw",E224))),"Pruning Tools",
TRUE,"Other"
)</f>
        <v>Bermudagrass</v>
      </c>
      <c r="J224" s="7" t="str">
        <f t="shared" si="54"/>
        <v>Lawn Repair - Bermudagrass</v>
      </c>
      <c r="K224" s="4">
        <v>100</v>
      </c>
      <c r="L224" s="4">
        <v>4</v>
      </c>
      <c r="M224" s="4">
        <v>878</v>
      </c>
      <c r="N224" s="4" t="s">
        <v>920</v>
      </c>
      <c r="O224" s="4">
        <f>VLOOKUP(A224,[3]Sheet1!$A:$B,2,0)</f>
        <v>0</v>
      </c>
      <c r="P224" s="4">
        <f>VLOOKUP(A224,[3]Sheet1!$A:$C,3,0)</f>
        <v>100</v>
      </c>
      <c r="Q224" s="4">
        <f>VLOOKUP(A224,[3]Sheet1!$A:$D,4,0)</f>
        <v>400</v>
      </c>
      <c r="R224" s="4">
        <f>VLOOKUP(A224,[3]Sheet1!$A:$E,5,0)</f>
        <v>1000</v>
      </c>
      <c r="S224" s="4">
        <f>VLOOKUP(A224,[3]Sheet1!$A:$F,6,0)</f>
        <v>2000</v>
      </c>
      <c r="T224" s="4">
        <f>VLOOKUP(A224,[3]Sheet1!$A:$G,7,0)</f>
        <v>2000</v>
      </c>
      <c r="U224" s="4">
        <f>VLOOKUP(A224,[3]Sheet1!$A:$I,8,0)</f>
        <v>1000</v>
      </c>
      <c r="V224" s="4">
        <f>VLOOKUP(A224,[3]Sheet1!$A:$J,9,0)</f>
        <v>200</v>
      </c>
      <c r="W224" s="4">
        <f>VLOOKUP(A224,[3]Sheet1!$A:$J,10,0)</f>
        <v>100</v>
      </c>
      <c r="X224" s="4">
        <f>VLOOKUP(A224,[3]Sheet1!$A:$K,11,0)</f>
        <v>100</v>
      </c>
      <c r="Y224" s="4">
        <f>VLOOKUP(A224,[3]Sheet1!$A:$L,12,0)</f>
        <v>50</v>
      </c>
      <c r="Z224" s="4">
        <f>VLOOKUP(A224,[3]Sheet1!$A:$M,13,0)</f>
        <v>50</v>
      </c>
      <c r="AA224" s="4">
        <f t="shared" si="48"/>
        <v>7000</v>
      </c>
      <c r="AB224" s="7">
        <f t="shared" si="55"/>
        <v>583</v>
      </c>
      <c r="AC224" s="15">
        <f t="shared" si="49"/>
        <v>583.33333333333337</v>
      </c>
      <c r="AD224" s="16">
        <f t="shared" si="50"/>
        <v>314790</v>
      </c>
      <c r="AE224" s="16">
        <f t="shared" si="51"/>
        <v>26232.5</v>
      </c>
      <c r="AF224" s="16">
        <v>7.63</v>
      </c>
      <c r="AG224" s="16">
        <v>44.97</v>
      </c>
      <c r="AH224" s="8">
        <f t="shared" si="52"/>
        <v>0.62386666666666679</v>
      </c>
      <c r="AI224" s="8">
        <f t="shared" si="53"/>
        <v>2.1835333333333331</v>
      </c>
      <c r="AJ224" s="10">
        <v>0.5</v>
      </c>
      <c r="AK224" s="10">
        <v>0.5</v>
      </c>
      <c r="AL224" s="16">
        <v>7.63</v>
      </c>
      <c r="AM224" s="9">
        <f t="shared" si="56"/>
        <v>6.7454999999999998</v>
      </c>
      <c r="AN224" s="9">
        <f t="shared" si="57"/>
        <v>1.3491</v>
      </c>
      <c r="AO224" s="9">
        <f t="shared" si="58"/>
        <v>8.9939999999999998</v>
      </c>
      <c r="AP224" s="9">
        <f t="shared" si="59"/>
        <v>0.89939999999999998</v>
      </c>
      <c r="AQ224" s="9">
        <f t="shared" si="60"/>
        <v>8.9939999999999998</v>
      </c>
      <c r="AR224" s="9">
        <f t="shared" si="61"/>
        <v>11.2425</v>
      </c>
      <c r="AS224" s="11">
        <f t="shared" si="62"/>
        <v>6.238666666666667</v>
      </c>
      <c r="AT224" s="12">
        <f t="shared" si="63"/>
        <v>4.7396666666666674</v>
      </c>
    </row>
    <row r="225" spans="1:46" ht="16.5" x14ac:dyDescent="0.4">
      <c r="A225" s="4" t="s">
        <v>1048</v>
      </c>
      <c r="B225" s="4" t="s">
        <v>513</v>
      </c>
      <c r="C225" s="7" t="s">
        <v>1792</v>
      </c>
      <c r="D225" s="4" t="s">
        <v>1049</v>
      </c>
      <c r="E225" s="4" t="s">
        <v>1050</v>
      </c>
      <c r="F225" s="4" t="s">
        <v>1051</v>
      </c>
      <c r="G225" s="7" t="str">
        <f>VLOOKUP(A225,[1]done!$A:$I,9,0)</f>
        <v>Other Lawn products</v>
      </c>
      <c r="H225" s="7" t="str" cm="1">
        <f t="array" ref="H225">_xlfn.IFS(
OR(ISNUMBER(SEARCH("mouse",E225)),ISNUMBER(SEARCH("rat",E225)),ISNUMBER(SEARCH("mice",E225)),ISNUMBER(SEARCH("rodent",E225))),"Rodent Control",
OR(ISNUMBER(SEARCH("fly",E225)),ISNUMBER(SEARCH("gnat",E225)),ISNUMBER(SEARCH("insect",E225)),ISNUMBER(SEARCH("mosquito",E225))),"Flying Insect Control",
OR(ISNUMBER(SEARCH("roach",E225)),ISNUMBER(SEARCH("ant",E225)),ISNUMBER(SEARCH("spider",E225)),ISNUMBER(SEARCH("cricket",E225)),ISNUMBER(SEARCH("scorpion",E225)),ISNUMBER(SEARCH("centipede",E225)),ISNUMBER(SEARCH("beetle",E225))),"Crawling Insect Control",
OR(ISNUMBER(SEARCH("tree",E225)),ISNUMBER(SEARCH("lantern",E225)),ISNUMBER(SEARCH("garden",E225)),ISNUMBER(SEARCH("plant",E225))),"Garden Pest Control",
OR(ISNUMBER(SEARCH("grass seed",E225)),ISNUMBER(SEARCH("seed mix",E225))),"Grass Seed",
OR(ISNUMBER(SEARCH("lawn food",E225)),ISNUMBER(SEARCH("fertilizer",E225))),"Lawn Fertilizer",
OR(ISNUMBER(SEARCH("patch",E225)),ISNUMBER(SEARCH("repair",E225)),ISNUMBER(SEARCH("thick'r",E225)),ISNUMBER(SEARCH("thick'r lawn",E225)),ISNUMBER(SEARCH("rapid grass",E225))),"Lawn Repair",
OR(ISNUMBER(SEARCH("weed",E225)),ISNUMBER(SEARCH("crabgrass",E225))),"Weed Control",
OR(ISNUMBER(SEARCH("fungicide",E225)),ISNUMBER(SEARCH("moss",E225))),"Disease &amp; Moss Control",
OR(ISNUMBER(SEARCH("plant food",E225)),ISNUMBER(SEARCH("miracid",E225))),"Plant Nutrition",
OR(ISNUMBER(SEARCH("perlite",E225))),"Soil Amendment",
OR(ISNUMBER(SEARCH("spreader",E225)),ISNUMBER(SEARCH("sprayer",E225)),ISNUMBER(SEARCH("mower",E225)),ISNUMBER(SEARCH("sweeper",E225)),ISNUMBER(SEARCH("pruner",E225)),ISNUMBER(SEARCH("trimmer",E225)),ISNUMBER(SEARCH("pole saw",E225))),"Garden Equipment",
TRUE,"Other"
)</f>
        <v>Garden Equipment</v>
      </c>
      <c r="I225" s="7" t="str" cm="1">
        <f t="array" ref="I225">_xlfn.IFS(
OR(ISNUMBER(SEARCH("glue trap",E225)),ISNUMBER(SEARCH("glue board",E225))),"Glue Traps",
OR(ISNUMBER(SEARCH("snap trap",E225)),ISNUMBER(SEARCH("power-kill",E225)),ISNUMBER(SEARCH("wide pedal",E225)),ISNUMBER(SEARCH("metal pedal",E225))),"Snap Traps",
OR(ISNUMBER(SEARCH("electronic",E225)),ISNUMBER(SEARCH("zapper",E225))),"Electronic Traps",
OR(ISNUMBER(SEARCH("live catch",E225)),ISNUMBER(SEARCH("multi-catch",E225)),ISNUMBER(SEARCH("catch &amp; hold",E225)),ISNUMBER(SEARCH("tin cat",E225))),"Live Catch Traps",
OR(ISNUMBER(SEARCH("bait",E225)),ISNUMBER(SEARCH("poison",E225))),"Bait &amp; Poison",
ISNUMBER(SEARCH("repellent",E225)),"Repellents",
OR(ISNUMBER(SEARCH("fly trap",E225)),ISNUMBER(SEARCH("fly ribbon",E225)),ISNUMBER(SEARCH("fly stick",E225)),ISNUMBER(SEARCH("window fly",E225)),ISNUMBER(SEARCH("fly magnet",E225))),"Fly Traps",
OR(ISNUMBER(SEARCH("uv",E225)),ISNUMBER(SEARCH("fly light",E225)),ISNUMBER(SEARCH("plug-in",E225))),"UV Fly Traps",
ISNUMBER(SEARCH("roach",E225)),"Roach Traps",
ISNUMBER(SEARCH("ant",E225)),"Ant Traps",
ISNUMBER(SEARCH("spider",E225)),"Spider Traps",
ISNUMBER(SEARCH("mosquito",E225)),"Mosquito Traps",
ISNUMBER(SEARCH("beetle",E225)),"Beetle Traps",
ISNUMBER(SEARCH("lantern",E225)),"Lanternfly Control",
OR(ISNUMBER(SEARCH("tree shield",E225)),ISNUMBER(SEARCH("tree banding",E225)),ISNUMBER(SEARCH("insect barrier",E225))),"Tree Barriers",
OR(ISNUMBER(SEARCH("sun &amp; shade",E225)),ISNUMBER(SEARCH("sun and shade",E225))),"Sun &amp; Shade Mix",
ISNUMBER(SEARCH("tall fescue",E225)),"Tall Fescue",
ISNUMBER(SEARCH("bermudagrass",E225)),"Bermudagrass",
ISNUMBER(SEARCH("kentucky",E225)),"Kentucky Bluegrass",
ISNUMBER(SEARCH("zoysia",E225)),"Zoysia",
ISNUMBER(SEARCH("ryegrass",E225)),"Perennial Ryegrass",
ISNUMBER(SEARCH("centipede",E225)),"Centipede Grass",
ISNUMBER(SEARCH("dense shade",E225)),"Dense Shade Mix",
ISNUMBER(SEARCH("southern gold",E225)),"Southern Gold Mix",
ISNUMBER(SEARCH("heat-tolerant blue",E225)),"Heat-Tolerant Blue Mix",
ISNUMBER(SEARCH("high traffic",E225)),"High Traffic Mix",
ISNUMBER(SEARCH("quick fix",E225)),"Quick Fix Mix",
ISNUMBER(SEARCH("starter",E225)),"Starter Fertilizer",
ISNUMBER(SEARCH("weed &amp; feed",E225)),"Weed &amp; Feed",
ISNUMBER(SEARCH("lawn food",E225)),"Lawn Food",
ISNUMBER(SEARCH("triple action",E225)),"Triple Action Fertilizer",
ISNUMBER(SEARCH("green max",E225)),"Green Max Lawn Food",
ISNUMBER(SEARCH("patchmaster",E225)),"PatchMaster Repair",
ISNUMBER(SEARCH("ez seed",E225)),"EZ Seed Repair",
ISNUMBER(SEARCH("rapid grass",E225)),"Rapid Grass",
ISNUMBER(SEARCH("thick'r lawn",E225)),"Thick'R Lawn",
ISNUMBER(SEARCH("fungicide",E225)),"Fungicide",
ISNUMBER(SEARCH("moss",E225)),"Moss Control",
ISNUMBER(SEARCH("perlite",E225)),"Perlite",
ISNUMBER(SEARCH("plant food",E225)),"Plant Food",
ISNUMBER(SEARCH("spreader",E225)),"Spreader",
ISNUMBER(SEARCH("sprayer",E225)),"Sprayer",
ISNUMBER(SEARCH("mower",E225)),"Lawn Mower",
ISNUMBER(SEARCH("sweeper",E225)),"Lawn Sweeper",
OR(ISNUMBER(SEARCH("pruner",E225)),ISNUMBER(SEARCH("trimmer",E225)),ISNUMBER(SEARCH("pole saw",E225))),"Pruning Tools",
TRUE,"Other"
)</f>
        <v>Lawn Mower</v>
      </c>
      <c r="J225" s="7" t="str">
        <f t="shared" si="54"/>
        <v>Garden Equipment - Lawn Mower</v>
      </c>
      <c r="K225" s="4">
        <v>100</v>
      </c>
      <c r="L225" s="4">
        <v>4.3</v>
      </c>
      <c r="M225" s="4">
        <v>2632</v>
      </c>
      <c r="N225" s="4" t="s">
        <v>1052</v>
      </c>
      <c r="O225" s="4">
        <f>VLOOKUP(A225,[3]Sheet1!$A:$B,2,0)</f>
        <v>0</v>
      </c>
      <c r="P225" s="4">
        <f>VLOOKUP(A225,[3]Sheet1!$A:$C,3,0)</f>
        <v>0</v>
      </c>
      <c r="Q225" s="4">
        <f>VLOOKUP(A225,[3]Sheet1!$A:$D,4,0)</f>
        <v>100</v>
      </c>
      <c r="R225" s="4">
        <f>VLOOKUP(A225,[3]Sheet1!$A:$E,5,0)</f>
        <v>400</v>
      </c>
      <c r="S225" s="4">
        <f>VLOOKUP(A225,[3]Sheet1!$A:$F,6,0)</f>
        <v>400</v>
      </c>
      <c r="T225" s="4">
        <f>VLOOKUP(A225,[3]Sheet1!$A:$G,7,0)</f>
        <v>100</v>
      </c>
      <c r="U225" s="4">
        <f>VLOOKUP(A225,[3]Sheet1!$A:$I,8,0)</f>
        <v>50</v>
      </c>
      <c r="V225" s="4">
        <f>VLOOKUP(A225,[3]Sheet1!$A:$J,9,0)</f>
        <v>50</v>
      </c>
      <c r="W225" s="4">
        <f>VLOOKUP(A225,[3]Sheet1!$A:$J,10,0)</f>
        <v>100</v>
      </c>
      <c r="X225" s="4">
        <f>VLOOKUP(A225,[3]Sheet1!$A:$K,11,0)</f>
        <v>0</v>
      </c>
      <c r="Y225" s="4">
        <f>VLOOKUP(A225,[3]Sheet1!$A:$L,12,0)</f>
        <v>0</v>
      </c>
      <c r="Z225" s="4">
        <f>VLOOKUP(A225,[3]Sheet1!$A:$M,13,0)</f>
        <v>0</v>
      </c>
      <c r="AA225" s="4">
        <f t="shared" si="48"/>
        <v>1200</v>
      </c>
      <c r="AB225" s="7">
        <f t="shared" si="55"/>
        <v>100</v>
      </c>
      <c r="AC225" s="15">
        <f t="shared" si="49"/>
        <v>100</v>
      </c>
      <c r="AD225" s="16">
        <f t="shared" si="50"/>
        <v>125988</v>
      </c>
      <c r="AE225" s="16">
        <f t="shared" si="51"/>
        <v>10499</v>
      </c>
      <c r="AF225" s="16">
        <v>15.68</v>
      </c>
      <c r="AG225" s="16">
        <v>104.99</v>
      </c>
      <c r="AH225" s="8">
        <f t="shared" si="52"/>
        <v>1.6877333333333331</v>
      </c>
      <c r="AI225" s="8">
        <f t="shared" si="53"/>
        <v>5.9070666666666645</v>
      </c>
      <c r="AJ225" s="10">
        <v>0.5</v>
      </c>
      <c r="AK225" s="10">
        <v>0.5</v>
      </c>
      <c r="AL225" s="16">
        <v>15.68</v>
      </c>
      <c r="AM225" s="9">
        <f t="shared" si="56"/>
        <v>15.748499999999998</v>
      </c>
      <c r="AN225" s="9">
        <f t="shared" si="57"/>
        <v>3.1496999999999997</v>
      </c>
      <c r="AO225" s="9">
        <f t="shared" si="58"/>
        <v>20.998000000000001</v>
      </c>
      <c r="AP225" s="9">
        <f t="shared" si="59"/>
        <v>2.0998000000000001</v>
      </c>
      <c r="AQ225" s="9">
        <f t="shared" si="60"/>
        <v>20.998000000000001</v>
      </c>
      <c r="AR225" s="9">
        <f t="shared" si="61"/>
        <v>26.247499999999999</v>
      </c>
      <c r="AS225" s="11">
        <f t="shared" si="62"/>
        <v>16.877333333333329</v>
      </c>
      <c r="AT225" s="12">
        <f t="shared" si="63"/>
        <v>13.377666666666663</v>
      </c>
    </row>
    <row r="226" spans="1:46" ht="16.5" x14ac:dyDescent="0.4">
      <c r="A226" s="4" t="s">
        <v>1053</v>
      </c>
      <c r="B226" s="4" t="s">
        <v>513</v>
      </c>
      <c r="C226" s="7" t="s">
        <v>1784</v>
      </c>
      <c r="D226" s="4" t="s">
        <v>1054</v>
      </c>
      <c r="E226" s="4" t="s">
        <v>1055</v>
      </c>
      <c r="F226" s="4" t="s">
        <v>1056</v>
      </c>
      <c r="G226" s="7" t="str">
        <f>VLOOKUP(A226,[1]done!$A:$I,9,0)</f>
        <v>Lawn Fertilizer</v>
      </c>
      <c r="H226" s="7" t="str" cm="1">
        <f t="array" ref="H226">_xlfn.IFS(
OR(ISNUMBER(SEARCH("mouse",E226)),ISNUMBER(SEARCH("rat",E226)),ISNUMBER(SEARCH("mice",E226)),ISNUMBER(SEARCH("rodent",E226))),"Rodent Control",
OR(ISNUMBER(SEARCH("fly",E226)),ISNUMBER(SEARCH("gnat",E226)),ISNUMBER(SEARCH("insect",E226)),ISNUMBER(SEARCH("mosquito",E226))),"Flying Insect Control",
OR(ISNUMBER(SEARCH("roach",E226)),ISNUMBER(SEARCH("ant",E226)),ISNUMBER(SEARCH("spider",E226)),ISNUMBER(SEARCH("cricket",E226)),ISNUMBER(SEARCH("scorpion",E226)),ISNUMBER(SEARCH("centipede",E226)),ISNUMBER(SEARCH("beetle",E226))),"Crawling Insect Control",
OR(ISNUMBER(SEARCH("tree",E226)),ISNUMBER(SEARCH("lantern",E226)),ISNUMBER(SEARCH("garden",E226)),ISNUMBER(SEARCH("plant",E226))),"Garden Pest Control",
OR(ISNUMBER(SEARCH("grass seed",E226)),ISNUMBER(SEARCH("seed mix",E226))),"Grass Seed",
OR(ISNUMBER(SEARCH("lawn food",E226)),ISNUMBER(SEARCH("fertilizer",E226))),"Lawn Fertilizer",
OR(ISNUMBER(SEARCH("patch",E226)),ISNUMBER(SEARCH("repair",E226)),ISNUMBER(SEARCH("thick'r",E226)),ISNUMBER(SEARCH("thick'r lawn",E226)),ISNUMBER(SEARCH("rapid grass",E226))),"Lawn Repair",
OR(ISNUMBER(SEARCH("weed",E226)),ISNUMBER(SEARCH("crabgrass",E226))),"Weed Control",
OR(ISNUMBER(SEARCH("fungicide",E226)),ISNUMBER(SEARCH("moss",E226))),"Disease &amp; Moss Control",
OR(ISNUMBER(SEARCH("plant food",E226)),ISNUMBER(SEARCH("miracid",E226))),"Plant Nutrition",
OR(ISNUMBER(SEARCH("perlite",E226))),"Soil Amendment",
OR(ISNUMBER(SEARCH("spreader",E226)),ISNUMBER(SEARCH("sprayer",E226)),ISNUMBER(SEARCH("mower",E226)),ISNUMBER(SEARCH("sweeper",E226)),ISNUMBER(SEARCH("pruner",E226)),ISNUMBER(SEARCH("trimmer",E226)),ISNUMBER(SEARCH("pole saw",E226))),"Garden Equipment",
TRUE,"Other"
)</f>
        <v>Lawn Repair</v>
      </c>
      <c r="I226" s="7" t="str" cm="1">
        <f t="array" ref="I226">_xlfn.IFS(
OR(ISNUMBER(SEARCH("glue trap",E226)),ISNUMBER(SEARCH("glue board",E226))),"Glue Traps",
OR(ISNUMBER(SEARCH("snap trap",E226)),ISNUMBER(SEARCH("power-kill",E226)),ISNUMBER(SEARCH("wide pedal",E226)),ISNUMBER(SEARCH("metal pedal",E226))),"Snap Traps",
OR(ISNUMBER(SEARCH("electronic",E226)),ISNUMBER(SEARCH("zapper",E226))),"Electronic Traps",
OR(ISNUMBER(SEARCH("live catch",E226)),ISNUMBER(SEARCH("multi-catch",E226)),ISNUMBER(SEARCH("catch &amp; hold",E226)),ISNUMBER(SEARCH("tin cat",E226))),"Live Catch Traps",
OR(ISNUMBER(SEARCH("bait",E226)),ISNUMBER(SEARCH("poison",E226))),"Bait &amp; Poison",
ISNUMBER(SEARCH("repellent",E226)),"Repellents",
OR(ISNUMBER(SEARCH("fly trap",E226)),ISNUMBER(SEARCH("fly ribbon",E226)),ISNUMBER(SEARCH("fly stick",E226)),ISNUMBER(SEARCH("window fly",E226)),ISNUMBER(SEARCH("fly magnet",E226))),"Fly Traps",
OR(ISNUMBER(SEARCH("uv",E226)),ISNUMBER(SEARCH("fly light",E226)),ISNUMBER(SEARCH("plug-in",E226))),"UV Fly Traps",
ISNUMBER(SEARCH("roach",E226)),"Roach Traps",
ISNUMBER(SEARCH("ant",E226)),"Ant Traps",
ISNUMBER(SEARCH("spider",E226)),"Spider Traps",
ISNUMBER(SEARCH("mosquito",E226)),"Mosquito Traps",
ISNUMBER(SEARCH("beetle",E226)),"Beetle Traps",
ISNUMBER(SEARCH("lantern",E226)),"Lanternfly Control",
OR(ISNUMBER(SEARCH("tree shield",E226)),ISNUMBER(SEARCH("tree banding",E226)),ISNUMBER(SEARCH("insect barrier",E226))),"Tree Barriers",
OR(ISNUMBER(SEARCH("sun &amp; shade",E226)),ISNUMBER(SEARCH("sun and shade",E226))),"Sun &amp; Shade Mix",
ISNUMBER(SEARCH("tall fescue",E226)),"Tall Fescue",
ISNUMBER(SEARCH("bermudagrass",E226)),"Bermudagrass",
ISNUMBER(SEARCH("kentucky",E226)),"Kentucky Bluegrass",
ISNUMBER(SEARCH("zoysia",E226)),"Zoysia",
ISNUMBER(SEARCH("ryegrass",E226)),"Perennial Ryegrass",
ISNUMBER(SEARCH("centipede",E226)),"Centipede Grass",
ISNUMBER(SEARCH("dense shade",E226)),"Dense Shade Mix",
ISNUMBER(SEARCH("southern gold",E226)),"Southern Gold Mix",
ISNUMBER(SEARCH("heat-tolerant blue",E226)),"Heat-Tolerant Blue Mix",
ISNUMBER(SEARCH("high traffic",E226)),"High Traffic Mix",
ISNUMBER(SEARCH("quick fix",E226)),"Quick Fix Mix",
ISNUMBER(SEARCH("starter",E226)),"Starter Fertilizer",
ISNUMBER(SEARCH("weed &amp; feed",E226)),"Weed &amp; Feed",
ISNUMBER(SEARCH("lawn food",E226)),"Lawn Food",
ISNUMBER(SEARCH("triple action",E226)),"Triple Action Fertilizer",
ISNUMBER(SEARCH("green max",E226)),"Green Max Lawn Food",
ISNUMBER(SEARCH("patchmaster",E226)),"PatchMaster Repair",
ISNUMBER(SEARCH("ez seed",E226)),"EZ Seed Repair",
ISNUMBER(SEARCH("rapid grass",E226)),"Rapid Grass",
ISNUMBER(SEARCH("thick'r lawn",E226)),"Thick'R Lawn",
ISNUMBER(SEARCH("fungicide",E226)),"Fungicide",
ISNUMBER(SEARCH("moss",E226)),"Moss Control",
ISNUMBER(SEARCH("perlite",E226)),"Perlite",
ISNUMBER(SEARCH("plant food",E226)),"Plant Food",
ISNUMBER(SEARCH("spreader",E226)),"Spreader",
ISNUMBER(SEARCH("sprayer",E226)),"Sprayer",
ISNUMBER(SEARCH("mower",E226)),"Lawn Mower",
ISNUMBER(SEARCH("sweeper",E226)),"Lawn Sweeper",
OR(ISNUMBER(SEARCH("pruner",E226)),ISNUMBER(SEARCH("trimmer",E226)),ISNUMBER(SEARCH("pole saw",E226))),"Pruning Tools",
TRUE,"Other"
)</f>
        <v>Tall Fescue</v>
      </c>
      <c r="J226" s="7" t="str">
        <f t="shared" si="54"/>
        <v>Lawn Repair - Tall Fescue</v>
      </c>
      <c r="K226" s="4">
        <v>100</v>
      </c>
      <c r="L226" s="4">
        <v>3.9</v>
      </c>
      <c r="M226" s="4">
        <v>1228</v>
      </c>
      <c r="N226" s="4" t="s">
        <v>1057</v>
      </c>
      <c r="O226" s="4">
        <f>VLOOKUP(A226,[3]Sheet1!$A:$B,2,0)</f>
        <v>0</v>
      </c>
      <c r="P226" s="4">
        <f>VLOOKUP(A226,[3]Sheet1!$A:$C,3,0)</f>
        <v>0</v>
      </c>
      <c r="Q226" s="4">
        <f>VLOOKUP(A226,[3]Sheet1!$A:$D,4,0)</f>
        <v>0</v>
      </c>
      <c r="R226" s="4">
        <f>VLOOKUP(A226,[3]Sheet1!$A:$E,5,0)</f>
        <v>100</v>
      </c>
      <c r="S226" s="4">
        <f>VLOOKUP(A226,[3]Sheet1!$A:$F,6,0)</f>
        <v>100</v>
      </c>
      <c r="T226" s="4">
        <f>VLOOKUP(A226,[3]Sheet1!$A:$G,7,0)</f>
        <v>100</v>
      </c>
      <c r="U226" s="4">
        <f>VLOOKUP(A226,[3]Sheet1!$A:$I,8,0)</f>
        <v>100</v>
      </c>
      <c r="V226" s="4">
        <f>VLOOKUP(A226,[3]Sheet1!$A:$J,9,0)</f>
        <v>100</v>
      </c>
      <c r="W226" s="4">
        <f>VLOOKUP(A226,[3]Sheet1!$A:$J,10,0)</f>
        <v>200</v>
      </c>
      <c r="X226" s="4">
        <f>VLOOKUP(A226,[3]Sheet1!$A:$K,11,0)</f>
        <v>100</v>
      </c>
      <c r="Y226" s="4">
        <f>VLOOKUP(A226,[3]Sheet1!$A:$L,12,0)</f>
        <v>50</v>
      </c>
      <c r="Z226" s="4">
        <f>VLOOKUP(A226,[3]Sheet1!$A:$M,13,0)</f>
        <v>0</v>
      </c>
      <c r="AA226" s="4">
        <f t="shared" si="48"/>
        <v>850</v>
      </c>
      <c r="AB226" s="7">
        <f t="shared" si="55"/>
        <v>71</v>
      </c>
      <c r="AC226" s="15">
        <f t="shared" si="49"/>
        <v>70.833333333333329</v>
      </c>
      <c r="AD226" s="16">
        <f t="shared" si="50"/>
        <v>9877</v>
      </c>
      <c r="AE226" s="16">
        <f t="shared" si="51"/>
        <v>823.08333333333326</v>
      </c>
      <c r="AF226" s="16">
        <v>8.3699999999999992</v>
      </c>
      <c r="AG226" s="16">
        <v>11.62</v>
      </c>
      <c r="AH226" s="8">
        <f t="shared" si="52"/>
        <v>-0.31479999999999997</v>
      </c>
      <c r="AI226" s="8">
        <f t="shared" si="53"/>
        <v>-1.1017999999999999</v>
      </c>
      <c r="AJ226" s="10">
        <v>0.5</v>
      </c>
      <c r="AK226" s="10">
        <v>0.5</v>
      </c>
      <c r="AL226" s="16">
        <v>8.3699999999999992</v>
      </c>
      <c r="AM226" s="9">
        <f t="shared" si="56"/>
        <v>1.7429999999999999</v>
      </c>
      <c r="AN226" s="9">
        <f t="shared" si="57"/>
        <v>0.34859999999999997</v>
      </c>
      <c r="AO226" s="9">
        <f t="shared" si="58"/>
        <v>2.3239999999999998</v>
      </c>
      <c r="AP226" s="9">
        <f t="shared" si="59"/>
        <v>0.2324</v>
      </c>
      <c r="AQ226" s="9">
        <f t="shared" si="60"/>
        <v>2.3239999999999998</v>
      </c>
      <c r="AR226" s="9">
        <f t="shared" si="61"/>
        <v>2.9049999999999998</v>
      </c>
      <c r="AS226" s="11">
        <f t="shared" si="62"/>
        <v>-3.1479999999999997</v>
      </c>
      <c r="AT226" s="12">
        <f t="shared" si="63"/>
        <v>-3.5353333333333326</v>
      </c>
    </row>
    <row r="227" spans="1:46" ht="16.5" x14ac:dyDescent="0.4">
      <c r="A227" s="4" t="s">
        <v>1058</v>
      </c>
      <c r="B227" s="4" t="s">
        <v>513</v>
      </c>
      <c r="C227" s="7" t="s">
        <v>1784</v>
      </c>
      <c r="D227" s="4" t="s">
        <v>1059</v>
      </c>
      <c r="E227" s="4" t="s">
        <v>1060</v>
      </c>
      <c r="F227" s="4" t="s">
        <v>1061</v>
      </c>
      <c r="G227" s="7" t="str">
        <f>VLOOKUP(A227,[1]done!$A:$I,9,0)</f>
        <v>Grass Seed</v>
      </c>
      <c r="H227" s="7" t="str" cm="1">
        <f t="array" ref="H227">_xlfn.IFS(
OR(ISNUMBER(SEARCH("mouse",E227)),ISNUMBER(SEARCH("rat",E227)),ISNUMBER(SEARCH("mice",E227)),ISNUMBER(SEARCH("rodent",E227))),"Rodent Control",
OR(ISNUMBER(SEARCH("fly",E227)),ISNUMBER(SEARCH("gnat",E227)),ISNUMBER(SEARCH("insect",E227)),ISNUMBER(SEARCH("mosquito",E227))),"Flying Insect Control",
OR(ISNUMBER(SEARCH("roach",E227)),ISNUMBER(SEARCH("ant",E227)),ISNUMBER(SEARCH("spider",E227)),ISNUMBER(SEARCH("cricket",E227)),ISNUMBER(SEARCH("scorpion",E227)),ISNUMBER(SEARCH("centipede",E227)),ISNUMBER(SEARCH("beetle",E227))),"Crawling Insect Control",
OR(ISNUMBER(SEARCH("tree",E227)),ISNUMBER(SEARCH("lantern",E227)),ISNUMBER(SEARCH("garden",E227)),ISNUMBER(SEARCH("plant",E227))),"Garden Pest Control",
OR(ISNUMBER(SEARCH("grass seed",E227)),ISNUMBER(SEARCH("seed mix",E227))),"Grass Seed",
OR(ISNUMBER(SEARCH("lawn food",E227)),ISNUMBER(SEARCH("fertilizer",E227))),"Lawn Fertilizer",
OR(ISNUMBER(SEARCH("patch",E227)),ISNUMBER(SEARCH("repair",E227)),ISNUMBER(SEARCH("thick'r",E227)),ISNUMBER(SEARCH("thick'r lawn",E227)),ISNUMBER(SEARCH("rapid grass",E227))),"Lawn Repair",
OR(ISNUMBER(SEARCH("weed",E227)),ISNUMBER(SEARCH("crabgrass",E227))),"Weed Control",
OR(ISNUMBER(SEARCH("fungicide",E227)),ISNUMBER(SEARCH("moss",E227))),"Disease &amp; Moss Control",
OR(ISNUMBER(SEARCH("plant food",E227)),ISNUMBER(SEARCH("miracid",E227))),"Plant Nutrition",
OR(ISNUMBER(SEARCH("perlite",E227))),"Soil Amendment",
OR(ISNUMBER(SEARCH("spreader",E227)),ISNUMBER(SEARCH("sprayer",E227)),ISNUMBER(SEARCH("mower",E227)),ISNUMBER(SEARCH("sweeper",E227)),ISNUMBER(SEARCH("pruner",E227)),ISNUMBER(SEARCH("trimmer",E227)),ISNUMBER(SEARCH("pole saw",E227))),"Garden Equipment",
TRUE,"Other"
)</f>
        <v>Grass Seed</v>
      </c>
      <c r="I227" s="7" t="str" cm="1">
        <f t="array" ref="I227">_xlfn.IFS(
OR(ISNUMBER(SEARCH("glue trap",E227)),ISNUMBER(SEARCH("glue board",E227))),"Glue Traps",
OR(ISNUMBER(SEARCH("snap trap",E227)),ISNUMBER(SEARCH("power-kill",E227)),ISNUMBER(SEARCH("wide pedal",E227)),ISNUMBER(SEARCH("metal pedal",E227))),"Snap Traps",
OR(ISNUMBER(SEARCH("electronic",E227)),ISNUMBER(SEARCH("zapper",E227))),"Electronic Traps",
OR(ISNUMBER(SEARCH("live catch",E227)),ISNUMBER(SEARCH("multi-catch",E227)),ISNUMBER(SEARCH("catch &amp; hold",E227)),ISNUMBER(SEARCH("tin cat",E227))),"Live Catch Traps",
OR(ISNUMBER(SEARCH("bait",E227)),ISNUMBER(SEARCH("poison",E227))),"Bait &amp; Poison",
ISNUMBER(SEARCH("repellent",E227)),"Repellents",
OR(ISNUMBER(SEARCH("fly trap",E227)),ISNUMBER(SEARCH("fly ribbon",E227)),ISNUMBER(SEARCH("fly stick",E227)),ISNUMBER(SEARCH("window fly",E227)),ISNUMBER(SEARCH("fly magnet",E227))),"Fly Traps",
OR(ISNUMBER(SEARCH("uv",E227)),ISNUMBER(SEARCH("fly light",E227)),ISNUMBER(SEARCH("plug-in",E227))),"UV Fly Traps",
ISNUMBER(SEARCH("roach",E227)),"Roach Traps",
ISNUMBER(SEARCH("ant",E227)),"Ant Traps",
ISNUMBER(SEARCH("spider",E227)),"Spider Traps",
ISNUMBER(SEARCH("mosquito",E227)),"Mosquito Traps",
ISNUMBER(SEARCH("beetle",E227)),"Beetle Traps",
ISNUMBER(SEARCH("lantern",E227)),"Lanternfly Control",
OR(ISNUMBER(SEARCH("tree shield",E227)),ISNUMBER(SEARCH("tree banding",E227)),ISNUMBER(SEARCH("insect barrier",E227))),"Tree Barriers",
OR(ISNUMBER(SEARCH("sun &amp; shade",E227)),ISNUMBER(SEARCH("sun and shade",E227))),"Sun &amp; Shade Mix",
ISNUMBER(SEARCH("tall fescue",E227)),"Tall Fescue",
ISNUMBER(SEARCH("bermudagrass",E227)),"Bermudagrass",
ISNUMBER(SEARCH("kentucky",E227)),"Kentucky Bluegrass",
ISNUMBER(SEARCH("zoysia",E227)),"Zoysia",
ISNUMBER(SEARCH("ryegrass",E227)),"Perennial Ryegrass",
ISNUMBER(SEARCH("centipede",E227)),"Centipede Grass",
ISNUMBER(SEARCH("dense shade",E227)),"Dense Shade Mix",
ISNUMBER(SEARCH("southern gold",E227)),"Southern Gold Mix",
ISNUMBER(SEARCH("heat-tolerant blue",E227)),"Heat-Tolerant Blue Mix",
ISNUMBER(SEARCH("high traffic",E227)),"High Traffic Mix",
ISNUMBER(SEARCH("quick fix",E227)),"Quick Fix Mix",
ISNUMBER(SEARCH("starter",E227)),"Starter Fertilizer",
ISNUMBER(SEARCH("weed &amp; feed",E227)),"Weed &amp; Feed",
ISNUMBER(SEARCH("lawn food",E227)),"Lawn Food",
ISNUMBER(SEARCH("triple action",E227)),"Triple Action Fertilizer",
ISNUMBER(SEARCH("green max",E227)),"Green Max Lawn Food",
ISNUMBER(SEARCH("patchmaster",E227)),"PatchMaster Repair",
ISNUMBER(SEARCH("ez seed",E227)),"EZ Seed Repair",
ISNUMBER(SEARCH("rapid grass",E227)),"Rapid Grass",
ISNUMBER(SEARCH("thick'r lawn",E227)),"Thick'R Lawn",
ISNUMBER(SEARCH("fungicide",E227)),"Fungicide",
ISNUMBER(SEARCH("moss",E227)),"Moss Control",
ISNUMBER(SEARCH("perlite",E227)),"Perlite",
ISNUMBER(SEARCH("plant food",E227)),"Plant Food",
ISNUMBER(SEARCH("spreader",E227)),"Spreader",
ISNUMBER(SEARCH("sprayer",E227)),"Sprayer",
ISNUMBER(SEARCH("mower",E227)),"Lawn Mower",
ISNUMBER(SEARCH("sweeper",E227)),"Lawn Sweeper",
OR(ISNUMBER(SEARCH("pruner",E227)),ISNUMBER(SEARCH("trimmer",E227)),ISNUMBER(SEARCH("pole saw",E227))),"Pruning Tools",
TRUE,"Other"
)</f>
        <v>Perennial Ryegrass</v>
      </c>
      <c r="J227" s="7" t="str">
        <f t="shared" si="54"/>
        <v>Grass Seed - Perennial Ryegrass</v>
      </c>
      <c r="K227" s="4">
        <v>100</v>
      </c>
      <c r="L227" s="4">
        <v>4.3</v>
      </c>
      <c r="M227" s="4">
        <v>3643</v>
      </c>
      <c r="N227" s="4" t="s">
        <v>531</v>
      </c>
      <c r="O227" s="4">
        <f>VLOOKUP(A227,[3]Sheet1!$A:$B,2,0)</f>
        <v>60</v>
      </c>
      <c r="P227" s="4">
        <f>VLOOKUP(A227,[3]Sheet1!$A:$C,3,0)</f>
        <v>60</v>
      </c>
      <c r="Q227" s="4">
        <f>VLOOKUP(A227,[3]Sheet1!$A:$D,4,0)</f>
        <v>100</v>
      </c>
      <c r="R227" s="4">
        <f>VLOOKUP(A227,[3]Sheet1!$A:$E,5,0)</f>
        <v>200</v>
      </c>
      <c r="S227" s="4">
        <f>VLOOKUP(A227,[3]Sheet1!$A:$F,6,0)</f>
        <v>100</v>
      </c>
      <c r="T227" s="4">
        <f>VLOOKUP(A227,[3]Sheet1!$A:$G,7,0)</f>
        <v>100</v>
      </c>
      <c r="U227" s="4">
        <f>VLOOKUP(A227,[3]Sheet1!$A:$I,8,0)</f>
        <v>60</v>
      </c>
      <c r="V227" s="4">
        <f>VLOOKUP(A227,[3]Sheet1!$A:$J,9,0)</f>
        <v>0</v>
      </c>
      <c r="W227" s="4">
        <f>VLOOKUP(A227,[3]Sheet1!$A:$J,10,0)</f>
        <v>60</v>
      </c>
      <c r="X227" s="4">
        <f>VLOOKUP(A227,[3]Sheet1!$A:$K,11,0)</f>
        <v>400</v>
      </c>
      <c r="Y227" s="4">
        <f>VLOOKUP(A227,[3]Sheet1!$A:$L,12,0)</f>
        <v>300</v>
      </c>
      <c r="Z227" s="4">
        <f>VLOOKUP(A227,[3]Sheet1!$A:$M,13,0)</f>
        <v>100</v>
      </c>
      <c r="AA227" s="4">
        <f t="shared" si="48"/>
        <v>1540</v>
      </c>
      <c r="AB227" s="7">
        <f t="shared" si="55"/>
        <v>128</v>
      </c>
      <c r="AC227" s="15">
        <f t="shared" si="49"/>
        <v>128.33333333333334</v>
      </c>
      <c r="AD227" s="16">
        <f t="shared" si="50"/>
        <v>61107.199999999997</v>
      </c>
      <c r="AE227" s="16">
        <f t="shared" si="51"/>
        <v>5092.2666666666673</v>
      </c>
      <c r="AF227" s="16">
        <v>8.2100000000000009</v>
      </c>
      <c r="AG227" s="16">
        <v>39.68</v>
      </c>
      <c r="AH227" s="8">
        <f t="shared" si="52"/>
        <v>0.44413333333333327</v>
      </c>
      <c r="AI227" s="8">
        <f t="shared" si="53"/>
        <v>1.5544666666666664</v>
      </c>
      <c r="AJ227" s="10">
        <v>0.5</v>
      </c>
      <c r="AK227" s="10">
        <v>0.5</v>
      </c>
      <c r="AL227" s="16">
        <v>8.2100000000000009</v>
      </c>
      <c r="AM227" s="9">
        <f t="shared" si="56"/>
        <v>5.952</v>
      </c>
      <c r="AN227" s="9">
        <f t="shared" si="57"/>
        <v>1.1903999999999999</v>
      </c>
      <c r="AO227" s="9">
        <f t="shared" si="58"/>
        <v>7.9359999999999999</v>
      </c>
      <c r="AP227" s="9">
        <f t="shared" si="59"/>
        <v>0.79359999999999997</v>
      </c>
      <c r="AQ227" s="9">
        <f t="shared" si="60"/>
        <v>7.9359999999999999</v>
      </c>
      <c r="AR227" s="9">
        <f t="shared" si="61"/>
        <v>9.92</v>
      </c>
      <c r="AS227" s="11">
        <f t="shared" si="62"/>
        <v>4.4413333333333327</v>
      </c>
      <c r="AT227" s="12">
        <f t="shared" si="63"/>
        <v>3.118666666666666</v>
      </c>
    </row>
    <row r="228" spans="1:46" ht="16.5" x14ac:dyDescent="0.4">
      <c r="A228" s="4" t="s">
        <v>1062</v>
      </c>
      <c r="B228" s="4" t="s">
        <v>513</v>
      </c>
      <c r="C228" s="7" t="s">
        <v>1784</v>
      </c>
      <c r="D228" s="4" t="s">
        <v>1063</v>
      </c>
      <c r="E228" s="4" t="s">
        <v>1064</v>
      </c>
      <c r="F228" s="4" t="s">
        <v>1065</v>
      </c>
      <c r="G228" s="7" t="str">
        <f>VLOOKUP(A228,[1]done!$A:$I,9,0)</f>
        <v>Lawn Fertilizer</v>
      </c>
      <c r="H228" s="7" t="str" cm="1">
        <f t="array" ref="H228">_xlfn.IFS(
OR(ISNUMBER(SEARCH("mouse",E228)),ISNUMBER(SEARCH("rat",E228)),ISNUMBER(SEARCH("mice",E228)),ISNUMBER(SEARCH("rodent",E228))),"Rodent Control",
OR(ISNUMBER(SEARCH("fly",E228)),ISNUMBER(SEARCH("gnat",E228)),ISNUMBER(SEARCH("insect",E228)),ISNUMBER(SEARCH("mosquito",E228))),"Flying Insect Control",
OR(ISNUMBER(SEARCH("roach",E228)),ISNUMBER(SEARCH("ant",E228)),ISNUMBER(SEARCH("spider",E228)),ISNUMBER(SEARCH("cricket",E228)),ISNUMBER(SEARCH("scorpion",E228)),ISNUMBER(SEARCH("centipede",E228)),ISNUMBER(SEARCH("beetle",E228))),"Crawling Insect Control",
OR(ISNUMBER(SEARCH("tree",E228)),ISNUMBER(SEARCH("lantern",E228)),ISNUMBER(SEARCH("garden",E228)),ISNUMBER(SEARCH("plant",E228))),"Garden Pest Control",
OR(ISNUMBER(SEARCH("grass seed",E228)),ISNUMBER(SEARCH("seed mix",E228))),"Grass Seed",
OR(ISNUMBER(SEARCH("lawn food",E228)),ISNUMBER(SEARCH("fertilizer",E228))),"Lawn Fertilizer",
OR(ISNUMBER(SEARCH("patch",E228)),ISNUMBER(SEARCH("repair",E228)),ISNUMBER(SEARCH("thick'r",E228)),ISNUMBER(SEARCH("thick'r lawn",E228)),ISNUMBER(SEARCH("rapid grass",E228))),"Lawn Repair",
OR(ISNUMBER(SEARCH("weed",E228)),ISNUMBER(SEARCH("crabgrass",E228))),"Weed Control",
OR(ISNUMBER(SEARCH("fungicide",E228)),ISNUMBER(SEARCH("moss",E228))),"Disease &amp; Moss Control",
OR(ISNUMBER(SEARCH("plant food",E228)),ISNUMBER(SEARCH("miracid",E228))),"Plant Nutrition",
OR(ISNUMBER(SEARCH("perlite",E228))),"Soil Amendment",
OR(ISNUMBER(SEARCH("spreader",E228)),ISNUMBER(SEARCH("sprayer",E228)),ISNUMBER(SEARCH("mower",E228)),ISNUMBER(SEARCH("sweeper",E228)),ISNUMBER(SEARCH("pruner",E228)),ISNUMBER(SEARCH("trimmer",E228)),ISNUMBER(SEARCH("pole saw",E228))),"Garden Equipment",
TRUE,"Other"
)</f>
        <v>Lawn Repair</v>
      </c>
      <c r="I228" s="7" t="str" cm="1">
        <f t="array" ref="I228">_xlfn.IFS(
OR(ISNUMBER(SEARCH("glue trap",E228)),ISNUMBER(SEARCH("glue board",E228))),"Glue Traps",
OR(ISNUMBER(SEARCH("snap trap",E228)),ISNUMBER(SEARCH("power-kill",E228)),ISNUMBER(SEARCH("wide pedal",E228)),ISNUMBER(SEARCH("metal pedal",E228))),"Snap Traps",
OR(ISNUMBER(SEARCH("electronic",E228)),ISNUMBER(SEARCH("zapper",E228))),"Electronic Traps",
OR(ISNUMBER(SEARCH("live catch",E228)),ISNUMBER(SEARCH("multi-catch",E228)),ISNUMBER(SEARCH("catch &amp; hold",E228)),ISNUMBER(SEARCH("tin cat",E228))),"Live Catch Traps",
OR(ISNUMBER(SEARCH("bait",E228)),ISNUMBER(SEARCH("poison",E228))),"Bait &amp; Poison",
ISNUMBER(SEARCH("repellent",E228)),"Repellents",
OR(ISNUMBER(SEARCH("fly trap",E228)),ISNUMBER(SEARCH("fly ribbon",E228)),ISNUMBER(SEARCH("fly stick",E228)),ISNUMBER(SEARCH("window fly",E228)),ISNUMBER(SEARCH("fly magnet",E228))),"Fly Traps",
OR(ISNUMBER(SEARCH("uv",E228)),ISNUMBER(SEARCH("fly light",E228)),ISNUMBER(SEARCH("plug-in",E228))),"UV Fly Traps",
ISNUMBER(SEARCH("roach",E228)),"Roach Traps",
ISNUMBER(SEARCH("ant",E228)),"Ant Traps",
ISNUMBER(SEARCH("spider",E228)),"Spider Traps",
ISNUMBER(SEARCH("mosquito",E228)),"Mosquito Traps",
ISNUMBER(SEARCH("beetle",E228)),"Beetle Traps",
ISNUMBER(SEARCH("lantern",E228)),"Lanternfly Control",
OR(ISNUMBER(SEARCH("tree shield",E228)),ISNUMBER(SEARCH("tree banding",E228)),ISNUMBER(SEARCH("insect barrier",E228))),"Tree Barriers",
OR(ISNUMBER(SEARCH("sun &amp; shade",E228)),ISNUMBER(SEARCH("sun and shade",E228))),"Sun &amp; Shade Mix",
ISNUMBER(SEARCH("tall fescue",E228)),"Tall Fescue",
ISNUMBER(SEARCH("bermudagrass",E228)),"Bermudagrass",
ISNUMBER(SEARCH("kentucky",E228)),"Kentucky Bluegrass",
ISNUMBER(SEARCH("zoysia",E228)),"Zoysia",
ISNUMBER(SEARCH("ryegrass",E228)),"Perennial Ryegrass",
ISNUMBER(SEARCH("centipede",E228)),"Centipede Grass",
ISNUMBER(SEARCH("dense shade",E228)),"Dense Shade Mix",
ISNUMBER(SEARCH("southern gold",E228)),"Southern Gold Mix",
ISNUMBER(SEARCH("heat-tolerant blue",E228)),"Heat-Tolerant Blue Mix",
ISNUMBER(SEARCH("high traffic",E228)),"High Traffic Mix",
ISNUMBER(SEARCH("quick fix",E228)),"Quick Fix Mix",
ISNUMBER(SEARCH("starter",E228)),"Starter Fertilizer",
ISNUMBER(SEARCH("weed &amp; feed",E228)),"Weed &amp; Feed",
ISNUMBER(SEARCH("lawn food",E228)),"Lawn Food",
ISNUMBER(SEARCH("triple action",E228)),"Triple Action Fertilizer",
ISNUMBER(SEARCH("green max",E228)),"Green Max Lawn Food",
ISNUMBER(SEARCH("patchmaster",E228)),"PatchMaster Repair",
ISNUMBER(SEARCH("ez seed",E228)),"EZ Seed Repair",
ISNUMBER(SEARCH("rapid grass",E228)),"Rapid Grass",
ISNUMBER(SEARCH("thick'r lawn",E228)),"Thick'R Lawn",
ISNUMBER(SEARCH("fungicide",E228)),"Fungicide",
ISNUMBER(SEARCH("moss",E228)),"Moss Control",
ISNUMBER(SEARCH("perlite",E228)),"Perlite",
ISNUMBER(SEARCH("plant food",E228)),"Plant Food",
ISNUMBER(SEARCH("spreader",E228)),"Spreader",
ISNUMBER(SEARCH("sprayer",E228)),"Sprayer",
ISNUMBER(SEARCH("mower",E228)),"Lawn Mower",
ISNUMBER(SEARCH("sweeper",E228)),"Lawn Sweeper",
OR(ISNUMBER(SEARCH("pruner",E228)),ISNUMBER(SEARCH("trimmer",E228)),ISNUMBER(SEARCH("pole saw",E228))),"Pruning Tools",
TRUE,"Other"
)</f>
        <v>Bermudagrass</v>
      </c>
      <c r="J228" s="7" t="str">
        <f t="shared" si="54"/>
        <v>Lawn Repair - Bermudagrass</v>
      </c>
      <c r="K228" s="4">
        <v>100</v>
      </c>
      <c r="L228" s="4">
        <v>4</v>
      </c>
      <c r="M228" s="4">
        <v>1526</v>
      </c>
      <c r="N228" s="4" t="s">
        <v>593</v>
      </c>
      <c r="O228" s="4">
        <f>VLOOKUP(A228,[3]Sheet1!$A:$B,2,0)</f>
        <v>0</v>
      </c>
      <c r="P228" s="4">
        <f>VLOOKUP(A228,[3]Sheet1!$A:$C,3,0)</f>
        <v>0</v>
      </c>
      <c r="Q228" s="4">
        <f>VLOOKUP(A228,[3]Sheet1!$A:$D,4,0)</f>
        <v>400</v>
      </c>
      <c r="R228" s="4">
        <f>VLOOKUP(A228,[3]Sheet1!$A:$E,5,0)</f>
        <v>400</v>
      </c>
      <c r="S228" s="4">
        <f>VLOOKUP(A228,[3]Sheet1!$A:$F,6,0)</f>
        <v>500</v>
      </c>
      <c r="T228" s="4">
        <f>VLOOKUP(A228,[3]Sheet1!$A:$G,7,0)</f>
        <v>300</v>
      </c>
      <c r="U228" s="4">
        <f>VLOOKUP(A228,[3]Sheet1!$A:$I,8,0)</f>
        <v>200</v>
      </c>
      <c r="V228" s="4">
        <f>VLOOKUP(A228,[3]Sheet1!$A:$J,9,0)</f>
        <v>100</v>
      </c>
      <c r="W228" s="4">
        <f>VLOOKUP(A228,[3]Sheet1!$A:$J,10,0)</f>
        <v>100</v>
      </c>
      <c r="X228" s="4">
        <f>VLOOKUP(A228,[3]Sheet1!$A:$K,11,0)</f>
        <v>50</v>
      </c>
      <c r="Y228" s="4">
        <f>VLOOKUP(A228,[3]Sheet1!$A:$L,12,0)</f>
        <v>50</v>
      </c>
      <c r="Z228" s="4">
        <f>VLOOKUP(A228,[3]Sheet1!$A:$M,13,0)</f>
        <v>0</v>
      </c>
      <c r="AA228" s="4">
        <f t="shared" si="48"/>
        <v>2100</v>
      </c>
      <c r="AB228" s="7">
        <f t="shared" si="55"/>
        <v>175</v>
      </c>
      <c r="AC228" s="15">
        <f t="shared" si="49"/>
        <v>175</v>
      </c>
      <c r="AD228" s="16">
        <f t="shared" si="50"/>
        <v>131607</v>
      </c>
      <c r="AE228" s="16">
        <f t="shared" si="51"/>
        <v>10967.25</v>
      </c>
      <c r="AF228" s="16">
        <v>25.52</v>
      </c>
      <c r="AG228" s="16">
        <v>62.67</v>
      </c>
      <c r="AH228" s="8">
        <f t="shared" si="52"/>
        <v>-9.6800000000000233E-2</v>
      </c>
      <c r="AI228" s="8">
        <f t="shared" si="53"/>
        <v>-0.33880000000000077</v>
      </c>
      <c r="AJ228" s="10">
        <v>0.5</v>
      </c>
      <c r="AK228" s="10">
        <v>0.5</v>
      </c>
      <c r="AL228" s="16">
        <v>25.52</v>
      </c>
      <c r="AM228" s="9">
        <f t="shared" si="56"/>
        <v>9.4004999999999992</v>
      </c>
      <c r="AN228" s="9">
        <f t="shared" si="57"/>
        <v>1.8800999999999999</v>
      </c>
      <c r="AO228" s="9">
        <f t="shared" si="58"/>
        <v>12.534000000000001</v>
      </c>
      <c r="AP228" s="9">
        <f t="shared" si="59"/>
        <v>1.2534000000000001</v>
      </c>
      <c r="AQ228" s="9">
        <f t="shared" si="60"/>
        <v>12.534000000000001</v>
      </c>
      <c r="AR228" s="9">
        <f t="shared" si="61"/>
        <v>15.6675</v>
      </c>
      <c r="AS228" s="11">
        <f t="shared" si="62"/>
        <v>-0.9680000000000023</v>
      </c>
      <c r="AT228" s="12">
        <f t="shared" si="63"/>
        <v>-3.0570000000000022</v>
      </c>
    </row>
    <row r="229" spans="1:46" ht="16.5" x14ac:dyDescent="0.4">
      <c r="A229" s="4" t="s">
        <v>1066</v>
      </c>
      <c r="B229" s="4" t="s">
        <v>513</v>
      </c>
      <c r="C229" s="7" t="s">
        <v>1784</v>
      </c>
      <c r="D229" s="4" t="s">
        <v>1067</v>
      </c>
      <c r="E229" s="4" t="s">
        <v>1068</v>
      </c>
      <c r="F229" s="4" t="s">
        <v>1069</v>
      </c>
      <c r="G229" s="7" t="str">
        <f>VLOOKUP(A229,[1]done!$A:$I,9,0)</f>
        <v>Lawn Fertilizer</v>
      </c>
      <c r="H229" s="7" t="str" cm="1">
        <f t="array" ref="H229">_xlfn.IFS(
OR(ISNUMBER(SEARCH("mouse",E229)),ISNUMBER(SEARCH("rat",E229)),ISNUMBER(SEARCH("mice",E229)),ISNUMBER(SEARCH("rodent",E229))),"Rodent Control",
OR(ISNUMBER(SEARCH("fly",E229)),ISNUMBER(SEARCH("gnat",E229)),ISNUMBER(SEARCH("insect",E229)),ISNUMBER(SEARCH("mosquito",E229))),"Flying Insect Control",
OR(ISNUMBER(SEARCH("roach",E229)),ISNUMBER(SEARCH("ant",E229)),ISNUMBER(SEARCH("spider",E229)),ISNUMBER(SEARCH("cricket",E229)),ISNUMBER(SEARCH("scorpion",E229)),ISNUMBER(SEARCH("centipede",E229)),ISNUMBER(SEARCH("beetle",E229))),"Crawling Insect Control",
OR(ISNUMBER(SEARCH("tree",E229)),ISNUMBER(SEARCH("lantern",E229)),ISNUMBER(SEARCH("garden",E229)),ISNUMBER(SEARCH("plant",E229))),"Garden Pest Control",
OR(ISNUMBER(SEARCH("grass seed",E229)),ISNUMBER(SEARCH("seed mix",E229))),"Grass Seed",
OR(ISNUMBER(SEARCH("lawn food",E229)),ISNUMBER(SEARCH("fertilizer",E229))),"Lawn Fertilizer",
OR(ISNUMBER(SEARCH("patch",E229)),ISNUMBER(SEARCH("repair",E229)),ISNUMBER(SEARCH("thick'r",E229)),ISNUMBER(SEARCH("thick'r lawn",E229)),ISNUMBER(SEARCH("rapid grass",E229))),"Lawn Repair",
OR(ISNUMBER(SEARCH("weed",E229)),ISNUMBER(SEARCH("crabgrass",E229))),"Weed Control",
OR(ISNUMBER(SEARCH("fungicide",E229)),ISNUMBER(SEARCH("moss",E229))),"Disease &amp; Moss Control",
OR(ISNUMBER(SEARCH("plant food",E229)),ISNUMBER(SEARCH("miracid",E229))),"Plant Nutrition",
OR(ISNUMBER(SEARCH("perlite",E229))),"Soil Amendment",
OR(ISNUMBER(SEARCH("spreader",E229)),ISNUMBER(SEARCH("sprayer",E229)),ISNUMBER(SEARCH("mower",E229)),ISNUMBER(SEARCH("sweeper",E229)),ISNUMBER(SEARCH("pruner",E229)),ISNUMBER(SEARCH("trimmer",E229)),ISNUMBER(SEARCH("pole saw",E229))),"Garden Equipment",
TRUE,"Other"
)</f>
        <v>Other</v>
      </c>
      <c r="I229" s="7" t="str" cm="1">
        <f t="array" ref="I229">_xlfn.IFS(
OR(ISNUMBER(SEARCH("glue trap",E229)),ISNUMBER(SEARCH("glue board",E229))),"Glue Traps",
OR(ISNUMBER(SEARCH("snap trap",E229)),ISNUMBER(SEARCH("power-kill",E229)),ISNUMBER(SEARCH("wide pedal",E229)),ISNUMBER(SEARCH("metal pedal",E229))),"Snap Traps",
OR(ISNUMBER(SEARCH("electronic",E229)),ISNUMBER(SEARCH("zapper",E229))),"Electronic Traps",
OR(ISNUMBER(SEARCH("live catch",E229)),ISNUMBER(SEARCH("multi-catch",E229)),ISNUMBER(SEARCH("catch &amp; hold",E229)),ISNUMBER(SEARCH("tin cat",E229))),"Live Catch Traps",
OR(ISNUMBER(SEARCH("bait",E229)),ISNUMBER(SEARCH("poison",E229))),"Bait &amp; Poison",
ISNUMBER(SEARCH("repellent",E229)),"Repellents",
OR(ISNUMBER(SEARCH("fly trap",E229)),ISNUMBER(SEARCH("fly ribbon",E229)),ISNUMBER(SEARCH("fly stick",E229)),ISNUMBER(SEARCH("window fly",E229)),ISNUMBER(SEARCH("fly magnet",E229))),"Fly Traps",
OR(ISNUMBER(SEARCH("uv",E229)),ISNUMBER(SEARCH("fly light",E229)),ISNUMBER(SEARCH("plug-in",E229))),"UV Fly Traps",
ISNUMBER(SEARCH("roach",E229)),"Roach Traps",
ISNUMBER(SEARCH("ant",E229)),"Ant Traps",
ISNUMBER(SEARCH("spider",E229)),"Spider Traps",
ISNUMBER(SEARCH("mosquito",E229)),"Mosquito Traps",
ISNUMBER(SEARCH("beetle",E229)),"Beetle Traps",
ISNUMBER(SEARCH("lantern",E229)),"Lanternfly Control",
OR(ISNUMBER(SEARCH("tree shield",E229)),ISNUMBER(SEARCH("tree banding",E229)),ISNUMBER(SEARCH("insect barrier",E229))),"Tree Barriers",
OR(ISNUMBER(SEARCH("sun &amp; shade",E229)),ISNUMBER(SEARCH("sun and shade",E229))),"Sun &amp; Shade Mix",
ISNUMBER(SEARCH("tall fescue",E229)),"Tall Fescue",
ISNUMBER(SEARCH("bermudagrass",E229)),"Bermudagrass",
ISNUMBER(SEARCH("kentucky",E229)),"Kentucky Bluegrass",
ISNUMBER(SEARCH("zoysia",E229)),"Zoysia",
ISNUMBER(SEARCH("ryegrass",E229)),"Perennial Ryegrass",
ISNUMBER(SEARCH("centipede",E229)),"Centipede Grass",
ISNUMBER(SEARCH("dense shade",E229)),"Dense Shade Mix",
ISNUMBER(SEARCH("southern gold",E229)),"Southern Gold Mix",
ISNUMBER(SEARCH("heat-tolerant blue",E229)),"Heat-Tolerant Blue Mix",
ISNUMBER(SEARCH("high traffic",E229)),"High Traffic Mix",
ISNUMBER(SEARCH("quick fix",E229)),"Quick Fix Mix",
ISNUMBER(SEARCH("starter",E229)),"Starter Fertilizer",
ISNUMBER(SEARCH("weed &amp; feed",E229)),"Weed &amp; Feed",
ISNUMBER(SEARCH("lawn food",E229)),"Lawn Food",
ISNUMBER(SEARCH("triple action",E229)),"Triple Action Fertilizer",
ISNUMBER(SEARCH("green max",E229)),"Green Max Lawn Food",
ISNUMBER(SEARCH("patchmaster",E229)),"PatchMaster Repair",
ISNUMBER(SEARCH("ez seed",E229)),"EZ Seed Repair",
ISNUMBER(SEARCH("rapid grass",E229)),"Rapid Grass",
ISNUMBER(SEARCH("thick'r lawn",E229)),"Thick'R Lawn",
ISNUMBER(SEARCH("fungicide",E229)),"Fungicide",
ISNUMBER(SEARCH("moss",E229)),"Moss Control",
ISNUMBER(SEARCH("perlite",E229)),"Perlite",
ISNUMBER(SEARCH("plant food",E229)),"Plant Food",
ISNUMBER(SEARCH("spreader",E229)),"Spreader",
ISNUMBER(SEARCH("sprayer",E229)),"Sprayer",
ISNUMBER(SEARCH("mower",E229)),"Lawn Mower",
ISNUMBER(SEARCH("sweeper",E229)),"Lawn Sweeper",
OR(ISNUMBER(SEARCH("pruner",E229)),ISNUMBER(SEARCH("trimmer",E229)),ISNUMBER(SEARCH("pole saw",E229))),"Pruning Tools",
TRUE,"Other"
)</f>
        <v>Triple Action Fertilizer</v>
      </c>
      <c r="J229" s="7" t="str">
        <f t="shared" si="54"/>
        <v>Other - Triple Action Fertilizer</v>
      </c>
      <c r="K229" s="4">
        <v>100</v>
      </c>
      <c r="L229" s="4">
        <v>4.5</v>
      </c>
      <c r="M229" s="4">
        <v>3348</v>
      </c>
      <c r="N229" s="4" t="s">
        <v>1070</v>
      </c>
      <c r="O229" s="4">
        <f>VLOOKUP(A229,[3]Sheet1!$A:$B,2,0)</f>
        <v>100</v>
      </c>
      <c r="P229" s="4">
        <f>VLOOKUP(A229,[3]Sheet1!$A:$C,3,0)</f>
        <v>100</v>
      </c>
      <c r="Q229" s="4">
        <f>VLOOKUP(A229,[3]Sheet1!$A:$D,4,0)</f>
        <v>1000</v>
      </c>
      <c r="R229" s="4">
        <f>VLOOKUP(A229,[3]Sheet1!$A:$E,5,0)</f>
        <v>500</v>
      </c>
      <c r="S229" s="4">
        <f>VLOOKUP(A229,[3]Sheet1!$A:$F,6,0)</f>
        <v>400</v>
      </c>
      <c r="T229" s="4">
        <f>VLOOKUP(A229,[3]Sheet1!$A:$G,7,0)</f>
        <v>400</v>
      </c>
      <c r="U229" s="4">
        <f>VLOOKUP(A229,[3]Sheet1!$A:$I,8,0)</f>
        <v>400</v>
      </c>
      <c r="V229" s="4">
        <f>VLOOKUP(A229,[3]Sheet1!$A:$J,9,0)</f>
        <v>100</v>
      </c>
      <c r="W229" s="4">
        <f>VLOOKUP(A229,[3]Sheet1!$A:$J,10,0)</f>
        <v>100</v>
      </c>
      <c r="X229" s="4">
        <f>VLOOKUP(A229,[3]Sheet1!$A:$K,11,0)</f>
        <v>300</v>
      </c>
      <c r="Y229" s="4">
        <f>VLOOKUP(A229,[3]Sheet1!$A:$L,12,0)</f>
        <v>100</v>
      </c>
      <c r="Z229" s="4">
        <f>VLOOKUP(A229,[3]Sheet1!$A:$M,13,0)</f>
        <v>100</v>
      </c>
      <c r="AA229" s="4">
        <f t="shared" si="48"/>
        <v>3600</v>
      </c>
      <c r="AB229" s="7">
        <f t="shared" si="55"/>
        <v>300</v>
      </c>
      <c r="AC229" s="15">
        <f t="shared" si="49"/>
        <v>300</v>
      </c>
      <c r="AD229" s="16">
        <f t="shared" si="50"/>
        <v>165564</v>
      </c>
      <c r="AE229" s="16">
        <f t="shared" si="51"/>
        <v>13797</v>
      </c>
      <c r="AF229" s="16">
        <v>10.69</v>
      </c>
      <c r="AG229" s="16">
        <v>45.99</v>
      </c>
      <c r="AH229" s="8">
        <f t="shared" si="52"/>
        <v>0.44706666666666672</v>
      </c>
      <c r="AI229" s="8">
        <f t="shared" si="53"/>
        <v>1.5647333333333335</v>
      </c>
      <c r="AJ229" s="10">
        <v>0.5</v>
      </c>
      <c r="AK229" s="10">
        <v>0.5</v>
      </c>
      <c r="AL229" s="16">
        <v>10.69</v>
      </c>
      <c r="AM229" s="9">
        <f t="shared" si="56"/>
        <v>6.8985000000000003</v>
      </c>
      <c r="AN229" s="9">
        <f t="shared" si="57"/>
        <v>1.3796999999999999</v>
      </c>
      <c r="AO229" s="9">
        <f t="shared" si="58"/>
        <v>9.1980000000000004</v>
      </c>
      <c r="AP229" s="9">
        <f t="shared" si="59"/>
        <v>0.91980000000000006</v>
      </c>
      <c r="AQ229" s="9">
        <f t="shared" si="60"/>
        <v>9.1980000000000004</v>
      </c>
      <c r="AR229" s="9">
        <f t="shared" si="61"/>
        <v>11.4975</v>
      </c>
      <c r="AS229" s="11">
        <f t="shared" si="62"/>
        <v>4.4706666666666672</v>
      </c>
      <c r="AT229" s="12">
        <f t="shared" si="63"/>
        <v>2.9376666666666673</v>
      </c>
    </row>
    <row r="230" spans="1:46" ht="16.5" x14ac:dyDescent="0.4">
      <c r="A230" s="4" t="s">
        <v>1071</v>
      </c>
      <c r="B230" s="4" t="s">
        <v>513</v>
      </c>
      <c r="C230" s="7" t="s">
        <v>513</v>
      </c>
      <c r="D230" s="4" t="s">
        <v>1072</v>
      </c>
      <c r="E230" s="4" t="s">
        <v>1073</v>
      </c>
      <c r="F230" s="4" t="s">
        <v>1074</v>
      </c>
      <c r="G230" s="7" t="str">
        <f>VLOOKUP(A230,[1]done!$A:$I,9,0)</f>
        <v>Lawn Fertilizer</v>
      </c>
      <c r="H230" s="7" t="str" cm="1">
        <f t="array" ref="H230">_xlfn.IFS(
OR(ISNUMBER(SEARCH("mouse",E230)),ISNUMBER(SEARCH("rat",E230)),ISNUMBER(SEARCH("mice",E230)),ISNUMBER(SEARCH("rodent",E230))),"Rodent Control",
OR(ISNUMBER(SEARCH("fly",E230)),ISNUMBER(SEARCH("gnat",E230)),ISNUMBER(SEARCH("insect",E230)),ISNUMBER(SEARCH("mosquito",E230))),"Flying Insect Control",
OR(ISNUMBER(SEARCH("roach",E230)),ISNUMBER(SEARCH("ant",E230)),ISNUMBER(SEARCH("spider",E230)),ISNUMBER(SEARCH("cricket",E230)),ISNUMBER(SEARCH("scorpion",E230)),ISNUMBER(SEARCH("centipede",E230)),ISNUMBER(SEARCH("beetle",E230))),"Crawling Insect Control",
OR(ISNUMBER(SEARCH("tree",E230)),ISNUMBER(SEARCH("lantern",E230)),ISNUMBER(SEARCH("garden",E230)),ISNUMBER(SEARCH("plant",E230))),"Garden Pest Control",
OR(ISNUMBER(SEARCH("grass seed",E230)),ISNUMBER(SEARCH("seed mix",E230))),"Grass Seed",
OR(ISNUMBER(SEARCH("lawn food",E230)),ISNUMBER(SEARCH("fertilizer",E230))),"Lawn Fertilizer",
OR(ISNUMBER(SEARCH("patch",E230)),ISNUMBER(SEARCH("repair",E230)),ISNUMBER(SEARCH("thick'r",E230)),ISNUMBER(SEARCH("thick'r lawn",E230)),ISNUMBER(SEARCH("rapid grass",E230))),"Lawn Repair",
OR(ISNUMBER(SEARCH("weed",E230)),ISNUMBER(SEARCH("crabgrass",E230))),"Weed Control",
OR(ISNUMBER(SEARCH("fungicide",E230)),ISNUMBER(SEARCH("moss",E230))),"Disease &amp; Moss Control",
OR(ISNUMBER(SEARCH("plant food",E230)),ISNUMBER(SEARCH("miracid",E230))),"Plant Nutrition",
OR(ISNUMBER(SEARCH("perlite",E230))),"Soil Amendment",
OR(ISNUMBER(SEARCH("spreader",E230)),ISNUMBER(SEARCH("sprayer",E230)),ISNUMBER(SEARCH("mower",E230)),ISNUMBER(SEARCH("sweeper",E230)),ISNUMBER(SEARCH("pruner",E230)),ISNUMBER(SEARCH("trimmer",E230)),ISNUMBER(SEARCH("pole saw",E230))),"Garden Equipment",
TRUE,"Other"
)</f>
        <v>Other</v>
      </c>
      <c r="I230" s="7" t="str" cm="1">
        <f t="array" ref="I230">_xlfn.IFS(
OR(ISNUMBER(SEARCH("glue trap",E230)),ISNUMBER(SEARCH("glue board",E230))),"Glue Traps",
OR(ISNUMBER(SEARCH("snap trap",E230)),ISNUMBER(SEARCH("power-kill",E230)),ISNUMBER(SEARCH("wide pedal",E230)),ISNUMBER(SEARCH("metal pedal",E230))),"Snap Traps",
OR(ISNUMBER(SEARCH("electronic",E230)),ISNUMBER(SEARCH("zapper",E230))),"Electronic Traps",
OR(ISNUMBER(SEARCH("live catch",E230)),ISNUMBER(SEARCH("multi-catch",E230)),ISNUMBER(SEARCH("catch &amp; hold",E230)),ISNUMBER(SEARCH("tin cat",E230))),"Live Catch Traps",
OR(ISNUMBER(SEARCH("bait",E230)),ISNUMBER(SEARCH("poison",E230))),"Bait &amp; Poison",
ISNUMBER(SEARCH("repellent",E230)),"Repellents",
OR(ISNUMBER(SEARCH("fly trap",E230)),ISNUMBER(SEARCH("fly ribbon",E230)),ISNUMBER(SEARCH("fly stick",E230)),ISNUMBER(SEARCH("window fly",E230)),ISNUMBER(SEARCH("fly magnet",E230))),"Fly Traps",
OR(ISNUMBER(SEARCH("uv",E230)),ISNUMBER(SEARCH("fly light",E230)),ISNUMBER(SEARCH("plug-in",E230))),"UV Fly Traps",
ISNUMBER(SEARCH("roach",E230)),"Roach Traps",
ISNUMBER(SEARCH("ant",E230)),"Ant Traps",
ISNUMBER(SEARCH("spider",E230)),"Spider Traps",
ISNUMBER(SEARCH("mosquito",E230)),"Mosquito Traps",
ISNUMBER(SEARCH("beetle",E230)),"Beetle Traps",
ISNUMBER(SEARCH("lantern",E230)),"Lanternfly Control",
OR(ISNUMBER(SEARCH("tree shield",E230)),ISNUMBER(SEARCH("tree banding",E230)),ISNUMBER(SEARCH("insect barrier",E230))),"Tree Barriers",
OR(ISNUMBER(SEARCH("sun &amp; shade",E230)),ISNUMBER(SEARCH("sun and shade",E230))),"Sun &amp; Shade Mix",
ISNUMBER(SEARCH("tall fescue",E230)),"Tall Fescue",
ISNUMBER(SEARCH("bermudagrass",E230)),"Bermudagrass",
ISNUMBER(SEARCH("kentucky",E230)),"Kentucky Bluegrass",
ISNUMBER(SEARCH("zoysia",E230)),"Zoysia",
ISNUMBER(SEARCH("ryegrass",E230)),"Perennial Ryegrass",
ISNUMBER(SEARCH("centipede",E230)),"Centipede Grass",
ISNUMBER(SEARCH("dense shade",E230)),"Dense Shade Mix",
ISNUMBER(SEARCH("southern gold",E230)),"Southern Gold Mix",
ISNUMBER(SEARCH("heat-tolerant blue",E230)),"Heat-Tolerant Blue Mix",
ISNUMBER(SEARCH("high traffic",E230)),"High Traffic Mix",
ISNUMBER(SEARCH("quick fix",E230)),"Quick Fix Mix",
ISNUMBER(SEARCH("starter",E230)),"Starter Fertilizer",
ISNUMBER(SEARCH("weed &amp; feed",E230)),"Weed &amp; Feed",
ISNUMBER(SEARCH("lawn food",E230)),"Lawn Food",
ISNUMBER(SEARCH("triple action",E230)),"Triple Action Fertilizer",
ISNUMBER(SEARCH("green max",E230)),"Green Max Lawn Food",
ISNUMBER(SEARCH("patchmaster",E230)),"PatchMaster Repair",
ISNUMBER(SEARCH("ez seed",E230)),"EZ Seed Repair",
ISNUMBER(SEARCH("rapid grass",E230)),"Rapid Grass",
ISNUMBER(SEARCH("thick'r lawn",E230)),"Thick'R Lawn",
ISNUMBER(SEARCH("fungicide",E230)),"Fungicide",
ISNUMBER(SEARCH("moss",E230)),"Moss Control",
ISNUMBER(SEARCH("perlite",E230)),"Perlite",
ISNUMBER(SEARCH("plant food",E230)),"Plant Food",
ISNUMBER(SEARCH("spreader",E230)),"Spreader",
ISNUMBER(SEARCH("sprayer",E230)),"Sprayer",
ISNUMBER(SEARCH("mower",E230)),"Lawn Mower",
ISNUMBER(SEARCH("sweeper",E230)),"Lawn Sweeper",
OR(ISNUMBER(SEARCH("pruner",E230)),ISNUMBER(SEARCH("trimmer",E230)),ISNUMBER(SEARCH("pole saw",E230))),"Pruning Tools",
TRUE,"Other"
)</f>
        <v>Triple Action Fertilizer</v>
      </c>
      <c r="J230" s="7" t="str">
        <f t="shared" si="54"/>
        <v>Other - Triple Action Fertilizer</v>
      </c>
      <c r="K230" s="4">
        <v>100</v>
      </c>
      <c r="L230" s="4">
        <v>4.5</v>
      </c>
      <c r="M230" s="4">
        <v>3349</v>
      </c>
      <c r="N230" s="4" t="s">
        <v>1075</v>
      </c>
      <c r="O230" s="4">
        <f>VLOOKUP(A230,[3]Sheet1!$A:$B,2,0)</f>
        <v>50</v>
      </c>
      <c r="P230" s="4">
        <f>VLOOKUP(A230,[3]Sheet1!$A:$C,3,0)</f>
        <v>100</v>
      </c>
      <c r="Q230" s="4">
        <f>VLOOKUP(A230,[3]Sheet1!$A:$D,4,0)</f>
        <v>700</v>
      </c>
      <c r="R230" s="4">
        <f>VLOOKUP(A230,[3]Sheet1!$A:$E,5,0)</f>
        <v>1000</v>
      </c>
      <c r="S230" s="4">
        <f>VLOOKUP(A230,[3]Sheet1!$A:$F,6,0)</f>
        <v>400</v>
      </c>
      <c r="T230" s="4">
        <f>VLOOKUP(A230,[3]Sheet1!$A:$G,7,0)</f>
        <v>200</v>
      </c>
      <c r="U230" s="4">
        <f>VLOOKUP(A230,[3]Sheet1!$A:$I,8,0)</f>
        <v>100</v>
      </c>
      <c r="V230" s="4">
        <f>VLOOKUP(A230,[3]Sheet1!$A:$J,9,0)</f>
        <v>100</v>
      </c>
      <c r="W230" s="4">
        <f>VLOOKUP(A230,[3]Sheet1!$A:$J,10,0)</f>
        <v>100</v>
      </c>
      <c r="X230" s="4">
        <f>VLOOKUP(A230,[3]Sheet1!$A:$K,11,0)</f>
        <v>300</v>
      </c>
      <c r="Y230" s="4">
        <f>VLOOKUP(A230,[3]Sheet1!$A:$L,12,0)</f>
        <v>100</v>
      </c>
      <c r="Z230" s="4">
        <f>VLOOKUP(A230,[3]Sheet1!$A:$M,13,0)</f>
        <v>50</v>
      </c>
      <c r="AA230" s="4">
        <f t="shared" si="48"/>
        <v>3200</v>
      </c>
      <c r="AB230" s="7">
        <f t="shared" si="55"/>
        <v>267</v>
      </c>
      <c r="AC230" s="15">
        <f t="shared" si="49"/>
        <v>266.66666666666669</v>
      </c>
      <c r="AD230" s="16">
        <f t="shared" si="50"/>
        <v>270368</v>
      </c>
      <c r="AE230" s="16">
        <f t="shared" si="51"/>
        <v>22530.666666666668</v>
      </c>
      <c r="AF230" s="16">
        <v>19.72</v>
      </c>
      <c r="AG230" s="16">
        <v>84.49</v>
      </c>
      <c r="AH230" s="8">
        <f t="shared" si="52"/>
        <v>0.87173333333333314</v>
      </c>
      <c r="AI230" s="8">
        <f t="shared" si="53"/>
        <v>3.0510666666666655</v>
      </c>
      <c r="AJ230" s="10">
        <v>0.5</v>
      </c>
      <c r="AK230" s="10">
        <v>0.5</v>
      </c>
      <c r="AL230" s="16">
        <v>19.72</v>
      </c>
      <c r="AM230" s="9">
        <f t="shared" si="56"/>
        <v>12.673499999999999</v>
      </c>
      <c r="AN230" s="9">
        <f t="shared" si="57"/>
        <v>2.5347</v>
      </c>
      <c r="AO230" s="9">
        <f t="shared" si="58"/>
        <v>16.898</v>
      </c>
      <c r="AP230" s="9">
        <f t="shared" si="59"/>
        <v>1.6898</v>
      </c>
      <c r="AQ230" s="9">
        <f t="shared" si="60"/>
        <v>16.898</v>
      </c>
      <c r="AR230" s="9">
        <f t="shared" si="61"/>
        <v>21.122499999999999</v>
      </c>
      <c r="AS230" s="11">
        <f t="shared" si="62"/>
        <v>8.7173333333333307</v>
      </c>
      <c r="AT230" s="12">
        <f t="shared" si="63"/>
        <v>5.9009999999999989</v>
      </c>
    </row>
    <row r="231" spans="1:46" ht="16.5" x14ac:dyDescent="0.4">
      <c r="A231" s="4" t="s">
        <v>1076</v>
      </c>
      <c r="B231" s="4" t="s">
        <v>513</v>
      </c>
      <c r="C231" s="7" t="s">
        <v>1784</v>
      </c>
      <c r="D231" s="4" t="s">
        <v>1077</v>
      </c>
      <c r="E231" s="4" t="s">
        <v>1078</v>
      </c>
      <c r="F231" s="4" t="s">
        <v>1079</v>
      </c>
      <c r="G231" s="7" t="str">
        <f>VLOOKUP(A231,[1]done!$A:$I,9,0)</f>
        <v>Grass Seed</v>
      </c>
      <c r="H231" s="7" t="str" cm="1">
        <f t="array" ref="H231">_xlfn.IFS(
OR(ISNUMBER(SEARCH("mouse",E231)),ISNUMBER(SEARCH("rat",E231)),ISNUMBER(SEARCH("mice",E231)),ISNUMBER(SEARCH("rodent",E231))),"Rodent Control",
OR(ISNUMBER(SEARCH("fly",E231)),ISNUMBER(SEARCH("gnat",E231)),ISNUMBER(SEARCH("insect",E231)),ISNUMBER(SEARCH("mosquito",E231))),"Flying Insect Control",
OR(ISNUMBER(SEARCH("roach",E231)),ISNUMBER(SEARCH("ant",E231)),ISNUMBER(SEARCH("spider",E231)),ISNUMBER(SEARCH("cricket",E231)),ISNUMBER(SEARCH("scorpion",E231)),ISNUMBER(SEARCH("centipede",E231)),ISNUMBER(SEARCH("beetle",E231))),"Crawling Insect Control",
OR(ISNUMBER(SEARCH("tree",E231)),ISNUMBER(SEARCH("lantern",E231)),ISNUMBER(SEARCH("garden",E231)),ISNUMBER(SEARCH("plant",E231))),"Garden Pest Control",
OR(ISNUMBER(SEARCH("grass seed",E231)),ISNUMBER(SEARCH("seed mix",E231))),"Grass Seed",
OR(ISNUMBER(SEARCH("lawn food",E231)),ISNUMBER(SEARCH("fertilizer",E231))),"Lawn Fertilizer",
OR(ISNUMBER(SEARCH("patch",E231)),ISNUMBER(SEARCH("repair",E231)),ISNUMBER(SEARCH("thick'r",E231)),ISNUMBER(SEARCH("thick'r lawn",E231)),ISNUMBER(SEARCH("rapid grass",E231))),"Lawn Repair",
OR(ISNUMBER(SEARCH("weed",E231)),ISNUMBER(SEARCH("crabgrass",E231))),"Weed Control",
OR(ISNUMBER(SEARCH("fungicide",E231)),ISNUMBER(SEARCH("moss",E231))),"Disease &amp; Moss Control",
OR(ISNUMBER(SEARCH("plant food",E231)),ISNUMBER(SEARCH("miracid",E231))),"Plant Nutrition",
OR(ISNUMBER(SEARCH("perlite",E231))),"Soil Amendment",
OR(ISNUMBER(SEARCH("spreader",E231)),ISNUMBER(SEARCH("sprayer",E231)),ISNUMBER(SEARCH("mower",E231)),ISNUMBER(SEARCH("sweeper",E231)),ISNUMBER(SEARCH("pruner",E231)),ISNUMBER(SEARCH("trimmer",E231)),ISNUMBER(SEARCH("pole saw",E231))),"Garden Equipment",
TRUE,"Other"
)</f>
        <v>Grass Seed</v>
      </c>
      <c r="I231" s="7" t="str" cm="1">
        <f t="array" ref="I231">_xlfn.IFS(
OR(ISNUMBER(SEARCH("glue trap",E231)),ISNUMBER(SEARCH("glue board",E231))),"Glue Traps",
OR(ISNUMBER(SEARCH("snap trap",E231)),ISNUMBER(SEARCH("power-kill",E231)),ISNUMBER(SEARCH("wide pedal",E231)),ISNUMBER(SEARCH("metal pedal",E231))),"Snap Traps",
OR(ISNUMBER(SEARCH("electronic",E231)),ISNUMBER(SEARCH("zapper",E231))),"Electronic Traps",
OR(ISNUMBER(SEARCH("live catch",E231)),ISNUMBER(SEARCH("multi-catch",E231)),ISNUMBER(SEARCH("catch &amp; hold",E231)),ISNUMBER(SEARCH("tin cat",E231))),"Live Catch Traps",
OR(ISNUMBER(SEARCH("bait",E231)),ISNUMBER(SEARCH("poison",E231))),"Bait &amp; Poison",
ISNUMBER(SEARCH("repellent",E231)),"Repellents",
OR(ISNUMBER(SEARCH("fly trap",E231)),ISNUMBER(SEARCH("fly ribbon",E231)),ISNUMBER(SEARCH("fly stick",E231)),ISNUMBER(SEARCH("window fly",E231)),ISNUMBER(SEARCH("fly magnet",E231))),"Fly Traps",
OR(ISNUMBER(SEARCH("uv",E231)),ISNUMBER(SEARCH("fly light",E231)),ISNUMBER(SEARCH("plug-in",E231))),"UV Fly Traps",
ISNUMBER(SEARCH("roach",E231)),"Roach Traps",
ISNUMBER(SEARCH("ant",E231)),"Ant Traps",
ISNUMBER(SEARCH("spider",E231)),"Spider Traps",
ISNUMBER(SEARCH("mosquito",E231)),"Mosquito Traps",
ISNUMBER(SEARCH("beetle",E231)),"Beetle Traps",
ISNUMBER(SEARCH("lantern",E231)),"Lanternfly Control",
OR(ISNUMBER(SEARCH("tree shield",E231)),ISNUMBER(SEARCH("tree banding",E231)),ISNUMBER(SEARCH("insect barrier",E231))),"Tree Barriers",
OR(ISNUMBER(SEARCH("sun &amp; shade",E231)),ISNUMBER(SEARCH("sun and shade",E231))),"Sun &amp; Shade Mix",
ISNUMBER(SEARCH("tall fescue",E231)),"Tall Fescue",
ISNUMBER(SEARCH("bermudagrass",E231)),"Bermudagrass",
ISNUMBER(SEARCH("kentucky",E231)),"Kentucky Bluegrass",
ISNUMBER(SEARCH("zoysia",E231)),"Zoysia",
ISNUMBER(SEARCH("ryegrass",E231)),"Perennial Ryegrass",
ISNUMBER(SEARCH("centipede",E231)),"Centipede Grass",
ISNUMBER(SEARCH("dense shade",E231)),"Dense Shade Mix",
ISNUMBER(SEARCH("southern gold",E231)),"Southern Gold Mix",
ISNUMBER(SEARCH("heat-tolerant blue",E231)),"Heat-Tolerant Blue Mix",
ISNUMBER(SEARCH("high traffic",E231)),"High Traffic Mix",
ISNUMBER(SEARCH("quick fix",E231)),"Quick Fix Mix",
ISNUMBER(SEARCH("starter",E231)),"Starter Fertilizer",
ISNUMBER(SEARCH("weed &amp; feed",E231)),"Weed &amp; Feed",
ISNUMBER(SEARCH("lawn food",E231)),"Lawn Food",
ISNUMBER(SEARCH("triple action",E231)),"Triple Action Fertilizer",
ISNUMBER(SEARCH("green max",E231)),"Green Max Lawn Food",
ISNUMBER(SEARCH("patchmaster",E231)),"PatchMaster Repair",
ISNUMBER(SEARCH("ez seed",E231)),"EZ Seed Repair",
ISNUMBER(SEARCH("rapid grass",E231)),"Rapid Grass",
ISNUMBER(SEARCH("thick'r lawn",E231)),"Thick'R Lawn",
ISNUMBER(SEARCH("fungicide",E231)),"Fungicide",
ISNUMBER(SEARCH("moss",E231)),"Moss Control",
ISNUMBER(SEARCH("perlite",E231)),"Perlite",
ISNUMBER(SEARCH("plant food",E231)),"Plant Food",
ISNUMBER(SEARCH("spreader",E231)),"Spreader",
ISNUMBER(SEARCH("sprayer",E231)),"Sprayer",
ISNUMBER(SEARCH("mower",E231)),"Lawn Mower",
ISNUMBER(SEARCH("sweeper",E231)),"Lawn Sweeper",
OR(ISNUMBER(SEARCH("pruner",E231)),ISNUMBER(SEARCH("trimmer",E231)),ISNUMBER(SEARCH("pole saw",E231))),"Pruning Tools",
TRUE,"Other"
)</f>
        <v>Dense Shade Mix</v>
      </c>
      <c r="J231" s="7" t="str">
        <f t="shared" si="54"/>
        <v>Grass Seed - Dense Shade Mix</v>
      </c>
      <c r="K231" s="4">
        <v>100</v>
      </c>
      <c r="L231" s="4">
        <v>4.3</v>
      </c>
      <c r="M231" s="4">
        <v>2022</v>
      </c>
      <c r="N231" s="4" t="s">
        <v>531</v>
      </c>
      <c r="O231" s="4">
        <f>VLOOKUP(A231,[3]Sheet1!$A:$B,2,0)</f>
        <v>0</v>
      </c>
      <c r="P231" s="4">
        <f>VLOOKUP(A231,[3]Sheet1!$A:$C,3,0)</f>
        <v>0</v>
      </c>
      <c r="Q231" s="4">
        <f>VLOOKUP(A231,[3]Sheet1!$A:$D,4,0)</f>
        <v>100</v>
      </c>
      <c r="R231" s="4">
        <f>VLOOKUP(A231,[3]Sheet1!$A:$E,5,0)</f>
        <v>400</v>
      </c>
      <c r="S231" s="4">
        <f>VLOOKUP(A231,[3]Sheet1!$A:$F,6,0)</f>
        <v>400</v>
      </c>
      <c r="T231" s="4">
        <f>VLOOKUP(A231,[3]Sheet1!$A:$G,7,0)</f>
        <v>300</v>
      </c>
      <c r="U231" s="4">
        <f>VLOOKUP(A231,[3]Sheet1!$A:$I,8,0)</f>
        <v>100</v>
      </c>
      <c r="V231" s="4">
        <f>VLOOKUP(A231,[3]Sheet1!$A:$J,9,0)</f>
        <v>100</v>
      </c>
      <c r="W231" s="4">
        <f>VLOOKUP(A231,[3]Sheet1!$A:$J,10,0)</f>
        <v>100</v>
      </c>
      <c r="X231" s="4">
        <f>VLOOKUP(A231,[3]Sheet1!$A:$K,11,0)</f>
        <v>100</v>
      </c>
      <c r="Y231" s="4">
        <f>VLOOKUP(A231,[3]Sheet1!$A:$L,12,0)</f>
        <v>50</v>
      </c>
      <c r="Z231" s="4">
        <f>VLOOKUP(A231,[3]Sheet1!$A:$M,13,0)</f>
        <v>0</v>
      </c>
      <c r="AA231" s="4">
        <f t="shared" si="48"/>
        <v>1650</v>
      </c>
      <c r="AB231" s="7">
        <f t="shared" si="55"/>
        <v>138</v>
      </c>
      <c r="AC231" s="15">
        <f t="shared" si="49"/>
        <v>137.5</v>
      </c>
      <c r="AD231" s="16">
        <f t="shared" si="50"/>
        <v>74200.5</v>
      </c>
      <c r="AE231" s="16">
        <f t="shared" si="51"/>
        <v>6183.375</v>
      </c>
      <c r="AF231" s="16">
        <v>8.1199999999999992</v>
      </c>
      <c r="AG231" s="16">
        <v>44.97</v>
      </c>
      <c r="AH231" s="8">
        <f t="shared" si="52"/>
        <v>0.59120000000000017</v>
      </c>
      <c r="AI231" s="8">
        <f t="shared" si="53"/>
        <v>2.0692000000000004</v>
      </c>
      <c r="AJ231" s="10">
        <v>0.5</v>
      </c>
      <c r="AK231" s="10">
        <v>0.5</v>
      </c>
      <c r="AL231" s="16">
        <v>8.1199999999999992</v>
      </c>
      <c r="AM231" s="9">
        <f t="shared" si="56"/>
        <v>6.7454999999999998</v>
      </c>
      <c r="AN231" s="9">
        <f t="shared" si="57"/>
        <v>1.3491</v>
      </c>
      <c r="AO231" s="9">
        <f t="shared" si="58"/>
        <v>8.9939999999999998</v>
      </c>
      <c r="AP231" s="9">
        <f t="shared" si="59"/>
        <v>0.89939999999999998</v>
      </c>
      <c r="AQ231" s="9">
        <f t="shared" si="60"/>
        <v>8.9939999999999998</v>
      </c>
      <c r="AR231" s="9">
        <f t="shared" si="61"/>
        <v>11.2425</v>
      </c>
      <c r="AS231" s="11">
        <f t="shared" si="62"/>
        <v>5.9120000000000017</v>
      </c>
      <c r="AT231" s="12">
        <f t="shared" si="63"/>
        <v>4.4130000000000011</v>
      </c>
    </row>
    <row r="232" spans="1:46" ht="16.5" x14ac:dyDescent="0.4">
      <c r="A232" s="4" t="s">
        <v>1080</v>
      </c>
      <c r="B232" s="4" t="s">
        <v>513</v>
      </c>
      <c r="C232" s="7" t="s">
        <v>1784</v>
      </c>
      <c r="D232" s="4" t="s">
        <v>1081</v>
      </c>
      <c r="E232" s="4" t="s">
        <v>1082</v>
      </c>
      <c r="F232" s="4" t="s">
        <v>1083</v>
      </c>
      <c r="G232" s="7" t="str">
        <f>VLOOKUP(A232,[1]done!$A:$I,9,0)</f>
        <v>Grass Seed</v>
      </c>
      <c r="H232" s="7" t="str" cm="1">
        <f t="array" ref="H232">_xlfn.IFS(
OR(ISNUMBER(SEARCH("mouse",E232)),ISNUMBER(SEARCH("rat",E232)),ISNUMBER(SEARCH("mice",E232)),ISNUMBER(SEARCH("rodent",E232))),"Rodent Control",
OR(ISNUMBER(SEARCH("fly",E232)),ISNUMBER(SEARCH("gnat",E232)),ISNUMBER(SEARCH("insect",E232)),ISNUMBER(SEARCH("mosquito",E232))),"Flying Insect Control",
OR(ISNUMBER(SEARCH("roach",E232)),ISNUMBER(SEARCH("ant",E232)),ISNUMBER(SEARCH("spider",E232)),ISNUMBER(SEARCH("cricket",E232)),ISNUMBER(SEARCH("scorpion",E232)),ISNUMBER(SEARCH("centipede",E232)),ISNUMBER(SEARCH("beetle",E232))),"Crawling Insect Control",
OR(ISNUMBER(SEARCH("tree",E232)),ISNUMBER(SEARCH("lantern",E232)),ISNUMBER(SEARCH("garden",E232)),ISNUMBER(SEARCH("plant",E232))),"Garden Pest Control",
OR(ISNUMBER(SEARCH("grass seed",E232)),ISNUMBER(SEARCH("seed mix",E232))),"Grass Seed",
OR(ISNUMBER(SEARCH("lawn food",E232)),ISNUMBER(SEARCH("fertilizer",E232))),"Lawn Fertilizer",
OR(ISNUMBER(SEARCH("patch",E232)),ISNUMBER(SEARCH("repair",E232)),ISNUMBER(SEARCH("thick'r",E232)),ISNUMBER(SEARCH("thick'r lawn",E232)),ISNUMBER(SEARCH("rapid grass",E232))),"Lawn Repair",
OR(ISNUMBER(SEARCH("weed",E232)),ISNUMBER(SEARCH("crabgrass",E232))),"Weed Control",
OR(ISNUMBER(SEARCH("fungicide",E232)),ISNUMBER(SEARCH("moss",E232))),"Disease &amp; Moss Control",
OR(ISNUMBER(SEARCH("plant food",E232)),ISNUMBER(SEARCH("miracid",E232))),"Plant Nutrition",
OR(ISNUMBER(SEARCH("perlite",E232))),"Soil Amendment",
OR(ISNUMBER(SEARCH("spreader",E232)),ISNUMBER(SEARCH("sprayer",E232)),ISNUMBER(SEARCH("mower",E232)),ISNUMBER(SEARCH("sweeper",E232)),ISNUMBER(SEARCH("pruner",E232)),ISNUMBER(SEARCH("trimmer",E232)),ISNUMBER(SEARCH("pole saw",E232))),"Garden Equipment",
TRUE,"Other"
)</f>
        <v>Grass Seed</v>
      </c>
      <c r="I232" s="7" t="str" cm="1">
        <f t="array" ref="I232">_xlfn.IFS(
OR(ISNUMBER(SEARCH("glue trap",E232)),ISNUMBER(SEARCH("glue board",E232))),"Glue Traps",
OR(ISNUMBER(SEARCH("snap trap",E232)),ISNUMBER(SEARCH("power-kill",E232)),ISNUMBER(SEARCH("wide pedal",E232)),ISNUMBER(SEARCH("metal pedal",E232))),"Snap Traps",
OR(ISNUMBER(SEARCH("electronic",E232)),ISNUMBER(SEARCH("zapper",E232))),"Electronic Traps",
OR(ISNUMBER(SEARCH("live catch",E232)),ISNUMBER(SEARCH("multi-catch",E232)),ISNUMBER(SEARCH("catch &amp; hold",E232)),ISNUMBER(SEARCH("tin cat",E232))),"Live Catch Traps",
OR(ISNUMBER(SEARCH("bait",E232)),ISNUMBER(SEARCH("poison",E232))),"Bait &amp; Poison",
ISNUMBER(SEARCH("repellent",E232)),"Repellents",
OR(ISNUMBER(SEARCH("fly trap",E232)),ISNUMBER(SEARCH("fly ribbon",E232)),ISNUMBER(SEARCH("fly stick",E232)),ISNUMBER(SEARCH("window fly",E232)),ISNUMBER(SEARCH("fly magnet",E232))),"Fly Traps",
OR(ISNUMBER(SEARCH("uv",E232)),ISNUMBER(SEARCH("fly light",E232)),ISNUMBER(SEARCH("plug-in",E232))),"UV Fly Traps",
ISNUMBER(SEARCH("roach",E232)),"Roach Traps",
ISNUMBER(SEARCH("ant",E232)),"Ant Traps",
ISNUMBER(SEARCH("spider",E232)),"Spider Traps",
ISNUMBER(SEARCH("mosquito",E232)),"Mosquito Traps",
ISNUMBER(SEARCH("beetle",E232)),"Beetle Traps",
ISNUMBER(SEARCH("lantern",E232)),"Lanternfly Control",
OR(ISNUMBER(SEARCH("tree shield",E232)),ISNUMBER(SEARCH("tree banding",E232)),ISNUMBER(SEARCH("insect barrier",E232))),"Tree Barriers",
OR(ISNUMBER(SEARCH("sun &amp; shade",E232)),ISNUMBER(SEARCH("sun and shade",E232))),"Sun &amp; Shade Mix",
ISNUMBER(SEARCH("tall fescue",E232)),"Tall Fescue",
ISNUMBER(SEARCH("bermudagrass",E232)),"Bermudagrass",
ISNUMBER(SEARCH("kentucky",E232)),"Kentucky Bluegrass",
ISNUMBER(SEARCH("zoysia",E232)),"Zoysia",
ISNUMBER(SEARCH("ryegrass",E232)),"Perennial Ryegrass",
ISNUMBER(SEARCH("centipede",E232)),"Centipede Grass",
ISNUMBER(SEARCH("dense shade",E232)),"Dense Shade Mix",
ISNUMBER(SEARCH("southern gold",E232)),"Southern Gold Mix",
ISNUMBER(SEARCH("heat-tolerant blue",E232)),"Heat-Tolerant Blue Mix",
ISNUMBER(SEARCH("high traffic",E232)),"High Traffic Mix",
ISNUMBER(SEARCH("quick fix",E232)),"Quick Fix Mix",
ISNUMBER(SEARCH("starter",E232)),"Starter Fertilizer",
ISNUMBER(SEARCH("weed &amp; feed",E232)),"Weed &amp; Feed",
ISNUMBER(SEARCH("lawn food",E232)),"Lawn Food",
ISNUMBER(SEARCH("triple action",E232)),"Triple Action Fertilizer",
ISNUMBER(SEARCH("green max",E232)),"Green Max Lawn Food",
ISNUMBER(SEARCH("patchmaster",E232)),"PatchMaster Repair",
ISNUMBER(SEARCH("ez seed",E232)),"EZ Seed Repair",
ISNUMBER(SEARCH("rapid grass",E232)),"Rapid Grass",
ISNUMBER(SEARCH("thick'r lawn",E232)),"Thick'R Lawn",
ISNUMBER(SEARCH("fungicide",E232)),"Fungicide",
ISNUMBER(SEARCH("moss",E232)),"Moss Control",
ISNUMBER(SEARCH("perlite",E232)),"Perlite",
ISNUMBER(SEARCH("plant food",E232)),"Plant Food",
ISNUMBER(SEARCH("spreader",E232)),"Spreader",
ISNUMBER(SEARCH("sprayer",E232)),"Sprayer",
ISNUMBER(SEARCH("mower",E232)),"Lawn Mower",
ISNUMBER(SEARCH("sweeper",E232)),"Lawn Sweeper",
OR(ISNUMBER(SEARCH("pruner",E232)),ISNUMBER(SEARCH("trimmer",E232)),ISNUMBER(SEARCH("pole saw",E232))),"Pruning Tools",
TRUE,"Other"
)</f>
        <v>Kentucky Bluegrass</v>
      </c>
      <c r="J232" s="7" t="str">
        <f t="shared" si="54"/>
        <v>Grass Seed - Kentucky Bluegrass</v>
      </c>
      <c r="K232" s="4">
        <v>100</v>
      </c>
      <c r="L232" s="4">
        <v>4.0999999999999996</v>
      </c>
      <c r="M232" s="4">
        <v>631</v>
      </c>
      <c r="N232" s="4" t="s">
        <v>1084</v>
      </c>
      <c r="O232" s="4">
        <f>VLOOKUP(A232,[3]Sheet1!$A:$B,2,0)</f>
        <v>0</v>
      </c>
      <c r="P232" s="4">
        <f>VLOOKUP(A232,[3]Sheet1!$A:$C,3,0)</f>
        <v>0</v>
      </c>
      <c r="Q232" s="4">
        <f>VLOOKUP(A232,[3]Sheet1!$A:$D,4,0)</f>
        <v>0</v>
      </c>
      <c r="R232" s="4">
        <f>VLOOKUP(A232,[3]Sheet1!$A:$E,5,0)</f>
        <v>1000</v>
      </c>
      <c r="S232" s="4">
        <f>VLOOKUP(A232,[3]Sheet1!$A:$F,6,0)</f>
        <v>1000</v>
      </c>
      <c r="T232" s="4">
        <f>VLOOKUP(A232,[3]Sheet1!$A:$G,7,0)</f>
        <v>500</v>
      </c>
      <c r="U232" s="4">
        <f>VLOOKUP(A232,[3]Sheet1!$A:$I,8,0)</f>
        <v>700</v>
      </c>
      <c r="V232" s="4">
        <f>VLOOKUP(A232,[3]Sheet1!$A:$J,9,0)</f>
        <v>100</v>
      </c>
      <c r="W232" s="4">
        <f>VLOOKUP(A232,[3]Sheet1!$A:$J,10,0)</f>
        <v>100</v>
      </c>
      <c r="X232" s="4">
        <f>VLOOKUP(A232,[3]Sheet1!$A:$K,11,0)</f>
        <v>0</v>
      </c>
      <c r="Y232" s="4">
        <f>VLOOKUP(A232,[3]Sheet1!$A:$L,12,0)</f>
        <v>0</v>
      </c>
      <c r="Z232" s="4">
        <f>VLOOKUP(A232,[3]Sheet1!$A:$M,13,0)</f>
        <v>0</v>
      </c>
      <c r="AA232" s="4">
        <f t="shared" si="48"/>
        <v>3400</v>
      </c>
      <c r="AB232" s="7">
        <f t="shared" si="55"/>
        <v>283</v>
      </c>
      <c r="AC232" s="15">
        <f t="shared" si="49"/>
        <v>283.33333333333331</v>
      </c>
      <c r="AD232" s="16">
        <f t="shared" si="50"/>
        <v>84966</v>
      </c>
      <c r="AE232" s="16">
        <f t="shared" si="51"/>
        <v>7080.4999999999991</v>
      </c>
      <c r="AF232" s="16">
        <v>8.6199999999999992</v>
      </c>
      <c r="AG232" s="16">
        <v>24.99</v>
      </c>
      <c r="AH232" s="8">
        <f t="shared" si="52"/>
        <v>2.5066666666666571E-2</v>
      </c>
      <c r="AI232" s="8">
        <f t="shared" si="53"/>
        <v>8.7733333333332997E-2</v>
      </c>
      <c r="AJ232" s="10">
        <v>0.5</v>
      </c>
      <c r="AK232" s="10">
        <v>0.5</v>
      </c>
      <c r="AL232" s="16">
        <v>8.6199999999999992</v>
      </c>
      <c r="AM232" s="9">
        <f t="shared" si="56"/>
        <v>3.7484999999999995</v>
      </c>
      <c r="AN232" s="9">
        <f t="shared" si="57"/>
        <v>0.74969999999999992</v>
      </c>
      <c r="AO232" s="9">
        <f t="shared" si="58"/>
        <v>4.9980000000000002</v>
      </c>
      <c r="AP232" s="9">
        <f t="shared" si="59"/>
        <v>0.49979999999999997</v>
      </c>
      <c r="AQ232" s="9">
        <f t="shared" si="60"/>
        <v>4.9980000000000002</v>
      </c>
      <c r="AR232" s="9">
        <f t="shared" si="61"/>
        <v>6.2474999999999996</v>
      </c>
      <c r="AS232" s="11">
        <f t="shared" si="62"/>
        <v>0.25066666666666571</v>
      </c>
      <c r="AT232" s="12">
        <f t="shared" si="63"/>
        <v>-0.58233333333333392</v>
      </c>
    </row>
    <row r="233" spans="1:46" ht="16.5" x14ac:dyDescent="0.4">
      <c r="A233" s="4" t="s">
        <v>1085</v>
      </c>
      <c r="B233" s="4" t="s">
        <v>513</v>
      </c>
      <c r="C233" s="7" t="s">
        <v>1784</v>
      </c>
      <c r="D233" s="4" t="s">
        <v>1086</v>
      </c>
      <c r="E233" s="4" t="s">
        <v>1087</v>
      </c>
      <c r="F233" s="4" t="s">
        <v>1088</v>
      </c>
      <c r="G233" s="7" t="str">
        <f>VLOOKUP(A233,[1]done!$A:$I,9,0)</f>
        <v>Grass Seed</v>
      </c>
      <c r="H233" s="7" t="str" cm="1">
        <f t="array" ref="H233">_xlfn.IFS(
OR(ISNUMBER(SEARCH("mouse",E233)),ISNUMBER(SEARCH("rat",E233)),ISNUMBER(SEARCH("mice",E233)),ISNUMBER(SEARCH("rodent",E233))),"Rodent Control",
OR(ISNUMBER(SEARCH("fly",E233)),ISNUMBER(SEARCH("gnat",E233)),ISNUMBER(SEARCH("insect",E233)),ISNUMBER(SEARCH("mosquito",E233))),"Flying Insect Control",
OR(ISNUMBER(SEARCH("roach",E233)),ISNUMBER(SEARCH("ant",E233)),ISNUMBER(SEARCH("spider",E233)),ISNUMBER(SEARCH("cricket",E233)),ISNUMBER(SEARCH("scorpion",E233)),ISNUMBER(SEARCH("centipede",E233)),ISNUMBER(SEARCH("beetle",E233))),"Crawling Insect Control",
OR(ISNUMBER(SEARCH("tree",E233)),ISNUMBER(SEARCH("lantern",E233)),ISNUMBER(SEARCH("garden",E233)),ISNUMBER(SEARCH("plant",E233))),"Garden Pest Control",
OR(ISNUMBER(SEARCH("grass seed",E233)),ISNUMBER(SEARCH("seed mix",E233))),"Grass Seed",
OR(ISNUMBER(SEARCH("lawn food",E233)),ISNUMBER(SEARCH("fertilizer",E233))),"Lawn Fertilizer",
OR(ISNUMBER(SEARCH("patch",E233)),ISNUMBER(SEARCH("repair",E233)),ISNUMBER(SEARCH("thick'r",E233)),ISNUMBER(SEARCH("thick'r lawn",E233)),ISNUMBER(SEARCH("rapid grass",E233))),"Lawn Repair",
OR(ISNUMBER(SEARCH("weed",E233)),ISNUMBER(SEARCH("crabgrass",E233))),"Weed Control",
OR(ISNUMBER(SEARCH("fungicide",E233)),ISNUMBER(SEARCH("moss",E233))),"Disease &amp; Moss Control",
OR(ISNUMBER(SEARCH("plant food",E233)),ISNUMBER(SEARCH("miracid",E233))),"Plant Nutrition",
OR(ISNUMBER(SEARCH("perlite",E233))),"Soil Amendment",
OR(ISNUMBER(SEARCH("spreader",E233)),ISNUMBER(SEARCH("sprayer",E233)),ISNUMBER(SEARCH("mower",E233)),ISNUMBER(SEARCH("sweeper",E233)),ISNUMBER(SEARCH("pruner",E233)),ISNUMBER(SEARCH("trimmer",E233)),ISNUMBER(SEARCH("pole saw",E233))),"Garden Equipment",
TRUE,"Other"
)</f>
        <v>Grass Seed</v>
      </c>
      <c r="I233" s="7" t="str" cm="1">
        <f t="array" ref="I233">_xlfn.IFS(
OR(ISNUMBER(SEARCH("glue trap",E233)),ISNUMBER(SEARCH("glue board",E233))),"Glue Traps",
OR(ISNUMBER(SEARCH("snap trap",E233)),ISNUMBER(SEARCH("power-kill",E233)),ISNUMBER(SEARCH("wide pedal",E233)),ISNUMBER(SEARCH("metal pedal",E233))),"Snap Traps",
OR(ISNUMBER(SEARCH("electronic",E233)),ISNUMBER(SEARCH("zapper",E233))),"Electronic Traps",
OR(ISNUMBER(SEARCH("live catch",E233)),ISNUMBER(SEARCH("multi-catch",E233)),ISNUMBER(SEARCH("catch &amp; hold",E233)),ISNUMBER(SEARCH("tin cat",E233))),"Live Catch Traps",
OR(ISNUMBER(SEARCH("bait",E233)),ISNUMBER(SEARCH("poison",E233))),"Bait &amp; Poison",
ISNUMBER(SEARCH("repellent",E233)),"Repellents",
OR(ISNUMBER(SEARCH("fly trap",E233)),ISNUMBER(SEARCH("fly ribbon",E233)),ISNUMBER(SEARCH("fly stick",E233)),ISNUMBER(SEARCH("window fly",E233)),ISNUMBER(SEARCH("fly magnet",E233))),"Fly Traps",
OR(ISNUMBER(SEARCH("uv",E233)),ISNUMBER(SEARCH("fly light",E233)),ISNUMBER(SEARCH("plug-in",E233))),"UV Fly Traps",
ISNUMBER(SEARCH("roach",E233)),"Roach Traps",
ISNUMBER(SEARCH("ant",E233)),"Ant Traps",
ISNUMBER(SEARCH("spider",E233)),"Spider Traps",
ISNUMBER(SEARCH("mosquito",E233)),"Mosquito Traps",
ISNUMBER(SEARCH("beetle",E233)),"Beetle Traps",
ISNUMBER(SEARCH("lantern",E233)),"Lanternfly Control",
OR(ISNUMBER(SEARCH("tree shield",E233)),ISNUMBER(SEARCH("tree banding",E233)),ISNUMBER(SEARCH("insect barrier",E233))),"Tree Barriers",
OR(ISNUMBER(SEARCH("sun &amp; shade",E233)),ISNUMBER(SEARCH("sun and shade",E233))),"Sun &amp; Shade Mix",
ISNUMBER(SEARCH("tall fescue",E233)),"Tall Fescue",
ISNUMBER(SEARCH("bermudagrass",E233)),"Bermudagrass",
ISNUMBER(SEARCH("kentucky",E233)),"Kentucky Bluegrass",
ISNUMBER(SEARCH("zoysia",E233)),"Zoysia",
ISNUMBER(SEARCH("ryegrass",E233)),"Perennial Ryegrass",
ISNUMBER(SEARCH("centipede",E233)),"Centipede Grass",
ISNUMBER(SEARCH("dense shade",E233)),"Dense Shade Mix",
ISNUMBER(SEARCH("southern gold",E233)),"Southern Gold Mix",
ISNUMBER(SEARCH("heat-tolerant blue",E233)),"Heat-Tolerant Blue Mix",
ISNUMBER(SEARCH("high traffic",E233)),"High Traffic Mix",
ISNUMBER(SEARCH("quick fix",E233)),"Quick Fix Mix",
ISNUMBER(SEARCH("starter",E233)),"Starter Fertilizer",
ISNUMBER(SEARCH("weed &amp; feed",E233)),"Weed &amp; Feed",
ISNUMBER(SEARCH("lawn food",E233)),"Lawn Food",
ISNUMBER(SEARCH("triple action",E233)),"Triple Action Fertilizer",
ISNUMBER(SEARCH("green max",E233)),"Green Max Lawn Food",
ISNUMBER(SEARCH("patchmaster",E233)),"PatchMaster Repair",
ISNUMBER(SEARCH("ez seed",E233)),"EZ Seed Repair",
ISNUMBER(SEARCH("rapid grass",E233)),"Rapid Grass",
ISNUMBER(SEARCH("thick'r lawn",E233)),"Thick'R Lawn",
ISNUMBER(SEARCH("fungicide",E233)),"Fungicide",
ISNUMBER(SEARCH("moss",E233)),"Moss Control",
ISNUMBER(SEARCH("perlite",E233)),"Perlite",
ISNUMBER(SEARCH("plant food",E233)),"Plant Food",
ISNUMBER(SEARCH("spreader",E233)),"Spreader",
ISNUMBER(SEARCH("sprayer",E233)),"Sprayer",
ISNUMBER(SEARCH("mower",E233)),"Lawn Mower",
ISNUMBER(SEARCH("sweeper",E233)),"Lawn Sweeper",
OR(ISNUMBER(SEARCH("pruner",E233)),ISNUMBER(SEARCH("trimmer",E233)),ISNUMBER(SEARCH("pole saw",E233))),"Pruning Tools",
TRUE,"Other"
)</f>
        <v>Other</v>
      </c>
      <c r="J233" s="7" t="str">
        <f t="shared" si="54"/>
        <v>Grass Seed - Other</v>
      </c>
      <c r="K233" s="4">
        <v>100</v>
      </c>
      <c r="L233" s="4">
        <v>4.2</v>
      </c>
      <c r="M233" s="4">
        <v>80</v>
      </c>
      <c r="N233" s="4" t="s">
        <v>1089</v>
      </c>
      <c r="O233" s="4">
        <f>VLOOKUP(A233,[3]Sheet1!$A:$B,2,0)</f>
        <v>0</v>
      </c>
      <c r="P233" s="4">
        <f>VLOOKUP(A233,[3]Sheet1!$A:$C,3,0)</f>
        <v>0</v>
      </c>
      <c r="Q233" s="4">
        <f>VLOOKUP(A233,[3]Sheet1!$A:$D,4,0)</f>
        <v>0</v>
      </c>
      <c r="R233" s="4">
        <f>VLOOKUP(A233,[3]Sheet1!$A:$E,5,0)</f>
        <v>60</v>
      </c>
      <c r="S233" s="4">
        <f>VLOOKUP(A233,[3]Sheet1!$A:$F,6,0)</f>
        <v>700</v>
      </c>
      <c r="T233" s="4">
        <f>VLOOKUP(A233,[3]Sheet1!$A:$G,7,0)</f>
        <v>400</v>
      </c>
      <c r="U233" s="4">
        <f>VLOOKUP(A233,[3]Sheet1!$A:$I,8,0)</f>
        <v>100</v>
      </c>
      <c r="V233" s="4">
        <f>VLOOKUP(A233,[3]Sheet1!$A:$J,9,0)</f>
        <v>60</v>
      </c>
      <c r="W233" s="4">
        <f>VLOOKUP(A233,[3]Sheet1!$A:$J,10,0)</f>
        <v>100</v>
      </c>
      <c r="X233" s="4">
        <f>VLOOKUP(A233,[3]Sheet1!$A:$K,11,0)</f>
        <v>0</v>
      </c>
      <c r="Y233" s="4">
        <f>VLOOKUP(A233,[3]Sheet1!$A:$L,12,0)</f>
        <v>0</v>
      </c>
      <c r="Z233" s="4">
        <f>VLOOKUP(A233,[3]Sheet1!$A:$M,13,0)</f>
        <v>0</v>
      </c>
      <c r="AA233" s="4">
        <f t="shared" ref="AA233:AA285" si="64">SUM(O233:Z233)</f>
        <v>1420</v>
      </c>
      <c r="AB233" s="7">
        <f t="shared" si="55"/>
        <v>118</v>
      </c>
      <c r="AC233" s="15">
        <f t="shared" ref="AC233:AC285" si="65">AVERAGE(O233:Z233)</f>
        <v>118.33333333333333</v>
      </c>
      <c r="AD233" s="16">
        <f t="shared" ref="AD233:AD285" si="66">AG233*AA233</f>
        <v>33980.6</v>
      </c>
      <c r="AE233" s="16">
        <f t="shared" ref="AE233:AE285" si="67">AG233*AC233</f>
        <v>2831.7166666666667</v>
      </c>
      <c r="AF233" s="16">
        <v>8.6199999999999992</v>
      </c>
      <c r="AG233" s="16">
        <v>23.93</v>
      </c>
      <c r="AH233" s="8">
        <f t="shared" ref="AH233:AH285" si="68">0.1*AS233</f>
        <v>-3.2000000000000622E-3</v>
      </c>
      <c r="AI233" s="8">
        <f t="shared" ref="AI233:AI285" si="69">0.35*AS233</f>
        <v>-1.1200000000000215E-2</v>
      </c>
      <c r="AJ233" s="10">
        <v>0.5</v>
      </c>
      <c r="AK233" s="10">
        <v>0.5</v>
      </c>
      <c r="AL233" s="16">
        <v>8.6199999999999992</v>
      </c>
      <c r="AM233" s="9">
        <f t="shared" si="56"/>
        <v>3.5894999999999997</v>
      </c>
      <c r="AN233" s="9">
        <f t="shared" si="57"/>
        <v>0.71789999999999998</v>
      </c>
      <c r="AO233" s="9">
        <f t="shared" si="58"/>
        <v>4.7860000000000005</v>
      </c>
      <c r="AP233" s="9">
        <f t="shared" si="59"/>
        <v>0.47860000000000003</v>
      </c>
      <c r="AQ233" s="9">
        <f t="shared" si="60"/>
        <v>4.7860000000000005</v>
      </c>
      <c r="AR233" s="9">
        <f t="shared" si="61"/>
        <v>5.9824999999999999</v>
      </c>
      <c r="AS233" s="11">
        <f t="shared" si="62"/>
        <v>-3.2000000000000618E-2</v>
      </c>
      <c r="AT233" s="12">
        <f t="shared" si="63"/>
        <v>-0.82966666666666689</v>
      </c>
    </row>
    <row r="234" spans="1:46" ht="16.5" x14ac:dyDescent="0.4">
      <c r="A234" s="4" t="s">
        <v>1090</v>
      </c>
      <c r="B234" s="4" t="s">
        <v>513</v>
      </c>
      <c r="C234" s="7" t="s">
        <v>1784</v>
      </c>
      <c r="D234" s="4" t="s">
        <v>1091</v>
      </c>
      <c r="E234" s="4" t="s">
        <v>1092</v>
      </c>
      <c r="F234" s="4" t="s">
        <v>1093</v>
      </c>
      <c r="G234" s="7" t="str">
        <f>VLOOKUP(A234,[1]done!$A:$I,9,0)</f>
        <v>Grass Seed</v>
      </c>
      <c r="H234" s="7" t="str" cm="1">
        <f t="array" ref="H234">_xlfn.IFS(
OR(ISNUMBER(SEARCH("mouse",E234)),ISNUMBER(SEARCH("rat",E234)),ISNUMBER(SEARCH("mice",E234)),ISNUMBER(SEARCH("rodent",E234))),"Rodent Control",
OR(ISNUMBER(SEARCH("fly",E234)),ISNUMBER(SEARCH("gnat",E234)),ISNUMBER(SEARCH("insect",E234)),ISNUMBER(SEARCH("mosquito",E234))),"Flying Insect Control",
OR(ISNUMBER(SEARCH("roach",E234)),ISNUMBER(SEARCH("ant",E234)),ISNUMBER(SEARCH("spider",E234)),ISNUMBER(SEARCH("cricket",E234)),ISNUMBER(SEARCH("scorpion",E234)),ISNUMBER(SEARCH("centipede",E234)),ISNUMBER(SEARCH("beetle",E234))),"Crawling Insect Control",
OR(ISNUMBER(SEARCH("tree",E234)),ISNUMBER(SEARCH("lantern",E234)),ISNUMBER(SEARCH("garden",E234)),ISNUMBER(SEARCH("plant",E234))),"Garden Pest Control",
OR(ISNUMBER(SEARCH("grass seed",E234)),ISNUMBER(SEARCH("seed mix",E234))),"Grass Seed",
OR(ISNUMBER(SEARCH("lawn food",E234)),ISNUMBER(SEARCH("fertilizer",E234))),"Lawn Fertilizer",
OR(ISNUMBER(SEARCH("patch",E234)),ISNUMBER(SEARCH("repair",E234)),ISNUMBER(SEARCH("thick'r",E234)),ISNUMBER(SEARCH("thick'r lawn",E234)),ISNUMBER(SEARCH("rapid grass",E234))),"Lawn Repair",
OR(ISNUMBER(SEARCH("weed",E234)),ISNUMBER(SEARCH("crabgrass",E234))),"Weed Control",
OR(ISNUMBER(SEARCH("fungicide",E234)),ISNUMBER(SEARCH("moss",E234))),"Disease &amp; Moss Control",
OR(ISNUMBER(SEARCH("plant food",E234)),ISNUMBER(SEARCH("miracid",E234))),"Plant Nutrition",
OR(ISNUMBER(SEARCH("perlite",E234))),"Soil Amendment",
OR(ISNUMBER(SEARCH("spreader",E234)),ISNUMBER(SEARCH("sprayer",E234)),ISNUMBER(SEARCH("mower",E234)),ISNUMBER(SEARCH("sweeper",E234)),ISNUMBER(SEARCH("pruner",E234)),ISNUMBER(SEARCH("trimmer",E234)),ISNUMBER(SEARCH("pole saw",E234))),"Garden Equipment",
TRUE,"Other"
)</f>
        <v>Grass Seed</v>
      </c>
      <c r="I234" s="7" t="str" cm="1">
        <f t="array" ref="I234">_xlfn.IFS(
OR(ISNUMBER(SEARCH("glue trap",E234)),ISNUMBER(SEARCH("glue board",E234))),"Glue Traps",
OR(ISNUMBER(SEARCH("snap trap",E234)),ISNUMBER(SEARCH("power-kill",E234)),ISNUMBER(SEARCH("wide pedal",E234)),ISNUMBER(SEARCH("metal pedal",E234))),"Snap Traps",
OR(ISNUMBER(SEARCH("electronic",E234)),ISNUMBER(SEARCH("zapper",E234))),"Electronic Traps",
OR(ISNUMBER(SEARCH("live catch",E234)),ISNUMBER(SEARCH("multi-catch",E234)),ISNUMBER(SEARCH("catch &amp; hold",E234)),ISNUMBER(SEARCH("tin cat",E234))),"Live Catch Traps",
OR(ISNUMBER(SEARCH("bait",E234)),ISNUMBER(SEARCH("poison",E234))),"Bait &amp; Poison",
ISNUMBER(SEARCH("repellent",E234)),"Repellents",
OR(ISNUMBER(SEARCH("fly trap",E234)),ISNUMBER(SEARCH("fly ribbon",E234)),ISNUMBER(SEARCH("fly stick",E234)),ISNUMBER(SEARCH("window fly",E234)),ISNUMBER(SEARCH("fly magnet",E234))),"Fly Traps",
OR(ISNUMBER(SEARCH("uv",E234)),ISNUMBER(SEARCH("fly light",E234)),ISNUMBER(SEARCH("plug-in",E234))),"UV Fly Traps",
ISNUMBER(SEARCH("roach",E234)),"Roach Traps",
ISNUMBER(SEARCH("ant",E234)),"Ant Traps",
ISNUMBER(SEARCH("spider",E234)),"Spider Traps",
ISNUMBER(SEARCH("mosquito",E234)),"Mosquito Traps",
ISNUMBER(SEARCH("beetle",E234)),"Beetle Traps",
ISNUMBER(SEARCH("lantern",E234)),"Lanternfly Control",
OR(ISNUMBER(SEARCH("tree shield",E234)),ISNUMBER(SEARCH("tree banding",E234)),ISNUMBER(SEARCH("insect barrier",E234))),"Tree Barriers",
OR(ISNUMBER(SEARCH("sun &amp; shade",E234)),ISNUMBER(SEARCH("sun and shade",E234))),"Sun &amp; Shade Mix",
ISNUMBER(SEARCH("tall fescue",E234)),"Tall Fescue",
ISNUMBER(SEARCH("bermudagrass",E234)),"Bermudagrass",
ISNUMBER(SEARCH("kentucky",E234)),"Kentucky Bluegrass",
ISNUMBER(SEARCH("zoysia",E234)),"Zoysia",
ISNUMBER(SEARCH("ryegrass",E234)),"Perennial Ryegrass",
ISNUMBER(SEARCH("centipede",E234)),"Centipede Grass",
ISNUMBER(SEARCH("dense shade",E234)),"Dense Shade Mix",
ISNUMBER(SEARCH("southern gold",E234)),"Southern Gold Mix",
ISNUMBER(SEARCH("heat-tolerant blue",E234)),"Heat-Tolerant Blue Mix",
ISNUMBER(SEARCH("high traffic",E234)),"High Traffic Mix",
ISNUMBER(SEARCH("quick fix",E234)),"Quick Fix Mix",
ISNUMBER(SEARCH("starter",E234)),"Starter Fertilizer",
ISNUMBER(SEARCH("weed &amp; feed",E234)),"Weed &amp; Feed",
ISNUMBER(SEARCH("lawn food",E234)),"Lawn Food",
ISNUMBER(SEARCH("triple action",E234)),"Triple Action Fertilizer",
ISNUMBER(SEARCH("green max",E234)),"Green Max Lawn Food",
ISNUMBER(SEARCH("patchmaster",E234)),"PatchMaster Repair",
ISNUMBER(SEARCH("ez seed",E234)),"EZ Seed Repair",
ISNUMBER(SEARCH("rapid grass",E234)),"Rapid Grass",
ISNUMBER(SEARCH("thick'r lawn",E234)),"Thick'R Lawn",
ISNUMBER(SEARCH("fungicide",E234)),"Fungicide",
ISNUMBER(SEARCH("moss",E234)),"Moss Control",
ISNUMBER(SEARCH("perlite",E234)),"Perlite",
ISNUMBER(SEARCH("plant food",E234)),"Plant Food",
ISNUMBER(SEARCH("spreader",E234)),"Spreader",
ISNUMBER(SEARCH("sprayer",E234)),"Sprayer",
ISNUMBER(SEARCH("mower",E234)),"Lawn Mower",
ISNUMBER(SEARCH("sweeper",E234)),"Lawn Sweeper",
OR(ISNUMBER(SEARCH("pruner",E234)),ISNUMBER(SEARCH("trimmer",E234)),ISNUMBER(SEARCH("pole saw",E234))),"Pruning Tools",
TRUE,"Other"
)</f>
        <v>Perennial Ryegrass</v>
      </c>
      <c r="J234" s="7" t="str">
        <f t="shared" si="54"/>
        <v>Grass Seed - Perennial Ryegrass</v>
      </c>
      <c r="K234" s="4">
        <v>100</v>
      </c>
      <c r="L234" s="4">
        <v>4.0999999999999996</v>
      </c>
      <c r="M234" s="4">
        <v>1085</v>
      </c>
      <c r="N234" s="4" t="s">
        <v>1094</v>
      </c>
      <c r="O234" s="4">
        <f>VLOOKUP(A234,[3]Sheet1!$A:$B,2,0)</f>
        <v>50</v>
      </c>
      <c r="P234" s="4">
        <f>VLOOKUP(A234,[3]Sheet1!$A:$C,3,0)</f>
        <v>50</v>
      </c>
      <c r="Q234" s="4">
        <f>VLOOKUP(A234,[3]Sheet1!$A:$D,4,0)</f>
        <v>100</v>
      </c>
      <c r="R234" s="4">
        <f>VLOOKUP(A234,[3]Sheet1!$A:$E,5,0)</f>
        <v>100</v>
      </c>
      <c r="S234" s="4">
        <f>VLOOKUP(A234,[3]Sheet1!$A:$F,6,0)</f>
        <v>100</v>
      </c>
      <c r="T234" s="4">
        <f>VLOOKUP(A234,[3]Sheet1!$A:$G,7,0)</f>
        <v>100</v>
      </c>
      <c r="U234" s="4">
        <f>VLOOKUP(A234,[3]Sheet1!$A:$I,8,0)</f>
        <v>50</v>
      </c>
      <c r="V234" s="4">
        <f>VLOOKUP(A234,[3]Sheet1!$A:$J,9,0)</f>
        <v>100</v>
      </c>
      <c r="W234" s="4">
        <f>VLOOKUP(A234,[3]Sheet1!$A:$J,10,0)</f>
        <v>100</v>
      </c>
      <c r="X234" s="4">
        <f>VLOOKUP(A234,[3]Sheet1!$A:$K,11,0)</f>
        <v>200</v>
      </c>
      <c r="Y234" s="4">
        <f>VLOOKUP(A234,[3]Sheet1!$A:$L,12,0)</f>
        <v>100</v>
      </c>
      <c r="Z234" s="4">
        <f>VLOOKUP(A234,[3]Sheet1!$A:$M,13,0)</f>
        <v>50</v>
      </c>
      <c r="AA234" s="4">
        <f t="shared" si="64"/>
        <v>1100</v>
      </c>
      <c r="AB234" s="7">
        <f t="shared" si="55"/>
        <v>92</v>
      </c>
      <c r="AC234" s="15">
        <f t="shared" si="65"/>
        <v>91.666666666666671</v>
      </c>
      <c r="AD234" s="16">
        <f t="shared" si="66"/>
        <v>14476</v>
      </c>
      <c r="AE234" s="16">
        <f t="shared" si="67"/>
        <v>1206.3333333333335</v>
      </c>
      <c r="AF234" s="16">
        <v>7.3</v>
      </c>
      <c r="AG234" s="16">
        <v>13.16</v>
      </c>
      <c r="AH234" s="8">
        <f t="shared" si="68"/>
        <v>-0.20240000000000002</v>
      </c>
      <c r="AI234" s="8">
        <f t="shared" si="69"/>
        <v>-0.70839999999999992</v>
      </c>
      <c r="AJ234" s="10">
        <v>0.5</v>
      </c>
      <c r="AK234" s="10">
        <v>0.5</v>
      </c>
      <c r="AL234" s="16">
        <v>7.3</v>
      </c>
      <c r="AM234" s="9">
        <f t="shared" si="56"/>
        <v>1.974</v>
      </c>
      <c r="AN234" s="9">
        <f t="shared" si="57"/>
        <v>0.39479999999999998</v>
      </c>
      <c r="AO234" s="9">
        <f t="shared" si="58"/>
        <v>2.6320000000000001</v>
      </c>
      <c r="AP234" s="9">
        <f t="shared" si="59"/>
        <v>0.26319999999999999</v>
      </c>
      <c r="AQ234" s="9">
        <f t="shared" si="60"/>
        <v>2.6320000000000001</v>
      </c>
      <c r="AR234" s="9">
        <f t="shared" si="61"/>
        <v>3.29</v>
      </c>
      <c r="AS234" s="11">
        <f t="shared" si="62"/>
        <v>-2.024</v>
      </c>
      <c r="AT234" s="12">
        <f t="shared" si="63"/>
        <v>-2.4626666666666668</v>
      </c>
    </row>
    <row r="235" spans="1:46" ht="16.5" x14ac:dyDescent="0.4">
      <c r="A235" s="4" t="s">
        <v>1095</v>
      </c>
      <c r="B235" s="4" t="s">
        <v>513</v>
      </c>
      <c r="C235" s="7" t="s">
        <v>1784</v>
      </c>
      <c r="D235" s="4" t="s">
        <v>1096</v>
      </c>
      <c r="E235" s="4" t="s">
        <v>1097</v>
      </c>
      <c r="F235" s="4" t="s">
        <v>1098</v>
      </c>
      <c r="G235" s="7" t="str">
        <f>VLOOKUP(A235,[1]done!$A:$I,9,0)</f>
        <v>Grass Seed</v>
      </c>
      <c r="H235" s="7" t="str" cm="1">
        <f t="array" ref="H235">_xlfn.IFS(
OR(ISNUMBER(SEARCH("mouse",E235)),ISNUMBER(SEARCH("rat",E235)),ISNUMBER(SEARCH("mice",E235)),ISNUMBER(SEARCH("rodent",E235))),"Rodent Control",
OR(ISNUMBER(SEARCH("fly",E235)),ISNUMBER(SEARCH("gnat",E235)),ISNUMBER(SEARCH("insect",E235)),ISNUMBER(SEARCH("mosquito",E235))),"Flying Insect Control",
OR(ISNUMBER(SEARCH("roach",E235)),ISNUMBER(SEARCH("ant",E235)),ISNUMBER(SEARCH("spider",E235)),ISNUMBER(SEARCH("cricket",E235)),ISNUMBER(SEARCH("scorpion",E235)),ISNUMBER(SEARCH("centipede",E235)),ISNUMBER(SEARCH("beetle",E235))),"Crawling Insect Control",
OR(ISNUMBER(SEARCH("tree",E235)),ISNUMBER(SEARCH("lantern",E235)),ISNUMBER(SEARCH("garden",E235)),ISNUMBER(SEARCH("plant",E235))),"Garden Pest Control",
OR(ISNUMBER(SEARCH("grass seed",E235)),ISNUMBER(SEARCH("seed mix",E235))),"Grass Seed",
OR(ISNUMBER(SEARCH("lawn food",E235)),ISNUMBER(SEARCH("fertilizer",E235))),"Lawn Fertilizer",
OR(ISNUMBER(SEARCH("patch",E235)),ISNUMBER(SEARCH("repair",E235)),ISNUMBER(SEARCH("thick'r",E235)),ISNUMBER(SEARCH("thick'r lawn",E235)),ISNUMBER(SEARCH("rapid grass",E235))),"Lawn Repair",
OR(ISNUMBER(SEARCH("weed",E235)),ISNUMBER(SEARCH("crabgrass",E235))),"Weed Control",
OR(ISNUMBER(SEARCH("fungicide",E235)),ISNUMBER(SEARCH("moss",E235))),"Disease &amp; Moss Control",
OR(ISNUMBER(SEARCH("plant food",E235)),ISNUMBER(SEARCH("miracid",E235))),"Plant Nutrition",
OR(ISNUMBER(SEARCH("perlite",E235))),"Soil Amendment",
OR(ISNUMBER(SEARCH("spreader",E235)),ISNUMBER(SEARCH("sprayer",E235)),ISNUMBER(SEARCH("mower",E235)),ISNUMBER(SEARCH("sweeper",E235)),ISNUMBER(SEARCH("pruner",E235)),ISNUMBER(SEARCH("trimmer",E235)),ISNUMBER(SEARCH("pole saw",E235))),"Garden Equipment",
TRUE,"Other"
)</f>
        <v>Crawling Insect Control</v>
      </c>
      <c r="I235" s="7" t="str" cm="1">
        <f t="array" ref="I235">_xlfn.IFS(
OR(ISNUMBER(SEARCH("glue trap",E235)),ISNUMBER(SEARCH("glue board",E235))),"Glue Traps",
OR(ISNUMBER(SEARCH("snap trap",E235)),ISNUMBER(SEARCH("power-kill",E235)),ISNUMBER(SEARCH("wide pedal",E235)),ISNUMBER(SEARCH("metal pedal",E235))),"Snap Traps",
OR(ISNUMBER(SEARCH("electronic",E235)),ISNUMBER(SEARCH("zapper",E235))),"Electronic Traps",
OR(ISNUMBER(SEARCH("live catch",E235)),ISNUMBER(SEARCH("multi-catch",E235)),ISNUMBER(SEARCH("catch &amp; hold",E235)),ISNUMBER(SEARCH("tin cat",E235))),"Live Catch Traps",
OR(ISNUMBER(SEARCH("bait",E235)),ISNUMBER(SEARCH("poison",E235))),"Bait &amp; Poison",
ISNUMBER(SEARCH("repellent",E235)),"Repellents",
OR(ISNUMBER(SEARCH("fly trap",E235)),ISNUMBER(SEARCH("fly ribbon",E235)),ISNUMBER(SEARCH("fly stick",E235)),ISNUMBER(SEARCH("window fly",E235)),ISNUMBER(SEARCH("fly magnet",E235))),"Fly Traps",
OR(ISNUMBER(SEARCH("uv",E235)),ISNUMBER(SEARCH("fly light",E235)),ISNUMBER(SEARCH("plug-in",E235))),"UV Fly Traps",
ISNUMBER(SEARCH("roach",E235)),"Roach Traps",
ISNUMBER(SEARCH("ant",E235)),"Ant Traps",
ISNUMBER(SEARCH("spider",E235)),"Spider Traps",
ISNUMBER(SEARCH("mosquito",E235)),"Mosquito Traps",
ISNUMBER(SEARCH("beetle",E235)),"Beetle Traps",
ISNUMBER(SEARCH("lantern",E235)),"Lanternfly Control",
OR(ISNUMBER(SEARCH("tree shield",E235)),ISNUMBER(SEARCH("tree banding",E235)),ISNUMBER(SEARCH("insect barrier",E235))),"Tree Barriers",
OR(ISNUMBER(SEARCH("sun &amp; shade",E235)),ISNUMBER(SEARCH("sun and shade",E235))),"Sun &amp; Shade Mix",
ISNUMBER(SEARCH("tall fescue",E235)),"Tall Fescue",
ISNUMBER(SEARCH("bermudagrass",E235)),"Bermudagrass",
ISNUMBER(SEARCH("kentucky",E235)),"Kentucky Bluegrass",
ISNUMBER(SEARCH("zoysia",E235)),"Zoysia",
ISNUMBER(SEARCH("ryegrass",E235)),"Perennial Ryegrass",
ISNUMBER(SEARCH("centipede",E235)),"Centipede Grass",
ISNUMBER(SEARCH("dense shade",E235)),"Dense Shade Mix",
ISNUMBER(SEARCH("southern gold",E235)),"Southern Gold Mix",
ISNUMBER(SEARCH("heat-tolerant blue",E235)),"Heat-Tolerant Blue Mix",
ISNUMBER(SEARCH("high traffic",E235)),"High Traffic Mix",
ISNUMBER(SEARCH("quick fix",E235)),"Quick Fix Mix",
ISNUMBER(SEARCH("starter",E235)),"Starter Fertilizer",
ISNUMBER(SEARCH("weed &amp; feed",E235)),"Weed &amp; Feed",
ISNUMBER(SEARCH("lawn food",E235)),"Lawn Food",
ISNUMBER(SEARCH("triple action",E235)),"Triple Action Fertilizer",
ISNUMBER(SEARCH("green max",E235)),"Green Max Lawn Food",
ISNUMBER(SEARCH("patchmaster",E235)),"PatchMaster Repair",
ISNUMBER(SEARCH("ez seed",E235)),"EZ Seed Repair",
ISNUMBER(SEARCH("rapid grass",E235)),"Rapid Grass",
ISNUMBER(SEARCH("thick'r lawn",E235)),"Thick'R Lawn",
ISNUMBER(SEARCH("fungicide",E235)),"Fungicide",
ISNUMBER(SEARCH("moss",E235)),"Moss Control",
ISNUMBER(SEARCH("perlite",E235)),"Perlite",
ISNUMBER(SEARCH("plant food",E235)),"Plant Food",
ISNUMBER(SEARCH("spreader",E235)),"Spreader",
ISNUMBER(SEARCH("sprayer",E235)),"Sprayer",
ISNUMBER(SEARCH("mower",E235)),"Lawn Mower",
ISNUMBER(SEARCH("sweeper",E235)),"Lawn Sweeper",
OR(ISNUMBER(SEARCH("pruner",E235)),ISNUMBER(SEARCH("trimmer",E235)),ISNUMBER(SEARCH("pole saw",E235))),"Pruning Tools",
TRUE,"Other"
)</f>
        <v>Ant Traps</v>
      </c>
      <c r="J235" s="7" t="str">
        <f t="shared" si="54"/>
        <v>Crawling Insect Control - Ant Traps</v>
      </c>
      <c r="K235" s="4">
        <v>100</v>
      </c>
      <c r="L235" s="4">
        <v>4.2</v>
      </c>
      <c r="M235" s="4">
        <v>2069</v>
      </c>
      <c r="N235" s="4" t="s">
        <v>834</v>
      </c>
      <c r="O235" s="4">
        <f>VLOOKUP(A235,[3]Sheet1!$A:$B,2,0)</f>
        <v>0</v>
      </c>
      <c r="P235" s="4">
        <f>VLOOKUP(A235,[3]Sheet1!$A:$C,3,0)</f>
        <v>0</v>
      </c>
      <c r="Q235" s="4">
        <f>VLOOKUP(A235,[3]Sheet1!$A:$D,4,0)</f>
        <v>50</v>
      </c>
      <c r="R235" s="4">
        <f>VLOOKUP(A235,[3]Sheet1!$A:$E,5,0)</f>
        <v>100</v>
      </c>
      <c r="S235" s="4">
        <f>VLOOKUP(A235,[3]Sheet1!$A:$F,6,0)</f>
        <v>50</v>
      </c>
      <c r="T235" s="4">
        <f>VLOOKUP(A235,[3]Sheet1!$A:$G,7,0)</f>
        <v>50</v>
      </c>
      <c r="U235" s="4">
        <f>VLOOKUP(A235,[3]Sheet1!$A:$I,8,0)</f>
        <v>50</v>
      </c>
      <c r="V235" s="4">
        <f>VLOOKUP(A235,[3]Sheet1!$A:$J,9,0)</f>
        <v>50</v>
      </c>
      <c r="W235" s="4">
        <f>VLOOKUP(A235,[3]Sheet1!$A:$J,10,0)</f>
        <v>50</v>
      </c>
      <c r="X235" s="4">
        <f>VLOOKUP(A235,[3]Sheet1!$A:$K,11,0)</f>
        <v>100</v>
      </c>
      <c r="Y235" s="4">
        <f>VLOOKUP(A235,[3]Sheet1!$A:$L,12,0)</f>
        <v>50</v>
      </c>
      <c r="Z235" s="4">
        <f>VLOOKUP(A235,[3]Sheet1!$A:$M,13,0)</f>
        <v>0</v>
      </c>
      <c r="AA235" s="4">
        <f t="shared" si="64"/>
        <v>550</v>
      </c>
      <c r="AB235" s="7">
        <f t="shared" si="55"/>
        <v>46</v>
      </c>
      <c r="AC235" s="15">
        <f t="shared" si="65"/>
        <v>45.833333333333336</v>
      </c>
      <c r="AD235" s="16">
        <f t="shared" si="66"/>
        <v>42861.500000000007</v>
      </c>
      <c r="AE235" s="16">
        <f t="shared" si="67"/>
        <v>3571.791666666667</v>
      </c>
      <c r="AF235" s="16">
        <v>15.79</v>
      </c>
      <c r="AG235" s="16">
        <v>77.930000000000007</v>
      </c>
      <c r="AH235" s="8">
        <f t="shared" si="68"/>
        <v>0.9588000000000001</v>
      </c>
      <c r="AI235" s="8">
        <f t="shared" si="69"/>
        <v>3.3558000000000003</v>
      </c>
      <c r="AJ235" s="10">
        <v>0.5</v>
      </c>
      <c r="AK235" s="10">
        <v>0.5</v>
      </c>
      <c r="AL235" s="16">
        <v>15.79</v>
      </c>
      <c r="AM235" s="9">
        <f t="shared" si="56"/>
        <v>11.689500000000001</v>
      </c>
      <c r="AN235" s="9">
        <f t="shared" si="57"/>
        <v>2.3379000000000003</v>
      </c>
      <c r="AO235" s="9">
        <f t="shared" si="58"/>
        <v>15.586000000000002</v>
      </c>
      <c r="AP235" s="9">
        <f t="shared" si="59"/>
        <v>1.5586000000000002</v>
      </c>
      <c r="AQ235" s="9">
        <f t="shared" si="60"/>
        <v>15.586000000000002</v>
      </c>
      <c r="AR235" s="9">
        <f t="shared" si="61"/>
        <v>19.482500000000002</v>
      </c>
      <c r="AS235" s="11">
        <f t="shared" si="62"/>
        <v>9.588000000000001</v>
      </c>
      <c r="AT235" s="12">
        <f t="shared" si="63"/>
        <v>6.9903333333333348</v>
      </c>
    </row>
    <row r="236" spans="1:46" ht="16.5" x14ac:dyDescent="0.4">
      <c r="A236" s="4" t="s">
        <v>1099</v>
      </c>
      <c r="B236" s="4" t="s">
        <v>513</v>
      </c>
      <c r="C236" s="7" t="s">
        <v>1784</v>
      </c>
      <c r="D236" s="4" t="s">
        <v>1100</v>
      </c>
      <c r="E236" s="4" t="s">
        <v>1101</v>
      </c>
      <c r="F236" s="4" t="s">
        <v>1102</v>
      </c>
      <c r="G236" s="7" t="str">
        <f>VLOOKUP(A236,[1]done!$A:$I,9,0)</f>
        <v>Grass Seed</v>
      </c>
      <c r="H236" s="7" t="str" cm="1">
        <f t="array" ref="H236">_xlfn.IFS(
OR(ISNUMBER(SEARCH("mouse",E236)),ISNUMBER(SEARCH("rat",E236)),ISNUMBER(SEARCH("mice",E236)),ISNUMBER(SEARCH("rodent",E236))),"Rodent Control",
OR(ISNUMBER(SEARCH("fly",E236)),ISNUMBER(SEARCH("gnat",E236)),ISNUMBER(SEARCH("insect",E236)),ISNUMBER(SEARCH("mosquito",E236))),"Flying Insect Control",
OR(ISNUMBER(SEARCH("roach",E236)),ISNUMBER(SEARCH("ant",E236)),ISNUMBER(SEARCH("spider",E236)),ISNUMBER(SEARCH("cricket",E236)),ISNUMBER(SEARCH("scorpion",E236)),ISNUMBER(SEARCH("centipede",E236)),ISNUMBER(SEARCH("beetle",E236))),"Crawling Insect Control",
OR(ISNUMBER(SEARCH("tree",E236)),ISNUMBER(SEARCH("lantern",E236)),ISNUMBER(SEARCH("garden",E236)),ISNUMBER(SEARCH("plant",E236))),"Garden Pest Control",
OR(ISNUMBER(SEARCH("grass seed",E236)),ISNUMBER(SEARCH("seed mix",E236))),"Grass Seed",
OR(ISNUMBER(SEARCH("lawn food",E236)),ISNUMBER(SEARCH("fertilizer",E236))),"Lawn Fertilizer",
OR(ISNUMBER(SEARCH("patch",E236)),ISNUMBER(SEARCH("repair",E236)),ISNUMBER(SEARCH("thick'r",E236)),ISNUMBER(SEARCH("thick'r lawn",E236)),ISNUMBER(SEARCH("rapid grass",E236))),"Lawn Repair",
OR(ISNUMBER(SEARCH("weed",E236)),ISNUMBER(SEARCH("crabgrass",E236))),"Weed Control",
OR(ISNUMBER(SEARCH("fungicide",E236)),ISNUMBER(SEARCH("moss",E236))),"Disease &amp; Moss Control",
OR(ISNUMBER(SEARCH("plant food",E236)),ISNUMBER(SEARCH("miracid",E236))),"Plant Nutrition",
OR(ISNUMBER(SEARCH("perlite",E236))),"Soil Amendment",
OR(ISNUMBER(SEARCH("spreader",E236)),ISNUMBER(SEARCH("sprayer",E236)),ISNUMBER(SEARCH("mower",E236)),ISNUMBER(SEARCH("sweeper",E236)),ISNUMBER(SEARCH("pruner",E236)),ISNUMBER(SEARCH("trimmer",E236)),ISNUMBER(SEARCH("pole saw",E236))),"Garden Equipment",
TRUE,"Other"
)</f>
        <v>Crawling Insect Control</v>
      </c>
      <c r="I236" s="7" t="str" cm="1">
        <f t="array" ref="I236">_xlfn.IFS(
OR(ISNUMBER(SEARCH("glue trap",E236)),ISNUMBER(SEARCH("glue board",E236))),"Glue Traps",
OR(ISNUMBER(SEARCH("snap trap",E236)),ISNUMBER(SEARCH("power-kill",E236)),ISNUMBER(SEARCH("wide pedal",E236)),ISNUMBER(SEARCH("metal pedal",E236))),"Snap Traps",
OR(ISNUMBER(SEARCH("electronic",E236)),ISNUMBER(SEARCH("zapper",E236))),"Electronic Traps",
OR(ISNUMBER(SEARCH("live catch",E236)),ISNUMBER(SEARCH("multi-catch",E236)),ISNUMBER(SEARCH("catch &amp; hold",E236)),ISNUMBER(SEARCH("tin cat",E236))),"Live Catch Traps",
OR(ISNUMBER(SEARCH("bait",E236)),ISNUMBER(SEARCH("poison",E236))),"Bait &amp; Poison",
ISNUMBER(SEARCH("repellent",E236)),"Repellents",
OR(ISNUMBER(SEARCH("fly trap",E236)),ISNUMBER(SEARCH("fly ribbon",E236)),ISNUMBER(SEARCH("fly stick",E236)),ISNUMBER(SEARCH("window fly",E236)),ISNUMBER(SEARCH("fly magnet",E236))),"Fly Traps",
OR(ISNUMBER(SEARCH("uv",E236)),ISNUMBER(SEARCH("fly light",E236)),ISNUMBER(SEARCH("plug-in",E236))),"UV Fly Traps",
ISNUMBER(SEARCH("roach",E236)),"Roach Traps",
ISNUMBER(SEARCH("ant",E236)),"Ant Traps",
ISNUMBER(SEARCH("spider",E236)),"Spider Traps",
ISNUMBER(SEARCH("mosquito",E236)),"Mosquito Traps",
ISNUMBER(SEARCH("beetle",E236)),"Beetle Traps",
ISNUMBER(SEARCH("lantern",E236)),"Lanternfly Control",
OR(ISNUMBER(SEARCH("tree shield",E236)),ISNUMBER(SEARCH("tree banding",E236)),ISNUMBER(SEARCH("insect barrier",E236))),"Tree Barriers",
OR(ISNUMBER(SEARCH("sun &amp; shade",E236)),ISNUMBER(SEARCH("sun and shade",E236))),"Sun &amp; Shade Mix",
ISNUMBER(SEARCH("tall fescue",E236)),"Tall Fescue",
ISNUMBER(SEARCH("bermudagrass",E236)),"Bermudagrass",
ISNUMBER(SEARCH("kentucky",E236)),"Kentucky Bluegrass",
ISNUMBER(SEARCH("zoysia",E236)),"Zoysia",
ISNUMBER(SEARCH("ryegrass",E236)),"Perennial Ryegrass",
ISNUMBER(SEARCH("centipede",E236)),"Centipede Grass",
ISNUMBER(SEARCH("dense shade",E236)),"Dense Shade Mix",
ISNUMBER(SEARCH("southern gold",E236)),"Southern Gold Mix",
ISNUMBER(SEARCH("heat-tolerant blue",E236)),"Heat-Tolerant Blue Mix",
ISNUMBER(SEARCH("high traffic",E236)),"High Traffic Mix",
ISNUMBER(SEARCH("quick fix",E236)),"Quick Fix Mix",
ISNUMBER(SEARCH("starter",E236)),"Starter Fertilizer",
ISNUMBER(SEARCH("weed &amp; feed",E236)),"Weed &amp; Feed",
ISNUMBER(SEARCH("lawn food",E236)),"Lawn Food",
ISNUMBER(SEARCH("triple action",E236)),"Triple Action Fertilizer",
ISNUMBER(SEARCH("green max",E236)),"Green Max Lawn Food",
ISNUMBER(SEARCH("patchmaster",E236)),"PatchMaster Repair",
ISNUMBER(SEARCH("ez seed",E236)),"EZ Seed Repair",
ISNUMBER(SEARCH("rapid grass",E236)),"Rapid Grass",
ISNUMBER(SEARCH("thick'r lawn",E236)),"Thick'R Lawn",
ISNUMBER(SEARCH("fungicide",E236)),"Fungicide",
ISNUMBER(SEARCH("moss",E236)),"Moss Control",
ISNUMBER(SEARCH("perlite",E236)),"Perlite",
ISNUMBER(SEARCH("plant food",E236)),"Plant Food",
ISNUMBER(SEARCH("spreader",E236)),"Spreader",
ISNUMBER(SEARCH("sprayer",E236)),"Sprayer",
ISNUMBER(SEARCH("mower",E236)),"Lawn Mower",
ISNUMBER(SEARCH("sweeper",E236)),"Lawn Sweeper",
OR(ISNUMBER(SEARCH("pruner",E236)),ISNUMBER(SEARCH("trimmer",E236)),ISNUMBER(SEARCH("pole saw",E236))),"Pruning Tools",
TRUE,"Other"
)</f>
        <v>Ant Traps</v>
      </c>
      <c r="J236" s="7" t="str">
        <f t="shared" si="54"/>
        <v>Crawling Insect Control - Ant Traps</v>
      </c>
      <c r="K236" s="4">
        <v>100</v>
      </c>
      <c r="L236" s="4">
        <v>4.2</v>
      </c>
      <c r="M236" s="4">
        <v>2069</v>
      </c>
      <c r="N236" s="4" t="s">
        <v>531</v>
      </c>
      <c r="O236" s="4">
        <f>VLOOKUP(A236,[3]Sheet1!$A:$B,2,0)</f>
        <v>0</v>
      </c>
      <c r="P236" s="4">
        <f>VLOOKUP(A236,[3]Sheet1!$A:$C,3,0)</f>
        <v>0</v>
      </c>
      <c r="Q236" s="4">
        <f>VLOOKUP(A236,[3]Sheet1!$A:$D,4,0)</f>
        <v>100</v>
      </c>
      <c r="R236" s="4">
        <f>VLOOKUP(A236,[3]Sheet1!$A:$E,5,0)</f>
        <v>100</v>
      </c>
      <c r="S236" s="4">
        <f>VLOOKUP(A236,[3]Sheet1!$A:$F,6,0)</f>
        <v>200</v>
      </c>
      <c r="T236" s="4">
        <f>VLOOKUP(A236,[3]Sheet1!$A:$G,7,0)</f>
        <v>100</v>
      </c>
      <c r="U236" s="4">
        <f>VLOOKUP(A236,[3]Sheet1!$A:$I,8,0)</f>
        <v>100</v>
      </c>
      <c r="V236" s="4">
        <f>VLOOKUP(A236,[3]Sheet1!$A:$J,9,0)</f>
        <v>100</v>
      </c>
      <c r="W236" s="4">
        <f>VLOOKUP(A236,[3]Sheet1!$A:$J,10,0)</f>
        <v>100</v>
      </c>
      <c r="X236" s="4">
        <f>VLOOKUP(A236,[3]Sheet1!$A:$K,11,0)</f>
        <v>100</v>
      </c>
      <c r="Y236" s="4">
        <f>VLOOKUP(A236,[3]Sheet1!$A:$L,12,0)</f>
        <v>50</v>
      </c>
      <c r="Z236" s="4">
        <f>VLOOKUP(A236,[3]Sheet1!$A:$M,13,0)</f>
        <v>0</v>
      </c>
      <c r="AA236" s="4">
        <f t="shared" si="64"/>
        <v>950</v>
      </c>
      <c r="AB236" s="7">
        <f t="shared" si="55"/>
        <v>79</v>
      </c>
      <c r="AC236" s="15">
        <f t="shared" si="65"/>
        <v>79.166666666666671</v>
      </c>
      <c r="AD236" s="16">
        <f t="shared" si="66"/>
        <v>34171.5</v>
      </c>
      <c r="AE236" s="16">
        <f t="shared" si="67"/>
        <v>2847.625</v>
      </c>
      <c r="AF236" s="16">
        <v>8.2100000000000009</v>
      </c>
      <c r="AG236" s="16">
        <v>35.97</v>
      </c>
      <c r="AH236" s="8">
        <f t="shared" si="68"/>
        <v>0.34519999999999978</v>
      </c>
      <c r="AI236" s="8">
        <f t="shared" si="69"/>
        <v>1.2081999999999991</v>
      </c>
      <c r="AJ236" s="10">
        <v>0.5</v>
      </c>
      <c r="AK236" s="10">
        <v>0.5</v>
      </c>
      <c r="AL236" s="16">
        <v>8.2100000000000009</v>
      </c>
      <c r="AM236" s="9">
        <f t="shared" si="56"/>
        <v>5.3954999999999993</v>
      </c>
      <c r="AN236" s="9">
        <f t="shared" si="57"/>
        <v>1.0790999999999999</v>
      </c>
      <c r="AO236" s="9">
        <f t="shared" si="58"/>
        <v>7.194</v>
      </c>
      <c r="AP236" s="9">
        <f t="shared" si="59"/>
        <v>0.71940000000000004</v>
      </c>
      <c r="AQ236" s="9">
        <f t="shared" si="60"/>
        <v>7.194</v>
      </c>
      <c r="AR236" s="9">
        <f t="shared" si="61"/>
        <v>8.9924999999999997</v>
      </c>
      <c r="AS236" s="11">
        <f t="shared" si="62"/>
        <v>3.4519999999999977</v>
      </c>
      <c r="AT236" s="12">
        <f t="shared" si="63"/>
        <v>2.2529999999999979</v>
      </c>
    </row>
    <row r="237" spans="1:46" ht="16.5" x14ac:dyDescent="0.4">
      <c r="A237" s="4" t="s">
        <v>1103</v>
      </c>
      <c r="B237" s="4" t="s">
        <v>513</v>
      </c>
      <c r="C237" s="7" t="s">
        <v>513</v>
      </c>
      <c r="D237" s="4" t="s">
        <v>1104</v>
      </c>
      <c r="E237" s="4" t="s">
        <v>1105</v>
      </c>
      <c r="F237" s="4" t="s">
        <v>1106</v>
      </c>
      <c r="G237" s="7" t="str">
        <f>VLOOKUP(A237,[1]done!$A:$I,9,0)</f>
        <v>Other Lawn products</v>
      </c>
      <c r="H237" s="7" t="str" cm="1">
        <f t="array" ref="H237">_xlfn.IFS(
OR(ISNUMBER(SEARCH("mouse",E237)),ISNUMBER(SEARCH("rat",E237)),ISNUMBER(SEARCH("mice",E237)),ISNUMBER(SEARCH("rodent",E237))),"Rodent Control",
OR(ISNUMBER(SEARCH("fly",E237)),ISNUMBER(SEARCH("gnat",E237)),ISNUMBER(SEARCH("insect",E237)),ISNUMBER(SEARCH("mosquito",E237))),"Flying Insect Control",
OR(ISNUMBER(SEARCH("roach",E237)),ISNUMBER(SEARCH("ant",E237)),ISNUMBER(SEARCH("spider",E237)),ISNUMBER(SEARCH("cricket",E237)),ISNUMBER(SEARCH("scorpion",E237)),ISNUMBER(SEARCH("centipede",E237)),ISNUMBER(SEARCH("beetle",E237))),"Crawling Insect Control",
OR(ISNUMBER(SEARCH("tree",E237)),ISNUMBER(SEARCH("lantern",E237)),ISNUMBER(SEARCH("garden",E237)),ISNUMBER(SEARCH("plant",E237))),"Garden Pest Control",
OR(ISNUMBER(SEARCH("grass seed",E237)),ISNUMBER(SEARCH("seed mix",E237))),"Grass Seed",
OR(ISNUMBER(SEARCH("lawn food",E237)),ISNUMBER(SEARCH("fertilizer",E237))),"Lawn Fertilizer",
OR(ISNUMBER(SEARCH("patch",E237)),ISNUMBER(SEARCH("repair",E237)),ISNUMBER(SEARCH("thick'r",E237)),ISNUMBER(SEARCH("thick'r lawn",E237)),ISNUMBER(SEARCH("rapid grass",E237))),"Lawn Repair",
OR(ISNUMBER(SEARCH("weed",E237)),ISNUMBER(SEARCH("crabgrass",E237))),"Weed Control",
OR(ISNUMBER(SEARCH("fungicide",E237)),ISNUMBER(SEARCH("moss",E237))),"Disease &amp; Moss Control",
OR(ISNUMBER(SEARCH("plant food",E237)),ISNUMBER(SEARCH("miracid",E237))),"Plant Nutrition",
OR(ISNUMBER(SEARCH("perlite",E237))),"Soil Amendment",
OR(ISNUMBER(SEARCH("spreader",E237)),ISNUMBER(SEARCH("sprayer",E237)),ISNUMBER(SEARCH("mower",E237)),ISNUMBER(SEARCH("sweeper",E237)),ISNUMBER(SEARCH("pruner",E237)),ISNUMBER(SEARCH("trimmer",E237)),ISNUMBER(SEARCH("pole saw",E237))),"Garden Equipment",
TRUE,"Other"
)</f>
        <v>Crawling Insect Control</v>
      </c>
      <c r="I237" s="7" t="str" cm="1">
        <f t="array" ref="I237">_xlfn.IFS(
OR(ISNUMBER(SEARCH("glue trap",E237)),ISNUMBER(SEARCH("glue board",E237))),"Glue Traps",
OR(ISNUMBER(SEARCH("snap trap",E237)),ISNUMBER(SEARCH("power-kill",E237)),ISNUMBER(SEARCH("wide pedal",E237)),ISNUMBER(SEARCH("metal pedal",E237))),"Snap Traps",
OR(ISNUMBER(SEARCH("electronic",E237)),ISNUMBER(SEARCH("zapper",E237))),"Electronic Traps",
OR(ISNUMBER(SEARCH("live catch",E237)),ISNUMBER(SEARCH("multi-catch",E237)),ISNUMBER(SEARCH("catch &amp; hold",E237)),ISNUMBER(SEARCH("tin cat",E237))),"Live Catch Traps",
OR(ISNUMBER(SEARCH("bait",E237)),ISNUMBER(SEARCH("poison",E237))),"Bait &amp; Poison",
ISNUMBER(SEARCH("repellent",E237)),"Repellents",
OR(ISNUMBER(SEARCH("fly trap",E237)),ISNUMBER(SEARCH("fly ribbon",E237)),ISNUMBER(SEARCH("fly stick",E237)),ISNUMBER(SEARCH("window fly",E237)),ISNUMBER(SEARCH("fly magnet",E237))),"Fly Traps",
OR(ISNUMBER(SEARCH("uv",E237)),ISNUMBER(SEARCH("fly light",E237)),ISNUMBER(SEARCH("plug-in",E237))),"UV Fly Traps",
ISNUMBER(SEARCH("roach",E237)),"Roach Traps",
ISNUMBER(SEARCH("ant",E237)),"Ant Traps",
ISNUMBER(SEARCH("spider",E237)),"Spider Traps",
ISNUMBER(SEARCH("mosquito",E237)),"Mosquito Traps",
ISNUMBER(SEARCH("beetle",E237)),"Beetle Traps",
ISNUMBER(SEARCH("lantern",E237)),"Lanternfly Control",
OR(ISNUMBER(SEARCH("tree shield",E237)),ISNUMBER(SEARCH("tree banding",E237)),ISNUMBER(SEARCH("insect barrier",E237))),"Tree Barriers",
OR(ISNUMBER(SEARCH("sun &amp; shade",E237)),ISNUMBER(SEARCH("sun and shade",E237))),"Sun &amp; Shade Mix",
ISNUMBER(SEARCH("tall fescue",E237)),"Tall Fescue",
ISNUMBER(SEARCH("bermudagrass",E237)),"Bermudagrass",
ISNUMBER(SEARCH("kentucky",E237)),"Kentucky Bluegrass",
ISNUMBER(SEARCH("zoysia",E237)),"Zoysia",
ISNUMBER(SEARCH("ryegrass",E237)),"Perennial Ryegrass",
ISNUMBER(SEARCH("centipede",E237)),"Centipede Grass",
ISNUMBER(SEARCH("dense shade",E237)),"Dense Shade Mix",
ISNUMBER(SEARCH("southern gold",E237)),"Southern Gold Mix",
ISNUMBER(SEARCH("heat-tolerant blue",E237)),"Heat-Tolerant Blue Mix",
ISNUMBER(SEARCH("high traffic",E237)),"High Traffic Mix",
ISNUMBER(SEARCH("quick fix",E237)),"Quick Fix Mix",
ISNUMBER(SEARCH("starter",E237)),"Starter Fertilizer",
ISNUMBER(SEARCH("weed &amp; feed",E237)),"Weed &amp; Feed",
ISNUMBER(SEARCH("lawn food",E237)),"Lawn Food",
ISNUMBER(SEARCH("triple action",E237)),"Triple Action Fertilizer",
ISNUMBER(SEARCH("green max",E237)),"Green Max Lawn Food",
ISNUMBER(SEARCH("patchmaster",E237)),"PatchMaster Repair",
ISNUMBER(SEARCH("ez seed",E237)),"EZ Seed Repair",
ISNUMBER(SEARCH("rapid grass",E237)),"Rapid Grass",
ISNUMBER(SEARCH("thick'r lawn",E237)),"Thick'R Lawn",
ISNUMBER(SEARCH("fungicide",E237)),"Fungicide",
ISNUMBER(SEARCH("moss",E237)),"Moss Control",
ISNUMBER(SEARCH("perlite",E237)),"Perlite",
ISNUMBER(SEARCH("plant food",E237)),"Plant Food",
ISNUMBER(SEARCH("spreader",E237)),"Spreader",
ISNUMBER(SEARCH("sprayer",E237)),"Sprayer",
ISNUMBER(SEARCH("mower",E237)),"Lawn Mower",
ISNUMBER(SEARCH("sweeper",E237)),"Lawn Sweeper",
OR(ISNUMBER(SEARCH("pruner",E237)),ISNUMBER(SEARCH("trimmer",E237)),ISNUMBER(SEARCH("pole saw",E237))),"Pruning Tools",
TRUE,"Other"
)</f>
        <v>Centipede Grass</v>
      </c>
      <c r="J237" s="7" t="str">
        <f t="shared" si="54"/>
        <v>Crawling Insect Control - Centipede Grass</v>
      </c>
      <c r="K237" s="4">
        <v>100</v>
      </c>
      <c r="L237" s="4">
        <v>3.5</v>
      </c>
      <c r="M237" s="4">
        <v>1308</v>
      </c>
      <c r="N237" s="4" t="s">
        <v>731</v>
      </c>
      <c r="O237" s="4">
        <f>VLOOKUP(A237,[3]Sheet1!$A:$B,2,0)</f>
        <v>0</v>
      </c>
      <c r="P237" s="4">
        <f>VLOOKUP(A237,[3]Sheet1!$A:$C,3,0)</f>
        <v>0</v>
      </c>
      <c r="Q237" s="4">
        <f>VLOOKUP(A237,[3]Sheet1!$A:$D,4,0)</f>
        <v>50</v>
      </c>
      <c r="R237" s="4">
        <f>VLOOKUP(A237,[3]Sheet1!$A:$E,5,0)</f>
        <v>100</v>
      </c>
      <c r="S237" s="4">
        <f>VLOOKUP(A237,[3]Sheet1!$A:$F,6,0)</f>
        <v>100</v>
      </c>
      <c r="T237" s="4">
        <f>VLOOKUP(A237,[3]Sheet1!$A:$G,7,0)</f>
        <v>200</v>
      </c>
      <c r="U237" s="4">
        <f>VLOOKUP(A237,[3]Sheet1!$A:$I,8,0)</f>
        <v>50</v>
      </c>
      <c r="V237" s="4">
        <f>VLOOKUP(A237,[3]Sheet1!$A:$J,9,0)</f>
        <v>50</v>
      </c>
      <c r="W237" s="4">
        <f>VLOOKUP(A237,[3]Sheet1!$A:$J,10,0)</f>
        <v>100</v>
      </c>
      <c r="X237" s="4">
        <f>VLOOKUP(A237,[3]Sheet1!$A:$K,11,0)</f>
        <v>0</v>
      </c>
      <c r="Y237" s="4">
        <f>VLOOKUP(A237,[3]Sheet1!$A:$L,12,0)</f>
        <v>0</v>
      </c>
      <c r="Z237" s="4">
        <f>VLOOKUP(A237,[3]Sheet1!$A:$M,13,0)</f>
        <v>0</v>
      </c>
      <c r="AA237" s="4">
        <f t="shared" si="64"/>
        <v>650</v>
      </c>
      <c r="AB237" s="7">
        <f t="shared" si="55"/>
        <v>54</v>
      </c>
      <c r="AC237" s="15">
        <f t="shared" si="65"/>
        <v>54.166666666666664</v>
      </c>
      <c r="AD237" s="16">
        <f t="shared" si="66"/>
        <v>39117</v>
      </c>
      <c r="AE237" s="16">
        <f t="shared" si="67"/>
        <v>3259.75</v>
      </c>
      <c r="AF237" s="16">
        <v>17.36</v>
      </c>
      <c r="AG237" s="16">
        <v>60.18</v>
      </c>
      <c r="AH237" s="8">
        <f t="shared" si="68"/>
        <v>0.38079999999999981</v>
      </c>
      <c r="AI237" s="8">
        <f t="shared" si="69"/>
        <v>1.3327999999999991</v>
      </c>
      <c r="AJ237" s="10">
        <v>0.5</v>
      </c>
      <c r="AK237" s="10">
        <v>0.5</v>
      </c>
      <c r="AL237" s="16">
        <v>17.36</v>
      </c>
      <c r="AM237" s="9">
        <f t="shared" si="56"/>
        <v>9.0269999999999992</v>
      </c>
      <c r="AN237" s="9">
        <f t="shared" si="57"/>
        <v>1.8053999999999999</v>
      </c>
      <c r="AO237" s="9">
        <f t="shared" si="58"/>
        <v>12.036000000000001</v>
      </c>
      <c r="AP237" s="9">
        <f t="shared" si="59"/>
        <v>1.2036</v>
      </c>
      <c r="AQ237" s="9">
        <f t="shared" si="60"/>
        <v>12.036000000000001</v>
      </c>
      <c r="AR237" s="9">
        <f t="shared" si="61"/>
        <v>15.045</v>
      </c>
      <c r="AS237" s="11">
        <f t="shared" si="62"/>
        <v>3.8079999999999976</v>
      </c>
      <c r="AT237" s="12">
        <f t="shared" si="63"/>
        <v>1.8019999999999985</v>
      </c>
    </row>
    <row r="238" spans="1:46" ht="16.5" x14ac:dyDescent="0.4">
      <c r="A238" s="4" t="s">
        <v>1107</v>
      </c>
      <c r="B238" s="4" t="s">
        <v>513</v>
      </c>
      <c r="C238" s="7" t="s">
        <v>1784</v>
      </c>
      <c r="D238" s="4" t="s">
        <v>1108</v>
      </c>
      <c r="E238" s="4" t="s">
        <v>1109</v>
      </c>
      <c r="F238" s="4" t="s">
        <v>1110</v>
      </c>
      <c r="G238" s="7" t="str">
        <f>VLOOKUP(A238,[1]done!$A:$I,9,0)</f>
        <v>Other - Scotts</v>
      </c>
      <c r="H238" s="7" t="str" cm="1">
        <f t="array" ref="H238">_xlfn.IFS(
OR(ISNUMBER(SEARCH("mouse",E238)),ISNUMBER(SEARCH("rat",E238)),ISNUMBER(SEARCH("mice",E238)),ISNUMBER(SEARCH("rodent",E238))),"Rodent Control",
OR(ISNUMBER(SEARCH("fly",E238)),ISNUMBER(SEARCH("gnat",E238)),ISNUMBER(SEARCH("insect",E238)),ISNUMBER(SEARCH("mosquito",E238))),"Flying Insect Control",
OR(ISNUMBER(SEARCH("roach",E238)),ISNUMBER(SEARCH("ant",E238)),ISNUMBER(SEARCH("spider",E238)),ISNUMBER(SEARCH("cricket",E238)),ISNUMBER(SEARCH("scorpion",E238)),ISNUMBER(SEARCH("centipede",E238)),ISNUMBER(SEARCH("beetle",E238))),"Crawling Insect Control",
OR(ISNUMBER(SEARCH("tree",E238)),ISNUMBER(SEARCH("lantern",E238)),ISNUMBER(SEARCH("garden",E238)),ISNUMBER(SEARCH("plant",E238))),"Garden Pest Control",
OR(ISNUMBER(SEARCH("grass seed",E238)),ISNUMBER(SEARCH("seed mix",E238))),"Grass Seed",
OR(ISNUMBER(SEARCH("lawn food",E238)),ISNUMBER(SEARCH("fertilizer",E238))),"Lawn Fertilizer",
OR(ISNUMBER(SEARCH("patch",E238)),ISNUMBER(SEARCH("repair",E238)),ISNUMBER(SEARCH("thick'r",E238)),ISNUMBER(SEARCH("thick'r lawn",E238)),ISNUMBER(SEARCH("rapid grass",E238))),"Lawn Repair",
OR(ISNUMBER(SEARCH("weed",E238)),ISNUMBER(SEARCH("crabgrass",E238))),"Weed Control",
OR(ISNUMBER(SEARCH("fungicide",E238)),ISNUMBER(SEARCH("moss",E238))),"Disease &amp; Moss Control",
OR(ISNUMBER(SEARCH("plant food",E238)),ISNUMBER(SEARCH("miracid",E238))),"Plant Nutrition",
OR(ISNUMBER(SEARCH("perlite",E238))),"Soil Amendment",
OR(ISNUMBER(SEARCH("spreader",E238)),ISNUMBER(SEARCH("sprayer",E238)),ISNUMBER(SEARCH("mower",E238)),ISNUMBER(SEARCH("sweeper",E238)),ISNUMBER(SEARCH("pruner",E238)),ISNUMBER(SEARCH("trimmer",E238)),ISNUMBER(SEARCH("pole saw",E238))),"Garden Equipment",
TRUE,"Other"
)</f>
        <v>Rodent Control</v>
      </c>
      <c r="I238" s="7" t="str" cm="1">
        <f t="array" ref="I238">_xlfn.IFS(
OR(ISNUMBER(SEARCH("glue trap",E238)),ISNUMBER(SEARCH("glue board",E238))),"Glue Traps",
OR(ISNUMBER(SEARCH("snap trap",E238)),ISNUMBER(SEARCH("power-kill",E238)),ISNUMBER(SEARCH("wide pedal",E238)),ISNUMBER(SEARCH("metal pedal",E238))),"Snap Traps",
OR(ISNUMBER(SEARCH("electronic",E238)),ISNUMBER(SEARCH("zapper",E238))),"Electronic Traps",
OR(ISNUMBER(SEARCH("live catch",E238)),ISNUMBER(SEARCH("multi-catch",E238)),ISNUMBER(SEARCH("catch &amp; hold",E238)),ISNUMBER(SEARCH("tin cat",E238))),"Live Catch Traps",
OR(ISNUMBER(SEARCH("bait",E238)),ISNUMBER(SEARCH("poison",E238))),"Bait &amp; Poison",
ISNUMBER(SEARCH("repellent",E238)),"Repellents",
OR(ISNUMBER(SEARCH("fly trap",E238)),ISNUMBER(SEARCH("fly ribbon",E238)),ISNUMBER(SEARCH("fly stick",E238)),ISNUMBER(SEARCH("window fly",E238)),ISNUMBER(SEARCH("fly magnet",E238))),"Fly Traps",
OR(ISNUMBER(SEARCH("uv",E238)),ISNUMBER(SEARCH("fly light",E238)),ISNUMBER(SEARCH("plug-in",E238))),"UV Fly Traps",
ISNUMBER(SEARCH("roach",E238)),"Roach Traps",
ISNUMBER(SEARCH("ant",E238)),"Ant Traps",
ISNUMBER(SEARCH("spider",E238)),"Spider Traps",
ISNUMBER(SEARCH("mosquito",E238)),"Mosquito Traps",
ISNUMBER(SEARCH("beetle",E238)),"Beetle Traps",
ISNUMBER(SEARCH("lantern",E238)),"Lanternfly Control",
OR(ISNUMBER(SEARCH("tree shield",E238)),ISNUMBER(SEARCH("tree banding",E238)),ISNUMBER(SEARCH("insect barrier",E238))),"Tree Barriers",
OR(ISNUMBER(SEARCH("sun &amp; shade",E238)),ISNUMBER(SEARCH("sun and shade",E238))),"Sun &amp; Shade Mix",
ISNUMBER(SEARCH("tall fescue",E238)),"Tall Fescue",
ISNUMBER(SEARCH("bermudagrass",E238)),"Bermudagrass",
ISNUMBER(SEARCH("kentucky",E238)),"Kentucky Bluegrass",
ISNUMBER(SEARCH("zoysia",E238)),"Zoysia",
ISNUMBER(SEARCH("ryegrass",E238)),"Perennial Ryegrass",
ISNUMBER(SEARCH("centipede",E238)),"Centipede Grass",
ISNUMBER(SEARCH("dense shade",E238)),"Dense Shade Mix",
ISNUMBER(SEARCH("southern gold",E238)),"Southern Gold Mix",
ISNUMBER(SEARCH("heat-tolerant blue",E238)),"Heat-Tolerant Blue Mix",
ISNUMBER(SEARCH("high traffic",E238)),"High Traffic Mix",
ISNUMBER(SEARCH("quick fix",E238)),"Quick Fix Mix",
ISNUMBER(SEARCH("starter",E238)),"Starter Fertilizer",
ISNUMBER(SEARCH("weed &amp; feed",E238)),"Weed &amp; Feed",
ISNUMBER(SEARCH("lawn food",E238)),"Lawn Food",
ISNUMBER(SEARCH("triple action",E238)),"Triple Action Fertilizer",
ISNUMBER(SEARCH("green max",E238)),"Green Max Lawn Food",
ISNUMBER(SEARCH("patchmaster",E238)),"PatchMaster Repair",
ISNUMBER(SEARCH("ez seed",E238)),"EZ Seed Repair",
ISNUMBER(SEARCH("rapid grass",E238)),"Rapid Grass",
ISNUMBER(SEARCH("thick'r lawn",E238)),"Thick'R Lawn",
ISNUMBER(SEARCH("fungicide",E238)),"Fungicide",
ISNUMBER(SEARCH("moss",E238)),"Moss Control",
ISNUMBER(SEARCH("perlite",E238)),"Perlite",
ISNUMBER(SEARCH("plant food",E238)),"Plant Food",
ISNUMBER(SEARCH("spreader",E238)),"Spreader",
ISNUMBER(SEARCH("sprayer",E238)),"Sprayer",
ISNUMBER(SEARCH("mower",E238)),"Lawn Mower",
ISNUMBER(SEARCH("sweeper",E238)),"Lawn Sweeper",
OR(ISNUMBER(SEARCH("pruner",E238)),ISNUMBER(SEARCH("trimmer",E238)),ISNUMBER(SEARCH("pole saw",E238))),"Pruning Tools",
TRUE,"Other"
)</f>
        <v>Other</v>
      </c>
      <c r="J238" s="7" t="str">
        <f t="shared" si="54"/>
        <v>Rodent Control - Other</v>
      </c>
      <c r="K238" s="4">
        <v>100</v>
      </c>
      <c r="L238" s="4">
        <v>4.5999999999999996</v>
      </c>
      <c r="M238" s="4">
        <v>517</v>
      </c>
      <c r="O238" s="4">
        <f>VLOOKUP(A238,[3]Sheet1!$A:$B,2,0)</f>
        <v>0</v>
      </c>
      <c r="P238" s="4">
        <f>VLOOKUP(A238,[3]Sheet1!$A:$C,3,0)</f>
        <v>0</v>
      </c>
      <c r="Q238" s="4">
        <f>VLOOKUP(A238,[3]Sheet1!$A:$D,4,0)</f>
        <v>50</v>
      </c>
      <c r="R238" s="4">
        <f>VLOOKUP(A238,[3]Sheet1!$A:$E,5,0)</f>
        <v>200</v>
      </c>
      <c r="S238" s="4">
        <f>VLOOKUP(A238,[3]Sheet1!$A:$F,6,0)</f>
        <v>200</v>
      </c>
      <c r="T238" s="4">
        <f>VLOOKUP(A238,[3]Sheet1!$A:$G,7,0)</f>
        <v>200</v>
      </c>
      <c r="U238" s="4">
        <f>VLOOKUP(A238,[3]Sheet1!$A:$I,8,0)</f>
        <v>200</v>
      </c>
      <c r="V238" s="4">
        <f>VLOOKUP(A238,[3]Sheet1!$A:$J,9,0)</f>
        <v>100</v>
      </c>
      <c r="W238" s="4">
        <f>VLOOKUP(A238,[3]Sheet1!$A:$J,10,0)</f>
        <v>100</v>
      </c>
      <c r="X238" s="4">
        <f>VLOOKUP(A238,[3]Sheet1!$A:$K,11,0)</f>
        <v>100</v>
      </c>
      <c r="Y238" s="4">
        <f>VLOOKUP(A238,[3]Sheet1!$A:$L,12,0)</f>
        <v>50</v>
      </c>
      <c r="Z238" s="4">
        <f>VLOOKUP(A238,[3]Sheet1!$A:$M,13,0)</f>
        <v>50</v>
      </c>
      <c r="AA238" s="4">
        <f t="shared" si="64"/>
        <v>1250</v>
      </c>
      <c r="AB238" s="7">
        <f t="shared" si="55"/>
        <v>104</v>
      </c>
      <c r="AC238" s="15">
        <f t="shared" si="65"/>
        <v>104.16666666666667</v>
      </c>
      <c r="AD238" s="16">
        <f t="shared" si="66"/>
        <v>39987.5</v>
      </c>
      <c r="AE238" s="16">
        <f t="shared" si="67"/>
        <v>3332.2916666666665</v>
      </c>
      <c r="AF238" s="16">
        <v>5.22</v>
      </c>
      <c r="AG238" s="16">
        <v>31.99</v>
      </c>
      <c r="AH238" s="8">
        <f t="shared" si="68"/>
        <v>0.43840000000000007</v>
      </c>
      <c r="AI238" s="8">
        <f t="shared" si="69"/>
        <v>1.5344</v>
      </c>
      <c r="AJ238" s="10">
        <v>0.5</v>
      </c>
      <c r="AK238" s="10">
        <v>0.5</v>
      </c>
      <c r="AL238" s="16">
        <v>5.22</v>
      </c>
      <c r="AM238" s="9">
        <f t="shared" si="56"/>
        <v>4.7984999999999998</v>
      </c>
      <c r="AN238" s="9">
        <f t="shared" si="57"/>
        <v>0.95969999999999989</v>
      </c>
      <c r="AO238" s="9">
        <f t="shared" si="58"/>
        <v>6.3979999999999997</v>
      </c>
      <c r="AP238" s="9">
        <f t="shared" si="59"/>
        <v>0.63980000000000004</v>
      </c>
      <c r="AQ238" s="9">
        <f t="shared" si="60"/>
        <v>6.3979999999999997</v>
      </c>
      <c r="AR238" s="9">
        <f t="shared" si="61"/>
        <v>7.9974999999999996</v>
      </c>
      <c r="AS238" s="11">
        <f t="shared" si="62"/>
        <v>4.3840000000000003</v>
      </c>
      <c r="AT238" s="12">
        <f t="shared" si="63"/>
        <v>3.3176666666666672</v>
      </c>
    </row>
    <row r="239" spans="1:46" ht="16.5" x14ac:dyDescent="0.4">
      <c r="A239" s="4" t="s">
        <v>1111</v>
      </c>
      <c r="B239" s="4" t="s">
        <v>513</v>
      </c>
      <c r="C239" s="7" t="s">
        <v>1784</v>
      </c>
      <c r="D239" s="4" t="s">
        <v>1112</v>
      </c>
      <c r="E239" s="4" t="s">
        <v>1113</v>
      </c>
      <c r="F239" s="4" t="s">
        <v>1114</v>
      </c>
      <c r="G239" s="7" t="str">
        <f>VLOOKUP(A239,[1]done!$A:$I,9,0)</f>
        <v>Grass Seed</v>
      </c>
      <c r="H239" s="7" t="str" cm="1">
        <f t="array" ref="H239">_xlfn.IFS(
OR(ISNUMBER(SEARCH("mouse",E239)),ISNUMBER(SEARCH("rat",E239)),ISNUMBER(SEARCH("mice",E239)),ISNUMBER(SEARCH("rodent",E239))),"Rodent Control",
OR(ISNUMBER(SEARCH("fly",E239)),ISNUMBER(SEARCH("gnat",E239)),ISNUMBER(SEARCH("insect",E239)),ISNUMBER(SEARCH("mosquito",E239))),"Flying Insect Control",
OR(ISNUMBER(SEARCH("roach",E239)),ISNUMBER(SEARCH("ant",E239)),ISNUMBER(SEARCH("spider",E239)),ISNUMBER(SEARCH("cricket",E239)),ISNUMBER(SEARCH("scorpion",E239)),ISNUMBER(SEARCH("centipede",E239)),ISNUMBER(SEARCH("beetle",E239))),"Crawling Insect Control",
OR(ISNUMBER(SEARCH("tree",E239)),ISNUMBER(SEARCH("lantern",E239)),ISNUMBER(SEARCH("garden",E239)),ISNUMBER(SEARCH("plant",E239))),"Garden Pest Control",
OR(ISNUMBER(SEARCH("grass seed",E239)),ISNUMBER(SEARCH("seed mix",E239))),"Grass Seed",
OR(ISNUMBER(SEARCH("lawn food",E239)),ISNUMBER(SEARCH("fertilizer",E239))),"Lawn Fertilizer",
OR(ISNUMBER(SEARCH("patch",E239)),ISNUMBER(SEARCH("repair",E239)),ISNUMBER(SEARCH("thick'r",E239)),ISNUMBER(SEARCH("thick'r lawn",E239)),ISNUMBER(SEARCH("rapid grass",E239))),"Lawn Repair",
OR(ISNUMBER(SEARCH("weed",E239)),ISNUMBER(SEARCH("crabgrass",E239))),"Weed Control",
OR(ISNUMBER(SEARCH("fungicide",E239)),ISNUMBER(SEARCH("moss",E239))),"Disease &amp; Moss Control",
OR(ISNUMBER(SEARCH("plant food",E239)),ISNUMBER(SEARCH("miracid",E239))),"Plant Nutrition",
OR(ISNUMBER(SEARCH("perlite",E239))),"Soil Amendment",
OR(ISNUMBER(SEARCH("spreader",E239)),ISNUMBER(SEARCH("sprayer",E239)),ISNUMBER(SEARCH("mower",E239)),ISNUMBER(SEARCH("sweeper",E239)),ISNUMBER(SEARCH("pruner",E239)),ISNUMBER(SEARCH("trimmer",E239)),ISNUMBER(SEARCH("pole saw",E239))),"Garden Equipment",
TRUE,"Other"
)</f>
        <v>Crawling Insect Control</v>
      </c>
      <c r="I239" s="7" t="str" cm="1">
        <f t="array" ref="I239">_xlfn.IFS(
OR(ISNUMBER(SEARCH("glue trap",E239)),ISNUMBER(SEARCH("glue board",E239))),"Glue Traps",
OR(ISNUMBER(SEARCH("snap trap",E239)),ISNUMBER(SEARCH("power-kill",E239)),ISNUMBER(SEARCH("wide pedal",E239)),ISNUMBER(SEARCH("metal pedal",E239))),"Snap Traps",
OR(ISNUMBER(SEARCH("electronic",E239)),ISNUMBER(SEARCH("zapper",E239))),"Electronic Traps",
OR(ISNUMBER(SEARCH("live catch",E239)),ISNUMBER(SEARCH("multi-catch",E239)),ISNUMBER(SEARCH("catch &amp; hold",E239)),ISNUMBER(SEARCH("tin cat",E239))),"Live Catch Traps",
OR(ISNUMBER(SEARCH("bait",E239)),ISNUMBER(SEARCH("poison",E239))),"Bait &amp; Poison",
ISNUMBER(SEARCH("repellent",E239)),"Repellents",
OR(ISNUMBER(SEARCH("fly trap",E239)),ISNUMBER(SEARCH("fly ribbon",E239)),ISNUMBER(SEARCH("fly stick",E239)),ISNUMBER(SEARCH("window fly",E239)),ISNUMBER(SEARCH("fly magnet",E239))),"Fly Traps",
OR(ISNUMBER(SEARCH("uv",E239)),ISNUMBER(SEARCH("fly light",E239)),ISNUMBER(SEARCH("plug-in",E239))),"UV Fly Traps",
ISNUMBER(SEARCH("roach",E239)),"Roach Traps",
ISNUMBER(SEARCH("ant",E239)),"Ant Traps",
ISNUMBER(SEARCH("spider",E239)),"Spider Traps",
ISNUMBER(SEARCH("mosquito",E239)),"Mosquito Traps",
ISNUMBER(SEARCH("beetle",E239)),"Beetle Traps",
ISNUMBER(SEARCH("lantern",E239)),"Lanternfly Control",
OR(ISNUMBER(SEARCH("tree shield",E239)),ISNUMBER(SEARCH("tree banding",E239)),ISNUMBER(SEARCH("insect barrier",E239))),"Tree Barriers",
OR(ISNUMBER(SEARCH("sun &amp; shade",E239)),ISNUMBER(SEARCH("sun and shade",E239))),"Sun &amp; Shade Mix",
ISNUMBER(SEARCH("tall fescue",E239)),"Tall Fescue",
ISNUMBER(SEARCH("bermudagrass",E239)),"Bermudagrass",
ISNUMBER(SEARCH("kentucky",E239)),"Kentucky Bluegrass",
ISNUMBER(SEARCH("zoysia",E239)),"Zoysia",
ISNUMBER(SEARCH("ryegrass",E239)),"Perennial Ryegrass",
ISNUMBER(SEARCH("centipede",E239)),"Centipede Grass",
ISNUMBER(SEARCH("dense shade",E239)),"Dense Shade Mix",
ISNUMBER(SEARCH("southern gold",E239)),"Southern Gold Mix",
ISNUMBER(SEARCH("heat-tolerant blue",E239)),"Heat-Tolerant Blue Mix",
ISNUMBER(SEARCH("high traffic",E239)),"High Traffic Mix",
ISNUMBER(SEARCH("quick fix",E239)),"Quick Fix Mix",
ISNUMBER(SEARCH("starter",E239)),"Starter Fertilizer",
ISNUMBER(SEARCH("weed &amp; feed",E239)),"Weed &amp; Feed",
ISNUMBER(SEARCH("lawn food",E239)),"Lawn Food",
ISNUMBER(SEARCH("triple action",E239)),"Triple Action Fertilizer",
ISNUMBER(SEARCH("green max",E239)),"Green Max Lawn Food",
ISNUMBER(SEARCH("patchmaster",E239)),"PatchMaster Repair",
ISNUMBER(SEARCH("ez seed",E239)),"EZ Seed Repair",
ISNUMBER(SEARCH("rapid grass",E239)),"Rapid Grass",
ISNUMBER(SEARCH("thick'r lawn",E239)),"Thick'R Lawn",
ISNUMBER(SEARCH("fungicide",E239)),"Fungicide",
ISNUMBER(SEARCH("moss",E239)),"Moss Control",
ISNUMBER(SEARCH("perlite",E239)),"Perlite",
ISNUMBER(SEARCH("plant food",E239)),"Plant Food",
ISNUMBER(SEARCH("spreader",E239)),"Spreader",
ISNUMBER(SEARCH("sprayer",E239)),"Sprayer",
ISNUMBER(SEARCH("mower",E239)),"Lawn Mower",
ISNUMBER(SEARCH("sweeper",E239)),"Lawn Sweeper",
OR(ISNUMBER(SEARCH("pruner",E239)),ISNUMBER(SEARCH("trimmer",E239)),ISNUMBER(SEARCH("pole saw",E239))),"Pruning Tools",
TRUE,"Other"
)</f>
        <v>Centipede Grass</v>
      </c>
      <c r="J239" s="7" t="str">
        <f t="shared" si="54"/>
        <v>Crawling Insect Control - Centipede Grass</v>
      </c>
      <c r="K239" s="4">
        <v>100</v>
      </c>
      <c r="L239" s="4">
        <v>4.0999999999999996</v>
      </c>
      <c r="M239" s="4">
        <v>1539</v>
      </c>
      <c r="N239" s="4" t="s">
        <v>1115</v>
      </c>
      <c r="O239" s="4">
        <f>VLOOKUP(A239,[3]Sheet1!$A:$B,2,0)</f>
        <v>0</v>
      </c>
      <c r="P239" s="4">
        <f>VLOOKUP(A239,[3]Sheet1!$A:$C,3,0)</f>
        <v>0</v>
      </c>
      <c r="Q239" s="4">
        <f>VLOOKUP(A239,[3]Sheet1!$A:$D,4,0)</f>
        <v>500</v>
      </c>
      <c r="R239" s="4">
        <f>VLOOKUP(A239,[3]Sheet1!$A:$E,5,0)</f>
        <v>1000</v>
      </c>
      <c r="S239" s="4">
        <f>VLOOKUP(A239,[3]Sheet1!$A:$F,6,0)</f>
        <v>800</v>
      </c>
      <c r="T239" s="4">
        <f>VLOOKUP(A239,[3]Sheet1!$A:$G,7,0)</f>
        <v>800</v>
      </c>
      <c r="U239" s="4">
        <f>VLOOKUP(A239,[3]Sheet1!$A:$I,8,0)</f>
        <v>200</v>
      </c>
      <c r="V239" s="4">
        <f>VLOOKUP(A239,[3]Sheet1!$A:$J,9,0)</f>
        <v>100</v>
      </c>
      <c r="W239" s="4">
        <f>VLOOKUP(A239,[3]Sheet1!$A:$J,10,0)</f>
        <v>100</v>
      </c>
      <c r="X239" s="4">
        <f>VLOOKUP(A239,[3]Sheet1!$A:$K,11,0)</f>
        <v>0</v>
      </c>
      <c r="Y239" s="4">
        <f>VLOOKUP(A239,[3]Sheet1!$A:$L,12,0)</f>
        <v>0</v>
      </c>
      <c r="Z239" s="4">
        <f>VLOOKUP(A239,[3]Sheet1!$A:$M,13,0)</f>
        <v>0</v>
      </c>
      <c r="AA239" s="4">
        <f t="shared" si="64"/>
        <v>3500</v>
      </c>
      <c r="AB239" s="7">
        <f t="shared" si="55"/>
        <v>292</v>
      </c>
      <c r="AC239" s="15">
        <f t="shared" si="65"/>
        <v>291.66666666666669</v>
      </c>
      <c r="AD239" s="16">
        <f t="shared" si="66"/>
        <v>192815</v>
      </c>
      <c r="AE239" s="16">
        <f t="shared" si="67"/>
        <v>16067.916666666668</v>
      </c>
      <c r="AF239" s="16">
        <v>8.23</v>
      </c>
      <c r="AG239" s="16">
        <v>55.09</v>
      </c>
      <c r="AH239" s="8">
        <f t="shared" si="68"/>
        <v>0.85373333333333346</v>
      </c>
      <c r="AI239" s="8">
        <f t="shared" si="69"/>
        <v>2.9880666666666671</v>
      </c>
      <c r="AJ239" s="10">
        <v>0.5</v>
      </c>
      <c r="AK239" s="10">
        <v>0.5</v>
      </c>
      <c r="AL239" s="16">
        <v>8.23</v>
      </c>
      <c r="AM239" s="9">
        <f t="shared" si="56"/>
        <v>8.2635000000000005</v>
      </c>
      <c r="AN239" s="9">
        <f t="shared" si="57"/>
        <v>1.6527000000000001</v>
      </c>
      <c r="AO239" s="9">
        <f t="shared" si="58"/>
        <v>11.018000000000001</v>
      </c>
      <c r="AP239" s="9">
        <f t="shared" si="59"/>
        <v>1.1018000000000001</v>
      </c>
      <c r="AQ239" s="9">
        <f t="shared" si="60"/>
        <v>11.018000000000001</v>
      </c>
      <c r="AR239" s="9">
        <f t="shared" si="61"/>
        <v>13.772500000000001</v>
      </c>
      <c r="AS239" s="11">
        <f t="shared" si="62"/>
        <v>8.5373333333333346</v>
      </c>
      <c r="AT239" s="12">
        <f t="shared" si="63"/>
        <v>6.7010000000000005</v>
      </c>
    </row>
    <row r="240" spans="1:46" ht="16.5" x14ac:dyDescent="0.4">
      <c r="A240" s="4" t="s">
        <v>1116</v>
      </c>
      <c r="B240" s="4" t="s">
        <v>513</v>
      </c>
      <c r="C240" s="7" t="s">
        <v>1784</v>
      </c>
      <c r="D240" s="4" t="s">
        <v>1117</v>
      </c>
      <c r="E240" s="4" t="s">
        <v>947</v>
      </c>
      <c r="F240" s="4" t="s">
        <v>1118</v>
      </c>
      <c r="G240" s="7" t="str">
        <f>VLOOKUP(A240,[1]done!$A:$I,9,0)</f>
        <v>Lawn Fertilizer</v>
      </c>
      <c r="H240" s="7" t="str" cm="1">
        <f t="array" ref="H240">_xlfn.IFS(
OR(ISNUMBER(SEARCH("mouse",E240)),ISNUMBER(SEARCH("rat",E240)),ISNUMBER(SEARCH("mice",E240)),ISNUMBER(SEARCH("rodent",E240))),"Rodent Control",
OR(ISNUMBER(SEARCH("fly",E240)),ISNUMBER(SEARCH("gnat",E240)),ISNUMBER(SEARCH("insect",E240)),ISNUMBER(SEARCH("mosquito",E240))),"Flying Insect Control",
OR(ISNUMBER(SEARCH("roach",E240)),ISNUMBER(SEARCH("ant",E240)),ISNUMBER(SEARCH("spider",E240)),ISNUMBER(SEARCH("cricket",E240)),ISNUMBER(SEARCH("scorpion",E240)),ISNUMBER(SEARCH("centipede",E240)),ISNUMBER(SEARCH("beetle",E240))),"Crawling Insect Control",
OR(ISNUMBER(SEARCH("tree",E240)),ISNUMBER(SEARCH("lantern",E240)),ISNUMBER(SEARCH("garden",E240)),ISNUMBER(SEARCH("plant",E240))),"Garden Pest Control",
OR(ISNUMBER(SEARCH("grass seed",E240)),ISNUMBER(SEARCH("seed mix",E240))),"Grass Seed",
OR(ISNUMBER(SEARCH("lawn food",E240)),ISNUMBER(SEARCH("fertilizer",E240))),"Lawn Fertilizer",
OR(ISNUMBER(SEARCH("patch",E240)),ISNUMBER(SEARCH("repair",E240)),ISNUMBER(SEARCH("thick'r",E240)),ISNUMBER(SEARCH("thick'r lawn",E240)),ISNUMBER(SEARCH("rapid grass",E240))),"Lawn Repair",
OR(ISNUMBER(SEARCH("weed",E240)),ISNUMBER(SEARCH("crabgrass",E240))),"Weed Control",
OR(ISNUMBER(SEARCH("fungicide",E240)),ISNUMBER(SEARCH("moss",E240))),"Disease &amp; Moss Control",
OR(ISNUMBER(SEARCH("plant food",E240)),ISNUMBER(SEARCH("miracid",E240))),"Plant Nutrition",
OR(ISNUMBER(SEARCH("perlite",E240))),"Soil Amendment",
OR(ISNUMBER(SEARCH("spreader",E240)),ISNUMBER(SEARCH("sprayer",E240)),ISNUMBER(SEARCH("mower",E240)),ISNUMBER(SEARCH("sweeper",E240)),ISNUMBER(SEARCH("pruner",E240)),ISNUMBER(SEARCH("trimmer",E240)),ISNUMBER(SEARCH("pole saw",E240))),"Garden Equipment",
TRUE,"Other"
)</f>
        <v>Lawn Fertilizer</v>
      </c>
      <c r="I240" s="7" t="str" cm="1">
        <f t="array" ref="I240">_xlfn.IFS(
OR(ISNUMBER(SEARCH("glue trap",E240)),ISNUMBER(SEARCH("glue board",E240))),"Glue Traps",
OR(ISNUMBER(SEARCH("snap trap",E240)),ISNUMBER(SEARCH("power-kill",E240)),ISNUMBER(SEARCH("wide pedal",E240)),ISNUMBER(SEARCH("metal pedal",E240))),"Snap Traps",
OR(ISNUMBER(SEARCH("electronic",E240)),ISNUMBER(SEARCH("zapper",E240))),"Electronic Traps",
OR(ISNUMBER(SEARCH("live catch",E240)),ISNUMBER(SEARCH("multi-catch",E240)),ISNUMBER(SEARCH("catch &amp; hold",E240)),ISNUMBER(SEARCH("tin cat",E240))),"Live Catch Traps",
OR(ISNUMBER(SEARCH("bait",E240)),ISNUMBER(SEARCH("poison",E240))),"Bait &amp; Poison",
ISNUMBER(SEARCH("repellent",E240)),"Repellents",
OR(ISNUMBER(SEARCH("fly trap",E240)),ISNUMBER(SEARCH("fly ribbon",E240)),ISNUMBER(SEARCH("fly stick",E240)),ISNUMBER(SEARCH("window fly",E240)),ISNUMBER(SEARCH("fly magnet",E240))),"Fly Traps",
OR(ISNUMBER(SEARCH("uv",E240)),ISNUMBER(SEARCH("fly light",E240)),ISNUMBER(SEARCH("plug-in",E240))),"UV Fly Traps",
ISNUMBER(SEARCH("roach",E240)),"Roach Traps",
ISNUMBER(SEARCH("ant",E240)),"Ant Traps",
ISNUMBER(SEARCH("spider",E240)),"Spider Traps",
ISNUMBER(SEARCH("mosquito",E240)),"Mosquito Traps",
ISNUMBER(SEARCH("beetle",E240)),"Beetle Traps",
ISNUMBER(SEARCH("lantern",E240)),"Lanternfly Control",
OR(ISNUMBER(SEARCH("tree shield",E240)),ISNUMBER(SEARCH("tree banding",E240)),ISNUMBER(SEARCH("insect barrier",E240))),"Tree Barriers",
OR(ISNUMBER(SEARCH("sun &amp; shade",E240)),ISNUMBER(SEARCH("sun and shade",E240))),"Sun &amp; Shade Mix",
ISNUMBER(SEARCH("tall fescue",E240)),"Tall Fescue",
ISNUMBER(SEARCH("bermudagrass",E240)),"Bermudagrass",
ISNUMBER(SEARCH("kentucky",E240)),"Kentucky Bluegrass",
ISNUMBER(SEARCH("zoysia",E240)),"Zoysia",
ISNUMBER(SEARCH("ryegrass",E240)),"Perennial Ryegrass",
ISNUMBER(SEARCH("centipede",E240)),"Centipede Grass",
ISNUMBER(SEARCH("dense shade",E240)),"Dense Shade Mix",
ISNUMBER(SEARCH("southern gold",E240)),"Southern Gold Mix",
ISNUMBER(SEARCH("heat-tolerant blue",E240)),"Heat-Tolerant Blue Mix",
ISNUMBER(SEARCH("high traffic",E240)),"High Traffic Mix",
ISNUMBER(SEARCH("quick fix",E240)),"Quick Fix Mix",
ISNUMBER(SEARCH("starter",E240)),"Starter Fertilizer",
ISNUMBER(SEARCH("weed &amp; feed",E240)),"Weed &amp; Feed",
ISNUMBER(SEARCH("lawn food",E240)),"Lawn Food",
ISNUMBER(SEARCH("triple action",E240)),"Triple Action Fertilizer",
ISNUMBER(SEARCH("green max",E240)),"Green Max Lawn Food",
ISNUMBER(SEARCH("patchmaster",E240)),"PatchMaster Repair",
ISNUMBER(SEARCH("ez seed",E240)),"EZ Seed Repair",
ISNUMBER(SEARCH("rapid grass",E240)),"Rapid Grass",
ISNUMBER(SEARCH("thick'r lawn",E240)),"Thick'R Lawn",
ISNUMBER(SEARCH("fungicide",E240)),"Fungicide",
ISNUMBER(SEARCH("moss",E240)),"Moss Control",
ISNUMBER(SEARCH("perlite",E240)),"Perlite",
ISNUMBER(SEARCH("plant food",E240)),"Plant Food",
ISNUMBER(SEARCH("spreader",E240)),"Spreader",
ISNUMBER(SEARCH("sprayer",E240)),"Sprayer",
ISNUMBER(SEARCH("mower",E240)),"Lawn Mower",
ISNUMBER(SEARCH("sweeper",E240)),"Lawn Sweeper",
OR(ISNUMBER(SEARCH("pruner",E240)),ISNUMBER(SEARCH("trimmer",E240)),ISNUMBER(SEARCH("pole saw",E240))),"Pruning Tools",
TRUE,"Other"
)</f>
        <v>Starter Fertilizer</v>
      </c>
      <c r="J240" s="7" t="str">
        <f t="shared" si="54"/>
        <v>Lawn Fertilizer - Starter Fertilizer</v>
      </c>
      <c r="K240" s="4">
        <v>100</v>
      </c>
      <c r="L240" s="4">
        <v>4.2</v>
      </c>
      <c r="M240" s="4">
        <v>41</v>
      </c>
      <c r="N240" s="4" t="s">
        <v>771</v>
      </c>
      <c r="O240" s="4">
        <f>VLOOKUP(A240,[3]Sheet1!$A:$B,2,0)</f>
        <v>0</v>
      </c>
      <c r="P240" s="4">
        <f>VLOOKUP(A240,[3]Sheet1!$A:$C,3,0)</f>
        <v>0</v>
      </c>
      <c r="Q240" s="4">
        <f>VLOOKUP(A240,[3]Sheet1!$A:$D,4,0)</f>
        <v>0</v>
      </c>
      <c r="R240" s="4">
        <f>VLOOKUP(A240,[3]Sheet1!$A:$E,5,0)</f>
        <v>0</v>
      </c>
      <c r="S240" s="4">
        <f>VLOOKUP(A240,[3]Sheet1!$A:$F,6,0)</f>
        <v>100</v>
      </c>
      <c r="T240" s="4">
        <f>VLOOKUP(A240,[3]Sheet1!$A:$G,7,0)</f>
        <v>100</v>
      </c>
      <c r="U240" s="4">
        <f>VLOOKUP(A240,[3]Sheet1!$A:$I,8,0)</f>
        <v>50</v>
      </c>
      <c r="V240" s="4">
        <f>VLOOKUP(A240,[3]Sheet1!$A:$J,9,0)</f>
        <v>50</v>
      </c>
      <c r="W240" s="4">
        <f>VLOOKUP(A240,[3]Sheet1!$A:$J,10,0)</f>
        <v>100</v>
      </c>
      <c r="X240" s="4">
        <f>VLOOKUP(A240,[3]Sheet1!$A:$K,11,0)</f>
        <v>0</v>
      </c>
      <c r="Y240" s="4">
        <f>VLOOKUP(A240,[3]Sheet1!$A:$L,12,0)</f>
        <v>0</v>
      </c>
      <c r="Z240" s="4">
        <f>VLOOKUP(A240,[3]Sheet1!$A:$M,13,0)</f>
        <v>0</v>
      </c>
      <c r="AA240" s="4">
        <f t="shared" si="64"/>
        <v>400</v>
      </c>
      <c r="AB240" s="7">
        <f t="shared" si="55"/>
        <v>33</v>
      </c>
      <c r="AC240" s="15">
        <f t="shared" si="65"/>
        <v>33.333333333333336</v>
      </c>
      <c r="AD240" s="16">
        <f t="shared" si="66"/>
        <v>5996</v>
      </c>
      <c r="AE240" s="16">
        <f t="shared" si="67"/>
        <v>499.66666666666669</v>
      </c>
      <c r="AF240" s="16">
        <v>6.9</v>
      </c>
      <c r="AG240" s="16">
        <v>14.99</v>
      </c>
      <c r="AH240" s="8">
        <f t="shared" si="68"/>
        <v>-0.1269333333333334</v>
      </c>
      <c r="AI240" s="8">
        <f t="shared" si="69"/>
        <v>-0.44426666666666681</v>
      </c>
      <c r="AJ240" s="10">
        <v>0.5</v>
      </c>
      <c r="AK240" s="10">
        <v>0.5</v>
      </c>
      <c r="AL240" s="16">
        <v>6.9</v>
      </c>
      <c r="AM240" s="9">
        <f t="shared" si="56"/>
        <v>2.2484999999999999</v>
      </c>
      <c r="AN240" s="9">
        <f t="shared" si="57"/>
        <v>0.44969999999999999</v>
      </c>
      <c r="AO240" s="9">
        <f t="shared" si="58"/>
        <v>2.9980000000000002</v>
      </c>
      <c r="AP240" s="9">
        <f t="shared" si="59"/>
        <v>0.29980000000000001</v>
      </c>
      <c r="AQ240" s="9">
        <f t="shared" si="60"/>
        <v>2.9980000000000002</v>
      </c>
      <c r="AR240" s="9">
        <f t="shared" si="61"/>
        <v>3.7475000000000001</v>
      </c>
      <c r="AS240" s="11">
        <f t="shared" si="62"/>
        <v>-1.2693333333333339</v>
      </c>
      <c r="AT240" s="12">
        <f t="shared" si="63"/>
        <v>-1.7690000000000003</v>
      </c>
    </row>
    <row r="241" spans="1:46" ht="16.5" x14ac:dyDescent="0.4">
      <c r="A241" s="4" t="s">
        <v>1119</v>
      </c>
      <c r="B241" s="4" t="s">
        <v>513</v>
      </c>
      <c r="C241" s="7" t="s">
        <v>1784</v>
      </c>
      <c r="D241" s="4" t="s">
        <v>1120</v>
      </c>
      <c r="E241" s="4" t="s">
        <v>1121</v>
      </c>
      <c r="F241" s="4" t="s">
        <v>1122</v>
      </c>
      <c r="G241" s="7" t="str">
        <f>VLOOKUP(A241,[1]done!$A:$I,9,0)</f>
        <v>Lawn Fertilizer</v>
      </c>
      <c r="H241" s="7" t="str" cm="1">
        <f t="array" ref="H241">_xlfn.IFS(
OR(ISNUMBER(SEARCH("mouse",E241)),ISNUMBER(SEARCH("rat",E241)),ISNUMBER(SEARCH("mice",E241)),ISNUMBER(SEARCH("rodent",E241))),"Rodent Control",
OR(ISNUMBER(SEARCH("fly",E241)),ISNUMBER(SEARCH("gnat",E241)),ISNUMBER(SEARCH("insect",E241)),ISNUMBER(SEARCH("mosquito",E241))),"Flying Insect Control",
OR(ISNUMBER(SEARCH("roach",E241)),ISNUMBER(SEARCH("ant",E241)),ISNUMBER(SEARCH("spider",E241)),ISNUMBER(SEARCH("cricket",E241)),ISNUMBER(SEARCH("scorpion",E241)),ISNUMBER(SEARCH("centipede",E241)),ISNUMBER(SEARCH("beetle",E241))),"Crawling Insect Control",
OR(ISNUMBER(SEARCH("tree",E241)),ISNUMBER(SEARCH("lantern",E241)),ISNUMBER(SEARCH("garden",E241)),ISNUMBER(SEARCH("plant",E241))),"Garden Pest Control",
OR(ISNUMBER(SEARCH("grass seed",E241)),ISNUMBER(SEARCH("seed mix",E241))),"Grass Seed",
OR(ISNUMBER(SEARCH("lawn food",E241)),ISNUMBER(SEARCH("fertilizer",E241))),"Lawn Fertilizer",
OR(ISNUMBER(SEARCH("patch",E241)),ISNUMBER(SEARCH("repair",E241)),ISNUMBER(SEARCH("thick'r",E241)),ISNUMBER(SEARCH("thick'r lawn",E241)),ISNUMBER(SEARCH("rapid grass",E241))),"Lawn Repair",
OR(ISNUMBER(SEARCH("weed",E241)),ISNUMBER(SEARCH("crabgrass",E241))),"Weed Control",
OR(ISNUMBER(SEARCH("fungicide",E241)),ISNUMBER(SEARCH("moss",E241))),"Disease &amp; Moss Control",
OR(ISNUMBER(SEARCH("plant food",E241)),ISNUMBER(SEARCH("miracid",E241))),"Plant Nutrition",
OR(ISNUMBER(SEARCH("perlite",E241))),"Soil Amendment",
OR(ISNUMBER(SEARCH("spreader",E241)),ISNUMBER(SEARCH("sprayer",E241)),ISNUMBER(SEARCH("mower",E241)),ISNUMBER(SEARCH("sweeper",E241)),ISNUMBER(SEARCH("pruner",E241)),ISNUMBER(SEARCH("trimmer",E241)),ISNUMBER(SEARCH("pole saw",E241))),"Garden Equipment",
TRUE,"Other"
)</f>
        <v>Lawn Fertilizer</v>
      </c>
      <c r="I241" s="7" t="str" cm="1">
        <f t="array" ref="I241">_xlfn.IFS(
OR(ISNUMBER(SEARCH("glue trap",E241)),ISNUMBER(SEARCH("glue board",E241))),"Glue Traps",
OR(ISNUMBER(SEARCH("snap trap",E241)),ISNUMBER(SEARCH("power-kill",E241)),ISNUMBER(SEARCH("wide pedal",E241)),ISNUMBER(SEARCH("metal pedal",E241))),"Snap Traps",
OR(ISNUMBER(SEARCH("electronic",E241)),ISNUMBER(SEARCH("zapper",E241))),"Electronic Traps",
OR(ISNUMBER(SEARCH("live catch",E241)),ISNUMBER(SEARCH("multi-catch",E241)),ISNUMBER(SEARCH("catch &amp; hold",E241)),ISNUMBER(SEARCH("tin cat",E241))),"Live Catch Traps",
OR(ISNUMBER(SEARCH("bait",E241)),ISNUMBER(SEARCH("poison",E241))),"Bait &amp; Poison",
ISNUMBER(SEARCH("repellent",E241)),"Repellents",
OR(ISNUMBER(SEARCH("fly trap",E241)),ISNUMBER(SEARCH("fly ribbon",E241)),ISNUMBER(SEARCH("fly stick",E241)),ISNUMBER(SEARCH("window fly",E241)),ISNUMBER(SEARCH("fly magnet",E241))),"Fly Traps",
OR(ISNUMBER(SEARCH("uv",E241)),ISNUMBER(SEARCH("fly light",E241)),ISNUMBER(SEARCH("plug-in",E241))),"UV Fly Traps",
ISNUMBER(SEARCH("roach",E241)),"Roach Traps",
ISNUMBER(SEARCH("ant",E241)),"Ant Traps",
ISNUMBER(SEARCH("spider",E241)),"Spider Traps",
ISNUMBER(SEARCH("mosquito",E241)),"Mosquito Traps",
ISNUMBER(SEARCH("beetle",E241)),"Beetle Traps",
ISNUMBER(SEARCH("lantern",E241)),"Lanternfly Control",
OR(ISNUMBER(SEARCH("tree shield",E241)),ISNUMBER(SEARCH("tree banding",E241)),ISNUMBER(SEARCH("insect barrier",E241))),"Tree Barriers",
OR(ISNUMBER(SEARCH("sun &amp; shade",E241)),ISNUMBER(SEARCH("sun and shade",E241))),"Sun &amp; Shade Mix",
ISNUMBER(SEARCH("tall fescue",E241)),"Tall Fescue",
ISNUMBER(SEARCH("bermudagrass",E241)),"Bermudagrass",
ISNUMBER(SEARCH("kentucky",E241)),"Kentucky Bluegrass",
ISNUMBER(SEARCH("zoysia",E241)),"Zoysia",
ISNUMBER(SEARCH("ryegrass",E241)),"Perennial Ryegrass",
ISNUMBER(SEARCH("centipede",E241)),"Centipede Grass",
ISNUMBER(SEARCH("dense shade",E241)),"Dense Shade Mix",
ISNUMBER(SEARCH("southern gold",E241)),"Southern Gold Mix",
ISNUMBER(SEARCH("heat-tolerant blue",E241)),"Heat-Tolerant Blue Mix",
ISNUMBER(SEARCH("high traffic",E241)),"High Traffic Mix",
ISNUMBER(SEARCH("quick fix",E241)),"Quick Fix Mix",
ISNUMBER(SEARCH("starter",E241)),"Starter Fertilizer",
ISNUMBER(SEARCH("weed &amp; feed",E241)),"Weed &amp; Feed",
ISNUMBER(SEARCH("lawn food",E241)),"Lawn Food",
ISNUMBER(SEARCH("triple action",E241)),"Triple Action Fertilizer",
ISNUMBER(SEARCH("green max",E241)),"Green Max Lawn Food",
ISNUMBER(SEARCH("patchmaster",E241)),"PatchMaster Repair",
ISNUMBER(SEARCH("ez seed",E241)),"EZ Seed Repair",
ISNUMBER(SEARCH("rapid grass",E241)),"Rapid Grass",
ISNUMBER(SEARCH("thick'r lawn",E241)),"Thick'R Lawn",
ISNUMBER(SEARCH("fungicide",E241)),"Fungicide",
ISNUMBER(SEARCH("moss",E241)),"Moss Control",
ISNUMBER(SEARCH("perlite",E241)),"Perlite",
ISNUMBER(SEARCH("plant food",E241)),"Plant Food",
ISNUMBER(SEARCH("spreader",E241)),"Spreader",
ISNUMBER(SEARCH("sprayer",E241)),"Sprayer",
ISNUMBER(SEARCH("mower",E241)),"Lawn Mower",
ISNUMBER(SEARCH("sweeper",E241)),"Lawn Sweeper",
OR(ISNUMBER(SEARCH("pruner",E241)),ISNUMBER(SEARCH("trimmer",E241)),ISNUMBER(SEARCH("pole saw",E241))),"Pruning Tools",
TRUE,"Other"
)</f>
        <v>Lawn Food</v>
      </c>
      <c r="J241" s="7" t="str">
        <f t="shared" si="54"/>
        <v>Lawn Fertilizer - Lawn Food</v>
      </c>
      <c r="K241" s="4">
        <v>100</v>
      </c>
      <c r="L241" s="4">
        <v>4</v>
      </c>
      <c r="M241" s="4">
        <v>184</v>
      </c>
      <c r="N241" s="4" t="s">
        <v>526</v>
      </c>
      <c r="O241" s="4">
        <f>VLOOKUP(A241,[3]Sheet1!$A:$B,2,0)</f>
        <v>0</v>
      </c>
      <c r="P241" s="4">
        <f>VLOOKUP(A241,[3]Sheet1!$A:$C,3,0)</f>
        <v>0</v>
      </c>
      <c r="Q241" s="4">
        <f>VLOOKUP(A241,[3]Sheet1!$A:$D,4,0)</f>
        <v>0</v>
      </c>
      <c r="R241" s="4">
        <f>VLOOKUP(A241,[3]Sheet1!$A:$E,5,0)</f>
        <v>50</v>
      </c>
      <c r="S241" s="4">
        <f>VLOOKUP(A241,[3]Sheet1!$A:$F,6,0)</f>
        <v>1000</v>
      </c>
      <c r="T241" s="4">
        <f>VLOOKUP(A241,[3]Sheet1!$A:$G,7,0)</f>
        <v>1000</v>
      </c>
      <c r="U241" s="4">
        <f>VLOOKUP(A241,[3]Sheet1!$A:$I,8,0)</f>
        <v>700</v>
      </c>
      <c r="V241" s="4">
        <f>VLOOKUP(A241,[3]Sheet1!$A:$J,9,0)</f>
        <v>600</v>
      </c>
      <c r="W241" s="4">
        <f>VLOOKUP(A241,[3]Sheet1!$A:$J,10,0)</f>
        <v>100</v>
      </c>
      <c r="X241" s="4">
        <f>VLOOKUP(A241,[3]Sheet1!$A:$K,11,0)</f>
        <v>0</v>
      </c>
      <c r="Y241" s="4">
        <f>VLOOKUP(A241,[3]Sheet1!$A:$L,12,0)</f>
        <v>0</v>
      </c>
      <c r="Z241" s="4">
        <f>VLOOKUP(A241,[3]Sheet1!$A:$M,13,0)</f>
        <v>0</v>
      </c>
      <c r="AA241" s="4">
        <f t="shared" si="64"/>
        <v>3450</v>
      </c>
      <c r="AB241" s="7">
        <f t="shared" si="55"/>
        <v>288</v>
      </c>
      <c r="AC241" s="15">
        <f t="shared" si="65"/>
        <v>287.5</v>
      </c>
      <c r="AD241" s="16">
        <f t="shared" si="66"/>
        <v>109848</v>
      </c>
      <c r="AE241" s="16">
        <f t="shared" si="67"/>
        <v>9154</v>
      </c>
      <c r="AF241" s="16">
        <v>11.52</v>
      </c>
      <c r="AG241" s="16">
        <v>31.84</v>
      </c>
      <c r="AH241" s="8">
        <f t="shared" si="68"/>
        <v>1.4399999999999955E-2</v>
      </c>
      <c r="AI241" s="8">
        <f t="shared" si="69"/>
        <v>5.0399999999999841E-2</v>
      </c>
      <c r="AJ241" s="10">
        <v>0.5</v>
      </c>
      <c r="AK241" s="10">
        <v>0.5</v>
      </c>
      <c r="AL241" s="16">
        <v>11.52</v>
      </c>
      <c r="AM241" s="9">
        <f t="shared" si="56"/>
        <v>4.7759999999999998</v>
      </c>
      <c r="AN241" s="9">
        <f t="shared" si="57"/>
        <v>0.95519999999999994</v>
      </c>
      <c r="AO241" s="9">
        <f t="shared" si="58"/>
        <v>6.3680000000000003</v>
      </c>
      <c r="AP241" s="9">
        <f t="shared" si="59"/>
        <v>0.63680000000000003</v>
      </c>
      <c r="AQ241" s="9">
        <f t="shared" si="60"/>
        <v>6.3680000000000003</v>
      </c>
      <c r="AR241" s="9">
        <f t="shared" si="61"/>
        <v>7.96</v>
      </c>
      <c r="AS241" s="11">
        <f t="shared" si="62"/>
        <v>0.14399999999999955</v>
      </c>
      <c r="AT241" s="12">
        <f t="shared" si="63"/>
        <v>-0.91733333333333356</v>
      </c>
    </row>
    <row r="242" spans="1:46" ht="16.5" x14ac:dyDescent="0.4">
      <c r="A242" s="4" t="s">
        <v>1123</v>
      </c>
      <c r="B242" s="4" t="s">
        <v>513</v>
      </c>
      <c r="C242" s="7" t="s">
        <v>1784</v>
      </c>
      <c r="D242" s="4" t="s">
        <v>1124</v>
      </c>
      <c r="E242" s="4" t="s">
        <v>782</v>
      </c>
      <c r="F242" s="4" t="s">
        <v>1125</v>
      </c>
      <c r="G242" s="7" t="str">
        <f>VLOOKUP(A242,[1]done!$A:$I,9,0)</f>
        <v>Lawn Fertilizer</v>
      </c>
      <c r="H242" s="7" t="str" cm="1">
        <f t="array" ref="H242">_xlfn.IFS(
OR(ISNUMBER(SEARCH("mouse",E242)),ISNUMBER(SEARCH("rat",E242)),ISNUMBER(SEARCH("mice",E242)),ISNUMBER(SEARCH("rodent",E242))),"Rodent Control",
OR(ISNUMBER(SEARCH("fly",E242)),ISNUMBER(SEARCH("gnat",E242)),ISNUMBER(SEARCH("insect",E242)),ISNUMBER(SEARCH("mosquito",E242))),"Flying Insect Control",
OR(ISNUMBER(SEARCH("roach",E242)),ISNUMBER(SEARCH("ant",E242)),ISNUMBER(SEARCH("spider",E242)),ISNUMBER(SEARCH("cricket",E242)),ISNUMBER(SEARCH("scorpion",E242)),ISNUMBER(SEARCH("centipede",E242)),ISNUMBER(SEARCH("beetle",E242))),"Crawling Insect Control",
OR(ISNUMBER(SEARCH("tree",E242)),ISNUMBER(SEARCH("lantern",E242)),ISNUMBER(SEARCH("garden",E242)),ISNUMBER(SEARCH("plant",E242))),"Garden Pest Control",
OR(ISNUMBER(SEARCH("grass seed",E242)),ISNUMBER(SEARCH("seed mix",E242))),"Grass Seed",
OR(ISNUMBER(SEARCH("lawn food",E242)),ISNUMBER(SEARCH("fertilizer",E242))),"Lawn Fertilizer",
OR(ISNUMBER(SEARCH("patch",E242)),ISNUMBER(SEARCH("repair",E242)),ISNUMBER(SEARCH("thick'r",E242)),ISNUMBER(SEARCH("thick'r lawn",E242)),ISNUMBER(SEARCH("rapid grass",E242))),"Lawn Repair",
OR(ISNUMBER(SEARCH("weed",E242)),ISNUMBER(SEARCH("crabgrass",E242))),"Weed Control",
OR(ISNUMBER(SEARCH("fungicide",E242)),ISNUMBER(SEARCH("moss",E242))),"Disease &amp; Moss Control",
OR(ISNUMBER(SEARCH("plant food",E242)),ISNUMBER(SEARCH("miracid",E242))),"Plant Nutrition",
OR(ISNUMBER(SEARCH("perlite",E242))),"Soil Amendment",
OR(ISNUMBER(SEARCH("spreader",E242)),ISNUMBER(SEARCH("sprayer",E242)),ISNUMBER(SEARCH("mower",E242)),ISNUMBER(SEARCH("sweeper",E242)),ISNUMBER(SEARCH("pruner",E242)),ISNUMBER(SEARCH("trimmer",E242)),ISNUMBER(SEARCH("pole saw",E242))),"Garden Equipment",
TRUE,"Other"
)</f>
        <v>Lawn Fertilizer</v>
      </c>
      <c r="I242" s="7" t="str" cm="1">
        <f t="array" ref="I242">_xlfn.IFS(
OR(ISNUMBER(SEARCH("glue trap",E242)),ISNUMBER(SEARCH("glue board",E242))),"Glue Traps",
OR(ISNUMBER(SEARCH("snap trap",E242)),ISNUMBER(SEARCH("power-kill",E242)),ISNUMBER(SEARCH("wide pedal",E242)),ISNUMBER(SEARCH("metal pedal",E242))),"Snap Traps",
OR(ISNUMBER(SEARCH("electronic",E242)),ISNUMBER(SEARCH("zapper",E242))),"Electronic Traps",
OR(ISNUMBER(SEARCH("live catch",E242)),ISNUMBER(SEARCH("multi-catch",E242)),ISNUMBER(SEARCH("catch &amp; hold",E242)),ISNUMBER(SEARCH("tin cat",E242))),"Live Catch Traps",
OR(ISNUMBER(SEARCH("bait",E242)),ISNUMBER(SEARCH("poison",E242))),"Bait &amp; Poison",
ISNUMBER(SEARCH("repellent",E242)),"Repellents",
OR(ISNUMBER(SEARCH("fly trap",E242)),ISNUMBER(SEARCH("fly ribbon",E242)),ISNUMBER(SEARCH("fly stick",E242)),ISNUMBER(SEARCH("window fly",E242)),ISNUMBER(SEARCH("fly magnet",E242))),"Fly Traps",
OR(ISNUMBER(SEARCH("uv",E242)),ISNUMBER(SEARCH("fly light",E242)),ISNUMBER(SEARCH("plug-in",E242))),"UV Fly Traps",
ISNUMBER(SEARCH("roach",E242)),"Roach Traps",
ISNUMBER(SEARCH("ant",E242)),"Ant Traps",
ISNUMBER(SEARCH("spider",E242)),"Spider Traps",
ISNUMBER(SEARCH("mosquito",E242)),"Mosquito Traps",
ISNUMBER(SEARCH("beetle",E242)),"Beetle Traps",
ISNUMBER(SEARCH("lantern",E242)),"Lanternfly Control",
OR(ISNUMBER(SEARCH("tree shield",E242)),ISNUMBER(SEARCH("tree banding",E242)),ISNUMBER(SEARCH("insect barrier",E242))),"Tree Barriers",
OR(ISNUMBER(SEARCH("sun &amp; shade",E242)),ISNUMBER(SEARCH("sun and shade",E242))),"Sun &amp; Shade Mix",
ISNUMBER(SEARCH("tall fescue",E242)),"Tall Fescue",
ISNUMBER(SEARCH("bermudagrass",E242)),"Bermudagrass",
ISNUMBER(SEARCH("kentucky",E242)),"Kentucky Bluegrass",
ISNUMBER(SEARCH("zoysia",E242)),"Zoysia",
ISNUMBER(SEARCH("ryegrass",E242)),"Perennial Ryegrass",
ISNUMBER(SEARCH("centipede",E242)),"Centipede Grass",
ISNUMBER(SEARCH("dense shade",E242)),"Dense Shade Mix",
ISNUMBER(SEARCH("southern gold",E242)),"Southern Gold Mix",
ISNUMBER(SEARCH("heat-tolerant blue",E242)),"Heat-Tolerant Blue Mix",
ISNUMBER(SEARCH("high traffic",E242)),"High Traffic Mix",
ISNUMBER(SEARCH("quick fix",E242)),"Quick Fix Mix",
ISNUMBER(SEARCH("starter",E242)),"Starter Fertilizer",
ISNUMBER(SEARCH("weed &amp; feed",E242)),"Weed &amp; Feed",
ISNUMBER(SEARCH("lawn food",E242)),"Lawn Food",
ISNUMBER(SEARCH("triple action",E242)),"Triple Action Fertilizer",
ISNUMBER(SEARCH("green max",E242)),"Green Max Lawn Food",
ISNUMBER(SEARCH("patchmaster",E242)),"PatchMaster Repair",
ISNUMBER(SEARCH("ez seed",E242)),"EZ Seed Repair",
ISNUMBER(SEARCH("rapid grass",E242)),"Rapid Grass",
ISNUMBER(SEARCH("thick'r lawn",E242)),"Thick'R Lawn",
ISNUMBER(SEARCH("fungicide",E242)),"Fungicide",
ISNUMBER(SEARCH("moss",E242)),"Moss Control",
ISNUMBER(SEARCH("perlite",E242)),"Perlite",
ISNUMBER(SEARCH("plant food",E242)),"Plant Food",
ISNUMBER(SEARCH("spreader",E242)),"Spreader",
ISNUMBER(SEARCH("sprayer",E242)),"Sprayer",
ISNUMBER(SEARCH("mower",E242)),"Lawn Mower",
ISNUMBER(SEARCH("sweeper",E242)),"Lawn Sweeper",
OR(ISNUMBER(SEARCH("pruner",E242)),ISNUMBER(SEARCH("trimmer",E242)),ISNUMBER(SEARCH("pole saw",E242))),"Pruning Tools",
TRUE,"Other"
)</f>
        <v>Lawn Food</v>
      </c>
      <c r="J242" s="7" t="str">
        <f t="shared" si="54"/>
        <v>Lawn Fertilizer - Lawn Food</v>
      </c>
      <c r="K242" s="4">
        <v>100</v>
      </c>
      <c r="L242" s="4">
        <v>4.4000000000000004</v>
      </c>
      <c r="M242" s="4">
        <v>50</v>
      </c>
      <c r="N242" s="4" t="s">
        <v>771</v>
      </c>
      <c r="O242" s="4">
        <f>VLOOKUP(A242,[3]Sheet1!$A:$B,2,0)</f>
        <v>0</v>
      </c>
      <c r="P242" s="4">
        <f>VLOOKUP(A242,[3]Sheet1!$A:$C,3,0)</f>
        <v>0</v>
      </c>
      <c r="Q242" s="4">
        <f>VLOOKUP(A242,[3]Sheet1!$A:$D,4,0)</f>
        <v>0</v>
      </c>
      <c r="R242" s="4">
        <f>VLOOKUP(A242,[3]Sheet1!$A:$E,5,0)</f>
        <v>0</v>
      </c>
      <c r="S242" s="4">
        <f>VLOOKUP(A242,[3]Sheet1!$A:$F,6,0)</f>
        <v>100</v>
      </c>
      <c r="T242" s="4">
        <f>VLOOKUP(A242,[3]Sheet1!$A:$G,7,0)</f>
        <v>50</v>
      </c>
      <c r="U242" s="4">
        <f>VLOOKUP(A242,[3]Sheet1!$A:$I,8,0)</f>
        <v>100</v>
      </c>
      <c r="V242" s="4">
        <f>VLOOKUP(A242,[3]Sheet1!$A:$J,9,0)</f>
        <v>100</v>
      </c>
      <c r="W242" s="4">
        <f>VLOOKUP(A242,[3]Sheet1!$A:$J,10,0)</f>
        <v>50</v>
      </c>
      <c r="X242" s="4">
        <f>VLOOKUP(A242,[3]Sheet1!$A:$K,11,0)</f>
        <v>0</v>
      </c>
      <c r="Y242" s="4">
        <f>VLOOKUP(A242,[3]Sheet1!$A:$L,12,0)</f>
        <v>0</v>
      </c>
      <c r="Z242" s="4">
        <f>VLOOKUP(A242,[3]Sheet1!$A:$M,13,0)</f>
        <v>0</v>
      </c>
      <c r="AA242" s="4">
        <f t="shared" si="64"/>
        <v>400</v>
      </c>
      <c r="AB242" s="7">
        <f t="shared" si="55"/>
        <v>33</v>
      </c>
      <c r="AC242" s="15">
        <f t="shared" si="65"/>
        <v>33.333333333333336</v>
      </c>
      <c r="AD242" s="16">
        <f t="shared" si="66"/>
        <v>5040</v>
      </c>
      <c r="AE242" s="16">
        <f t="shared" si="67"/>
        <v>420</v>
      </c>
      <c r="AF242" s="16">
        <v>6.9</v>
      </c>
      <c r="AG242" s="16">
        <v>12.6</v>
      </c>
      <c r="AH242" s="8">
        <f t="shared" si="68"/>
        <v>-0.19066666666666673</v>
      </c>
      <c r="AI242" s="8">
        <f t="shared" si="69"/>
        <v>-0.66733333333333344</v>
      </c>
      <c r="AJ242" s="10">
        <v>0.5</v>
      </c>
      <c r="AK242" s="10">
        <v>0.5</v>
      </c>
      <c r="AL242" s="16">
        <v>6.9</v>
      </c>
      <c r="AM242" s="9">
        <f t="shared" si="56"/>
        <v>1.89</v>
      </c>
      <c r="AN242" s="9">
        <f t="shared" si="57"/>
        <v>0.378</v>
      </c>
      <c r="AO242" s="9">
        <f t="shared" si="58"/>
        <v>2.52</v>
      </c>
      <c r="AP242" s="9">
        <f t="shared" si="59"/>
        <v>0.252</v>
      </c>
      <c r="AQ242" s="9">
        <f t="shared" si="60"/>
        <v>2.52</v>
      </c>
      <c r="AR242" s="9">
        <f t="shared" si="61"/>
        <v>3.15</v>
      </c>
      <c r="AS242" s="11">
        <f t="shared" si="62"/>
        <v>-1.9066666666666672</v>
      </c>
      <c r="AT242" s="12">
        <f t="shared" si="63"/>
        <v>-2.3266666666666671</v>
      </c>
    </row>
    <row r="243" spans="1:46" ht="16.5" x14ac:dyDescent="0.4">
      <c r="A243" s="4" t="s">
        <v>1126</v>
      </c>
      <c r="B243" s="4" t="s">
        <v>513</v>
      </c>
      <c r="C243" s="7" t="s">
        <v>1784</v>
      </c>
      <c r="D243" s="4" t="s">
        <v>1127</v>
      </c>
      <c r="E243" s="4" t="s">
        <v>1128</v>
      </c>
      <c r="F243" s="4" t="s">
        <v>1129</v>
      </c>
      <c r="G243" s="7" t="str">
        <f>VLOOKUP(A243,[1]done!$A:$I,9,0)</f>
        <v>Grass Seed</v>
      </c>
      <c r="H243" s="7" t="str" cm="1">
        <f t="array" ref="H243">_xlfn.IFS(
OR(ISNUMBER(SEARCH("mouse",E243)),ISNUMBER(SEARCH("rat",E243)),ISNUMBER(SEARCH("mice",E243)),ISNUMBER(SEARCH("rodent",E243))),"Rodent Control",
OR(ISNUMBER(SEARCH("fly",E243)),ISNUMBER(SEARCH("gnat",E243)),ISNUMBER(SEARCH("insect",E243)),ISNUMBER(SEARCH("mosquito",E243))),"Flying Insect Control",
OR(ISNUMBER(SEARCH("roach",E243)),ISNUMBER(SEARCH("ant",E243)),ISNUMBER(SEARCH("spider",E243)),ISNUMBER(SEARCH("cricket",E243)),ISNUMBER(SEARCH("scorpion",E243)),ISNUMBER(SEARCH("centipede",E243)),ISNUMBER(SEARCH("beetle",E243))),"Crawling Insect Control",
OR(ISNUMBER(SEARCH("tree",E243)),ISNUMBER(SEARCH("lantern",E243)),ISNUMBER(SEARCH("garden",E243)),ISNUMBER(SEARCH("plant",E243))),"Garden Pest Control",
OR(ISNUMBER(SEARCH("grass seed",E243)),ISNUMBER(SEARCH("seed mix",E243))),"Grass Seed",
OR(ISNUMBER(SEARCH("lawn food",E243)),ISNUMBER(SEARCH("fertilizer",E243))),"Lawn Fertilizer",
OR(ISNUMBER(SEARCH("patch",E243)),ISNUMBER(SEARCH("repair",E243)),ISNUMBER(SEARCH("thick'r",E243)),ISNUMBER(SEARCH("thick'r lawn",E243)),ISNUMBER(SEARCH("rapid grass",E243))),"Lawn Repair",
OR(ISNUMBER(SEARCH("weed",E243)),ISNUMBER(SEARCH("crabgrass",E243))),"Weed Control",
OR(ISNUMBER(SEARCH("fungicide",E243)),ISNUMBER(SEARCH("moss",E243))),"Disease &amp; Moss Control",
OR(ISNUMBER(SEARCH("plant food",E243)),ISNUMBER(SEARCH("miracid",E243))),"Plant Nutrition",
OR(ISNUMBER(SEARCH("perlite",E243))),"Soil Amendment",
OR(ISNUMBER(SEARCH("spreader",E243)),ISNUMBER(SEARCH("sprayer",E243)),ISNUMBER(SEARCH("mower",E243)),ISNUMBER(SEARCH("sweeper",E243)),ISNUMBER(SEARCH("pruner",E243)),ISNUMBER(SEARCH("trimmer",E243)),ISNUMBER(SEARCH("pole saw",E243))),"Garden Equipment",
TRUE,"Other"
)</f>
        <v>Grass Seed</v>
      </c>
      <c r="I243" s="7" t="str" cm="1">
        <f t="array" ref="I243">_xlfn.IFS(
OR(ISNUMBER(SEARCH("glue trap",E243)),ISNUMBER(SEARCH("glue board",E243))),"Glue Traps",
OR(ISNUMBER(SEARCH("snap trap",E243)),ISNUMBER(SEARCH("power-kill",E243)),ISNUMBER(SEARCH("wide pedal",E243)),ISNUMBER(SEARCH("metal pedal",E243))),"Snap Traps",
OR(ISNUMBER(SEARCH("electronic",E243)),ISNUMBER(SEARCH("zapper",E243))),"Electronic Traps",
OR(ISNUMBER(SEARCH("live catch",E243)),ISNUMBER(SEARCH("multi-catch",E243)),ISNUMBER(SEARCH("catch &amp; hold",E243)),ISNUMBER(SEARCH("tin cat",E243))),"Live Catch Traps",
OR(ISNUMBER(SEARCH("bait",E243)),ISNUMBER(SEARCH("poison",E243))),"Bait &amp; Poison",
ISNUMBER(SEARCH("repellent",E243)),"Repellents",
OR(ISNUMBER(SEARCH("fly trap",E243)),ISNUMBER(SEARCH("fly ribbon",E243)),ISNUMBER(SEARCH("fly stick",E243)),ISNUMBER(SEARCH("window fly",E243)),ISNUMBER(SEARCH("fly magnet",E243))),"Fly Traps",
OR(ISNUMBER(SEARCH("uv",E243)),ISNUMBER(SEARCH("fly light",E243)),ISNUMBER(SEARCH("plug-in",E243))),"UV Fly Traps",
ISNUMBER(SEARCH("roach",E243)),"Roach Traps",
ISNUMBER(SEARCH("ant",E243)),"Ant Traps",
ISNUMBER(SEARCH("spider",E243)),"Spider Traps",
ISNUMBER(SEARCH("mosquito",E243)),"Mosquito Traps",
ISNUMBER(SEARCH("beetle",E243)),"Beetle Traps",
ISNUMBER(SEARCH("lantern",E243)),"Lanternfly Control",
OR(ISNUMBER(SEARCH("tree shield",E243)),ISNUMBER(SEARCH("tree banding",E243)),ISNUMBER(SEARCH("insect barrier",E243))),"Tree Barriers",
OR(ISNUMBER(SEARCH("sun &amp; shade",E243)),ISNUMBER(SEARCH("sun and shade",E243))),"Sun &amp; Shade Mix",
ISNUMBER(SEARCH("tall fescue",E243)),"Tall Fescue",
ISNUMBER(SEARCH("bermudagrass",E243)),"Bermudagrass",
ISNUMBER(SEARCH("kentucky",E243)),"Kentucky Bluegrass",
ISNUMBER(SEARCH("zoysia",E243)),"Zoysia",
ISNUMBER(SEARCH("ryegrass",E243)),"Perennial Ryegrass",
ISNUMBER(SEARCH("centipede",E243)),"Centipede Grass",
ISNUMBER(SEARCH("dense shade",E243)),"Dense Shade Mix",
ISNUMBER(SEARCH("southern gold",E243)),"Southern Gold Mix",
ISNUMBER(SEARCH("heat-tolerant blue",E243)),"Heat-Tolerant Blue Mix",
ISNUMBER(SEARCH("high traffic",E243)),"High Traffic Mix",
ISNUMBER(SEARCH("quick fix",E243)),"Quick Fix Mix",
ISNUMBER(SEARCH("starter",E243)),"Starter Fertilizer",
ISNUMBER(SEARCH("weed &amp; feed",E243)),"Weed &amp; Feed",
ISNUMBER(SEARCH("lawn food",E243)),"Lawn Food",
ISNUMBER(SEARCH("triple action",E243)),"Triple Action Fertilizer",
ISNUMBER(SEARCH("green max",E243)),"Green Max Lawn Food",
ISNUMBER(SEARCH("patchmaster",E243)),"PatchMaster Repair",
ISNUMBER(SEARCH("ez seed",E243)),"EZ Seed Repair",
ISNUMBER(SEARCH("rapid grass",E243)),"Rapid Grass",
ISNUMBER(SEARCH("thick'r lawn",E243)),"Thick'R Lawn",
ISNUMBER(SEARCH("fungicide",E243)),"Fungicide",
ISNUMBER(SEARCH("moss",E243)),"Moss Control",
ISNUMBER(SEARCH("perlite",E243)),"Perlite",
ISNUMBER(SEARCH("plant food",E243)),"Plant Food",
ISNUMBER(SEARCH("spreader",E243)),"Spreader",
ISNUMBER(SEARCH("sprayer",E243)),"Sprayer",
ISNUMBER(SEARCH("mower",E243)),"Lawn Mower",
ISNUMBER(SEARCH("sweeper",E243)),"Lawn Sweeper",
OR(ISNUMBER(SEARCH("pruner",E243)),ISNUMBER(SEARCH("trimmer",E243)),ISNUMBER(SEARCH("pole saw",E243))),"Pruning Tools",
TRUE,"Other"
)</f>
        <v>Other</v>
      </c>
      <c r="J243" s="7" t="str">
        <f t="shared" si="54"/>
        <v>Grass Seed - Other</v>
      </c>
      <c r="K243" s="4">
        <v>100</v>
      </c>
      <c r="L243" s="4">
        <v>4.3</v>
      </c>
      <c r="M243" s="4">
        <v>981</v>
      </c>
      <c r="N243" s="4" t="s">
        <v>731</v>
      </c>
      <c r="O243" s="4">
        <f>VLOOKUP(A243,[3]Sheet1!$A:$B,2,0)</f>
        <v>0</v>
      </c>
      <c r="P243" s="4">
        <f>VLOOKUP(A243,[3]Sheet1!$A:$C,3,0)</f>
        <v>0</v>
      </c>
      <c r="Q243" s="4">
        <f>VLOOKUP(A243,[3]Sheet1!$A:$D,4,0)</f>
        <v>300</v>
      </c>
      <c r="R243" s="4">
        <f>VLOOKUP(A243,[3]Sheet1!$A:$E,5,0)</f>
        <v>100</v>
      </c>
      <c r="S243" s="4">
        <f>VLOOKUP(A243,[3]Sheet1!$A:$F,6,0)</f>
        <v>200</v>
      </c>
      <c r="T243" s="4">
        <f>VLOOKUP(A243,[3]Sheet1!$A:$G,7,0)</f>
        <v>100</v>
      </c>
      <c r="U243" s="4">
        <f>VLOOKUP(A243,[3]Sheet1!$A:$I,8,0)</f>
        <v>50</v>
      </c>
      <c r="V243" s="4">
        <f>VLOOKUP(A243,[3]Sheet1!$A:$J,9,0)</f>
        <v>50</v>
      </c>
      <c r="W243" s="4">
        <f>VLOOKUP(A243,[3]Sheet1!$A:$J,10,0)</f>
        <v>100</v>
      </c>
      <c r="X243" s="4">
        <f>VLOOKUP(A243,[3]Sheet1!$A:$K,11,0)</f>
        <v>0</v>
      </c>
      <c r="Y243" s="4">
        <f>VLOOKUP(A243,[3]Sheet1!$A:$L,12,0)</f>
        <v>0</v>
      </c>
      <c r="Z243" s="4">
        <f>VLOOKUP(A243,[3]Sheet1!$A:$M,13,0)</f>
        <v>0</v>
      </c>
      <c r="AA243" s="4">
        <f t="shared" si="64"/>
        <v>900</v>
      </c>
      <c r="AB243" s="7">
        <f t="shared" si="55"/>
        <v>75</v>
      </c>
      <c r="AC243" s="15">
        <f t="shared" si="65"/>
        <v>75</v>
      </c>
      <c r="AD243" s="16">
        <f t="shared" si="66"/>
        <v>48600</v>
      </c>
      <c r="AE243" s="16">
        <f t="shared" si="67"/>
        <v>4050</v>
      </c>
      <c r="AF243" s="16">
        <v>17.649999999999999</v>
      </c>
      <c r="AG243" s="16">
        <v>54</v>
      </c>
      <c r="AH243" s="8">
        <f t="shared" si="68"/>
        <v>0.19666666666666663</v>
      </c>
      <c r="AI243" s="8">
        <f t="shared" si="69"/>
        <v>0.68833333333333313</v>
      </c>
      <c r="AJ243" s="10">
        <v>0.5</v>
      </c>
      <c r="AK243" s="10">
        <v>0.5</v>
      </c>
      <c r="AL243" s="16">
        <v>17.649999999999999</v>
      </c>
      <c r="AM243" s="9">
        <f t="shared" si="56"/>
        <v>8.1</v>
      </c>
      <c r="AN243" s="9">
        <f t="shared" si="57"/>
        <v>1.6199999999999999</v>
      </c>
      <c r="AO243" s="9">
        <f t="shared" si="58"/>
        <v>10.8</v>
      </c>
      <c r="AP243" s="9">
        <f t="shared" si="59"/>
        <v>1.08</v>
      </c>
      <c r="AQ243" s="9">
        <f t="shared" si="60"/>
        <v>10.8</v>
      </c>
      <c r="AR243" s="9">
        <f t="shared" si="61"/>
        <v>13.5</v>
      </c>
      <c r="AS243" s="11">
        <f t="shared" si="62"/>
        <v>1.9666666666666661</v>
      </c>
      <c r="AT243" s="12">
        <f t="shared" si="63"/>
        <v>0.16666666666666666</v>
      </c>
    </row>
    <row r="244" spans="1:46" ht="16.5" x14ac:dyDescent="0.4">
      <c r="A244" s="4" t="s">
        <v>1130</v>
      </c>
      <c r="B244" s="4" t="s">
        <v>513</v>
      </c>
      <c r="C244" s="7" t="s">
        <v>1788</v>
      </c>
      <c r="D244" s="4" t="s">
        <v>1131</v>
      </c>
      <c r="E244" s="4" t="s">
        <v>1132</v>
      </c>
      <c r="F244" s="4" t="s">
        <v>1133</v>
      </c>
      <c r="G244" s="7" t="str">
        <f>VLOOKUP(A244,[1]done!$A:$I,9,0)</f>
        <v>Other Glue boards for insects or rodents</v>
      </c>
      <c r="H244" s="7" t="str" cm="1">
        <f t="array" ref="H244">_xlfn.IFS(
OR(ISNUMBER(SEARCH("mouse",E244)),ISNUMBER(SEARCH("rat",E244)),ISNUMBER(SEARCH("mice",E244)),ISNUMBER(SEARCH("rodent",E244))),"Rodent Control",
OR(ISNUMBER(SEARCH("fly",E244)),ISNUMBER(SEARCH("gnat",E244)),ISNUMBER(SEARCH("insect",E244)),ISNUMBER(SEARCH("mosquito",E244))),"Flying Insect Control",
OR(ISNUMBER(SEARCH("roach",E244)),ISNUMBER(SEARCH("ant",E244)),ISNUMBER(SEARCH("spider",E244)),ISNUMBER(SEARCH("cricket",E244)),ISNUMBER(SEARCH("scorpion",E244)),ISNUMBER(SEARCH("centipede",E244)),ISNUMBER(SEARCH("beetle",E244))),"Crawling Insect Control",
OR(ISNUMBER(SEARCH("tree",E244)),ISNUMBER(SEARCH("lantern",E244)),ISNUMBER(SEARCH("garden",E244)),ISNUMBER(SEARCH("plant",E244))),"Garden Pest Control",
OR(ISNUMBER(SEARCH("grass seed",E244)),ISNUMBER(SEARCH("seed mix",E244))),"Grass Seed",
OR(ISNUMBER(SEARCH("lawn food",E244)),ISNUMBER(SEARCH("fertilizer",E244))),"Lawn Fertilizer",
OR(ISNUMBER(SEARCH("patch",E244)),ISNUMBER(SEARCH("repair",E244)),ISNUMBER(SEARCH("thick'r",E244)),ISNUMBER(SEARCH("thick'r lawn",E244)),ISNUMBER(SEARCH("rapid grass",E244))),"Lawn Repair",
OR(ISNUMBER(SEARCH("weed",E244)),ISNUMBER(SEARCH("crabgrass",E244))),"Weed Control",
OR(ISNUMBER(SEARCH("fungicide",E244)),ISNUMBER(SEARCH("moss",E244))),"Disease &amp; Moss Control",
OR(ISNUMBER(SEARCH("plant food",E244)),ISNUMBER(SEARCH("miracid",E244))),"Plant Nutrition",
OR(ISNUMBER(SEARCH("perlite",E244))),"Soil Amendment",
OR(ISNUMBER(SEARCH("spreader",E244)),ISNUMBER(SEARCH("sprayer",E244)),ISNUMBER(SEARCH("mower",E244)),ISNUMBER(SEARCH("sweeper",E244)),ISNUMBER(SEARCH("pruner",E244)),ISNUMBER(SEARCH("trimmer",E244)),ISNUMBER(SEARCH("pole saw",E244))),"Garden Equipment",
TRUE,"Other"
)</f>
        <v>Garden Equipment</v>
      </c>
      <c r="I244" s="7" t="str" cm="1">
        <f t="array" ref="I244">_xlfn.IFS(
OR(ISNUMBER(SEARCH("glue trap",E244)),ISNUMBER(SEARCH("glue board",E244))),"Glue Traps",
OR(ISNUMBER(SEARCH("snap trap",E244)),ISNUMBER(SEARCH("power-kill",E244)),ISNUMBER(SEARCH("wide pedal",E244)),ISNUMBER(SEARCH("metal pedal",E244))),"Snap Traps",
OR(ISNUMBER(SEARCH("electronic",E244)),ISNUMBER(SEARCH("zapper",E244))),"Electronic Traps",
OR(ISNUMBER(SEARCH("live catch",E244)),ISNUMBER(SEARCH("multi-catch",E244)),ISNUMBER(SEARCH("catch &amp; hold",E244)),ISNUMBER(SEARCH("tin cat",E244))),"Live Catch Traps",
OR(ISNUMBER(SEARCH("bait",E244)),ISNUMBER(SEARCH("poison",E244))),"Bait &amp; Poison",
ISNUMBER(SEARCH("repellent",E244)),"Repellents",
OR(ISNUMBER(SEARCH("fly trap",E244)),ISNUMBER(SEARCH("fly ribbon",E244)),ISNUMBER(SEARCH("fly stick",E244)),ISNUMBER(SEARCH("window fly",E244)),ISNUMBER(SEARCH("fly magnet",E244))),"Fly Traps",
OR(ISNUMBER(SEARCH("uv",E244)),ISNUMBER(SEARCH("fly light",E244)),ISNUMBER(SEARCH("plug-in",E244))),"UV Fly Traps",
ISNUMBER(SEARCH("roach",E244)),"Roach Traps",
ISNUMBER(SEARCH("ant",E244)),"Ant Traps",
ISNUMBER(SEARCH("spider",E244)),"Spider Traps",
ISNUMBER(SEARCH("mosquito",E244)),"Mosquito Traps",
ISNUMBER(SEARCH("beetle",E244)),"Beetle Traps",
ISNUMBER(SEARCH("lantern",E244)),"Lanternfly Control",
OR(ISNUMBER(SEARCH("tree shield",E244)),ISNUMBER(SEARCH("tree banding",E244)),ISNUMBER(SEARCH("insect barrier",E244))),"Tree Barriers",
OR(ISNUMBER(SEARCH("sun &amp; shade",E244)),ISNUMBER(SEARCH("sun and shade",E244))),"Sun &amp; Shade Mix",
ISNUMBER(SEARCH("tall fescue",E244)),"Tall Fescue",
ISNUMBER(SEARCH("bermudagrass",E244)),"Bermudagrass",
ISNUMBER(SEARCH("kentucky",E244)),"Kentucky Bluegrass",
ISNUMBER(SEARCH("zoysia",E244)),"Zoysia",
ISNUMBER(SEARCH("ryegrass",E244)),"Perennial Ryegrass",
ISNUMBER(SEARCH("centipede",E244)),"Centipede Grass",
ISNUMBER(SEARCH("dense shade",E244)),"Dense Shade Mix",
ISNUMBER(SEARCH("southern gold",E244)),"Southern Gold Mix",
ISNUMBER(SEARCH("heat-tolerant blue",E244)),"Heat-Tolerant Blue Mix",
ISNUMBER(SEARCH("high traffic",E244)),"High Traffic Mix",
ISNUMBER(SEARCH("quick fix",E244)),"Quick Fix Mix",
ISNUMBER(SEARCH("starter",E244)),"Starter Fertilizer",
ISNUMBER(SEARCH("weed &amp; feed",E244)),"Weed &amp; Feed",
ISNUMBER(SEARCH("lawn food",E244)),"Lawn Food",
ISNUMBER(SEARCH("triple action",E244)),"Triple Action Fertilizer",
ISNUMBER(SEARCH("green max",E244)),"Green Max Lawn Food",
ISNUMBER(SEARCH("patchmaster",E244)),"PatchMaster Repair",
ISNUMBER(SEARCH("ez seed",E244)),"EZ Seed Repair",
ISNUMBER(SEARCH("rapid grass",E244)),"Rapid Grass",
ISNUMBER(SEARCH("thick'r lawn",E244)),"Thick'R Lawn",
ISNUMBER(SEARCH("fungicide",E244)),"Fungicide",
ISNUMBER(SEARCH("moss",E244)),"Moss Control",
ISNUMBER(SEARCH("perlite",E244)),"Perlite",
ISNUMBER(SEARCH("plant food",E244)),"Plant Food",
ISNUMBER(SEARCH("spreader",E244)),"Spreader",
ISNUMBER(SEARCH("sprayer",E244)),"Sprayer",
ISNUMBER(SEARCH("mower",E244)),"Lawn Mower",
ISNUMBER(SEARCH("sweeper",E244)),"Lawn Sweeper",
OR(ISNUMBER(SEARCH("pruner",E244)),ISNUMBER(SEARCH("trimmer",E244)),ISNUMBER(SEARCH("pole saw",E244))),"Pruning Tools",
TRUE,"Other"
)</f>
        <v>Sprayer</v>
      </c>
      <c r="J244" s="7" t="str">
        <f t="shared" si="54"/>
        <v>Garden Equipment - Sprayer</v>
      </c>
      <c r="K244" s="4">
        <v>100</v>
      </c>
      <c r="L244" s="4">
        <v>4.3</v>
      </c>
      <c r="M244" s="4">
        <v>780</v>
      </c>
      <c r="N244" s="4" t="s">
        <v>1134</v>
      </c>
      <c r="O244" s="4">
        <f>VLOOKUP(A244,[3]Sheet1!$A:$B,2,0)</f>
        <v>0</v>
      </c>
      <c r="P244" s="4">
        <f>VLOOKUP(A244,[3]Sheet1!$A:$C,3,0)</f>
        <v>0</v>
      </c>
      <c r="Q244" s="4">
        <f>VLOOKUP(A244,[3]Sheet1!$A:$D,4,0)</f>
        <v>0</v>
      </c>
      <c r="R244" s="4">
        <f>VLOOKUP(A244,[3]Sheet1!$A:$E,5,0)</f>
        <v>0</v>
      </c>
      <c r="S244" s="4">
        <f>VLOOKUP(A244,[3]Sheet1!$A:$F,6,0)</f>
        <v>100</v>
      </c>
      <c r="T244" s="4">
        <f>VLOOKUP(A244,[3]Sheet1!$A:$G,7,0)</f>
        <v>200</v>
      </c>
      <c r="U244" s="4">
        <f>VLOOKUP(A244,[3]Sheet1!$A:$I,8,0)</f>
        <v>200</v>
      </c>
      <c r="V244" s="4">
        <f>VLOOKUP(A244,[3]Sheet1!$A:$J,9,0)</f>
        <v>100</v>
      </c>
      <c r="W244" s="4">
        <f>VLOOKUP(A244,[3]Sheet1!$A:$J,10,0)</f>
        <v>100</v>
      </c>
      <c r="X244" s="4">
        <f>VLOOKUP(A244,[3]Sheet1!$A:$K,11,0)</f>
        <v>50</v>
      </c>
      <c r="Y244" s="4">
        <f>VLOOKUP(A244,[3]Sheet1!$A:$L,12,0)</f>
        <v>50</v>
      </c>
      <c r="Z244" s="4">
        <f>VLOOKUP(A244,[3]Sheet1!$A:$M,13,0)</f>
        <v>0</v>
      </c>
      <c r="AA244" s="4">
        <f t="shared" si="64"/>
        <v>800</v>
      </c>
      <c r="AB244" s="7">
        <f t="shared" si="55"/>
        <v>67</v>
      </c>
      <c r="AC244" s="15">
        <f t="shared" si="65"/>
        <v>66.666666666666671</v>
      </c>
      <c r="AD244" s="16">
        <f t="shared" si="66"/>
        <v>121144</v>
      </c>
      <c r="AE244" s="16">
        <f t="shared" si="67"/>
        <v>10095.333333333334</v>
      </c>
      <c r="AF244" s="16">
        <v>22.01</v>
      </c>
      <c r="AG244" s="16">
        <v>151.43</v>
      </c>
      <c r="AH244" s="8">
        <f t="shared" si="68"/>
        <v>2.5041333333333333</v>
      </c>
      <c r="AI244" s="8">
        <f t="shared" si="69"/>
        <v>8.7644666666666655</v>
      </c>
      <c r="AJ244" s="10">
        <v>0.5</v>
      </c>
      <c r="AK244" s="10">
        <v>0.5</v>
      </c>
      <c r="AL244" s="16">
        <v>22.01</v>
      </c>
      <c r="AM244" s="9">
        <f t="shared" si="56"/>
        <v>22.714500000000001</v>
      </c>
      <c r="AN244" s="9">
        <f t="shared" si="57"/>
        <v>4.5429000000000004</v>
      </c>
      <c r="AO244" s="9">
        <f t="shared" si="58"/>
        <v>30.286000000000001</v>
      </c>
      <c r="AP244" s="9">
        <f t="shared" si="59"/>
        <v>3.0286000000000004</v>
      </c>
      <c r="AQ244" s="9">
        <f t="shared" si="60"/>
        <v>30.286000000000001</v>
      </c>
      <c r="AR244" s="9">
        <f t="shared" si="61"/>
        <v>37.857500000000002</v>
      </c>
      <c r="AS244" s="11">
        <f t="shared" si="62"/>
        <v>25.041333333333331</v>
      </c>
      <c r="AT244" s="12">
        <f t="shared" si="63"/>
        <v>19.993666666666666</v>
      </c>
    </row>
    <row r="245" spans="1:46" ht="16.5" x14ac:dyDescent="0.4">
      <c r="A245" s="4" t="s">
        <v>1135</v>
      </c>
      <c r="B245" s="4" t="s">
        <v>513</v>
      </c>
      <c r="C245" s="7" t="s">
        <v>1784</v>
      </c>
      <c r="D245" s="4" t="s">
        <v>1136</v>
      </c>
      <c r="E245" s="4" t="s">
        <v>1137</v>
      </c>
      <c r="F245" s="4" t="s">
        <v>1138</v>
      </c>
      <c r="G245" s="7" t="str">
        <f>VLOOKUP(A245,[1]done!$A:$I,9,0)</f>
        <v>Lawn Fertilizer</v>
      </c>
      <c r="H245" s="7" t="str" cm="1">
        <f t="array" ref="H245">_xlfn.IFS(
OR(ISNUMBER(SEARCH("mouse",E245)),ISNUMBER(SEARCH("rat",E245)),ISNUMBER(SEARCH("mice",E245)),ISNUMBER(SEARCH("rodent",E245))),"Rodent Control",
OR(ISNUMBER(SEARCH("fly",E245)),ISNUMBER(SEARCH("gnat",E245)),ISNUMBER(SEARCH("insect",E245)),ISNUMBER(SEARCH("mosquito",E245))),"Flying Insect Control",
OR(ISNUMBER(SEARCH("roach",E245)),ISNUMBER(SEARCH("ant",E245)),ISNUMBER(SEARCH("spider",E245)),ISNUMBER(SEARCH("cricket",E245)),ISNUMBER(SEARCH("scorpion",E245)),ISNUMBER(SEARCH("centipede",E245)),ISNUMBER(SEARCH("beetle",E245))),"Crawling Insect Control",
OR(ISNUMBER(SEARCH("tree",E245)),ISNUMBER(SEARCH("lantern",E245)),ISNUMBER(SEARCH("garden",E245)),ISNUMBER(SEARCH("plant",E245))),"Garden Pest Control",
OR(ISNUMBER(SEARCH("grass seed",E245)),ISNUMBER(SEARCH("seed mix",E245))),"Grass Seed",
OR(ISNUMBER(SEARCH("lawn food",E245)),ISNUMBER(SEARCH("fertilizer",E245))),"Lawn Fertilizer",
OR(ISNUMBER(SEARCH("patch",E245)),ISNUMBER(SEARCH("repair",E245)),ISNUMBER(SEARCH("thick'r",E245)),ISNUMBER(SEARCH("thick'r lawn",E245)),ISNUMBER(SEARCH("rapid grass",E245))),"Lawn Repair",
OR(ISNUMBER(SEARCH("weed",E245)),ISNUMBER(SEARCH("crabgrass",E245))),"Weed Control",
OR(ISNUMBER(SEARCH("fungicide",E245)),ISNUMBER(SEARCH("moss",E245))),"Disease &amp; Moss Control",
OR(ISNUMBER(SEARCH("plant food",E245)),ISNUMBER(SEARCH("miracid",E245))),"Plant Nutrition",
OR(ISNUMBER(SEARCH("perlite",E245))),"Soil Amendment",
OR(ISNUMBER(SEARCH("spreader",E245)),ISNUMBER(SEARCH("sprayer",E245)),ISNUMBER(SEARCH("mower",E245)),ISNUMBER(SEARCH("sweeper",E245)),ISNUMBER(SEARCH("pruner",E245)),ISNUMBER(SEARCH("trimmer",E245)),ISNUMBER(SEARCH("pole saw",E245))),"Garden Equipment",
TRUE,"Other"
)</f>
        <v>Lawn Repair</v>
      </c>
      <c r="I245" s="7" t="str" cm="1">
        <f t="array" ref="I245">_xlfn.IFS(
OR(ISNUMBER(SEARCH("glue trap",E245)),ISNUMBER(SEARCH("glue board",E245))),"Glue Traps",
OR(ISNUMBER(SEARCH("snap trap",E245)),ISNUMBER(SEARCH("power-kill",E245)),ISNUMBER(SEARCH("wide pedal",E245)),ISNUMBER(SEARCH("metal pedal",E245))),"Snap Traps",
OR(ISNUMBER(SEARCH("electronic",E245)),ISNUMBER(SEARCH("zapper",E245))),"Electronic Traps",
OR(ISNUMBER(SEARCH("live catch",E245)),ISNUMBER(SEARCH("multi-catch",E245)),ISNUMBER(SEARCH("catch &amp; hold",E245)),ISNUMBER(SEARCH("tin cat",E245))),"Live Catch Traps",
OR(ISNUMBER(SEARCH("bait",E245)),ISNUMBER(SEARCH("poison",E245))),"Bait &amp; Poison",
ISNUMBER(SEARCH("repellent",E245)),"Repellents",
OR(ISNUMBER(SEARCH("fly trap",E245)),ISNUMBER(SEARCH("fly ribbon",E245)),ISNUMBER(SEARCH("fly stick",E245)),ISNUMBER(SEARCH("window fly",E245)),ISNUMBER(SEARCH("fly magnet",E245))),"Fly Traps",
OR(ISNUMBER(SEARCH("uv",E245)),ISNUMBER(SEARCH("fly light",E245)),ISNUMBER(SEARCH("plug-in",E245))),"UV Fly Traps",
ISNUMBER(SEARCH("roach",E245)),"Roach Traps",
ISNUMBER(SEARCH("ant",E245)),"Ant Traps",
ISNUMBER(SEARCH("spider",E245)),"Spider Traps",
ISNUMBER(SEARCH("mosquito",E245)),"Mosquito Traps",
ISNUMBER(SEARCH("beetle",E245)),"Beetle Traps",
ISNUMBER(SEARCH("lantern",E245)),"Lanternfly Control",
OR(ISNUMBER(SEARCH("tree shield",E245)),ISNUMBER(SEARCH("tree banding",E245)),ISNUMBER(SEARCH("insect barrier",E245))),"Tree Barriers",
OR(ISNUMBER(SEARCH("sun &amp; shade",E245)),ISNUMBER(SEARCH("sun and shade",E245))),"Sun &amp; Shade Mix",
ISNUMBER(SEARCH("tall fescue",E245)),"Tall Fescue",
ISNUMBER(SEARCH("bermudagrass",E245)),"Bermudagrass",
ISNUMBER(SEARCH("kentucky",E245)),"Kentucky Bluegrass",
ISNUMBER(SEARCH("zoysia",E245)),"Zoysia",
ISNUMBER(SEARCH("ryegrass",E245)),"Perennial Ryegrass",
ISNUMBER(SEARCH("centipede",E245)),"Centipede Grass",
ISNUMBER(SEARCH("dense shade",E245)),"Dense Shade Mix",
ISNUMBER(SEARCH("southern gold",E245)),"Southern Gold Mix",
ISNUMBER(SEARCH("heat-tolerant blue",E245)),"Heat-Tolerant Blue Mix",
ISNUMBER(SEARCH("high traffic",E245)),"High Traffic Mix",
ISNUMBER(SEARCH("quick fix",E245)),"Quick Fix Mix",
ISNUMBER(SEARCH("starter",E245)),"Starter Fertilizer",
ISNUMBER(SEARCH("weed &amp; feed",E245)),"Weed &amp; Feed",
ISNUMBER(SEARCH("lawn food",E245)),"Lawn Food",
ISNUMBER(SEARCH("triple action",E245)),"Triple Action Fertilizer",
ISNUMBER(SEARCH("green max",E245)),"Green Max Lawn Food",
ISNUMBER(SEARCH("patchmaster",E245)),"PatchMaster Repair",
ISNUMBER(SEARCH("ez seed",E245)),"EZ Seed Repair",
ISNUMBER(SEARCH("rapid grass",E245)),"Rapid Grass",
ISNUMBER(SEARCH("thick'r lawn",E245)),"Thick'R Lawn",
ISNUMBER(SEARCH("fungicide",E245)),"Fungicide",
ISNUMBER(SEARCH("moss",E245)),"Moss Control",
ISNUMBER(SEARCH("perlite",E245)),"Perlite",
ISNUMBER(SEARCH("plant food",E245)),"Plant Food",
ISNUMBER(SEARCH("spreader",E245)),"Spreader",
ISNUMBER(SEARCH("sprayer",E245)),"Sprayer",
ISNUMBER(SEARCH("mower",E245)),"Lawn Mower",
ISNUMBER(SEARCH("sweeper",E245)),"Lawn Sweeper",
OR(ISNUMBER(SEARCH("pruner",E245)),ISNUMBER(SEARCH("trimmer",E245)),ISNUMBER(SEARCH("pole saw",E245))),"Pruning Tools",
TRUE,"Other"
)</f>
        <v>Sun &amp; Shade Mix</v>
      </c>
      <c r="J245" s="7" t="str">
        <f t="shared" si="54"/>
        <v>Lawn Repair - Sun &amp; Shade Mix</v>
      </c>
      <c r="K245" s="4">
        <v>50</v>
      </c>
      <c r="L245" s="4">
        <v>4.2</v>
      </c>
      <c r="M245" s="4">
        <v>13293</v>
      </c>
      <c r="N245" s="4" t="s">
        <v>584</v>
      </c>
      <c r="O245" s="4">
        <f>VLOOKUP(A245,[3]Sheet1!$A:$B,2,0)</f>
        <v>0</v>
      </c>
      <c r="P245" s="4">
        <f>VLOOKUP(A245,[3]Sheet1!$A:$C,3,0)</f>
        <v>0</v>
      </c>
      <c r="Q245" s="4">
        <f>VLOOKUP(A245,[3]Sheet1!$A:$D,4,0)</f>
        <v>0</v>
      </c>
      <c r="R245" s="4">
        <f>VLOOKUP(A245,[3]Sheet1!$A:$E,5,0)</f>
        <v>0</v>
      </c>
      <c r="S245" s="4">
        <f>VLOOKUP(A245,[3]Sheet1!$A:$F,6,0)</f>
        <v>100</v>
      </c>
      <c r="T245" s="4">
        <f>VLOOKUP(A245,[3]Sheet1!$A:$G,7,0)</f>
        <v>100</v>
      </c>
      <c r="U245" s="4">
        <f>VLOOKUP(A245,[3]Sheet1!$A:$I,8,0)</f>
        <v>0</v>
      </c>
      <c r="V245" s="4">
        <f>VLOOKUP(A245,[3]Sheet1!$A:$J,9,0)</f>
        <v>0</v>
      </c>
      <c r="W245" s="4">
        <f>VLOOKUP(A245,[3]Sheet1!$A:$J,10,0)</f>
        <v>0</v>
      </c>
      <c r="X245" s="4">
        <f>VLOOKUP(A245,[3]Sheet1!$A:$K,11,0)</f>
        <v>0</v>
      </c>
      <c r="Y245" s="4">
        <f>VLOOKUP(A245,[3]Sheet1!$A:$L,12,0)</f>
        <v>0</v>
      </c>
      <c r="Z245" s="4">
        <f>VLOOKUP(A245,[3]Sheet1!$A:$M,13,0)</f>
        <v>0</v>
      </c>
      <c r="AA245" s="4">
        <f t="shared" si="64"/>
        <v>200</v>
      </c>
      <c r="AB245" s="7">
        <f t="shared" si="55"/>
        <v>17</v>
      </c>
      <c r="AC245" s="15">
        <f t="shared" si="65"/>
        <v>16.666666666666668</v>
      </c>
      <c r="AD245" s="16">
        <f t="shared" si="66"/>
        <v>16196</v>
      </c>
      <c r="AE245" s="16">
        <f t="shared" si="67"/>
        <v>1349.6666666666667</v>
      </c>
      <c r="AF245" s="16">
        <v>18.04</v>
      </c>
      <c r="AG245" s="16">
        <v>80.98</v>
      </c>
      <c r="AH245" s="8">
        <f t="shared" si="68"/>
        <v>0.89013333333333344</v>
      </c>
      <c r="AI245" s="8">
        <f t="shared" si="69"/>
        <v>3.1154666666666664</v>
      </c>
      <c r="AJ245" s="10">
        <v>0.5</v>
      </c>
      <c r="AK245" s="10">
        <v>0.5</v>
      </c>
      <c r="AL245" s="16">
        <v>18.04</v>
      </c>
      <c r="AM245" s="9">
        <f t="shared" si="56"/>
        <v>12.147</v>
      </c>
      <c r="AN245" s="9">
        <f t="shared" si="57"/>
        <v>2.4294000000000002</v>
      </c>
      <c r="AO245" s="9">
        <f t="shared" si="58"/>
        <v>16.196000000000002</v>
      </c>
      <c r="AP245" s="9">
        <f t="shared" si="59"/>
        <v>1.6196000000000002</v>
      </c>
      <c r="AQ245" s="9">
        <f t="shared" si="60"/>
        <v>16.196000000000002</v>
      </c>
      <c r="AR245" s="9">
        <f t="shared" si="61"/>
        <v>20.245000000000001</v>
      </c>
      <c r="AS245" s="11">
        <f t="shared" si="62"/>
        <v>8.9013333333333335</v>
      </c>
      <c r="AT245" s="12">
        <f t="shared" si="63"/>
        <v>6.2020000000000008</v>
      </c>
    </row>
    <row r="246" spans="1:46" ht="16.5" x14ac:dyDescent="0.4">
      <c r="A246" s="4" t="s">
        <v>1139</v>
      </c>
      <c r="B246" s="4" t="s">
        <v>513</v>
      </c>
      <c r="C246" s="7" t="s">
        <v>1784</v>
      </c>
      <c r="D246" s="4" t="s">
        <v>1140</v>
      </c>
      <c r="E246" s="4" t="s">
        <v>1141</v>
      </c>
      <c r="F246" s="4" t="s">
        <v>1142</v>
      </c>
      <c r="G246" s="7" t="str">
        <f>VLOOKUP(A246,[1]done!$A:$I,9,0)</f>
        <v>Lawn Fertilizer</v>
      </c>
      <c r="H246" s="7" t="str" cm="1">
        <f t="array" ref="H246">_xlfn.IFS(
OR(ISNUMBER(SEARCH("mouse",E246)),ISNUMBER(SEARCH("rat",E246)),ISNUMBER(SEARCH("mice",E246)),ISNUMBER(SEARCH("rodent",E246))),"Rodent Control",
OR(ISNUMBER(SEARCH("fly",E246)),ISNUMBER(SEARCH("gnat",E246)),ISNUMBER(SEARCH("insect",E246)),ISNUMBER(SEARCH("mosquito",E246))),"Flying Insect Control",
OR(ISNUMBER(SEARCH("roach",E246)),ISNUMBER(SEARCH("ant",E246)),ISNUMBER(SEARCH("spider",E246)),ISNUMBER(SEARCH("cricket",E246)),ISNUMBER(SEARCH("scorpion",E246)),ISNUMBER(SEARCH("centipede",E246)),ISNUMBER(SEARCH("beetle",E246))),"Crawling Insect Control",
OR(ISNUMBER(SEARCH("tree",E246)),ISNUMBER(SEARCH("lantern",E246)),ISNUMBER(SEARCH("garden",E246)),ISNUMBER(SEARCH("plant",E246))),"Garden Pest Control",
OR(ISNUMBER(SEARCH("grass seed",E246)),ISNUMBER(SEARCH("seed mix",E246))),"Grass Seed",
OR(ISNUMBER(SEARCH("lawn food",E246)),ISNUMBER(SEARCH("fertilizer",E246))),"Lawn Fertilizer",
OR(ISNUMBER(SEARCH("patch",E246)),ISNUMBER(SEARCH("repair",E246)),ISNUMBER(SEARCH("thick'r",E246)),ISNUMBER(SEARCH("thick'r lawn",E246)),ISNUMBER(SEARCH("rapid grass",E246))),"Lawn Repair",
OR(ISNUMBER(SEARCH("weed",E246)),ISNUMBER(SEARCH("crabgrass",E246))),"Weed Control",
OR(ISNUMBER(SEARCH("fungicide",E246)),ISNUMBER(SEARCH("moss",E246))),"Disease &amp; Moss Control",
OR(ISNUMBER(SEARCH("plant food",E246)),ISNUMBER(SEARCH("miracid",E246))),"Plant Nutrition",
OR(ISNUMBER(SEARCH("perlite",E246))),"Soil Amendment",
OR(ISNUMBER(SEARCH("spreader",E246)),ISNUMBER(SEARCH("sprayer",E246)),ISNUMBER(SEARCH("mower",E246)),ISNUMBER(SEARCH("sweeper",E246)),ISNUMBER(SEARCH("pruner",E246)),ISNUMBER(SEARCH("trimmer",E246)),ISNUMBER(SEARCH("pole saw",E246))),"Garden Equipment",
TRUE,"Other"
)</f>
        <v>Other</v>
      </c>
      <c r="I246" s="7" t="str" cm="1">
        <f t="array" ref="I246">_xlfn.IFS(
OR(ISNUMBER(SEARCH("glue trap",E246)),ISNUMBER(SEARCH("glue board",E246))),"Glue Traps",
OR(ISNUMBER(SEARCH("snap trap",E246)),ISNUMBER(SEARCH("power-kill",E246)),ISNUMBER(SEARCH("wide pedal",E246)),ISNUMBER(SEARCH("metal pedal",E246))),"Snap Traps",
OR(ISNUMBER(SEARCH("electronic",E246)),ISNUMBER(SEARCH("zapper",E246))),"Electronic Traps",
OR(ISNUMBER(SEARCH("live catch",E246)),ISNUMBER(SEARCH("multi-catch",E246)),ISNUMBER(SEARCH("catch &amp; hold",E246)),ISNUMBER(SEARCH("tin cat",E246))),"Live Catch Traps",
OR(ISNUMBER(SEARCH("bait",E246)),ISNUMBER(SEARCH("poison",E246))),"Bait &amp; Poison",
ISNUMBER(SEARCH("repellent",E246)),"Repellents",
OR(ISNUMBER(SEARCH("fly trap",E246)),ISNUMBER(SEARCH("fly ribbon",E246)),ISNUMBER(SEARCH("fly stick",E246)),ISNUMBER(SEARCH("window fly",E246)),ISNUMBER(SEARCH("fly magnet",E246))),"Fly Traps",
OR(ISNUMBER(SEARCH("uv",E246)),ISNUMBER(SEARCH("fly light",E246)),ISNUMBER(SEARCH("plug-in",E246))),"UV Fly Traps",
ISNUMBER(SEARCH("roach",E246)),"Roach Traps",
ISNUMBER(SEARCH("ant",E246)),"Ant Traps",
ISNUMBER(SEARCH("spider",E246)),"Spider Traps",
ISNUMBER(SEARCH("mosquito",E246)),"Mosquito Traps",
ISNUMBER(SEARCH("beetle",E246)),"Beetle Traps",
ISNUMBER(SEARCH("lantern",E246)),"Lanternfly Control",
OR(ISNUMBER(SEARCH("tree shield",E246)),ISNUMBER(SEARCH("tree banding",E246)),ISNUMBER(SEARCH("insect barrier",E246))),"Tree Barriers",
OR(ISNUMBER(SEARCH("sun &amp; shade",E246)),ISNUMBER(SEARCH("sun and shade",E246))),"Sun &amp; Shade Mix",
ISNUMBER(SEARCH("tall fescue",E246)),"Tall Fescue",
ISNUMBER(SEARCH("bermudagrass",E246)),"Bermudagrass",
ISNUMBER(SEARCH("kentucky",E246)),"Kentucky Bluegrass",
ISNUMBER(SEARCH("zoysia",E246)),"Zoysia",
ISNUMBER(SEARCH("ryegrass",E246)),"Perennial Ryegrass",
ISNUMBER(SEARCH("centipede",E246)),"Centipede Grass",
ISNUMBER(SEARCH("dense shade",E246)),"Dense Shade Mix",
ISNUMBER(SEARCH("southern gold",E246)),"Southern Gold Mix",
ISNUMBER(SEARCH("heat-tolerant blue",E246)),"Heat-Tolerant Blue Mix",
ISNUMBER(SEARCH("high traffic",E246)),"High Traffic Mix",
ISNUMBER(SEARCH("quick fix",E246)),"Quick Fix Mix",
ISNUMBER(SEARCH("starter",E246)),"Starter Fertilizer",
ISNUMBER(SEARCH("weed &amp; feed",E246)),"Weed &amp; Feed",
ISNUMBER(SEARCH("lawn food",E246)),"Lawn Food",
ISNUMBER(SEARCH("triple action",E246)),"Triple Action Fertilizer",
ISNUMBER(SEARCH("green max",E246)),"Green Max Lawn Food",
ISNUMBER(SEARCH("patchmaster",E246)),"PatchMaster Repair",
ISNUMBER(SEARCH("ez seed",E246)),"EZ Seed Repair",
ISNUMBER(SEARCH("rapid grass",E246)),"Rapid Grass",
ISNUMBER(SEARCH("thick'r lawn",E246)),"Thick'R Lawn",
ISNUMBER(SEARCH("fungicide",E246)),"Fungicide",
ISNUMBER(SEARCH("moss",E246)),"Moss Control",
ISNUMBER(SEARCH("perlite",E246)),"Perlite",
ISNUMBER(SEARCH("plant food",E246)),"Plant Food",
ISNUMBER(SEARCH("spreader",E246)),"Spreader",
ISNUMBER(SEARCH("sprayer",E246)),"Sprayer",
ISNUMBER(SEARCH("mower",E246)),"Lawn Mower",
ISNUMBER(SEARCH("sweeper",E246)),"Lawn Sweeper",
OR(ISNUMBER(SEARCH("pruner",E246)),ISNUMBER(SEARCH("trimmer",E246)),ISNUMBER(SEARCH("pole saw",E246))),"Pruning Tools",
TRUE,"Other"
)</f>
        <v>Starter Fertilizer</v>
      </c>
      <c r="J246" s="7" t="str">
        <f t="shared" si="54"/>
        <v>Other - Starter Fertilizer</v>
      </c>
      <c r="K246" s="4">
        <v>50</v>
      </c>
      <c r="L246" s="4">
        <v>4.5</v>
      </c>
      <c r="M246" s="4">
        <v>11141</v>
      </c>
      <c r="N246" s="4" t="s">
        <v>937</v>
      </c>
      <c r="O246" s="4">
        <f>VLOOKUP(A246,[3]Sheet1!$A:$B,2,0)</f>
        <v>0</v>
      </c>
      <c r="P246" s="4">
        <f>VLOOKUP(A246,[3]Sheet1!$A:$C,3,0)</f>
        <v>0</v>
      </c>
      <c r="Q246" s="4">
        <f>VLOOKUP(A246,[3]Sheet1!$A:$D,4,0)</f>
        <v>0</v>
      </c>
      <c r="R246" s="4">
        <f>VLOOKUP(A246,[3]Sheet1!$A:$E,5,0)</f>
        <v>50</v>
      </c>
      <c r="S246" s="4">
        <f>VLOOKUP(A246,[3]Sheet1!$A:$F,6,0)</f>
        <v>50</v>
      </c>
      <c r="T246" s="4">
        <f>VLOOKUP(A246,[3]Sheet1!$A:$G,7,0)</f>
        <v>0</v>
      </c>
      <c r="U246" s="4">
        <f>VLOOKUP(A246,[3]Sheet1!$A:$I,8,0)</f>
        <v>0</v>
      </c>
      <c r="V246" s="4">
        <f>VLOOKUP(A246,[3]Sheet1!$A:$J,9,0)</f>
        <v>0</v>
      </c>
      <c r="W246" s="4">
        <f>VLOOKUP(A246,[3]Sheet1!$A:$J,10,0)</f>
        <v>0</v>
      </c>
      <c r="X246" s="4">
        <f>VLOOKUP(A246,[3]Sheet1!$A:$K,11,0)</f>
        <v>0</v>
      </c>
      <c r="Y246" s="4">
        <f>VLOOKUP(A246,[3]Sheet1!$A:$L,12,0)</f>
        <v>0</v>
      </c>
      <c r="Z246" s="4">
        <f>VLOOKUP(A246,[3]Sheet1!$A:$M,13,0)</f>
        <v>0</v>
      </c>
      <c r="AA246" s="4">
        <f t="shared" si="64"/>
        <v>100</v>
      </c>
      <c r="AB246" s="7">
        <f t="shared" si="55"/>
        <v>8</v>
      </c>
      <c r="AC246" s="15">
        <f t="shared" si="65"/>
        <v>8.3333333333333339</v>
      </c>
      <c r="AD246" s="16">
        <f t="shared" si="66"/>
        <v>7852</v>
      </c>
      <c r="AE246" s="16">
        <f t="shared" si="67"/>
        <v>654.33333333333337</v>
      </c>
      <c r="AF246" s="16">
        <v>22.08</v>
      </c>
      <c r="AG246" s="16">
        <v>78.52</v>
      </c>
      <c r="AH246" s="8">
        <f t="shared" si="68"/>
        <v>0.55519999999999969</v>
      </c>
      <c r="AI246" s="8">
        <f t="shared" si="69"/>
        <v>1.9431999999999987</v>
      </c>
      <c r="AJ246" s="10">
        <v>0.5</v>
      </c>
      <c r="AK246" s="10">
        <v>0.5</v>
      </c>
      <c r="AL246" s="16">
        <v>22.08</v>
      </c>
      <c r="AM246" s="9">
        <f t="shared" si="56"/>
        <v>11.777999999999999</v>
      </c>
      <c r="AN246" s="9">
        <f t="shared" si="57"/>
        <v>2.3555999999999999</v>
      </c>
      <c r="AO246" s="9">
        <f t="shared" si="58"/>
        <v>15.704000000000001</v>
      </c>
      <c r="AP246" s="9">
        <f t="shared" si="59"/>
        <v>1.5704</v>
      </c>
      <c r="AQ246" s="9">
        <f t="shared" si="60"/>
        <v>15.704000000000001</v>
      </c>
      <c r="AR246" s="9">
        <f t="shared" si="61"/>
        <v>19.63</v>
      </c>
      <c r="AS246" s="11">
        <f t="shared" si="62"/>
        <v>5.5519999999999969</v>
      </c>
      <c r="AT246" s="12">
        <f t="shared" si="63"/>
        <v>2.934666666666665</v>
      </c>
    </row>
    <row r="247" spans="1:46" ht="16.5" x14ac:dyDescent="0.4">
      <c r="A247" s="4" t="s">
        <v>1143</v>
      </c>
      <c r="B247" s="4" t="s">
        <v>513</v>
      </c>
      <c r="C247" s="7" t="s">
        <v>1784</v>
      </c>
      <c r="D247" s="4" t="s">
        <v>1144</v>
      </c>
      <c r="E247" s="4" t="s">
        <v>1145</v>
      </c>
      <c r="F247" s="4" t="s">
        <v>1146</v>
      </c>
      <c r="G247" s="7" t="str">
        <f>VLOOKUP(A247,[1]done!$A:$I,9,0)</f>
        <v>Insecticide/Fungicide</v>
      </c>
      <c r="H247" s="7" t="str" cm="1">
        <f t="array" ref="H247">_xlfn.IFS(
OR(ISNUMBER(SEARCH("mouse",E247)),ISNUMBER(SEARCH("rat",E247)),ISNUMBER(SEARCH("mice",E247)),ISNUMBER(SEARCH("rodent",E247))),"Rodent Control",
OR(ISNUMBER(SEARCH("fly",E247)),ISNUMBER(SEARCH("gnat",E247)),ISNUMBER(SEARCH("insect",E247)),ISNUMBER(SEARCH("mosquito",E247))),"Flying Insect Control",
OR(ISNUMBER(SEARCH("roach",E247)),ISNUMBER(SEARCH("ant",E247)),ISNUMBER(SEARCH("spider",E247)),ISNUMBER(SEARCH("cricket",E247)),ISNUMBER(SEARCH("scorpion",E247)),ISNUMBER(SEARCH("centipede",E247)),ISNUMBER(SEARCH("beetle",E247))),"Crawling Insect Control",
OR(ISNUMBER(SEARCH("tree",E247)),ISNUMBER(SEARCH("lantern",E247)),ISNUMBER(SEARCH("garden",E247)),ISNUMBER(SEARCH("plant",E247))),"Garden Pest Control",
OR(ISNUMBER(SEARCH("grass seed",E247)),ISNUMBER(SEARCH("seed mix",E247))),"Grass Seed",
OR(ISNUMBER(SEARCH("lawn food",E247)),ISNUMBER(SEARCH("fertilizer",E247))),"Lawn Fertilizer",
OR(ISNUMBER(SEARCH("patch",E247)),ISNUMBER(SEARCH("repair",E247)),ISNUMBER(SEARCH("thick'r",E247)),ISNUMBER(SEARCH("thick'r lawn",E247)),ISNUMBER(SEARCH("rapid grass",E247))),"Lawn Repair",
OR(ISNUMBER(SEARCH("weed",E247)),ISNUMBER(SEARCH("crabgrass",E247))),"Weed Control",
OR(ISNUMBER(SEARCH("fungicide",E247)),ISNUMBER(SEARCH("moss",E247))),"Disease &amp; Moss Control",
OR(ISNUMBER(SEARCH("plant food",E247)),ISNUMBER(SEARCH("miracid",E247))),"Plant Nutrition",
OR(ISNUMBER(SEARCH("perlite",E247))),"Soil Amendment",
OR(ISNUMBER(SEARCH("spreader",E247)),ISNUMBER(SEARCH("sprayer",E247)),ISNUMBER(SEARCH("mower",E247)),ISNUMBER(SEARCH("sweeper",E247)),ISNUMBER(SEARCH("pruner",E247)),ISNUMBER(SEARCH("trimmer",E247)),ISNUMBER(SEARCH("pole saw",E247))),"Garden Equipment",
TRUE,"Other"
)</f>
        <v>Disease &amp; Moss Control</v>
      </c>
      <c r="I247" s="7" t="str" cm="1">
        <f t="array" ref="I247">_xlfn.IFS(
OR(ISNUMBER(SEARCH("glue trap",E247)),ISNUMBER(SEARCH("glue board",E247))),"Glue Traps",
OR(ISNUMBER(SEARCH("snap trap",E247)),ISNUMBER(SEARCH("power-kill",E247)),ISNUMBER(SEARCH("wide pedal",E247)),ISNUMBER(SEARCH("metal pedal",E247))),"Snap Traps",
OR(ISNUMBER(SEARCH("electronic",E247)),ISNUMBER(SEARCH("zapper",E247))),"Electronic Traps",
OR(ISNUMBER(SEARCH("live catch",E247)),ISNUMBER(SEARCH("multi-catch",E247)),ISNUMBER(SEARCH("catch &amp; hold",E247)),ISNUMBER(SEARCH("tin cat",E247))),"Live Catch Traps",
OR(ISNUMBER(SEARCH("bait",E247)),ISNUMBER(SEARCH("poison",E247))),"Bait &amp; Poison",
ISNUMBER(SEARCH("repellent",E247)),"Repellents",
OR(ISNUMBER(SEARCH("fly trap",E247)),ISNUMBER(SEARCH("fly ribbon",E247)),ISNUMBER(SEARCH("fly stick",E247)),ISNUMBER(SEARCH("window fly",E247)),ISNUMBER(SEARCH("fly magnet",E247))),"Fly Traps",
OR(ISNUMBER(SEARCH("uv",E247)),ISNUMBER(SEARCH("fly light",E247)),ISNUMBER(SEARCH("plug-in",E247))),"UV Fly Traps",
ISNUMBER(SEARCH("roach",E247)),"Roach Traps",
ISNUMBER(SEARCH("ant",E247)),"Ant Traps",
ISNUMBER(SEARCH("spider",E247)),"Spider Traps",
ISNUMBER(SEARCH("mosquito",E247)),"Mosquito Traps",
ISNUMBER(SEARCH("beetle",E247)),"Beetle Traps",
ISNUMBER(SEARCH("lantern",E247)),"Lanternfly Control",
OR(ISNUMBER(SEARCH("tree shield",E247)),ISNUMBER(SEARCH("tree banding",E247)),ISNUMBER(SEARCH("insect barrier",E247))),"Tree Barriers",
OR(ISNUMBER(SEARCH("sun &amp; shade",E247)),ISNUMBER(SEARCH("sun and shade",E247))),"Sun &amp; Shade Mix",
ISNUMBER(SEARCH("tall fescue",E247)),"Tall Fescue",
ISNUMBER(SEARCH("bermudagrass",E247)),"Bermudagrass",
ISNUMBER(SEARCH("kentucky",E247)),"Kentucky Bluegrass",
ISNUMBER(SEARCH("zoysia",E247)),"Zoysia",
ISNUMBER(SEARCH("ryegrass",E247)),"Perennial Ryegrass",
ISNUMBER(SEARCH("centipede",E247)),"Centipede Grass",
ISNUMBER(SEARCH("dense shade",E247)),"Dense Shade Mix",
ISNUMBER(SEARCH("southern gold",E247)),"Southern Gold Mix",
ISNUMBER(SEARCH("heat-tolerant blue",E247)),"Heat-Tolerant Blue Mix",
ISNUMBER(SEARCH("high traffic",E247)),"High Traffic Mix",
ISNUMBER(SEARCH("quick fix",E247)),"Quick Fix Mix",
ISNUMBER(SEARCH("starter",E247)),"Starter Fertilizer",
ISNUMBER(SEARCH("weed &amp; feed",E247)),"Weed &amp; Feed",
ISNUMBER(SEARCH("lawn food",E247)),"Lawn Food",
ISNUMBER(SEARCH("triple action",E247)),"Triple Action Fertilizer",
ISNUMBER(SEARCH("green max",E247)),"Green Max Lawn Food",
ISNUMBER(SEARCH("patchmaster",E247)),"PatchMaster Repair",
ISNUMBER(SEARCH("ez seed",E247)),"EZ Seed Repair",
ISNUMBER(SEARCH("rapid grass",E247)),"Rapid Grass",
ISNUMBER(SEARCH("thick'r lawn",E247)),"Thick'R Lawn",
ISNUMBER(SEARCH("fungicide",E247)),"Fungicide",
ISNUMBER(SEARCH("moss",E247)),"Moss Control",
ISNUMBER(SEARCH("perlite",E247)),"Perlite",
ISNUMBER(SEARCH("plant food",E247)),"Plant Food",
ISNUMBER(SEARCH("spreader",E247)),"Spreader",
ISNUMBER(SEARCH("sprayer",E247)),"Sprayer",
ISNUMBER(SEARCH("mower",E247)),"Lawn Mower",
ISNUMBER(SEARCH("sweeper",E247)),"Lawn Sweeper",
OR(ISNUMBER(SEARCH("pruner",E247)),ISNUMBER(SEARCH("trimmer",E247)),ISNUMBER(SEARCH("pole saw",E247))),"Pruning Tools",
TRUE,"Other"
)</f>
        <v>Fungicide</v>
      </c>
      <c r="J247" s="7" t="str">
        <f t="shared" si="54"/>
        <v>Disease &amp; Moss Control - Fungicide</v>
      </c>
      <c r="K247" s="4">
        <v>50</v>
      </c>
      <c r="L247" s="4">
        <v>4.4000000000000004</v>
      </c>
      <c r="M247" s="4">
        <v>14420</v>
      </c>
      <c r="N247" s="4" t="s">
        <v>1147</v>
      </c>
      <c r="O247" s="4">
        <f>VLOOKUP(A247,[3]Sheet1!$A:$B,2,0)</f>
        <v>0</v>
      </c>
      <c r="P247" s="4">
        <f>VLOOKUP(A247,[3]Sheet1!$A:$C,3,0)</f>
        <v>0</v>
      </c>
      <c r="Q247" s="4">
        <f>VLOOKUP(A247,[3]Sheet1!$A:$D,4,0)</f>
        <v>100</v>
      </c>
      <c r="R247" s="4">
        <f>VLOOKUP(A247,[3]Sheet1!$A:$E,5,0)</f>
        <v>200</v>
      </c>
      <c r="S247" s="4">
        <f>VLOOKUP(A247,[3]Sheet1!$A:$F,6,0)</f>
        <v>300</v>
      </c>
      <c r="T247" s="4">
        <f>VLOOKUP(A247,[3]Sheet1!$A:$G,7,0)</f>
        <v>400</v>
      </c>
      <c r="U247" s="4">
        <f>VLOOKUP(A247,[3]Sheet1!$A:$I,8,0)</f>
        <v>300</v>
      </c>
      <c r="V247" s="4">
        <f>VLOOKUP(A247,[3]Sheet1!$A:$J,9,0)</f>
        <v>100</v>
      </c>
      <c r="W247" s="4">
        <f>VLOOKUP(A247,[3]Sheet1!$A:$J,10,0)</f>
        <v>50</v>
      </c>
      <c r="X247" s="4">
        <f>VLOOKUP(A247,[3]Sheet1!$A:$K,11,0)</f>
        <v>50</v>
      </c>
      <c r="Y247" s="4">
        <f>VLOOKUP(A247,[3]Sheet1!$A:$L,12,0)</f>
        <v>50</v>
      </c>
      <c r="Z247" s="4">
        <f>VLOOKUP(A247,[3]Sheet1!$A:$M,13,0)</f>
        <v>50</v>
      </c>
      <c r="AA247" s="4">
        <f t="shared" si="64"/>
        <v>1600</v>
      </c>
      <c r="AB247" s="7">
        <f t="shared" si="55"/>
        <v>133</v>
      </c>
      <c r="AC247" s="15">
        <f t="shared" si="65"/>
        <v>133.33333333333334</v>
      </c>
      <c r="AD247" s="16">
        <f t="shared" si="66"/>
        <v>115152</v>
      </c>
      <c r="AE247" s="16">
        <f t="shared" si="67"/>
        <v>9596</v>
      </c>
      <c r="AF247" s="16">
        <v>21.52</v>
      </c>
      <c r="AG247" s="16">
        <v>71.97</v>
      </c>
      <c r="AH247" s="8">
        <f t="shared" si="68"/>
        <v>0.41786666666666639</v>
      </c>
      <c r="AI247" s="8">
        <f t="shared" si="69"/>
        <v>1.4625333333333324</v>
      </c>
      <c r="AJ247" s="10">
        <v>0.5</v>
      </c>
      <c r="AK247" s="10">
        <v>0.5</v>
      </c>
      <c r="AL247" s="16">
        <v>21.52</v>
      </c>
      <c r="AM247" s="9">
        <f t="shared" si="56"/>
        <v>10.795499999999999</v>
      </c>
      <c r="AN247" s="9">
        <f t="shared" si="57"/>
        <v>2.1591</v>
      </c>
      <c r="AO247" s="9">
        <f t="shared" si="58"/>
        <v>14.394</v>
      </c>
      <c r="AP247" s="9">
        <f t="shared" si="59"/>
        <v>1.4394</v>
      </c>
      <c r="AQ247" s="9">
        <f t="shared" si="60"/>
        <v>14.394</v>
      </c>
      <c r="AR247" s="9">
        <f t="shared" si="61"/>
        <v>17.9925</v>
      </c>
      <c r="AS247" s="11">
        <f t="shared" si="62"/>
        <v>4.1786666666666639</v>
      </c>
      <c r="AT247" s="12">
        <f t="shared" si="63"/>
        <v>1.7796666666666638</v>
      </c>
    </row>
    <row r="248" spans="1:46" ht="16.5" x14ac:dyDescent="0.4">
      <c r="A248" s="4" t="s">
        <v>1148</v>
      </c>
      <c r="B248" s="4" t="s">
        <v>513</v>
      </c>
      <c r="C248" s="7" t="s">
        <v>1790</v>
      </c>
      <c r="D248" s="4" t="s">
        <v>1149</v>
      </c>
      <c r="E248" s="4" t="s">
        <v>1150</v>
      </c>
      <c r="F248" s="4" t="s">
        <v>1151</v>
      </c>
      <c r="G248" s="7" t="str">
        <f>VLOOKUP(A248,[1]done!$A:$I,9,0)</f>
        <v>Lawn Fertilizer</v>
      </c>
      <c r="H248" s="7" t="str" cm="1">
        <f t="array" ref="H248">_xlfn.IFS(
OR(ISNUMBER(SEARCH("mouse",E248)),ISNUMBER(SEARCH("rat",E248)),ISNUMBER(SEARCH("mice",E248)),ISNUMBER(SEARCH("rodent",E248))),"Rodent Control",
OR(ISNUMBER(SEARCH("fly",E248)),ISNUMBER(SEARCH("gnat",E248)),ISNUMBER(SEARCH("insect",E248)),ISNUMBER(SEARCH("mosquito",E248))),"Flying Insect Control",
OR(ISNUMBER(SEARCH("roach",E248)),ISNUMBER(SEARCH("ant",E248)),ISNUMBER(SEARCH("spider",E248)),ISNUMBER(SEARCH("cricket",E248)),ISNUMBER(SEARCH("scorpion",E248)),ISNUMBER(SEARCH("centipede",E248)),ISNUMBER(SEARCH("beetle",E248))),"Crawling Insect Control",
OR(ISNUMBER(SEARCH("tree",E248)),ISNUMBER(SEARCH("lantern",E248)),ISNUMBER(SEARCH("garden",E248)),ISNUMBER(SEARCH("plant",E248))),"Garden Pest Control",
OR(ISNUMBER(SEARCH("grass seed",E248)),ISNUMBER(SEARCH("seed mix",E248))),"Grass Seed",
OR(ISNUMBER(SEARCH("lawn food",E248)),ISNUMBER(SEARCH("fertilizer",E248))),"Lawn Fertilizer",
OR(ISNUMBER(SEARCH("patch",E248)),ISNUMBER(SEARCH("repair",E248)),ISNUMBER(SEARCH("thick'r",E248)),ISNUMBER(SEARCH("thick'r lawn",E248)),ISNUMBER(SEARCH("rapid grass",E248))),"Lawn Repair",
OR(ISNUMBER(SEARCH("weed",E248)),ISNUMBER(SEARCH("crabgrass",E248))),"Weed Control",
OR(ISNUMBER(SEARCH("fungicide",E248)),ISNUMBER(SEARCH("moss",E248))),"Disease &amp; Moss Control",
OR(ISNUMBER(SEARCH("plant food",E248)),ISNUMBER(SEARCH("miracid",E248))),"Plant Nutrition",
OR(ISNUMBER(SEARCH("perlite",E248))),"Soil Amendment",
OR(ISNUMBER(SEARCH("spreader",E248)),ISNUMBER(SEARCH("sprayer",E248)),ISNUMBER(SEARCH("mower",E248)),ISNUMBER(SEARCH("sweeper",E248)),ISNUMBER(SEARCH("pruner",E248)),ISNUMBER(SEARCH("trimmer",E248)),ISNUMBER(SEARCH("pole saw",E248))),"Garden Equipment",
TRUE,"Other"
)</f>
        <v>Weed Control</v>
      </c>
      <c r="I248" s="7" t="str" cm="1">
        <f t="array" ref="I248">_xlfn.IFS(
OR(ISNUMBER(SEARCH("glue trap",E248)),ISNUMBER(SEARCH("glue board",E248))),"Glue Traps",
OR(ISNUMBER(SEARCH("snap trap",E248)),ISNUMBER(SEARCH("power-kill",E248)),ISNUMBER(SEARCH("wide pedal",E248)),ISNUMBER(SEARCH("metal pedal",E248))),"Snap Traps",
OR(ISNUMBER(SEARCH("electronic",E248)),ISNUMBER(SEARCH("zapper",E248))),"Electronic Traps",
OR(ISNUMBER(SEARCH("live catch",E248)),ISNUMBER(SEARCH("multi-catch",E248)),ISNUMBER(SEARCH("catch &amp; hold",E248)),ISNUMBER(SEARCH("tin cat",E248))),"Live Catch Traps",
OR(ISNUMBER(SEARCH("bait",E248)),ISNUMBER(SEARCH("poison",E248))),"Bait &amp; Poison",
ISNUMBER(SEARCH("repellent",E248)),"Repellents",
OR(ISNUMBER(SEARCH("fly trap",E248)),ISNUMBER(SEARCH("fly ribbon",E248)),ISNUMBER(SEARCH("fly stick",E248)),ISNUMBER(SEARCH("window fly",E248)),ISNUMBER(SEARCH("fly magnet",E248))),"Fly Traps",
OR(ISNUMBER(SEARCH("uv",E248)),ISNUMBER(SEARCH("fly light",E248)),ISNUMBER(SEARCH("plug-in",E248))),"UV Fly Traps",
ISNUMBER(SEARCH("roach",E248)),"Roach Traps",
ISNUMBER(SEARCH("ant",E248)),"Ant Traps",
ISNUMBER(SEARCH("spider",E248)),"Spider Traps",
ISNUMBER(SEARCH("mosquito",E248)),"Mosquito Traps",
ISNUMBER(SEARCH("beetle",E248)),"Beetle Traps",
ISNUMBER(SEARCH("lantern",E248)),"Lanternfly Control",
OR(ISNUMBER(SEARCH("tree shield",E248)),ISNUMBER(SEARCH("tree banding",E248)),ISNUMBER(SEARCH("insect barrier",E248))),"Tree Barriers",
OR(ISNUMBER(SEARCH("sun &amp; shade",E248)),ISNUMBER(SEARCH("sun and shade",E248))),"Sun &amp; Shade Mix",
ISNUMBER(SEARCH("tall fescue",E248)),"Tall Fescue",
ISNUMBER(SEARCH("bermudagrass",E248)),"Bermudagrass",
ISNUMBER(SEARCH("kentucky",E248)),"Kentucky Bluegrass",
ISNUMBER(SEARCH("zoysia",E248)),"Zoysia",
ISNUMBER(SEARCH("ryegrass",E248)),"Perennial Ryegrass",
ISNUMBER(SEARCH("centipede",E248)),"Centipede Grass",
ISNUMBER(SEARCH("dense shade",E248)),"Dense Shade Mix",
ISNUMBER(SEARCH("southern gold",E248)),"Southern Gold Mix",
ISNUMBER(SEARCH("heat-tolerant blue",E248)),"Heat-Tolerant Blue Mix",
ISNUMBER(SEARCH("high traffic",E248)),"High Traffic Mix",
ISNUMBER(SEARCH("quick fix",E248)),"Quick Fix Mix",
ISNUMBER(SEARCH("starter",E248)),"Starter Fertilizer",
ISNUMBER(SEARCH("weed &amp; feed",E248)),"Weed &amp; Feed",
ISNUMBER(SEARCH("lawn food",E248)),"Lawn Food",
ISNUMBER(SEARCH("triple action",E248)),"Triple Action Fertilizer",
ISNUMBER(SEARCH("green max",E248)),"Green Max Lawn Food",
ISNUMBER(SEARCH("patchmaster",E248)),"PatchMaster Repair",
ISNUMBER(SEARCH("ez seed",E248)),"EZ Seed Repair",
ISNUMBER(SEARCH("rapid grass",E248)),"Rapid Grass",
ISNUMBER(SEARCH("thick'r lawn",E248)),"Thick'R Lawn",
ISNUMBER(SEARCH("fungicide",E248)),"Fungicide",
ISNUMBER(SEARCH("moss",E248)),"Moss Control",
ISNUMBER(SEARCH("perlite",E248)),"Perlite",
ISNUMBER(SEARCH("plant food",E248)),"Plant Food",
ISNUMBER(SEARCH("spreader",E248)),"Spreader",
ISNUMBER(SEARCH("sprayer",E248)),"Sprayer",
ISNUMBER(SEARCH("mower",E248)),"Lawn Mower",
ISNUMBER(SEARCH("sweeper",E248)),"Lawn Sweeper",
OR(ISNUMBER(SEARCH("pruner",E248)),ISNUMBER(SEARCH("trimmer",E248)),ISNUMBER(SEARCH("pole saw",E248))),"Pruning Tools",
TRUE,"Other"
)</f>
        <v>Weed &amp; Feed</v>
      </c>
      <c r="J248" s="7" t="str">
        <f t="shared" si="54"/>
        <v>Weed Control - Weed &amp; Feed</v>
      </c>
      <c r="K248" s="4">
        <v>50</v>
      </c>
      <c r="L248" s="4">
        <v>4.4000000000000004</v>
      </c>
      <c r="M248" s="4">
        <v>36932</v>
      </c>
      <c r="N248" s="4" t="s">
        <v>536</v>
      </c>
      <c r="O248" s="4">
        <f>VLOOKUP(A248,[3]Sheet1!$A:$B,2,0)</f>
        <v>500</v>
      </c>
      <c r="P248" s="4">
        <f>VLOOKUP(A248,[3]Sheet1!$A:$C,3,0)</f>
        <v>500</v>
      </c>
      <c r="Q248" s="4">
        <f>VLOOKUP(A248,[3]Sheet1!$A:$D,4,0)</f>
        <v>4000</v>
      </c>
      <c r="R248" s="4">
        <f>VLOOKUP(A248,[3]Sheet1!$A:$E,5,0)</f>
        <v>3000</v>
      </c>
      <c r="S248" s="4">
        <f>VLOOKUP(A248,[3]Sheet1!$A:$F,6,0)</f>
        <v>10000</v>
      </c>
      <c r="T248" s="4">
        <f>VLOOKUP(A248,[3]Sheet1!$A:$G,7,0)</f>
        <v>10000</v>
      </c>
      <c r="U248" s="4">
        <f>VLOOKUP(A248,[3]Sheet1!$A:$I,8,0)</f>
        <v>0</v>
      </c>
      <c r="V248" s="4">
        <f>VLOOKUP(A248,[3]Sheet1!$A:$J,9,0)</f>
        <v>0</v>
      </c>
      <c r="W248" s="4">
        <f>VLOOKUP(A248,[3]Sheet1!$A:$J,10,0)</f>
        <v>0</v>
      </c>
      <c r="X248" s="4">
        <f>VLOOKUP(A248,[3]Sheet1!$A:$K,11,0)</f>
        <v>1000</v>
      </c>
      <c r="Y248" s="4">
        <f>VLOOKUP(A248,[3]Sheet1!$A:$L,12,0)</f>
        <v>750</v>
      </c>
      <c r="Z248" s="4">
        <f>VLOOKUP(A248,[3]Sheet1!$A:$M,13,0)</f>
        <v>250</v>
      </c>
      <c r="AA248" s="4">
        <f t="shared" si="64"/>
        <v>30000</v>
      </c>
      <c r="AB248" s="7">
        <f t="shared" si="55"/>
        <v>2500</v>
      </c>
      <c r="AC248" s="15">
        <f t="shared" si="65"/>
        <v>2500</v>
      </c>
      <c r="AD248" s="16">
        <f t="shared" si="66"/>
        <v>989700.00000000012</v>
      </c>
      <c r="AE248" s="16">
        <f t="shared" si="67"/>
        <v>82475</v>
      </c>
      <c r="AF248" s="16">
        <v>10.3</v>
      </c>
      <c r="AG248" s="16">
        <v>32.99</v>
      </c>
      <c r="AH248" s="8">
        <f t="shared" si="68"/>
        <v>0.12639999999999993</v>
      </c>
      <c r="AI248" s="8">
        <f t="shared" si="69"/>
        <v>0.44239999999999974</v>
      </c>
      <c r="AJ248" s="10">
        <v>0.5</v>
      </c>
      <c r="AK248" s="10">
        <v>0.5</v>
      </c>
      <c r="AL248" s="16">
        <v>10.3</v>
      </c>
      <c r="AM248" s="9">
        <f t="shared" si="56"/>
        <v>4.9485000000000001</v>
      </c>
      <c r="AN248" s="9">
        <f t="shared" si="57"/>
        <v>0.98970000000000002</v>
      </c>
      <c r="AO248" s="9">
        <f t="shared" si="58"/>
        <v>6.5980000000000008</v>
      </c>
      <c r="AP248" s="9">
        <f t="shared" si="59"/>
        <v>0.65980000000000005</v>
      </c>
      <c r="AQ248" s="9">
        <f t="shared" si="60"/>
        <v>6.5980000000000008</v>
      </c>
      <c r="AR248" s="9">
        <f t="shared" si="61"/>
        <v>8.2475000000000005</v>
      </c>
      <c r="AS248" s="11">
        <f t="shared" si="62"/>
        <v>1.2639999999999993</v>
      </c>
      <c r="AT248" s="12">
        <f t="shared" si="63"/>
        <v>0.16433333333333286</v>
      </c>
    </row>
    <row r="249" spans="1:46" ht="16.5" x14ac:dyDescent="0.4">
      <c r="A249" s="4" t="s">
        <v>1152</v>
      </c>
      <c r="B249" s="4" t="s">
        <v>513</v>
      </c>
      <c r="C249" s="7" t="s">
        <v>1784</v>
      </c>
      <c r="D249" s="4" t="s">
        <v>1153</v>
      </c>
      <c r="E249" s="4" t="s">
        <v>1154</v>
      </c>
      <c r="F249" s="4" t="s">
        <v>1155</v>
      </c>
      <c r="G249" s="7" t="str">
        <f>VLOOKUP(A249,[1]done!$A:$I,9,0)</f>
        <v>Lawn Fertilizer</v>
      </c>
      <c r="H249" s="7" t="str" cm="1">
        <f t="array" ref="H249">_xlfn.IFS(
OR(ISNUMBER(SEARCH("mouse",E249)),ISNUMBER(SEARCH("rat",E249)),ISNUMBER(SEARCH("mice",E249)),ISNUMBER(SEARCH("rodent",E249))),"Rodent Control",
OR(ISNUMBER(SEARCH("fly",E249)),ISNUMBER(SEARCH("gnat",E249)),ISNUMBER(SEARCH("insect",E249)),ISNUMBER(SEARCH("mosquito",E249))),"Flying Insect Control",
OR(ISNUMBER(SEARCH("roach",E249)),ISNUMBER(SEARCH("ant",E249)),ISNUMBER(SEARCH("spider",E249)),ISNUMBER(SEARCH("cricket",E249)),ISNUMBER(SEARCH("scorpion",E249)),ISNUMBER(SEARCH("centipede",E249)),ISNUMBER(SEARCH("beetle",E249))),"Crawling Insect Control",
OR(ISNUMBER(SEARCH("tree",E249)),ISNUMBER(SEARCH("lantern",E249)),ISNUMBER(SEARCH("garden",E249)),ISNUMBER(SEARCH("plant",E249))),"Garden Pest Control",
OR(ISNUMBER(SEARCH("grass seed",E249)),ISNUMBER(SEARCH("seed mix",E249))),"Grass Seed",
OR(ISNUMBER(SEARCH("lawn food",E249)),ISNUMBER(SEARCH("fertilizer",E249))),"Lawn Fertilizer",
OR(ISNUMBER(SEARCH("patch",E249)),ISNUMBER(SEARCH("repair",E249)),ISNUMBER(SEARCH("thick'r",E249)),ISNUMBER(SEARCH("thick'r lawn",E249)),ISNUMBER(SEARCH("rapid grass",E249))),"Lawn Repair",
OR(ISNUMBER(SEARCH("weed",E249)),ISNUMBER(SEARCH("crabgrass",E249))),"Weed Control",
OR(ISNUMBER(SEARCH("fungicide",E249)),ISNUMBER(SEARCH("moss",E249))),"Disease &amp; Moss Control",
OR(ISNUMBER(SEARCH("plant food",E249)),ISNUMBER(SEARCH("miracid",E249))),"Plant Nutrition",
OR(ISNUMBER(SEARCH("perlite",E249))),"Soil Amendment",
OR(ISNUMBER(SEARCH("spreader",E249)),ISNUMBER(SEARCH("sprayer",E249)),ISNUMBER(SEARCH("mower",E249)),ISNUMBER(SEARCH("sweeper",E249)),ISNUMBER(SEARCH("pruner",E249)),ISNUMBER(SEARCH("trimmer",E249)),ISNUMBER(SEARCH("pole saw",E249))),"Garden Equipment",
TRUE,"Other"
)</f>
        <v>Lawn Repair</v>
      </c>
      <c r="I249" s="7" t="str" cm="1">
        <f t="array" ref="I249">_xlfn.IFS(
OR(ISNUMBER(SEARCH("glue trap",E249)),ISNUMBER(SEARCH("glue board",E249))),"Glue Traps",
OR(ISNUMBER(SEARCH("snap trap",E249)),ISNUMBER(SEARCH("power-kill",E249)),ISNUMBER(SEARCH("wide pedal",E249)),ISNUMBER(SEARCH("metal pedal",E249))),"Snap Traps",
OR(ISNUMBER(SEARCH("electronic",E249)),ISNUMBER(SEARCH("zapper",E249))),"Electronic Traps",
OR(ISNUMBER(SEARCH("live catch",E249)),ISNUMBER(SEARCH("multi-catch",E249)),ISNUMBER(SEARCH("catch &amp; hold",E249)),ISNUMBER(SEARCH("tin cat",E249))),"Live Catch Traps",
OR(ISNUMBER(SEARCH("bait",E249)),ISNUMBER(SEARCH("poison",E249))),"Bait &amp; Poison",
ISNUMBER(SEARCH("repellent",E249)),"Repellents",
OR(ISNUMBER(SEARCH("fly trap",E249)),ISNUMBER(SEARCH("fly ribbon",E249)),ISNUMBER(SEARCH("fly stick",E249)),ISNUMBER(SEARCH("window fly",E249)),ISNUMBER(SEARCH("fly magnet",E249))),"Fly Traps",
OR(ISNUMBER(SEARCH("uv",E249)),ISNUMBER(SEARCH("fly light",E249)),ISNUMBER(SEARCH("plug-in",E249))),"UV Fly Traps",
ISNUMBER(SEARCH("roach",E249)),"Roach Traps",
ISNUMBER(SEARCH("ant",E249)),"Ant Traps",
ISNUMBER(SEARCH("spider",E249)),"Spider Traps",
ISNUMBER(SEARCH("mosquito",E249)),"Mosquito Traps",
ISNUMBER(SEARCH("beetle",E249)),"Beetle Traps",
ISNUMBER(SEARCH("lantern",E249)),"Lanternfly Control",
OR(ISNUMBER(SEARCH("tree shield",E249)),ISNUMBER(SEARCH("tree banding",E249)),ISNUMBER(SEARCH("insect barrier",E249))),"Tree Barriers",
OR(ISNUMBER(SEARCH("sun &amp; shade",E249)),ISNUMBER(SEARCH("sun and shade",E249))),"Sun &amp; Shade Mix",
ISNUMBER(SEARCH("tall fescue",E249)),"Tall Fescue",
ISNUMBER(SEARCH("bermudagrass",E249)),"Bermudagrass",
ISNUMBER(SEARCH("kentucky",E249)),"Kentucky Bluegrass",
ISNUMBER(SEARCH("zoysia",E249)),"Zoysia",
ISNUMBER(SEARCH("ryegrass",E249)),"Perennial Ryegrass",
ISNUMBER(SEARCH("centipede",E249)),"Centipede Grass",
ISNUMBER(SEARCH("dense shade",E249)),"Dense Shade Mix",
ISNUMBER(SEARCH("southern gold",E249)),"Southern Gold Mix",
ISNUMBER(SEARCH("heat-tolerant blue",E249)),"Heat-Tolerant Blue Mix",
ISNUMBER(SEARCH("high traffic",E249)),"High Traffic Mix",
ISNUMBER(SEARCH("quick fix",E249)),"Quick Fix Mix",
ISNUMBER(SEARCH("starter",E249)),"Starter Fertilizer",
ISNUMBER(SEARCH("weed &amp; feed",E249)),"Weed &amp; Feed",
ISNUMBER(SEARCH("lawn food",E249)),"Lawn Food",
ISNUMBER(SEARCH("triple action",E249)),"Triple Action Fertilizer",
ISNUMBER(SEARCH("green max",E249)),"Green Max Lawn Food",
ISNUMBER(SEARCH("patchmaster",E249)),"PatchMaster Repair",
ISNUMBER(SEARCH("ez seed",E249)),"EZ Seed Repair",
ISNUMBER(SEARCH("rapid grass",E249)),"Rapid Grass",
ISNUMBER(SEARCH("thick'r lawn",E249)),"Thick'R Lawn",
ISNUMBER(SEARCH("fungicide",E249)),"Fungicide",
ISNUMBER(SEARCH("moss",E249)),"Moss Control",
ISNUMBER(SEARCH("perlite",E249)),"Perlite",
ISNUMBER(SEARCH("plant food",E249)),"Plant Food",
ISNUMBER(SEARCH("spreader",E249)),"Spreader",
ISNUMBER(SEARCH("sprayer",E249)),"Sprayer",
ISNUMBER(SEARCH("mower",E249)),"Lawn Mower",
ISNUMBER(SEARCH("sweeper",E249)),"Lawn Sweeper",
OR(ISNUMBER(SEARCH("pruner",E249)),ISNUMBER(SEARCH("trimmer",E249)),ISNUMBER(SEARCH("pole saw",E249))),"Pruning Tools",
TRUE,"Other"
)</f>
        <v>Sun &amp; Shade Mix</v>
      </c>
      <c r="J249" s="7" t="str">
        <f t="shared" si="54"/>
        <v>Lawn Repair - Sun &amp; Shade Mix</v>
      </c>
      <c r="K249" s="4">
        <v>50</v>
      </c>
      <c r="L249" s="4">
        <v>4.2</v>
      </c>
      <c r="M249" s="4">
        <v>13639</v>
      </c>
      <c r="N249" s="4" t="s">
        <v>890</v>
      </c>
      <c r="O249" s="4">
        <f>VLOOKUP(A249,[3]Sheet1!$A:$B,2,0)</f>
        <v>0</v>
      </c>
      <c r="P249" s="4">
        <f>VLOOKUP(A249,[3]Sheet1!$A:$C,3,0)</f>
        <v>500</v>
      </c>
      <c r="Q249" s="4">
        <f>VLOOKUP(A249,[3]Sheet1!$A:$D,4,0)</f>
        <v>7000</v>
      </c>
      <c r="R249" s="4">
        <f>VLOOKUP(A249,[3]Sheet1!$A:$E,5,0)</f>
        <v>6000</v>
      </c>
      <c r="S249" s="4">
        <f>VLOOKUP(A249,[3]Sheet1!$A:$F,6,0)</f>
        <v>9000</v>
      </c>
      <c r="T249" s="4">
        <f>VLOOKUP(A249,[3]Sheet1!$A:$G,7,0)</f>
        <v>3000</v>
      </c>
      <c r="U249" s="4">
        <f>VLOOKUP(A249,[3]Sheet1!$A:$I,8,0)</f>
        <v>2000</v>
      </c>
      <c r="V249" s="4">
        <f>VLOOKUP(A249,[3]Sheet1!$A:$J,9,0)</f>
        <v>1000</v>
      </c>
      <c r="W249" s="4">
        <f>VLOOKUP(A249,[3]Sheet1!$A:$J,10,0)</f>
        <v>0</v>
      </c>
      <c r="X249" s="4">
        <f>VLOOKUP(A249,[3]Sheet1!$A:$K,11,0)</f>
        <v>3000</v>
      </c>
      <c r="Y249" s="4">
        <f>VLOOKUP(A249,[3]Sheet1!$A:$L,12,0)</f>
        <v>500</v>
      </c>
      <c r="Z249" s="4">
        <f>VLOOKUP(A249,[3]Sheet1!$A:$M,13,0)</f>
        <v>500</v>
      </c>
      <c r="AA249" s="4">
        <f t="shared" si="64"/>
        <v>32500</v>
      </c>
      <c r="AB249" s="7">
        <f t="shared" si="55"/>
        <v>2708</v>
      </c>
      <c r="AC249" s="15">
        <f t="shared" si="65"/>
        <v>2708.3333333333335</v>
      </c>
      <c r="AD249" s="16">
        <f t="shared" si="66"/>
        <v>1039675</v>
      </c>
      <c r="AE249" s="16">
        <f t="shared" si="67"/>
        <v>86639.583333333328</v>
      </c>
      <c r="AF249" s="16">
        <v>14.21</v>
      </c>
      <c r="AG249" s="16">
        <v>31.99</v>
      </c>
      <c r="AH249" s="8">
        <f t="shared" si="68"/>
        <v>-0.16093333333333346</v>
      </c>
      <c r="AI249" s="8">
        <f t="shared" si="69"/>
        <v>-0.56326666666666703</v>
      </c>
      <c r="AJ249" s="10">
        <v>0.5</v>
      </c>
      <c r="AK249" s="10">
        <v>0.5</v>
      </c>
      <c r="AL249" s="16">
        <v>14.21</v>
      </c>
      <c r="AM249" s="9">
        <f t="shared" si="56"/>
        <v>4.7984999999999998</v>
      </c>
      <c r="AN249" s="9">
        <f t="shared" si="57"/>
        <v>0.95969999999999989</v>
      </c>
      <c r="AO249" s="9">
        <f t="shared" si="58"/>
        <v>6.3979999999999997</v>
      </c>
      <c r="AP249" s="9">
        <f t="shared" si="59"/>
        <v>0.63980000000000004</v>
      </c>
      <c r="AQ249" s="9">
        <f t="shared" si="60"/>
        <v>6.3979999999999997</v>
      </c>
      <c r="AR249" s="9">
        <f t="shared" si="61"/>
        <v>7.9974999999999996</v>
      </c>
      <c r="AS249" s="11">
        <f t="shared" si="62"/>
        <v>-1.6093333333333344</v>
      </c>
      <c r="AT249" s="12">
        <f t="shared" si="63"/>
        <v>-2.6756666666666677</v>
      </c>
    </row>
    <row r="250" spans="1:46" ht="16.5" x14ac:dyDescent="0.4">
      <c r="A250" s="4" t="s">
        <v>1156</v>
      </c>
      <c r="B250" s="4" t="s">
        <v>513</v>
      </c>
      <c r="C250" s="7" t="s">
        <v>1789</v>
      </c>
      <c r="D250" s="4" t="s">
        <v>1157</v>
      </c>
      <c r="E250" s="4" t="s">
        <v>1158</v>
      </c>
      <c r="F250" s="4" t="s">
        <v>1159</v>
      </c>
      <c r="G250" s="7" t="str">
        <f>VLOOKUP(A250,[1]done!$A:$I,9,0)</f>
        <v>Other crawling insects</v>
      </c>
      <c r="H250" s="7" t="str" cm="1">
        <f t="array" ref="H250">_xlfn.IFS(
OR(ISNUMBER(SEARCH("mouse",E250)),ISNUMBER(SEARCH("rat",E250)),ISNUMBER(SEARCH("mice",E250)),ISNUMBER(SEARCH("rodent",E250))),"Rodent Control",
OR(ISNUMBER(SEARCH("fly",E250)),ISNUMBER(SEARCH("gnat",E250)),ISNUMBER(SEARCH("insect",E250)),ISNUMBER(SEARCH("mosquito",E250))),"Flying Insect Control",
OR(ISNUMBER(SEARCH("roach",E250)),ISNUMBER(SEARCH("ant",E250)),ISNUMBER(SEARCH("spider",E250)),ISNUMBER(SEARCH("cricket",E250)),ISNUMBER(SEARCH("scorpion",E250)),ISNUMBER(SEARCH("centipede",E250)),ISNUMBER(SEARCH("beetle",E250))),"Crawling Insect Control",
OR(ISNUMBER(SEARCH("tree",E250)),ISNUMBER(SEARCH("lantern",E250)),ISNUMBER(SEARCH("garden",E250)),ISNUMBER(SEARCH("plant",E250))),"Garden Pest Control",
OR(ISNUMBER(SEARCH("grass seed",E250)),ISNUMBER(SEARCH("seed mix",E250))),"Grass Seed",
OR(ISNUMBER(SEARCH("lawn food",E250)),ISNUMBER(SEARCH("fertilizer",E250))),"Lawn Fertilizer",
OR(ISNUMBER(SEARCH("patch",E250)),ISNUMBER(SEARCH("repair",E250)),ISNUMBER(SEARCH("thick'r",E250)),ISNUMBER(SEARCH("thick'r lawn",E250)),ISNUMBER(SEARCH("rapid grass",E250))),"Lawn Repair",
OR(ISNUMBER(SEARCH("weed",E250)),ISNUMBER(SEARCH("crabgrass",E250))),"Weed Control",
OR(ISNUMBER(SEARCH("fungicide",E250)),ISNUMBER(SEARCH("moss",E250))),"Disease &amp; Moss Control",
OR(ISNUMBER(SEARCH("plant food",E250)),ISNUMBER(SEARCH("miracid",E250))),"Plant Nutrition",
OR(ISNUMBER(SEARCH("perlite",E250))),"Soil Amendment",
OR(ISNUMBER(SEARCH("spreader",E250)),ISNUMBER(SEARCH("sprayer",E250)),ISNUMBER(SEARCH("mower",E250)),ISNUMBER(SEARCH("sweeper",E250)),ISNUMBER(SEARCH("pruner",E250)),ISNUMBER(SEARCH("trimmer",E250)),ISNUMBER(SEARCH("pole saw",E250))),"Garden Equipment",
TRUE,"Other"
)</f>
        <v>Rodent Control</v>
      </c>
      <c r="I250" s="7" t="str" cm="1">
        <f t="array" ref="I250">_xlfn.IFS(
OR(ISNUMBER(SEARCH("glue trap",E250)),ISNUMBER(SEARCH("glue board",E250))),"Glue Traps",
OR(ISNUMBER(SEARCH("snap trap",E250)),ISNUMBER(SEARCH("power-kill",E250)),ISNUMBER(SEARCH("wide pedal",E250)),ISNUMBER(SEARCH("metal pedal",E250))),"Snap Traps",
OR(ISNUMBER(SEARCH("electronic",E250)),ISNUMBER(SEARCH("zapper",E250))),"Electronic Traps",
OR(ISNUMBER(SEARCH("live catch",E250)),ISNUMBER(SEARCH("multi-catch",E250)),ISNUMBER(SEARCH("catch &amp; hold",E250)),ISNUMBER(SEARCH("tin cat",E250))),"Live Catch Traps",
OR(ISNUMBER(SEARCH("bait",E250)),ISNUMBER(SEARCH("poison",E250))),"Bait &amp; Poison",
ISNUMBER(SEARCH("repellent",E250)),"Repellents",
OR(ISNUMBER(SEARCH("fly trap",E250)),ISNUMBER(SEARCH("fly ribbon",E250)),ISNUMBER(SEARCH("fly stick",E250)),ISNUMBER(SEARCH("window fly",E250)),ISNUMBER(SEARCH("fly magnet",E250))),"Fly Traps",
OR(ISNUMBER(SEARCH("uv",E250)),ISNUMBER(SEARCH("fly light",E250)),ISNUMBER(SEARCH("plug-in",E250))),"UV Fly Traps",
ISNUMBER(SEARCH("roach",E250)),"Roach Traps",
ISNUMBER(SEARCH("ant",E250)),"Ant Traps",
ISNUMBER(SEARCH("spider",E250)),"Spider Traps",
ISNUMBER(SEARCH("mosquito",E250)),"Mosquito Traps",
ISNUMBER(SEARCH("beetle",E250)),"Beetle Traps",
ISNUMBER(SEARCH("lantern",E250)),"Lanternfly Control",
OR(ISNUMBER(SEARCH("tree shield",E250)),ISNUMBER(SEARCH("tree banding",E250)),ISNUMBER(SEARCH("insect barrier",E250))),"Tree Barriers",
OR(ISNUMBER(SEARCH("sun &amp; shade",E250)),ISNUMBER(SEARCH("sun and shade",E250))),"Sun &amp; Shade Mix",
ISNUMBER(SEARCH("tall fescue",E250)),"Tall Fescue",
ISNUMBER(SEARCH("bermudagrass",E250)),"Bermudagrass",
ISNUMBER(SEARCH("kentucky",E250)),"Kentucky Bluegrass",
ISNUMBER(SEARCH("zoysia",E250)),"Zoysia",
ISNUMBER(SEARCH("ryegrass",E250)),"Perennial Ryegrass",
ISNUMBER(SEARCH("centipede",E250)),"Centipede Grass",
ISNUMBER(SEARCH("dense shade",E250)),"Dense Shade Mix",
ISNUMBER(SEARCH("southern gold",E250)),"Southern Gold Mix",
ISNUMBER(SEARCH("heat-tolerant blue",E250)),"Heat-Tolerant Blue Mix",
ISNUMBER(SEARCH("high traffic",E250)),"High Traffic Mix",
ISNUMBER(SEARCH("quick fix",E250)),"Quick Fix Mix",
ISNUMBER(SEARCH("starter",E250)),"Starter Fertilizer",
ISNUMBER(SEARCH("weed &amp; feed",E250)),"Weed &amp; Feed",
ISNUMBER(SEARCH("lawn food",E250)),"Lawn Food",
ISNUMBER(SEARCH("triple action",E250)),"Triple Action Fertilizer",
ISNUMBER(SEARCH("green max",E250)),"Green Max Lawn Food",
ISNUMBER(SEARCH("patchmaster",E250)),"PatchMaster Repair",
ISNUMBER(SEARCH("ez seed",E250)),"EZ Seed Repair",
ISNUMBER(SEARCH("rapid grass",E250)),"Rapid Grass",
ISNUMBER(SEARCH("thick'r lawn",E250)),"Thick'R Lawn",
ISNUMBER(SEARCH("fungicide",E250)),"Fungicide",
ISNUMBER(SEARCH("moss",E250)),"Moss Control",
ISNUMBER(SEARCH("perlite",E250)),"Perlite",
ISNUMBER(SEARCH("plant food",E250)),"Plant Food",
ISNUMBER(SEARCH("spreader",E250)),"Spreader",
ISNUMBER(SEARCH("sprayer",E250)),"Sprayer",
ISNUMBER(SEARCH("mower",E250)),"Lawn Mower",
ISNUMBER(SEARCH("sweeper",E250)),"Lawn Sweeper",
OR(ISNUMBER(SEARCH("pruner",E250)),ISNUMBER(SEARCH("trimmer",E250)),ISNUMBER(SEARCH("pole saw",E250))),"Pruning Tools",
TRUE,"Other"
)</f>
        <v>Ant Traps</v>
      </c>
      <c r="J250" s="7" t="str">
        <f t="shared" si="54"/>
        <v>Rodent Control - Ant Traps</v>
      </c>
      <c r="K250" s="4">
        <v>50</v>
      </c>
      <c r="L250" s="4">
        <v>4.8</v>
      </c>
      <c r="M250" s="4">
        <v>11808</v>
      </c>
      <c r="N250" s="4" t="s">
        <v>197</v>
      </c>
      <c r="O250" s="4">
        <f>VLOOKUP(A250,[3]Sheet1!$A:$B,2,0)</f>
        <v>100</v>
      </c>
      <c r="P250" s="4">
        <f>VLOOKUP(A250,[3]Sheet1!$A:$C,3,0)</f>
        <v>100</v>
      </c>
      <c r="Q250" s="4">
        <f>VLOOKUP(A250,[3]Sheet1!$A:$D,4,0)</f>
        <v>200</v>
      </c>
      <c r="R250" s="4">
        <f>VLOOKUP(A250,[3]Sheet1!$A:$E,5,0)</f>
        <v>300</v>
      </c>
      <c r="S250" s="4">
        <f>VLOOKUP(A250,[3]Sheet1!$A:$F,6,0)</f>
        <v>1000</v>
      </c>
      <c r="T250" s="4">
        <f>VLOOKUP(A250,[3]Sheet1!$A:$G,7,0)</f>
        <v>500</v>
      </c>
      <c r="U250" s="4">
        <f>VLOOKUP(A250,[3]Sheet1!$A:$I,8,0)</f>
        <v>100</v>
      </c>
      <c r="V250" s="4">
        <f>VLOOKUP(A250,[3]Sheet1!$A:$J,9,0)</f>
        <v>100</v>
      </c>
      <c r="W250" s="4">
        <f>VLOOKUP(A250,[3]Sheet1!$A:$J,10,0)</f>
        <v>100</v>
      </c>
      <c r="X250" s="4">
        <f>VLOOKUP(A250,[3]Sheet1!$A:$K,11,0)</f>
        <v>400</v>
      </c>
      <c r="Y250" s="4">
        <f>VLOOKUP(A250,[3]Sheet1!$A:$L,12,0)</f>
        <v>100</v>
      </c>
      <c r="Z250" s="4">
        <f>VLOOKUP(A250,[3]Sheet1!$A:$M,13,0)</f>
        <v>50</v>
      </c>
      <c r="AA250" s="4">
        <f t="shared" si="64"/>
        <v>3050</v>
      </c>
      <c r="AB250" s="7">
        <f t="shared" si="55"/>
        <v>254</v>
      </c>
      <c r="AC250" s="15">
        <f t="shared" si="65"/>
        <v>254.16666666666666</v>
      </c>
      <c r="AD250" s="16">
        <f t="shared" si="66"/>
        <v>86864</v>
      </c>
      <c r="AE250" s="16">
        <f t="shared" si="67"/>
        <v>7238.6666666666661</v>
      </c>
      <c r="AF250" s="16">
        <v>18.989999999999998</v>
      </c>
      <c r="AG250" s="16">
        <v>28.48</v>
      </c>
      <c r="AH250" s="8">
        <f t="shared" si="68"/>
        <v>-0.57319999999999993</v>
      </c>
      <c r="AI250" s="8">
        <f t="shared" si="69"/>
        <v>-2.0061999999999998</v>
      </c>
      <c r="AJ250" s="10">
        <v>0.5</v>
      </c>
      <c r="AK250" s="10">
        <v>0.5</v>
      </c>
      <c r="AL250" s="16">
        <v>18.989999999999998</v>
      </c>
      <c r="AM250" s="9">
        <f t="shared" si="56"/>
        <v>4.2720000000000002</v>
      </c>
      <c r="AN250" s="9">
        <f t="shared" si="57"/>
        <v>0.85439999999999994</v>
      </c>
      <c r="AO250" s="9">
        <f t="shared" si="58"/>
        <v>5.6960000000000006</v>
      </c>
      <c r="AP250" s="9">
        <f t="shared" si="59"/>
        <v>0.5696</v>
      </c>
      <c r="AQ250" s="9">
        <f t="shared" si="60"/>
        <v>5.6960000000000006</v>
      </c>
      <c r="AR250" s="9">
        <f t="shared" si="61"/>
        <v>7.12</v>
      </c>
      <c r="AS250" s="11">
        <f t="shared" si="62"/>
        <v>-5.7319999999999993</v>
      </c>
      <c r="AT250" s="12">
        <f t="shared" si="63"/>
        <v>-6.681333333333332</v>
      </c>
    </row>
    <row r="251" spans="1:46" ht="16.5" x14ac:dyDescent="0.4">
      <c r="A251" s="4" t="s">
        <v>1160</v>
      </c>
      <c r="B251" s="4" t="s">
        <v>513</v>
      </c>
      <c r="C251" s="7" t="s">
        <v>1784</v>
      </c>
      <c r="D251" s="4" t="s">
        <v>1161</v>
      </c>
      <c r="E251" s="4" t="s">
        <v>1162</v>
      </c>
      <c r="F251" s="4" t="s">
        <v>1163</v>
      </c>
      <c r="G251" s="7" t="str">
        <f>VLOOKUP(A251,[1]done!$A:$I,9,0)</f>
        <v>Lawn Fertilizer</v>
      </c>
      <c r="H251" s="7" t="str" cm="1">
        <f t="array" ref="H251">_xlfn.IFS(
OR(ISNUMBER(SEARCH("mouse",E251)),ISNUMBER(SEARCH("rat",E251)),ISNUMBER(SEARCH("mice",E251)),ISNUMBER(SEARCH("rodent",E251))),"Rodent Control",
OR(ISNUMBER(SEARCH("fly",E251)),ISNUMBER(SEARCH("gnat",E251)),ISNUMBER(SEARCH("insect",E251)),ISNUMBER(SEARCH("mosquito",E251))),"Flying Insect Control",
OR(ISNUMBER(SEARCH("roach",E251)),ISNUMBER(SEARCH("ant",E251)),ISNUMBER(SEARCH("spider",E251)),ISNUMBER(SEARCH("cricket",E251)),ISNUMBER(SEARCH("scorpion",E251)),ISNUMBER(SEARCH("centipede",E251)),ISNUMBER(SEARCH("beetle",E251))),"Crawling Insect Control",
OR(ISNUMBER(SEARCH("tree",E251)),ISNUMBER(SEARCH("lantern",E251)),ISNUMBER(SEARCH("garden",E251)),ISNUMBER(SEARCH("plant",E251))),"Garden Pest Control",
OR(ISNUMBER(SEARCH("grass seed",E251)),ISNUMBER(SEARCH("seed mix",E251))),"Grass Seed",
OR(ISNUMBER(SEARCH("lawn food",E251)),ISNUMBER(SEARCH("fertilizer",E251))),"Lawn Fertilizer",
OR(ISNUMBER(SEARCH("patch",E251)),ISNUMBER(SEARCH("repair",E251)),ISNUMBER(SEARCH("thick'r",E251)),ISNUMBER(SEARCH("thick'r lawn",E251)),ISNUMBER(SEARCH("rapid grass",E251))),"Lawn Repair",
OR(ISNUMBER(SEARCH("weed",E251)),ISNUMBER(SEARCH("crabgrass",E251))),"Weed Control",
OR(ISNUMBER(SEARCH("fungicide",E251)),ISNUMBER(SEARCH("moss",E251))),"Disease &amp; Moss Control",
OR(ISNUMBER(SEARCH("plant food",E251)),ISNUMBER(SEARCH("miracid",E251))),"Plant Nutrition",
OR(ISNUMBER(SEARCH("perlite",E251))),"Soil Amendment",
OR(ISNUMBER(SEARCH("spreader",E251)),ISNUMBER(SEARCH("sprayer",E251)),ISNUMBER(SEARCH("mower",E251)),ISNUMBER(SEARCH("sweeper",E251)),ISNUMBER(SEARCH("pruner",E251)),ISNUMBER(SEARCH("trimmer",E251)),ISNUMBER(SEARCH("pole saw",E251))),"Garden Equipment",
TRUE,"Other"
)</f>
        <v>Lawn Fertilizer</v>
      </c>
      <c r="I251" s="7" t="str" cm="1">
        <f t="array" ref="I251">_xlfn.IFS(
OR(ISNUMBER(SEARCH("glue trap",E251)),ISNUMBER(SEARCH("glue board",E251))),"Glue Traps",
OR(ISNUMBER(SEARCH("snap trap",E251)),ISNUMBER(SEARCH("power-kill",E251)),ISNUMBER(SEARCH("wide pedal",E251)),ISNUMBER(SEARCH("metal pedal",E251))),"Snap Traps",
OR(ISNUMBER(SEARCH("electronic",E251)),ISNUMBER(SEARCH("zapper",E251))),"Electronic Traps",
OR(ISNUMBER(SEARCH("live catch",E251)),ISNUMBER(SEARCH("multi-catch",E251)),ISNUMBER(SEARCH("catch &amp; hold",E251)),ISNUMBER(SEARCH("tin cat",E251))),"Live Catch Traps",
OR(ISNUMBER(SEARCH("bait",E251)),ISNUMBER(SEARCH("poison",E251))),"Bait &amp; Poison",
ISNUMBER(SEARCH("repellent",E251)),"Repellents",
OR(ISNUMBER(SEARCH("fly trap",E251)),ISNUMBER(SEARCH("fly ribbon",E251)),ISNUMBER(SEARCH("fly stick",E251)),ISNUMBER(SEARCH("window fly",E251)),ISNUMBER(SEARCH("fly magnet",E251))),"Fly Traps",
OR(ISNUMBER(SEARCH("uv",E251)),ISNUMBER(SEARCH("fly light",E251)),ISNUMBER(SEARCH("plug-in",E251))),"UV Fly Traps",
ISNUMBER(SEARCH("roach",E251)),"Roach Traps",
ISNUMBER(SEARCH("ant",E251)),"Ant Traps",
ISNUMBER(SEARCH("spider",E251)),"Spider Traps",
ISNUMBER(SEARCH("mosquito",E251)),"Mosquito Traps",
ISNUMBER(SEARCH("beetle",E251)),"Beetle Traps",
ISNUMBER(SEARCH("lantern",E251)),"Lanternfly Control",
OR(ISNUMBER(SEARCH("tree shield",E251)),ISNUMBER(SEARCH("tree banding",E251)),ISNUMBER(SEARCH("insect barrier",E251))),"Tree Barriers",
OR(ISNUMBER(SEARCH("sun &amp; shade",E251)),ISNUMBER(SEARCH("sun and shade",E251))),"Sun &amp; Shade Mix",
ISNUMBER(SEARCH("tall fescue",E251)),"Tall Fescue",
ISNUMBER(SEARCH("bermudagrass",E251)),"Bermudagrass",
ISNUMBER(SEARCH("kentucky",E251)),"Kentucky Bluegrass",
ISNUMBER(SEARCH("zoysia",E251)),"Zoysia",
ISNUMBER(SEARCH("ryegrass",E251)),"Perennial Ryegrass",
ISNUMBER(SEARCH("centipede",E251)),"Centipede Grass",
ISNUMBER(SEARCH("dense shade",E251)),"Dense Shade Mix",
ISNUMBER(SEARCH("southern gold",E251)),"Southern Gold Mix",
ISNUMBER(SEARCH("heat-tolerant blue",E251)),"Heat-Tolerant Blue Mix",
ISNUMBER(SEARCH("high traffic",E251)),"High Traffic Mix",
ISNUMBER(SEARCH("quick fix",E251)),"Quick Fix Mix",
ISNUMBER(SEARCH("starter",E251)),"Starter Fertilizer",
ISNUMBER(SEARCH("weed &amp; feed",E251)),"Weed &amp; Feed",
ISNUMBER(SEARCH("lawn food",E251)),"Lawn Food",
ISNUMBER(SEARCH("triple action",E251)),"Triple Action Fertilizer",
ISNUMBER(SEARCH("green max",E251)),"Green Max Lawn Food",
ISNUMBER(SEARCH("patchmaster",E251)),"PatchMaster Repair",
ISNUMBER(SEARCH("ez seed",E251)),"EZ Seed Repair",
ISNUMBER(SEARCH("rapid grass",E251)),"Rapid Grass",
ISNUMBER(SEARCH("thick'r lawn",E251)),"Thick'R Lawn",
ISNUMBER(SEARCH("fungicide",E251)),"Fungicide",
ISNUMBER(SEARCH("moss",E251)),"Moss Control",
ISNUMBER(SEARCH("perlite",E251)),"Perlite",
ISNUMBER(SEARCH("plant food",E251)),"Plant Food",
ISNUMBER(SEARCH("spreader",E251)),"Spreader",
ISNUMBER(SEARCH("sprayer",E251)),"Sprayer",
ISNUMBER(SEARCH("mower",E251)),"Lawn Mower",
ISNUMBER(SEARCH("sweeper",E251)),"Lawn Sweeper",
OR(ISNUMBER(SEARCH("pruner",E251)),ISNUMBER(SEARCH("trimmer",E251)),ISNUMBER(SEARCH("pole saw",E251))),"Pruning Tools",
TRUE,"Other"
)</f>
        <v>Lawn Food</v>
      </c>
      <c r="J251" s="7" t="str">
        <f t="shared" si="54"/>
        <v>Lawn Fertilizer - Lawn Food</v>
      </c>
      <c r="K251" s="4">
        <v>50</v>
      </c>
      <c r="N251" s="4" t="s">
        <v>526</v>
      </c>
      <c r="O251" s="4">
        <f>VLOOKUP(A251,[3]Sheet1!$A:$B,2,0)</f>
        <v>0</v>
      </c>
      <c r="P251" s="4">
        <f>VLOOKUP(A251,[3]Sheet1!$A:$C,3,0)</f>
        <v>60</v>
      </c>
      <c r="Q251" s="4">
        <f>VLOOKUP(A251,[3]Sheet1!$A:$D,4,0)</f>
        <v>60</v>
      </c>
      <c r="R251" s="4">
        <f>VLOOKUP(A251,[3]Sheet1!$A:$E,5,0)</f>
        <v>100</v>
      </c>
      <c r="S251" s="4">
        <f>VLOOKUP(A251,[3]Sheet1!$A:$F,6,0)</f>
        <v>600</v>
      </c>
      <c r="T251" s="4">
        <f>VLOOKUP(A251,[3]Sheet1!$A:$G,7,0)</f>
        <v>500</v>
      </c>
      <c r="U251" s="4">
        <f>VLOOKUP(A251,[3]Sheet1!$A:$I,8,0)</f>
        <v>300</v>
      </c>
      <c r="V251" s="4">
        <f>VLOOKUP(A251,[3]Sheet1!$A:$J,9,0)</f>
        <v>300</v>
      </c>
      <c r="W251" s="4">
        <f>VLOOKUP(A251,[3]Sheet1!$A:$J,10,0)</f>
        <v>60</v>
      </c>
      <c r="X251" s="4">
        <f>VLOOKUP(A251,[3]Sheet1!$A:$K,11,0)</f>
        <v>100</v>
      </c>
      <c r="Y251" s="4">
        <f>VLOOKUP(A251,[3]Sheet1!$A:$L,12,0)</f>
        <v>60</v>
      </c>
      <c r="Z251" s="4">
        <f>VLOOKUP(A251,[3]Sheet1!$A:$M,13,0)</f>
        <v>60</v>
      </c>
      <c r="AA251" s="4">
        <f t="shared" si="64"/>
        <v>2200</v>
      </c>
      <c r="AB251" s="7">
        <f t="shared" si="55"/>
        <v>183</v>
      </c>
      <c r="AC251" s="15">
        <f t="shared" si="65"/>
        <v>183.33333333333334</v>
      </c>
      <c r="AD251" s="16">
        <f t="shared" si="66"/>
        <v>82478</v>
      </c>
      <c r="AE251" s="16">
        <f t="shared" si="67"/>
        <v>6873.166666666667</v>
      </c>
      <c r="AF251" s="16">
        <v>11.27</v>
      </c>
      <c r="AG251" s="16">
        <v>37.49</v>
      </c>
      <c r="AH251" s="8">
        <f t="shared" si="68"/>
        <v>0.1817333333333333</v>
      </c>
      <c r="AI251" s="8">
        <f t="shared" si="69"/>
        <v>0.63606666666666645</v>
      </c>
      <c r="AJ251" s="10">
        <v>0.5</v>
      </c>
      <c r="AK251" s="10">
        <v>0.5</v>
      </c>
      <c r="AL251" s="16">
        <v>11.27</v>
      </c>
      <c r="AM251" s="9">
        <f t="shared" si="56"/>
        <v>5.6234999999999999</v>
      </c>
      <c r="AN251" s="9">
        <f t="shared" si="57"/>
        <v>1.1247</v>
      </c>
      <c r="AO251" s="9">
        <f t="shared" si="58"/>
        <v>7.4980000000000011</v>
      </c>
      <c r="AP251" s="9">
        <f t="shared" si="59"/>
        <v>0.74980000000000002</v>
      </c>
      <c r="AQ251" s="9">
        <f t="shared" si="60"/>
        <v>7.4980000000000011</v>
      </c>
      <c r="AR251" s="9">
        <f t="shared" si="61"/>
        <v>9.3725000000000005</v>
      </c>
      <c r="AS251" s="11">
        <f t="shared" si="62"/>
        <v>1.8173333333333328</v>
      </c>
      <c r="AT251" s="12">
        <f t="shared" si="63"/>
        <v>0.56766666666666643</v>
      </c>
    </row>
    <row r="252" spans="1:46" ht="16.5" x14ac:dyDescent="0.4">
      <c r="A252" s="4" t="s">
        <v>1164</v>
      </c>
      <c r="B252" s="4" t="s">
        <v>513</v>
      </c>
      <c r="C252" s="7" t="s">
        <v>1784</v>
      </c>
      <c r="D252" s="4" t="s">
        <v>1165</v>
      </c>
      <c r="E252" s="4" t="s">
        <v>1166</v>
      </c>
      <c r="F252" s="4" t="s">
        <v>1167</v>
      </c>
      <c r="G252" s="7" t="str">
        <f>VLOOKUP(A252,[1]done!$A:$I,9,0)</f>
        <v>Lawn Fertilizer</v>
      </c>
      <c r="H252" s="7" t="str" cm="1">
        <f t="array" ref="H252">_xlfn.IFS(
OR(ISNUMBER(SEARCH("mouse",E252)),ISNUMBER(SEARCH("rat",E252)),ISNUMBER(SEARCH("mice",E252)),ISNUMBER(SEARCH("rodent",E252))),"Rodent Control",
OR(ISNUMBER(SEARCH("fly",E252)),ISNUMBER(SEARCH("gnat",E252)),ISNUMBER(SEARCH("insect",E252)),ISNUMBER(SEARCH("mosquito",E252))),"Flying Insect Control",
OR(ISNUMBER(SEARCH("roach",E252)),ISNUMBER(SEARCH("ant",E252)),ISNUMBER(SEARCH("spider",E252)),ISNUMBER(SEARCH("cricket",E252)),ISNUMBER(SEARCH("scorpion",E252)),ISNUMBER(SEARCH("centipede",E252)),ISNUMBER(SEARCH("beetle",E252))),"Crawling Insect Control",
OR(ISNUMBER(SEARCH("tree",E252)),ISNUMBER(SEARCH("lantern",E252)),ISNUMBER(SEARCH("garden",E252)),ISNUMBER(SEARCH("plant",E252))),"Garden Pest Control",
OR(ISNUMBER(SEARCH("grass seed",E252)),ISNUMBER(SEARCH("seed mix",E252))),"Grass Seed",
OR(ISNUMBER(SEARCH("lawn food",E252)),ISNUMBER(SEARCH("fertilizer",E252))),"Lawn Fertilizer",
OR(ISNUMBER(SEARCH("patch",E252)),ISNUMBER(SEARCH("repair",E252)),ISNUMBER(SEARCH("thick'r",E252)),ISNUMBER(SEARCH("thick'r lawn",E252)),ISNUMBER(SEARCH("rapid grass",E252))),"Lawn Repair",
OR(ISNUMBER(SEARCH("weed",E252)),ISNUMBER(SEARCH("crabgrass",E252))),"Weed Control",
OR(ISNUMBER(SEARCH("fungicide",E252)),ISNUMBER(SEARCH("moss",E252))),"Disease &amp; Moss Control",
OR(ISNUMBER(SEARCH("plant food",E252)),ISNUMBER(SEARCH("miracid",E252))),"Plant Nutrition",
OR(ISNUMBER(SEARCH("perlite",E252))),"Soil Amendment",
OR(ISNUMBER(SEARCH("spreader",E252)),ISNUMBER(SEARCH("sprayer",E252)),ISNUMBER(SEARCH("mower",E252)),ISNUMBER(SEARCH("sweeper",E252)),ISNUMBER(SEARCH("pruner",E252)),ISNUMBER(SEARCH("trimmer",E252)),ISNUMBER(SEARCH("pole saw",E252))),"Garden Equipment",
TRUE,"Other"
)</f>
        <v>Lawn Repair</v>
      </c>
      <c r="I252" s="7" t="str" cm="1">
        <f t="array" ref="I252">_xlfn.IFS(
OR(ISNUMBER(SEARCH("glue trap",E252)),ISNUMBER(SEARCH("glue board",E252))),"Glue Traps",
OR(ISNUMBER(SEARCH("snap trap",E252)),ISNUMBER(SEARCH("power-kill",E252)),ISNUMBER(SEARCH("wide pedal",E252)),ISNUMBER(SEARCH("metal pedal",E252))),"Snap Traps",
OR(ISNUMBER(SEARCH("electronic",E252)),ISNUMBER(SEARCH("zapper",E252))),"Electronic Traps",
OR(ISNUMBER(SEARCH("live catch",E252)),ISNUMBER(SEARCH("multi-catch",E252)),ISNUMBER(SEARCH("catch &amp; hold",E252)),ISNUMBER(SEARCH("tin cat",E252))),"Live Catch Traps",
OR(ISNUMBER(SEARCH("bait",E252)),ISNUMBER(SEARCH("poison",E252))),"Bait &amp; Poison",
ISNUMBER(SEARCH("repellent",E252)),"Repellents",
OR(ISNUMBER(SEARCH("fly trap",E252)),ISNUMBER(SEARCH("fly ribbon",E252)),ISNUMBER(SEARCH("fly stick",E252)),ISNUMBER(SEARCH("window fly",E252)),ISNUMBER(SEARCH("fly magnet",E252))),"Fly Traps",
OR(ISNUMBER(SEARCH("uv",E252)),ISNUMBER(SEARCH("fly light",E252)),ISNUMBER(SEARCH("plug-in",E252))),"UV Fly Traps",
ISNUMBER(SEARCH("roach",E252)),"Roach Traps",
ISNUMBER(SEARCH("ant",E252)),"Ant Traps",
ISNUMBER(SEARCH("spider",E252)),"Spider Traps",
ISNUMBER(SEARCH("mosquito",E252)),"Mosquito Traps",
ISNUMBER(SEARCH("beetle",E252)),"Beetle Traps",
ISNUMBER(SEARCH("lantern",E252)),"Lanternfly Control",
OR(ISNUMBER(SEARCH("tree shield",E252)),ISNUMBER(SEARCH("tree banding",E252)),ISNUMBER(SEARCH("insect barrier",E252))),"Tree Barriers",
OR(ISNUMBER(SEARCH("sun &amp; shade",E252)),ISNUMBER(SEARCH("sun and shade",E252))),"Sun &amp; Shade Mix",
ISNUMBER(SEARCH("tall fescue",E252)),"Tall Fescue",
ISNUMBER(SEARCH("bermudagrass",E252)),"Bermudagrass",
ISNUMBER(SEARCH("kentucky",E252)),"Kentucky Bluegrass",
ISNUMBER(SEARCH("zoysia",E252)),"Zoysia",
ISNUMBER(SEARCH("ryegrass",E252)),"Perennial Ryegrass",
ISNUMBER(SEARCH("centipede",E252)),"Centipede Grass",
ISNUMBER(SEARCH("dense shade",E252)),"Dense Shade Mix",
ISNUMBER(SEARCH("southern gold",E252)),"Southern Gold Mix",
ISNUMBER(SEARCH("heat-tolerant blue",E252)),"Heat-Tolerant Blue Mix",
ISNUMBER(SEARCH("high traffic",E252)),"High Traffic Mix",
ISNUMBER(SEARCH("quick fix",E252)),"Quick Fix Mix",
ISNUMBER(SEARCH("starter",E252)),"Starter Fertilizer",
ISNUMBER(SEARCH("weed &amp; feed",E252)),"Weed &amp; Feed",
ISNUMBER(SEARCH("lawn food",E252)),"Lawn Food",
ISNUMBER(SEARCH("triple action",E252)),"Triple Action Fertilizer",
ISNUMBER(SEARCH("green max",E252)),"Green Max Lawn Food",
ISNUMBER(SEARCH("patchmaster",E252)),"PatchMaster Repair",
ISNUMBER(SEARCH("ez seed",E252)),"EZ Seed Repair",
ISNUMBER(SEARCH("rapid grass",E252)),"Rapid Grass",
ISNUMBER(SEARCH("thick'r lawn",E252)),"Thick'R Lawn",
ISNUMBER(SEARCH("fungicide",E252)),"Fungicide",
ISNUMBER(SEARCH("moss",E252)),"Moss Control",
ISNUMBER(SEARCH("perlite",E252)),"Perlite",
ISNUMBER(SEARCH("plant food",E252)),"Plant Food",
ISNUMBER(SEARCH("spreader",E252)),"Spreader",
ISNUMBER(SEARCH("sprayer",E252)),"Sprayer",
ISNUMBER(SEARCH("mower",E252)),"Lawn Mower",
ISNUMBER(SEARCH("sweeper",E252)),"Lawn Sweeper",
OR(ISNUMBER(SEARCH("pruner",E252)),ISNUMBER(SEARCH("trimmer",E252)),ISNUMBER(SEARCH("pole saw",E252))),"Pruning Tools",
TRUE,"Other"
)</f>
        <v>Tall Fescue</v>
      </c>
      <c r="J252" s="7" t="str">
        <f t="shared" si="54"/>
        <v>Lawn Repair - Tall Fescue</v>
      </c>
      <c r="K252" s="4">
        <v>50</v>
      </c>
      <c r="L252" s="4">
        <v>4.0999999999999996</v>
      </c>
      <c r="M252" s="4">
        <v>3754</v>
      </c>
      <c r="N252" s="4" t="s">
        <v>593</v>
      </c>
      <c r="O252" s="4">
        <f>VLOOKUP(A252,[3]Sheet1!$A:$B,2,0)</f>
        <v>0</v>
      </c>
      <c r="P252" s="4">
        <f>VLOOKUP(A252,[3]Sheet1!$A:$C,3,0)</f>
        <v>0</v>
      </c>
      <c r="Q252" s="4">
        <f>VLOOKUP(A252,[3]Sheet1!$A:$D,4,0)</f>
        <v>0</v>
      </c>
      <c r="R252" s="4">
        <f>VLOOKUP(A252,[3]Sheet1!$A:$E,5,0)</f>
        <v>0</v>
      </c>
      <c r="S252" s="4">
        <f>VLOOKUP(A252,[3]Sheet1!$A:$F,6,0)</f>
        <v>0</v>
      </c>
      <c r="T252" s="4">
        <f>VLOOKUP(A252,[3]Sheet1!$A:$G,7,0)</f>
        <v>0</v>
      </c>
      <c r="U252" s="4">
        <f>VLOOKUP(A252,[3]Sheet1!$A:$I,8,0)</f>
        <v>100</v>
      </c>
      <c r="V252" s="4">
        <f>VLOOKUP(A252,[3]Sheet1!$A:$J,9,0)</f>
        <v>0</v>
      </c>
      <c r="W252" s="4">
        <f>VLOOKUP(A252,[3]Sheet1!$A:$J,10,0)</f>
        <v>0</v>
      </c>
      <c r="X252" s="4">
        <f>VLOOKUP(A252,[3]Sheet1!$A:$K,11,0)</f>
        <v>50</v>
      </c>
      <c r="Y252" s="4">
        <f>VLOOKUP(A252,[3]Sheet1!$A:$L,12,0)</f>
        <v>0</v>
      </c>
      <c r="Z252" s="4">
        <f>VLOOKUP(A252,[3]Sheet1!$A:$M,13,0)</f>
        <v>0</v>
      </c>
      <c r="AA252" s="4">
        <f t="shared" si="64"/>
        <v>150</v>
      </c>
      <c r="AB252" s="7">
        <f t="shared" si="55"/>
        <v>13</v>
      </c>
      <c r="AC252" s="15">
        <f t="shared" si="65"/>
        <v>12.5</v>
      </c>
      <c r="AD252" s="16">
        <f t="shared" si="66"/>
        <v>15117</v>
      </c>
      <c r="AE252" s="16">
        <f t="shared" si="67"/>
        <v>1259.75</v>
      </c>
      <c r="AF252" s="16">
        <v>26.47</v>
      </c>
      <c r="AG252" s="16">
        <v>100.78</v>
      </c>
      <c r="AH252" s="8">
        <f t="shared" si="68"/>
        <v>0.85613333333333308</v>
      </c>
      <c r="AI252" s="8">
        <f t="shared" si="69"/>
        <v>2.9964666666666653</v>
      </c>
      <c r="AJ252" s="10">
        <v>0.5</v>
      </c>
      <c r="AK252" s="10">
        <v>0.5</v>
      </c>
      <c r="AL252" s="16">
        <v>26.47</v>
      </c>
      <c r="AM252" s="9">
        <f t="shared" si="56"/>
        <v>15.116999999999999</v>
      </c>
      <c r="AN252" s="9">
        <f t="shared" si="57"/>
        <v>3.0234000000000001</v>
      </c>
      <c r="AO252" s="9">
        <f t="shared" si="58"/>
        <v>20.156000000000002</v>
      </c>
      <c r="AP252" s="9">
        <f t="shared" si="59"/>
        <v>2.0156000000000001</v>
      </c>
      <c r="AQ252" s="9">
        <f t="shared" si="60"/>
        <v>20.156000000000002</v>
      </c>
      <c r="AR252" s="9">
        <f t="shared" si="61"/>
        <v>25.195</v>
      </c>
      <c r="AS252" s="11">
        <f t="shared" si="62"/>
        <v>8.5613333333333301</v>
      </c>
      <c r="AT252" s="12">
        <f t="shared" si="63"/>
        <v>5.2019999999999982</v>
      </c>
    </row>
    <row r="253" spans="1:46" ht="16.5" x14ac:dyDescent="0.4">
      <c r="A253" s="4" t="s">
        <v>1168</v>
      </c>
      <c r="B253" s="4" t="s">
        <v>513</v>
      </c>
      <c r="C253" s="7" t="s">
        <v>1790</v>
      </c>
      <c r="D253" s="4" t="s">
        <v>1169</v>
      </c>
      <c r="E253" s="4" t="s">
        <v>1170</v>
      </c>
      <c r="F253" s="4" t="s">
        <v>1171</v>
      </c>
      <c r="G253" s="7" t="str">
        <f>VLOOKUP(A253,[1]done!$A:$I,9,0)</f>
        <v>Weed Control</v>
      </c>
      <c r="H253" s="7" t="str" cm="1">
        <f t="array" ref="H253">_xlfn.IFS(
OR(ISNUMBER(SEARCH("mouse",E253)),ISNUMBER(SEARCH("rat",E253)),ISNUMBER(SEARCH("mice",E253)),ISNUMBER(SEARCH("rodent",E253))),"Rodent Control",
OR(ISNUMBER(SEARCH("fly",E253)),ISNUMBER(SEARCH("gnat",E253)),ISNUMBER(SEARCH("insect",E253)),ISNUMBER(SEARCH("mosquito",E253))),"Flying Insect Control",
OR(ISNUMBER(SEARCH("roach",E253)),ISNUMBER(SEARCH("ant",E253)),ISNUMBER(SEARCH("spider",E253)),ISNUMBER(SEARCH("cricket",E253)),ISNUMBER(SEARCH("scorpion",E253)),ISNUMBER(SEARCH("centipede",E253)),ISNUMBER(SEARCH("beetle",E253))),"Crawling Insect Control",
OR(ISNUMBER(SEARCH("tree",E253)),ISNUMBER(SEARCH("lantern",E253)),ISNUMBER(SEARCH("garden",E253)),ISNUMBER(SEARCH("plant",E253))),"Garden Pest Control",
OR(ISNUMBER(SEARCH("grass seed",E253)),ISNUMBER(SEARCH("seed mix",E253))),"Grass Seed",
OR(ISNUMBER(SEARCH("lawn food",E253)),ISNUMBER(SEARCH("fertilizer",E253))),"Lawn Fertilizer",
OR(ISNUMBER(SEARCH("patch",E253)),ISNUMBER(SEARCH("repair",E253)),ISNUMBER(SEARCH("thick'r",E253)),ISNUMBER(SEARCH("thick'r lawn",E253)),ISNUMBER(SEARCH("rapid grass",E253))),"Lawn Repair",
OR(ISNUMBER(SEARCH("weed",E253)),ISNUMBER(SEARCH("crabgrass",E253))),"Weed Control",
OR(ISNUMBER(SEARCH("fungicide",E253)),ISNUMBER(SEARCH("moss",E253))),"Disease &amp; Moss Control",
OR(ISNUMBER(SEARCH("plant food",E253)),ISNUMBER(SEARCH("miracid",E253))),"Plant Nutrition",
OR(ISNUMBER(SEARCH("perlite",E253))),"Soil Amendment",
OR(ISNUMBER(SEARCH("spreader",E253)),ISNUMBER(SEARCH("sprayer",E253)),ISNUMBER(SEARCH("mower",E253)),ISNUMBER(SEARCH("sweeper",E253)),ISNUMBER(SEARCH("pruner",E253)),ISNUMBER(SEARCH("trimmer",E253)),ISNUMBER(SEARCH("pole saw",E253))),"Garden Equipment",
TRUE,"Other"
)</f>
        <v>Weed Control</v>
      </c>
      <c r="I253" s="7" t="str" cm="1">
        <f t="array" ref="I253">_xlfn.IFS(
OR(ISNUMBER(SEARCH("glue trap",E253)),ISNUMBER(SEARCH("glue board",E253))),"Glue Traps",
OR(ISNUMBER(SEARCH("snap trap",E253)),ISNUMBER(SEARCH("power-kill",E253)),ISNUMBER(SEARCH("wide pedal",E253)),ISNUMBER(SEARCH("metal pedal",E253))),"Snap Traps",
OR(ISNUMBER(SEARCH("electronic",E253)),ISNUMBER(SEARCH("zapper",E253))),"Electronic Traps",
OR(ISNUMBER(SEARCH("live catch",E253)),ISNUMBER(SEARCH("multi-catch",E253)),ISNUMBER(SEARCH("catch &amp; hold",E253)),ISNUMBER(SEARCH("tin cat",E253))),"Live Catch Traps",
OR(ISNUMBER(SEARCH("bait",E253)),ISNUMBER(SEARCH("poison",E253))),"Bait &amp; Poison",
ISNUMBER(SEARCH("repellent",E253)),"Repellents",
OR(ISNUMBER(SEARCH("fly trap",E253)),ISNUMBER(SEARCH("fly ribbon",E253)),ISNUMBER(SEARCH("fly stick",E253)),ISNUMBER(SEARCH("window fly",E253)),ISNUMBER(SEARCH("fly magnet",E253))),"Fly Traps",
OR(ISNUMBER(SEARCH("uv",E253)),ISNUMBER(SEARCH("fly light",E253)),ISNUMBER(SEARCH("plug-in",E253))),"UV Fly Traps",
ISNUMBER(SEARCH("roach",E253)),"Roach Traps",
ISNUMBER(SEARCH("ant",E253)),"Ant Traps",
ISNUMBER(SEARCH("spider",E253)),"Spider Traps",
ISNUMBER(SEARCH("mosquito",E253)),"Mosquito Traps",
ISNUMBER(SEARCH("beetle",E253)),"Beetle Traps",
ISNUMBER(SEARCH("lantern",E253)),"Lanternfly Control",
OR(ISNUMBER(SEARCH("tree shield",E253)),ISNUMBER(SEARCH("tree banding",E253)),ISNUMBER(SEARCH("insect barrier",E253))),"Tree Barriers",
OR(ISNUMBER(SEARCH("sun &amp; shade",E253)),ISNUMBER(SEARCH("sun and shade",E253))),"Sun &amp; Shade Mix",
ISNUMBER(SEARCH("tall fescue",E253)),"Tall Fescue",
ISNUMBER(SEARCH("bermudagrass",E253)),"Bermudagrass",
ISNUMBER(SEARCH("kentucky",E253)),"Kentucky Bluegrass",
ISNUMBER(SEARCH("zoysia",E253)),"Zoysia",
ISNUMBER(SEARCH("ryegrass",E253)),"Perennial Ryegrass",
ISNUMBER(SEARCH("centipede",E253)),"Centipede Grass",
ISNUMBER(SEARCH("dense shade",E253)),"Dense Shade Mix",
ISNUMBER(SEARCH("southern gold",E253)),"Southern Gold Mix",
ISNUMBER(SEARCH("heat-tolerant blue",E253)),"Heat-Tolerant Blue Mix",
ISNUMBER(SEARCH("high traffic",E253)),"High Traffic Mix",
ISNUMBER(SEARCH("quick fix",E253)),"Quick Fix Mix",
ISNUMBER(SEARCH("starter",E253)),"Starter Fertilizer",
ISNUMBER(SEARCH("weed &amp; feed",E253)),"Weed &amp; Feed",
ISNUMBER(SEARCH("lawn food",E253)),"Lawn Food",
ISNUMBER(SEARCH("triple action",E253)),"Triple Action Fertilizer",
ISNUMBER(SEARCH("green max",E253)),"Green Max Lawn Food",
ISNUMBER(SEARCH("patchmaster",E253)),"PatchMaster Repair",
ISNUMBER(SEARCH("ez seed",E253)),"EZ Seed Repair",
ISNUMBER(SEARCH("rapid grass",E253)),"Rapid Grass",
ISNUMBER(SEARCH("thick'r lawn",E253)),"Thick'R Lawn",
ISNUMBER(SEARCH("fungicide",E253)),"Fungicide",
ISNUMBER(SEARCH("moss",E253)),"Moss Control",
ISNUMBER(SEARCH("perlite",E253)),"Perlite",
ISNUMBER(SEARCH("plant food",E253)),"Plant Food",
ISNUMBER(SEARCH("spreader",E253)),"Spreader",
ISNUMBER(SEARCH("sprayer",E253)),"Sprayer",
ISNUMBER(SEARCH("mower",E253)),"Lawn Mower",
ISNUMBER(SEARCH("sweeper",E253)),"Lawn Sweeper",
OR(ISNUMBER(SEARCH("pruner",E253)),ISNUMBER(SEARCH("trimmer",E253)),ISNUMBER(SEARCH("pole saw",E253))),"Pruning Tools",
TRUE,"Other"
)</f>
        <v>Other</v>
      </c>
      <c r="J253" s="7" t="str">
        <f t="shared" si="54"/>
        <v>Weed Control - Other</v>
      </c>
      <c r="K253" s="4">
        <v>50</v>
      </c>
      <c r="L253" s="4">
        <v>4.2</v>
      </c>
      <c r="M253" s="4">
        <v>9611</v>
      </c>
      <c r="N253" s="4" t="s">
        <v>1172</v>
      </c>
      <c r="O253" s="4">
        <f>VLOOKUP(A253,[3]Sheet1!$A:$B,2,0)</f>
        <v>50</v>
      </c>
      <c r="P253" s="4">
        <f>VLOOKUP(A253,[3]Sheet1!$A:$C,3,0)</f>
        <v>50</v>
      </c>
      <c r="Q253" s="4">
        <f>VLOOKUP(A253,[3]Sheet1!$A:$D,4,0)</f>
        <v>1000</v>
      </c>
      <c r="R253" s="4">
        <f>VLOOKUP(A253,[3]Sheet1!$A:$E,5,0)</f>
        <v>300</v>
      </c>
      <c r="S253" s="4">
        <f>VLOOKUP(A253,[3]Sheet1!$A:$F,6,0)</f>
        <v>100</v>
      </c>
      <c r="T253" s="4">
        <f>VLOOKUP(A253,[3]Sheet1!$A:$G,7,0)</f>
        <v>50</v>
      </c>
      <c r="U253" s="4">
        <f>VLOOKUP(A253,[3]Sheet1!$A:$I,8,0)</f>
        <v>0</v>
      </c>
      <c r="V253" s="4">
        <f>VLOOKUP(A253,[3]Sheet1!$A:$J,9,0)</f>
        <v>0</v>
      </c>
      <c r="W253" s="4">
        <f>VLOOKUP(A253,[3]Sheet1!$A:$J,10,0)</f>
        <v>50</v>
      </c>
      <c r="X253" s="4">
        <f>VLOOKUP(A253,[3]Sheet1!$A:$K,11,0)</f>
        <v>50</v>
      </c>
      <c r="Y253" s="4">
        <f>VLOOKUP(A253,[3]Sheet1!$A:$L,12,0)</f>
        <v>50</v>
      </c>
      <c r="Z253" s="4">
        <f>VLOOKUP(A253,[3]Sheet1!$A:$M,13,0)</f>
        <v>0</v>
      </c>
      <c r="AA253" s="4">
        <f t="shared" si="64"/>
        <v>1700</v>
      </c>
      <c r="AB253" s="7">
        <f t="shared" si="55"/>
        <v>142</v>
      </c>
      <c r="AC253" s="15">
        <f t="shared" si="65"/>
        <v>141.66666666666666</v>
      </c>
      <c r="AD253" s="16">
        <f t="shared" si="66"/>
        <v>147866</v>
      </c>
      <c r="AE253" s="16">
        <f t="shared" si="67"/>
        <v>12322.166666666666</v>
      </c>
      <c r="AF253" s="16">
        <v>25.23</v>
      </c>
      <c r="AG253" s="16">
        <v>86.98</v>
      </c>
      <c r="AH253" s="8">
        <f t="shared" si="68"/>
        <v>0.57080000000000009</v>
      </c>
      <c r="AI253" s="8">
        <f t="shared" si="69"/>
        <v>1.9978000000000002</v>
      </c>
      <c r="AJ253" s="10">
        <v>0.5</v>
      </c>
      <c r="AK253" s="10">
        <v>0.5</v>
      </c>
      <c r="AL253" s="16">
        <v>25.23</v>
      </c>
      <c r="AM253" s="9">
        <f t="shared" si="56"/>
        <v>13.047000000000001</v>
      </c>
      <c r="AN253" s="9">
        <f t="shared" si="57"/>
        <v>2.6093999999999999</v>
      </c>
      <c r="AO253" s="9">
        <f t="shared" si="58"/>
        <v>17.396000000000001</v>
      </c>
      <c r="AP253" s="9">
        <f t="shared" si="59"/>
        <v>1.7396</v>
      </c>
      <c r="AQ253" s="9">
        <f t="shared" si="60"/>
        <v>17.396000000000001</v>
      </c>
      <c r="AR253" s="9">
        <f t="shared" si="61"/>
        <v>21.745000000000001</v>
      </c>
      <c r="AS253" s="11">
        <f t="shared" si="62"/>
        <v>5.7080000000000011</v>
      </c>
      <c r="AT253" s="12">
        <f t="shared" si="63"/>
        <v>2.8086666666666673</v>
      </c>
    </row>
    <row r="254" spans="1:46" ht="16.5" x14ac:dyDescent="0.4">
      <c r="A254" s="4" t="s">
        <v>1173</v>
      </c>
      <c r="B254" s="4" t="s">
        <v>513</v>
      </c>
      <c r="C254" s="7" t="s">
        <v>1784</v>
      </c>
      <c r="D254" s="4" t="s">
        <v>1174</v>
      </c>
      <c r="E254" s="4" t="s">
        <v>1175</v>
      </c>
      <c r="F254" s="4" t="s">
        <v>1176</v>
      </c>
      <c r="G254" s="7" t="str">
        <f>VLOOKUP(A254,[1]done!$A:$I,9,0)</f>
        <v>Lawn Fertilizer</v>
      </c>
      <c r="H254" s="7" t="str" cm="1">
        <f t="array" ref="H254">_xlfn.IFS(
OR(ISNUMBER(SEARCH("mouse",E254)),ISNUMBER(SEARCH("rat",E254)),ISNUMBER(SEARCH("mice",E254)),ISNUMBER(SEARCH("rodent",E254))),"Rodent Control",
OR(ISNUMBER(SEARCH("fly",E254)),ISNUMBER(SEARCH("gnat",E254)),ISNUMBER(SEARCH("insect",E254)),ISNUMBER(SEARCH("mosquito",E254))),"Flying Insect Control",
OR(ISNUMBER(SEARCH("roach",E254)),ISNUMBER(SEARCH("ant",E254)),ISNUMBER(SEARCH("spider",E254)),ISNUMBER(SEARCH("cricket",E254)),ISNUMBER(SEARCH("scorpion",E254)),ISNUMBER(SEARCH("centipede",E254)),ISNUMBER(SEARCH("beetle",E254))),"Crawling Insect Control",
OR(ISNUMBER(SEARCH("tree",E254)),ISNUMBER(SEARCH("lantern",E254)),ISNUMBER(SEARCH("garden",E254)),ISNUMBER(SEARCH("plant",E254))),"Garden Pest Control",
OR(ISNUMBER(SEARCH("grass seed",E254)),ISNUMBER(SEARCH("seed mix",E254))),"Grass Seed",
OR(ISNUMBER(SEARCH("lawn food",E254)),ISNUMBER(SEARCH("fertilizer",E254))),"Lawn Fertilizer",
OR(ISNUMBER(SEARCH("patch",E254)),ISNUMBER(SEARCH("repair",E254)),ISNUMBER(SEARCH("thick'r",E254)),ISNUMBER(SEARCH("thick'r lawn",E254)),ISNUMBER(SEARCH("rapid grass",E254))),"Lawn Repair",
OR(ISNUMBER(SEARCH("weed",E254)),ISNUMBER(SEARCH("crabgrass",E254))),"Weed Control",
OR(ISNUMBER(SEARCH("fungicide",E254)),ISNUMBER(SEARCH("moss",E254))),"Disease &amp; Moss Control",
OR(ISNUMBER(SEARCH("plant food",E254)),ISNUMBER(SEARCH("miracid",E254))),"Plant Nutrition",
OR(ISNUMBER(SEARCH("perlite",E254))),"Soil Amendment",
OR(ISNUMBER(SEARCH("spreader",E254)),ISNUMBER(SEARCH("sprayer",E254)),ISNUMBER(SEARCH("mower",E254)),ISNUMBER(SEARCH("sweeper",E254)),ISNUMBER(SEARCH("pruner",E254)),ISNUMBER(SEARCH("trimmer",E254)),ISNUMBER(SEARCH("pole saw",E254))),"Garden Equipment",
TRUE,"Other"
)</f>
        <v>Lawn Repair</v>
      </c>
      <c r="I254" s="7" t="str" cm="1">
        <f t="array" ref="I254">_xlfn.IFS(
OR(ISNUMBER(SEARCH("glue trap",E254)),ISNUMBER(SEARCH("glue board",E254))),"Glue Traps",
OR(ISNUMBER(SEARCH("snap trap",E254)),ISNUMBER(SEARCH("power-kill",E254)),ISNUMBER(SEARCH("wide pedal",E254)),ISNUMBER(SEARCH("metal pedal",E254))),"Snap Traps",
OR(ISNUMBER(SEARCH("electronic",E254)),ISNUMBER(SEARCH("zapper",E254))),"Electronic Traps",
OR(ISNUMBER(SEARCH("live catch",E254)),ISNUMBER(SEARCH("multi-catch",E254)),ISNUMBER(SEARCH("catch &amp; hold",E254)),ISNUMBER(SEARCH("tin cat",E254))),"Live Catch Traps",
OR(ISNUMBER(SEARCH("bait",E254)),ISNUMBER(SEARCH("poison",E254))),"Bait &amp; Poison",
ISNUMBER(SEARCH("repellent",E254)),"Repellents",
OR(ISNUMBER(SEARCH("fly trap",E254)),ISNUMBER(SEARCH("fly ribbon",E254)),ISNUMBER(SEARCH("fly stick",E254)),ISNUMBER(SEARCH("window fly",E254)),ISNUMBER(SEARCH("fly magnet",E254))),"Fly Traps",
OR(ISNUMBER(SEARCH("uv",E254)),ISNUMBER(SEARCH("fly light",E254)),ISNUMBER(SEARCH("plug-in",E254))),"UV Fly Traps",
ISNUMBER(SEARCH("roach",E254)),"Roach Traps",
ISNUMBER(SEARCH("ant",E254)),"Ant Traps",
ISNUMBER(SEARCH("spider",E254)),"Spider Traps",
ISNUMBER(SEARCH("mosquito",E254)),"Mosquito Traps",
ISNUMBER(SEARCH("beetle",E254)),"Beetle Traps",
ISNUMBER(SEARCH("lantern",E254)),"Lanternfly Control",
OR(ISNUMBER(SEARCH("tree shield",E254)),ISNUMBER(SEARCH("tree banding",E254)),ISNUMBER(SEARCH("insect barrier",E254))),"Tree Barriers",
OR(ISNUMBER(SEARCH("sun &amp; shade",E254)),ISNUMBER(SEARCH("sun and shade",E254))),"Sun &amp; Shade Mix",
ISNUMBER(SEARCH("tall fescue",E254)),"Tall Fescue",
ISNUMBER(SEARCH("bermudagrass",E254)),"Bermudagrass",
ISNUMBER(SEARCH("kentucky",E254)),"Kentucky Bluegrass",
ISNUMBER(SEARCH("zoysia",E254)),"Zoysia",
ISNUMBER(SEARCH("ryegrass",E254)),"Perennial Ryegrass",
ISNUMBER(SEARCH("centipede",E254)),"Centipede Grass",
ISNUMBER(SEARCH("dense shade",E254)),"Dense Shade Mix",
ISNUMBER(SEARCH("southern gold",E254)),"Southern Gold Mix",
ISNUMBER(SEARCH("heat-tolerant blue",E254)),"Heat-Tolerant Blue Mix",
ISNUMBER(SEARCH("high traffic",E254)),"High Traffic Mix",
ISNUMBER(SEARCH("quick fix",E254)),"Quick Fix Mix",
ISNUMBER(SEARCH("starter",E254)),"Starter Fertilizer",
ISNUMBER(SEARCH("weed &amp; feed",E254)),"Weed &amp; Feed",
ISNUMBER(SEARCH("lawn food",E254)),"Lawn Food",
ISNUMBER(SEARCH("triple action",E254)),"Triple Action Fertilizer",
ISNUMBER(SEARCH("green max",E254)),"Green Max Lawn Food",
ISNUMBER(SEARCH("patchmaster",E254)),"PatchMaster Repair",
ISNUMBER(SEARCH("ez seed",E254)),"EZ Seed Repair",
ISNUMBER(SEARCH("rapid grass",E254)),"Rapid Grass",
ISNUMBER(SEARCH("thick'r lawn",E254)),"Thick'R Lawn",
ISNUMBER(SEARCH("fungicide",E254)),"Fungicide",
ISNUMBER(SEARCH("moss",E254)),"Moss Control",
ISNUMBER(SEARCH("perlite",E254)),"Perlite",
ISNUMBER(SEARCH("plant food",E254)),"Plant Food",
ISNUMBER(SEARCH("spreader",E254)),"Spreader",
ISNUMBER(SEARCH("sprayer",E254)),"Sprayer",
ISNUMBER(SEARCH("mower",E254)),"Lawn Mower",
ISNUMBER(SEARCH("sweeper",E254)),"Lawn Sweeper",
OR(ISNUMBER(SEARCH("pruner",E254)),ISNUMBER(SEARCH("trimmer",E254)),ISNUMBER(SEARCH("pole saw",E254))),"Pruning Tools",
TRUE,"Other"
)</f>
        <v>Sun &amp; Shade Mix</v>
      </c>
      <c r="J254" s="7" t="str">
        <f t="shared" si="54"/>
        <v>Lawn Repair - Sun &amp; Shade Mix</v>
      </c>
      <c r="K254" s="4">
        <v>50</v>
      </c>
      <c r="L254" s="4">
        <v>4.2</v>
      </c>
      <c r="M254" s="4">
        <v>9557</v>
      </c>
      <c r="N254" s="4" t="s">
        <v>862</v>
      </c>
      <c r="O254" s="4">
        <f>VLOOKUP(A254,[3]Sheet1!$A:$B,2,0)</f>
        <v>500</v>
      </c>
      <c r="P254" s="4">
        <f>VLOOKUP(A254,[3]Sheet1!$A:$C,3,0)</f>
        <v>750</v>
      </c>
      <c r="Q254" s="4">
        <f>VLOOKUP(A254,[3]Sheet1!$A:$D,4,0)</f>
        <v>2000</v>
      </c>
      <c r="R254" s="4">
        <f>VLOOKUP(A254,[3]Sheet1!$A:$E,5,0)</f>
        <v>3000</v>
      </c>
      <c r="S254" s="4">
        <f>VLOOKUP(A254,[3]Sheet1!$A:$F,6,0)</f>
        <v>10000</v>
      </c>
      <c r="T254" s="4">
        <f>VLOOKUP(A254,[3]Sheet1!$A:$G,7,0)</f>
        <v>9000</v>
      </c>
      <c r="U254" s="4">
        <f>VLOOKUP(A254,[3]Sheet1!$A:$I,8,0)</f>
        <v>2000</v>
      </c>
      <c r="V254" s="4">
        <f>VLOOKUP(A254,[3]Sheet1!$A:$J,9,0)</f>
        <v>250</v>
      </c>
      <c r="W254" s="4">
        <f>VLOOKUP(A254,[3]Sheet1!$A:$J,10,0)</f>
        <v>250</v>
      </c>
      <c r="X254" s="4">
        <f>VLOOKUP(A254,[3]Sheet1!$A:$K,11,0)</f>
        <v>3000</v>
      </c>
      <c r="Y254" s="4">
        <f>VLOOKUP(A254,[3]Sheet1!$A:$L,12,0)</f>
        <v>1000</v>
      </c>
      <c r="Z254" s="4">
        <f>VLOOKUP(A254,[3]Sheet1!$A:$M,13,0)</f>
        <v>500</v>
      </c>
      <c r="AA254" s="4">
        <f t="shared" si="64"/>
        <v>32250</v>
      </c>
      <c r="AB254" s="7">
        <f t="shared" si="55"/>
        <v>2688</v>
      </c>
      <c r="AC254" s="15">
        <f t="shared" si="65"/>
        <v>2687.5</v>
      </c>
      <c r="AD254" s="16">
        <f t="shared" si="66"/>
        <v>1563802.5</v>
      </c>
      <c r="AE254" s="16">
        <f t="shared" si="67"/>
        <v>130316.875</v>
      </c>
      <c r="AF254" s="16">
        <v>8.39</v>
      </c>
      <c r="AG254" s="16">
        <v>48.49</v>
      </c>
      <c r="AH254" s="8">
        <f t="shared" si="68"/>
        <v>0.6670666666666667</v>
      </c>
      <c r="AI254" s="8">
        <f t="shared" si="69"/>
        <v>2.3347333333333333</v>
      </c>
      <c r="AJ254" s="10">
        <v>0.5</v>
      </c>
      <c r="AK254" s="10">
        <v>0.5</v>
      </c>
      <c r="AL254" s="16">
        <v>8.39</v>
      </c>
      <c r="AM254" s="9">
        <f t="shared" si="56"/>
        <v>7.2735000000000003</v>
      </c>
      <c r="AN254" s="9">
        <f t="shared" si="57"/>
        <v>1.4547000000000001</v>
      </c>
      <c r="AO254" s="9">
        <f t="shared" si="58"/>
        <v>9.6980000000000004</v>
      </c>
      <c r="AP254" s="9">
        <f t="shared" si="59"/>
        <v>0.96980000000000011</v>
      </c>
      <c r="AQ254" s="9">
        <f t="shared" si="60"/>
        <v>9.6980000000000004</v>
      </c>
      <c r="AR254" s="9">
        <f t="shared" si="61"/>
        <v>12.1225</v>
      </c>
      <c r="AS254" s="11">
        <f t="shared" si="62"/>
        <v>6.6706666666666665</v>
      </c>
      <c r="AT254" s="12">
        <f t="shared" si="63"/>
        <v>5.0543333333333331</v>
      </c>
    </row>
    <row r="255" spans="1:46" ht="16.5" x14ac:dyDescent="0.4">
      <c r="A255" s="4" t="s">
        <v>1177</v>
      </c>
      <c r="B255" s="4" t="s">
        <v>513</v>
      </c>
      <c r="C255" s="7" t="s">
        <v>1784</v>
      </c>
      <c r="D255" s="4" t="s">
        <v>1178</v>
      </c>
      <c r="E255" s="4" t="s">
        <v>1179</v>
      </c>
      <c r="F255" s="4" t="s">
        <v>1180</v>
      </c>
      <c r="G255" s="7" t="str">
        <f>VLOOKUP(A255,[1]done!$A:$I,9,0)</f>
        <v>Lawn Fertilizer</v>
      </c>
      <c r="H255" s="7" t="str" cm="1">
        <f t="array" ref="H255">_xlfn.IFS(
OR(ISNUMBER(SEARCH("mouse",E255)),ISNUMBER(SEARCH("rat",E255)),ISNUMBER(SEARCH("mice",E255)),ISNUMBER(SEARCH("rodent",E255))),"Rodent Control",
OR(ISNUMBER(SEARCH("fly",E255)),ISNUMBER(SEARCH("gnat",E255)),ISNUMBER(SEARCH("insect",E255)),ISNUMBER(SEARCH("mosquito",E255))),"Flying Insect Control",
OR(ISNUMBER(SEARCH("roach",E255)),ISNUMBER(SEARCH("ant",E255)),ISNUMBER(SEARCH("spider",E255)),ISNUMBER(SEARCH("cricket",E255)),ISNUMBER(SEARCH("scorpion",E255)),ISNUMBER(SEARCH("centipede",E255)),ISNUMBER(SEARCH("beetle",E255))),"Crawling Insect Control",
OR(ISNUMBER(SEARCH("tree",E255)),ISNUMBER(SEARCH("lantern",E255)),ISNUMBER(SEARCH("garden",E255)),ISNUMBER(SEARCH("plant",E255))),"Garden Pest Control",
OR(ISNUMBER(SEARCH("grass seed",E255)),ISNUMBER(SEARCH("seed mix",E255))),"Grass Seed",
OR(ISNUMBER(SEARCH("lawn food",E255)),ISNUMBER(SEARCH("fertilizer",E255))),"Lawn Fertilizer",
OR(ISNUMBER(SEARCH("patch",E255)),ISNUMBER(SEARCH("repair",E255)),ISNUMBER(SEARCH("thick'r",E255)),ISNUMBER(SEARCH("thick'r lawn",E255)),ISNUMBER(SEARCH("rapid grass",E255))),"Lawn Repair",
OR(ISNUMBER(SEARCH("weed",E255)),ISNUMBER(SEARCH("crabgrass",E255))),"Weed Control",
OR(ISNUMBER(SEARCH("fungicide",E255)),ISNUMBER(SEARCH("moss",E255))),"Disease &amp; Moss Control",
OR(ISNUMBER(SEARCH("plant food",E255)),ISNUMBER(SEARCH("miracid",E255))),"Plant Nutrition",
OR(ISNUMBER(SEARCH("perlite",E255))),"Soil Amendment",
OR(ISNUMBER(SEARCH("spreader",E255)),ISNUMBER(SEARCH("sprayer",E255)),ISNUMBER(SEARCH("mower",E255)),ISNUMBER(SEARCH("sweeper",E255)),ISNUMBER(SEARCH("pruner",E255)),ISNUMBER(SEARCH("trimmer",E255)),ISNUMBER(SEARCH("pole saw",E255))),"Garden Equipment",
TRUE,"Other"
)</f>
        <v>Lawn Fertilizer</v>
      </c>
      <c r="I255" s="7" t="str" cm="1">
        <f t="array" ref="I255">_xlfn.IFS(
OR(ISNUMBER(SEARCH("glue trap",E255)),ISNUMBER(SEARCH("glue board",E255))),"Glue Traps",
OR(ISNUMBER(SEARCH("snap trap",E255)),ISNUMBER(SEARCH("power-kill",E255)),ISNUMBER(SEARCH("wide pedal",E255)),ISNUMBER(SEARCH("metal pedal",E255))),"Snap Traps",
OR(ISNUMBER(SEARCH("electronic",E255)),ISNUMBER(SEARCH("zapper",E255))),"Electronic Traps",
OR(ISNUMBER(SEARCH("live catch",E255)),ISNUMBER(SEARCH("multi-catch",E255)),ISNUMBER(SEARCH("catch &amp; hold",E255)),ISNUMBER(SEARCH("tin cat",E255))),"Live Catch Traps",
OR(ISNUMBER(SEARCH("bait",E255)),ISNUMBER(SEARCH("poison",E255))),"Bait &amp; Poison",
ISNUMBER(SEARCH("repellent",E255)),"Repellents",
OR(ISNUMBER(SEARCH("fly trap",E255)),ISNUMBER(SEARCH("fly ribbon",E255)),ISNUMBER(SEARCH("fly stick",E255)),ISNUMBER(SEARCH("window fly",E255)),ISNUMBER(SEARCH("fly magnet",E255))),"Fly Traps",
OR(ISNUMBER(SEARCH("uv",E255)),ISNUMBER(SEARCH("fly light",E255)),ISNUMBER(SEARCH("plug-in",E255))),"UV Fly Traps",
ISNUMBER(SEARCH("roach",E255)),"Roach Traps",
ISNUMBER(SEARCH("ant",E255)),"Ant Traps",
ISNUMBER(SEARCH("spider",E255)),"Spider Traps",
ISNUMBER(SEARCH("mosquito",E255)),"Mosquito Traps",
ISNUMBER(SEARCH("beetle",E255)),"Beetle Traps",
ISNUMBER(SEARCH("lantern",E255)),"Lanternfly Control",
OR(ISNUMBER(SEARCH("tree shield",E255)),ISNUMBER(SEARCH("tree banding",E255)),ISNUMBER(SEARCH("insect barrier",E255))),"Tree Barriers",
OR(ISNUMBER(SEARCH("sun &amp; shade",E255)),ISNUMBER(SEARCH("sun and shade",E255))),"Sun &amp; Shade Mix",
ISNUMBER(SEARCH("tall fescue",E255)),"Tall Fescue",
ISNUMBER(SEARCH("bermudagrass",E255)),"Bermudagrass",
ISNUMBER(SEARCH("kentucky",E255)),"Kentucky Bluegrass",
ISNUMBER(SEARCH("zoysia",E255)),"Zoysia",
ISNUMBER(SEARCH("ryegrass",E255)),"Perennial Ryegrass",
ISNUMBER(SEARCH("centipede",E255)),"Centipede Grass",
ISNUMBER(SEARCH("dense shade",E255)),"Dense Shade Mix",
ISNUMBER(SEARCH("southern gold",E255)),"Southern Gold Mix",
ISNUMBER(SEARCH("heat-tolerant blue",E255)),"Heat-Tolerant Blue Mix",
ISNUMBER(SEARCH("high traffic",E255)),"High Traffic Mix",
ISNUMBER(SEARCH("quick fix",E255)),"Quick Fix Mix",
ISNUMBER(SEARCH("starter",E255)),"Starter Fertilizer",
ISNUMBER(SEARCH("weed &amp; feed",E255)),"Weed &amp; Feed",
ISNUMBER(SEARCH("lawn food",E255)),"Lawn Food",
ISNUMBER(SEARCH("triple action",E255)),"Triple Action Fertilizer",
ISNUMBER(SEARCH("green max",E255)),"Green Max Lawn Food",
ISNUMBER(SEARCH("patchmaster",E255)),"PatchMaster Repair",
ISNUMBER(SEARCH("ez seed",E255)),"EZ Seed Repair",
ISNUMBER(SEARCH("rapid grass",E255)),"Rapid Grass",
ISNUMBER(SEARCH("thick'r lawn",E255)),"Thick'R Lawn",
ISNUMBER(SEARCH("fungicide",E255)),"Fungicide",
ISNUMBER(SEARCH("moss",E255)),"Moss Control",
ISNUMBER(SEARCH("perlite",E255)),"Perlite",
ISNUMBER(SEARCH("plant food",E255)),"Plant Food",
ISNUMBER(SEARCH("spreader",E255)),"Spreader",
ISNUMBER(SEARCH("sprayer",E255)),"Sprayer",
ISNUMBER(SEARCH("mower",E255)),"Lawn Mower",
ISNUMBER(SEARCH("sweeper",E255)),"Lawn Sweeper",
OR(ISNUMBER(SEARCH("pruner",E255)),ISNUMBER(SEARCH("trimmer",E255)),ISNUMBER(SEARCH("pole saw",E255))),"Pruning Tools",
TRUE,"Other"
)</f>
        <v>Lawn Food</v>
      </c>
      <c r="J255" s="7" t="str">
        <f t="shared" si="54"/>
        <v>Lawn Fertilizer - Lawn Food</v>
      </c>
      <c r="K255" s="4">
        <v>50</v>
      </c>
      <c r="L255" s="4">
        <v>4.5999999999999996</v>
      </c>
      <c r="M255" s="4">
        <v>502</v>
      </c>
      <c r="N255" s="4" t="s">
        <v>629</v>
      </c>
      <c r="O255" s="4">
        <f>VLOOKUP(A255,[3]Sheet1!$A:$B,2,0)</f>
        <v>0</v>
      </c>
      <c r="P255" s="4">
        <f>VLOOKUP(A255,[3]Sheet1!$A:$C,3,0)</f>
        <v>0</v>
      </c>
      <c r="Q255" s="4">
        <f>VLOOKUP(A255,[3]Sheet1!$A:$D,4,0)</f>
        <v>0</v>
      </c>
      <c r="R255" s="4">
        <f>VLOOKUP(A255,[3]Sheet1!$A:$E,5,0)</f>
        <v>50</v>
      </c>
      <c r="S255" s="4">
        <f>VLOOKUP(A255,[3]Sheet1!$A:$F,6,0)</f>
        <v>0</v>
      </c>
      <c r="T255" s="4">
        <f>VLOOKUP(A255,[3]Sheet1!$A:$G,7,0)</f>
        <v>50</v>
      </c>
      <c r="U255" s="4">
        <f>VLOOKUP(A255,[3]Sheet1!$A:$I,8,0)</f>
        <v>0</v>
      </c>
      <c r="V255" s="4">
        <f>VLOOKUP(A255,[3]Sheet1!$A:$J,9,0)</f>
        <v>0</v>
      </c>
      <c r="W255" s="4">
        <f>VLOOKUP(A255,[3]Sheet1!$A:$J,10,0)</f>
        <v>0</v>
      </c>
      <c r="X255" s="4">
        <f>VLOOKUP(A255,[3]Sheet1!$A:$K,11,0)</f>
        <v>0</v>
      </c>
      <c r="Y255" s="4">
        <f>VLOOKUP(A255,[3]Sheet1!$A:$L,12,0)</f>
        <v>0</v>
      </c>
      <c r="Z255" s="4">
        <f>VLOOKUP(A255,[3]Sheet1!$A:$M,13,0)</f>
        <v>0</v>
      </c>
      <c r="AA255" s="4">
        <f t="shared" si="64"/>
        <v>100</v>
      </c>
      <c r="AB255" s="7">
        <f t="shared" si="55"/>
        <v>8</v>
      </c>
      <c r="AC255" s="15">
        <f t="shared" si="65"/>
        <v>8.3333333333333339</v>
      </c>
      <c r="AD255" s="16">
        <f t="shared" si="66"/>
        <v>5049</v>
      </c>
      <c r="AE255" s="16">
        <f t="shared" si="67"/>
        <v>420.75000000000006</v>
      </c>
      <c r="AF255" s="16">
        <v>20.11</v>
      </c>
      <c r="AG255" s="16">
        <v>50.49</v>
      </c>
      <c r="AH255" s="8">
        <f t="shared" si="68"/>
        <v>-6.0933333333333319E-2</v>
      </c>
      <c r="AI255" s="8">
        <f t="shared" si="69"/>
        <v>-0.2132666666666666</v>
      </c>
      <c r="AJ255" s="10">
        <v>0.5</v>
      </c>
      <c r="AK255" s="10">
        <v>0.5</v>
      </c>
      <c r="AL255" s="16">
        <v>20.11</v>
      </c>
      <c r="AM255" s="9">
        <f t="shared" si="56"/>
        <v>7.5735000000000001</v>
      </c>
      <c r="AN255" s="9">
        <f t="shared" si="57"/>
        <v>1.5146999999999999</v>
      </c>
      <c r="AO255" s="9">
        <f t="shared" si="58"/>
        <v>10.098000000000001</v>
      </c>
      <c r="AP255" s="9">
        <f t="shared" si="59"/>
        <v>1.0098</v>
      </c>
      <c r="AQ255" s="9">
        <f t="shared" si="60"/>
        <v>10.098000000000001</v>
      </c>
      <c r="AR255" s="9">
        <f t="shared" si="61"/>
        <v>12.6225</v>
      </c>
      <c r="AS255" s="11">
        <f t="shared" si="62"/>
        <v>-0.60933333333333317</v>
      </c>
      <c r="AT255" s="12">
        <f t="shared" si="63"/>
        <v>-2.2923333333333331</v>
      </c>
    </row>
    <row r="256" spans="1:46" ht="16.5" x14ac:dyDescent="0.4">
      <c r="A256" s="4" t="s">
        <v>1181</v>
      </c>
      <c r="B256" s="4" t="s">
        <v>513</v>
      </c>
      <c r="C256" s="7" t="s">
        <v>1784</v>
      </c>
      <c r="D256" s="4" t="s">
        <v>1182</v>
      </c>
      <c r="E256" s="4" t="s">
        <v>1183</v>
      </c>
      <c r="F256" s="4" t="s">
        <v>1184</v>
      </c>
      <c r="G256" s="7" t="str">
        <f>VLOOKUP(A256,[1]done!$A:$I,9,0)</f>
        <v>Lawn Fertilizer</v>
      </c>
      <c r="H256" s="7" t="str" cm="1">
        <f t="array" ref="H256">_xlfn.IFS(
OR(ISNUMBER(SEARCH("mouse",E256)),ISNUMBER(SEARCH("rat",E256)),ISNUMBER(SEARCH("mice",E256)),ISNUMBER(SEARCH("rodent",E256))),"Rodent Control",
OR(ISNUMBER(SEARCH("fly",E256)),ISNUMBER(SEARCH("gnat",E256)),ISNUMBER(SEARCH("insect",E256)),ISNUMBER(SEARCH("mosquito",E256))),"Flying Insect Control",
OR(ISNUMBER(SEARCH("roach",E256)),ISNUMBER(SEARCH("ant",E256)),ISNUMBER(SEARCH("spider",E256)),ISNUMBER(SEARCH("cricket",E256)),ISNUMBER(SEARCH("scorpion",E256)),ISNUMBER(SEARCH("centipede",E256)),ISNUMBER(SEARCH("beetle",E256))),"Crawling Insect Control",
OR(ISNUMBER(SEARCH("tree",E256)),ISNUMBER(SEARCH("lantern",E256)),ISNUMBER(SEARCH("garden",E256)),ISNUMBER(SEARCH("plant",E256))),"Garden Pest Control",
OR(ISNUMBER(SEARCH("grass seed",E256)),ISNUMBER(SEARCH("seed mix",E256))),"Grass Seed",
OR(ISNUMBER(SEARCH("lawn food",E256)),ISNUMBER(SEARCH("fertilizer",E256))),"Lawn Fertilizer",
OR(ISNUMBER(SEARCH("patch",E256)),ISNUMBER(SEARCH("repair",E256)),ISNUMBER(SEARCH("thick'r",E256)),ISNUMBER(SEARCH("thick'r lawn",E256)),ISNUMBER(SEARCH("rapid grass",E256))),"Lawn Repair",
OR(ISNUMBER(SEARCH("weed",E256)),ISNUMBER(SEARCH("crabgrass",E256))),"Weed Control",
OR(ISNUMBER(SEARCH("fungicide",E256)),ISNUMBER(SEARCH("moss",E256))),"Disease &amp; Moss Control",
OR(ISNUMBER(SEARCH("plant food",E256)),ISNUMBER(SEARCH("miracid",E256))),"Plant Nutrition",
OR(ISNUMBER(SEARCH("perlite",E256))),"Soil Amendment",
OR(ISNUMBER(SEARCH("spreader",E256)),ISNUMBER(SEARCH("sprayer",E256)),ISNUMBER(SEARCH("mower",E256)),ISNUMBER(SEARCH("sweeper",E256)),ISNUMBER(SEARCH("pruner",E256)),ISNUMBER(SEARCH("trimmer",E256)),ISNUMBER(SEARCH("pole saw",E256))),"Garden Equipment",
TRUE,"Other"
)</f>
        <v>Flying Insect Control</v>
      </c>
      <c r="I256" s="7" t="str" cm="1">
        <f t="array" ref="I256">_xlfn.IFS(
OR(ISNUMBER(SEARCH("glue trap",E256)),ISNUMBER(SEARCH("glue board",E256))),"Glue Traps",
OR(ISNUMBER(SEARCH("snap trap",E256)),ISNUMBER(SEARCH("power-kill",E256)),ISNUMBER(SEARCH("wide pedal",E256)),ISNUMBER(SEARCH("metal pedal",E256))),"Snap Traps",
OR(ISNUMBER(SEARCH("electronic",E256)),ISNUMBER(SEARCH("zapper",E256))),"Electronic Traps",
OR(ISNUMBER(SEARCH("live catch",E256)),ISNUMBER(SEARCH("multi-catch",E256)),ISNUMBER(SEARCH("catch &amp; hold",E256)),ISNUMBER(SEARCH("tin cat",E256))),"Live Catch Traps",
OR(ISNUMBER(SEARCH("bait",E256)),ISNUMBER(SEARCH("poison",E256))),"Bait &amp; Poison",
ISNUMBER(SEARCH("repellent",E256)),"Repellents",
OR(ISNUMBER(SEARCH("fly trap",E256)),ISNUMBER(SEARCH("fly ribbon",E256)),ISNUMBER(SEARCH("fly stick",E256)),ISNUMBER(SEARCH("window fly",E256)),ISNUMBER(SEARCH("fly magnet",E256))),"Fly Traps",
OR(ISNUMBER(SEARCH("uv",E256)),ISNUMBER(SEARCH("fly light",E256)),ISNUMBER(SEARCH("plug-in",E256))),"UV Fly Traps",
ISNUMBER(SEARCH("roach",E256)),"Roach Traps",
ISNUMBER(SEARCH("ant",E256)),"Ant Traps",
ISNUMBER(SEARCH("spider",E256)),"Spider Traps",
ISNUMBER(SEARCH("mosquito",E256)),"Mosquito Traps",
ISNUMBER(SEARCH("beetle",E256)),"Beetle Traps",
ISNUMBER(SEARCH("lantern",E256)),"Lanternfly Control",
OR(ISNUMBER(SEARCH("tree shield",E256)),ISNUMBER(SEARCH("tree banding",E256)),ISNUMBER(SEARCH("insect barrier",E256))),"Tree Barriers",
OR(ISNUMBER(SEARCH("sun &amp; shade",E256)),ISNUMBER(SEARCH("sun and shade",E256))),"Sun &amp; Shade Mix",
ISNUMBER(SEARCH("tall fescue",E256)),"Tall Fescue",
ISNUMBER(SEARCH("bermudagrass",E256)),"Bermudagrass",
ISNUMBER(SEARCH("kentucky",E256)),"Kentucky Bluegrass",
ISNUMBER(SEARCH("zoysia",E256)),"Zoysia",
ISNUMBER(SEARCH("ryegrass",E256)),"Perennial Ryegrass",
ISNUMBER(SEARCH("centipede",E256)),"Centipede Grass",
ISNUMBER(SEARCH("dense shade",E256)),"Dense Shade Mix",
ISNUMBER(SEARCH("southern gold",E256)),"Southern Gold Mix",
ISNUMBER(SEARCH("heat-tolerant blue",E256)),"Heat-Tolerant Blue Mix",
ISNUMBER(SEARCH("high traffic",E256)),"High Traffic Mix",
ISNUMBER(SEARCH("quick fix",E256)),"Quick Fix Mix",
ISNUMBER(SEARCH("starter",E256)),"Starter Fertilizer",
ISNUMBER(SEARCH("weed &amp; feed",E256)),"Weed &amp; Feed",
ISNUMBER(SEARCH("lawn food",E256)),"Lawn Food",
ISNUMBER(SEARCH("triple action",E256)),"Triple Action Fertilizer",
ISNUMBER(SEARCH("green max",E256)),"Green Max Lawn Food",
ISNUMBER(SEARCH("patchmaster",E256)),"PatchMaster Repair",
ISNUMBER(SEARCH("ez seed",E256)),"EZ Seed Repair",
ISNUMBER(SEARCH("rapid grass",E256)),"Rapid Grass",
ISNUMBER(SEARCH("thick'r lawn",E256)),"Thick'R Lawn",
ISNUMBER(SEARCH("fungicide",E256)),"Fungicide",
ISNUMBER(SEARCH("moss",E256)),"Moss Control",
ISNUMBER(SEARCH("perlite",E256)),"Perlite",
ISNUMBER(SEARCH("plant food",E256)),"Plant Food",
ISNUMBER(SEARCH("spreader",E256)),"Spreader",
ISNUMBER(SEARCH("sprayer",E256)),"Sprayer",
ISNUMBER(SEARCH("mower",E256)),"Lawn Mower",
ISNUMBER(SEARCH("sweeper",E256)),"Lawn Sweeper",
OR(ISNUMBER(SEARCH("pruner",E256)),ISNUMBER(SEARCH("trimmer",E256)),ISNUMBER(SEARCH("pole saw",E256))),"Pruning Tools",
TRUE,"Other"
)</f>
        <v>Lawn Food</v>
      </c>
      <c r="J256" s="7" t="str">
        <f t="shared" si="54"/>
        <v>Flying Insect Control - Lawn Food</v>
      </c>
      <c r="K256" s="4">
        <v>50</v>
      </c>
      <c r="L256" s="4">
        <v>4.5</v>
      </c>
      <c r="M256" s="4">
        <v>8381</v>
      </c>
      <c r="N256" s="4" t="s">
        <v>655</v>
      </c>
      <c r="O256" s="4">
        <f>VLOOKUP(A256,[3]Sheet1!$A:$B,2,0)</f>
        <v>0</v>
      </c>
      <c r="P256" s="4">
        <f>VLOOKUP(A256,[3]Sheet1!$A:$C,3,0)</f>
        <v>0</v>
      </c>
      <c r="Q256" s="4">
        <f>VLOOKUP(A256,[3]Sheet1!$A:$D,4,0)</f>
        <v>100</v>
      </c>
      <c r="R256" s="4">
        <f>VLOOKUP(A256,[3]Sheet1!$A:$E,5,0)</f>
        <v>100</v>
      </c>
      <c r="S256" s="4">
        <f>VLOOKUP(A256,[3]Sheet1!$A:$F,6,0)</f>
        <v>100</v>
      </c>
      <c r="T256" s="4">
        <f>VLOOKUP(A256,[3]Sheet1!$A:$G,7,0)</f>
        <v>1000</v>
      </c>
      <c r="U256" s="4">
        <f>VLOOKUP(A256,[3]Sheet1!$A:$I,8,0)</f>
        <v>3000</v>
      </c>
      <c r="V256" s="4">
        <f>VLOOKUP(A256,[3]Sheet1!$A:$J,9,0)</f>
        <v>1000</v>
      </c>
      <c r="W256" s="4">
        <f>VLOOKUP(A256,[3]Sheet1!$A:$J,10,0)</f>
        <v>100</v>
      </c>
      <c r="X256" s="4">
        <f>VLOOKUP(A256,[3]Sheet1!$A:$K,11,0)</f>
        <v>0</v>
      </c>
      <c r="Y256" s="4">
        <f>VLOOKUP(A256,[3]Sheet1!$A:$L,12,0)</f>
        <v>0</v>
      </c>
      <c r="Z256" s="4">
        <f>VLOOKUP(A256,[3]Sheet1!$A:$M,13,0)</f>
        <v>0</v>
      </c>
      <c r="AA256" s="4">
        <f t="shared" si="64"/>
        <v>5400</v>
      </c>
      <c r="AB256" s="7">
        <f t="shared" si="55"/>
        <v>450</v>
      </c>
      <c r="AC256" s="15">
        <f t="shared" si="65"/>
        <v>450</v>
      </c>
      <c r="AD256" s="16">
        <f t="shared" si="66"/>
        <v>512838</v>
      </c>
      <c r="AE256" s="16">
        <f t="shared" si="67"/>
        <v>42736.5</v>
      </c>
      <c r="AF256" s="16">
        <v>25.23</v>
      </c>
      <c r="AG256" s="16">
        <v>94.97</v>
      </c>
      <c r="AH256" s="8">
        <f t="shared" si="68"/>
        <v>0.7838666666666666</v>
      </c>
      <c r="AI256" s="8">
        <f t="shared" si="69"/>
        <v>2.7435333333333327</v>
      </c>
      <c r="AJ256" s="10">
        <v>0.5</v>
      </c>
      <c r="AK256" s="10">
        <v>0.5</v>
      </c>
      <c r="AL256" s="16">
        <v>25.23</v>
      </c>
      <c r="AM256" s="9">
        <f t="shared" si="56"/>
        <v>14.2455</v>
      </c>
      <c r="AN256" s="9">
        <f t="shared" si="57"/>
        <v>2.8491</v>
      </c>
      <c r="AO256" s="9">
        <f t="shared" si="58"/>
        <v>18.994</v>
      </c>
      <c r="AP256" s="9">
        <f t="shared" si="59"/>
        <v>1.8994</v>
      </c>
      <c r="AQ256" s="9">
        <f t="shared" si="60"/>
        <v>18.994</v>
      </c>
      <c r="AR256" s="9">
        <f t="shared" si="61"/>
        <v>23.7425</v>
      </c>
      <c r="AS256" s="11">
        <f t="shared" si="62"/>
        <v>7.8386666666666658</v>
      </c>
      <c r="AT256" s="12">
        <f t="shared" si="63"/>
        <v>4.6729999999999992</v>
      </c>
    </row>
    <row r="257" spans="1:46" ht="16.5" x14ac:dyDescent="0.4">
      <c r="A257" s="4" t="s">
        <v>1185</v>
      </c>
      <c r="B257" s="4" t="s">
        <v>513</v>
      </c>
      <c r="C257" s="7" t="s">
        <v>1784</v>
      </c>
      <c r="D257" s="4" t="s">
        <v>1186</v>
      </c>
      <c r="E257" s="4" t="s">
        <v>1187</v>
      </c>
      <c r="F257" s="4" t="s">
        <v>1188</v>
      </c>
      <c r="G257" s="7" t="str">
        <f>VLOOKUP(A257,[1]done!$A:$I,9,0)</f>
        <v>Lawn Fertilizer</v>
      </c>
      <c r="H257" s="7" t="str" cm="1">
        <f t="array" ref="H257">_xlfn.IFS(
OR(ISNUMBER(SEARCH("mouse",E257)),ISNUMBER(SEARCH("rat",E257)),ISNUMBER(SEARCH("mice",E257)),ISNUMBER(SEARCH("rodent",E257))),"Rodent Control",
OR(ISNUMBER(SEARCH("fly",E257)),ISNUMBER(SEARCH("gnat",E257)),ISNUMBER(SEARCH("insect",E257)),ISNUMBER(SEARCH("mosquito",E257))),"Flying Insect Control",
OR(ISNUMBER(SEARCH("roach",E257)),ISNUMBER(SEARCH("ant",E257)),ISNUMBER(SEARCH("spider",E257)),ISNUMBER(SEARCH("cricket",E257)),ISNUMBER(SEARCH("scorpion",E257)),ISNUMBER(SEARCH("centipede",E257)),ISNUMBER(SEARCH("beetle",E257))),"Crawling Insect Control",
OR(ISNUMBER(SEARCH("tree",E257)),ISNUMBER(SEARCH("lantern",E257)),ISNUMBER(SEARCH("garden",E257)),ISNUMBER(SEARCH("plant",E257))),"Garden Pest Control",
OR(ISNUMBER(SEARCH("grass seed",E257)),ISNUMBER(SEARCH("seed mix",E257))),"Grass Seed",
OR(ISNUMBER(SEARCH("lawn food",E257)),ISNUMBER(SEARCH("fertilizer",E257))),"Lawn Fertilizer",
OR(ISNUMBER(SEARCH("patch",E257)),ISNUMBER(SEARCH("repair",E257)),ISNUMBER(SEARCH("thick'r",E257)),ISNUMBER(SEARCH("thick'r lawn",E257)),ISNUMBER(SEARCH("rapid grass",E257))),"Lawn Repair",
OR(ISNUMBER(SEARCH("weed",E257)),ISNUMBER(SEARCH("crabgrass",E257))),"Weed Control",
OR(ISNUMBER(SEARCH("fungicide",E257)),ISNUMBER(SEARCH("moss",E257))),"Disease &amp; Moss Control",
OR(ISNUMBER(SEARCH("plant food",E257)),ISNUMBER(SEARCH("miracid",E257))),"Plant Nutrition",
OR(ISNUMBER(SEARCH("perlite",E257))),"Soil Amendment",
OR(ISNUMBER(SEARCH("spreader",E257)),ISNUMBER(SEARCH("sprayer",E257)),ISNUMBER(SEARCH("mower",E257)),ISNUMBER(SEARCH("sweeper",E257)),ISNUMBER(SEARCH("pruner",E257)),ISNUMBER(SEARCH("trimmer",E257)),ISNUMBER(SEARCH("pole saw",E257))),"Garden Equipment",
TRUE,"Other"
)</f>
        <v>Lawn Repair</v>
      </c>
      <c r="I257" s="7" t="str" cm="1">
        <f t="array" ref="I257">_xlfn.IFS(
OR(ISNUMBER(SEARCH("glue trap",E257)),ISNUMBER(SEARCH("glue board",E257))),"Glue Traps",
OR(ISNUMBER(SEARCH("snap trap",E257)),ISNUMBER(SEARCH("power-kill",E257)),ISNUMBER(SEARCH("wide pedal",E257)),ISNUMBER(SEARCH("metal pedal",E257))),"Snap Traps",
OR(ISNUMBER(SEARCH("electronic",E257)),ISNUMBER(SEARCH("zapper",E257))),"Electronic Traps",
OR(ISNUMBER(SEARCH("live catch",E257)),ISNUMBER(SEARCH("multi-catch",E257)),ISNUMBER(SEARCH("catch &amp; hold",E257)),ISNUMBER(SEARCH("tin cat",E257))),"Live Catch Traps",
OR(ISNUMBER(SEARCH("bait",E257)),ISNUMBER(SEARCH("poison",E257))),"Bait &amp; Poison",
ISNUMBER(SEARCH("repellent",E257)),"Repellents",
OR(ISNUMBER(SEARCH("fly trap",E257)),ISNUMBER(SEARCH("fly ribbon",E257)),ISNUMBER(SEARCH("fly stick",E257)),ISNUMBER(SEARCH("window fly",E257)),ISNUMBER(SEARCH("fly magnet",E257))),"Fly Traps",
OR(ISNUMBER(SEARCH("uv",E257)),ISNUMBER(SEARCH("fly light",E257)),ISNUMBER(SEARCH("plug-in",E257))),"UV Fly Traps",
ISNUMBER(SEARCH("roach",E257)),"Roach Traps",
ISNUMBER(SEARCH("ant",E257)),"Ant Traps",
ISNUMBER(SEARCH("spider",E257)),"Spider Traps",
ISNUMBER(SEARCH("mosquito",E257)),"Mosquito Traps",
ISNUMBER(SEARCH("beetle",E257)),"Beetle Traps",
ISNUMBER(SEARCH("lantern",E257)),"Lanternfly Control",
OR(ISNUMBER(SEARCH("tree shield",E257)),ISNUMBER(SEARCH("tree banding",E257)),ISNUMBER(SEARCH("insect barrier",E257))),"Tree Barriers",
OR(ISNUMBER(SEARCH("sun &amp; shade",E257)),ISNUMBER(SEARCH("sun and shade",E257))),"Sun &amp; Shade Mix",
ISNUMBER(SEARCH("tall fescue",E257)),"Tall Fescue",
ISNUMBER(SEARCH("bermudagrass",E257)),"Bermudagrass",
ISNUMBER(SEARCH("kentucky",E257)),"Kentucky Bluegrass",
ISNUMBER(SEARCH("zoysia",E257)),"Zoysia",
ISNUMBER(SEARCH("ryegrass",E257)),"Perennial Ryegrass",
ISNUMBER(SEARCH("centipede",E257)),"Centipede Grass",
ISNUMBER(SEARCH("dense shade",E257)),"Dense Shade Mix",
ISNUMBER(SEARCH("southern gold",E257)),"Southern Gold Mix",
ISNUMBER(SEARCH("heat-tolerant blue",E257)),"Heat-Tolerant Blue Mix",
ISNUMBER(SEARCH("high traffic",E257)),"High Traffic Mix",
ISNUMBER(SEARCH("quick fix",E257)),"Quick Fix Mix",
ISNUMBER(SEARCH("starter",E257)),"Starter Fertilizer",
ISNUMBER(SEARCH("weed &amp; feed",E257)),"Weed &amp; Feed",
ISNUMBER(SEARCH("lawn food",E257)),"Lawn Food",
ISNUMBER(SEARCH("triple action",E257)),"Triple Action Fertilizer",
ISNUMBER(SEARCH("green max",E257)),"Green Max Lawn Food",
ISNUMBER(SEARCH("patchmaster",E257)),"PatchMaster Repair",
ISNUMBER(SEARCH("ez seed",E257)),"EZ Seed Repair",
ISNUMBER(SEARCH("rapid grass",E257)),"Rapid Grass",
ISNUMBER(SEARCH("thick'r lawn",E257)),"Thick'R Lawn",
ISNUMBER(SEARCH("fungicide",E257)),"Fungicide",
ISNUMBER(SEARCH("moss",E257)),"Moss Control",
ISNUMBER(SEARCH("perlite",E257)),"Perlite",
ISNUMBER(SEARCH("plant food",E257)),"Plant Food",
ISNUMBER(SEARCH("spreader",E257)),"Spreader",
ISNUMBER(SEARCH("sprayer",E257)),"Sprayer",
ISNUMBER(SEARCH("mower",E257)),"Lawn Mower",
ISNUMBER(SEARCH("sweeper",E257)),"Lawn Sweeper",
OR(ISNUMBER(SEARCH("pruner",E257)),ISNUMBER(SEARCH("trimmer",E257)),ISNUMBER(SEARCH("pole saw",E257))),"Pruning Tools",
TRUE,"Other"
)</f>
        <v>Bermudagrass</v>
      </c>
      <c r="J257" s="7" t="str">
        <f t="shared" si="54"/>
        <v>Lawn Repair - Bermudagrass</v>
      </c>
      <c r="K257" s="4">
        <v>50</v>
      </c>
      <c r="L257" s="4">
        <v>4</v>
      </c>
      <c r="M257" s="4">
        <v>878</v>
      </c>
      <c r="N257" s="4" t="s">
        <v>829</v>
      </c>
      <c r="O257" s="4">
        <f>VLOOKUP(A257,[3]Sheet1!$A:$B,2,0)</f>
        <v>0</v>
      </c>
      <c r="P257" s="4">
        <f>VLOOKUP(A257,[3]Sheet1!$A:$C,3,0)</f>
        <v>0</v>
      </c>
      <c r="Q257" s="4">
        <f>VLOOKUP(A257,[3]Sheet1!$A:$D,4,0)</f>
        <v>50</v>
      </c>
      <c r="R257" s="4">
        <f>VLOOKUP(A257,[3]Sheet1!$A:$E,5,0)</f>
        <v>100</v>
      </c>
      <c r="S257" s="4">
        <f>VLOOKUP(A257,[3]Sheet1!$A:$F,6,0)</f>
        <v>100</v>
      </c>
      <c r="T257" s="4">
        <f>VLOOKUP(A257,[3]Sheet1!$A:$G,7,0)</f>
        <v>100</v>
      </c>
      <c r="U257" s="4">
        <f>VLOOKUP(A257,[3]Sheet1!$A:$I,8,0)</f>
        <v>50</v>
      </c>
      <c r="V257" s="4">
        <f>VLOOKUP(A257,[3]Sheet1!$A:$J,9,0)</f>
        <v>50</v>
      </c>
      <c r="W257" s="4">
        <f>VLOOKUP(A257,[3]Sheet1!$A:$J,10,0)</f>
        <v>50</v>
      </c>
      <c r="X257" s="4">
        <f>VLOOKUP(A257,[3]Sheet1!$A:$K,11,0)</f>
        <v>0</v>
      </c>
      <c r="Y257" s="4">
        <f>VLOOKUP(A257,[3]Sheet1!$A:$L,12,0)</f>
        <v>0</v>
      </c>
      <c r="Z257" s="4">
        <f>VLOOKUP(A257,[3]Sheet1!$A:$M,13,0)</f>
        <v>0</v>
      </c>
      <c r="AA257" s="4">
        <f t="shared" si="64"/>
        <v>500</v>
      </c>
      <c r="AB257" s="7">
        <f t="shared" si="55"/>
        <v>42</v>
      </c>
      <c r="AC257" s="15">
        <f t="shared" si="65"/>
        <v>41.666666666666664</v>
      </c>
      <c r="AD257" s="16">
        <f t="shared" si="66"/>
        <v>11495</v>
      </c>
      <c r="AE257" s="16">
        <f t="shared" si="67"/>
        <v>957.91666666666652</v>
      </c>
      <c r="AF257" s="16">
        <v>5.22</v>
      </c>
      <c r="AG257" s="16">
        <v>22.99</v>
      </c>
      <c r="AH257" s="8">
        <f t="shared" si="68"/>
        <v>0.19839999999999994</v>
      </c>
      <c r="AI257" s="8">
        <f t="shared" si="69"/>
        <v>0.69439999999999968</v>
      </c>
      <c r="AJ257" s="10">
        <v>0.5</v>
      </c>
      <c r="AK257" s="10">
        <v>0.5</v>
      </c>
      <c r="AL257" s="16">
        <v>5.22</v>
      </c>
      <c r="AM257" s="9">
        <f t="shared" si="56"/>
        <v>3.4484999999999997</v>
      </c>
      <c r="AN257" s="9">
        <f t="shared" si="57"/>
        <v>0.68969999999999998</v>
      </c>
      <c r="AO257" s="9">
        <f t="shared" si="58"/>
        <v>4.5979999999999999</v>
      </c>
      <c r="AP257" s="9">
        <f t="shared" si="59"/>
        <v>0.45979999999999999</v>
      </c>
      <c r="AQ257" s="9">
        <f t="shared" si="60"/>
        <v>4.5979999999999999</v>
      </c>
      <c r="AR257" s="9">
        <f t="shared" si="61"/>
        <v>5.7474999999999996</v>
      </c>
      <c r="AS257" s="11">
        <f t="shared" si="62"/>
        <v>1.9839999999999993</v>
      </c>
      <c r="AT257" s="12">
        <f t="shared" si="63"/>
        <v>1.2176666666666662</v>
      </c>
    </row>
    <row r="258" spans="1:46" ht="16.5" x14ac:dyDescent="0.4">
      <c r="A258" s="4" t="s">
        <v>1189</v>
      </c>
      <c r="B258" s="4" t="s">
        <v>513</v>
      </c>
      <c r="C258" s="7" t="s">
        <v>1784</v>
      </c>
      <c r="D258" s="4" t="s">
        <v>1190</v>
      </c>
      <c r="E258" s="4" t="s">
        <v>1191</v>
      </c>
      <c r="F258" s="4" t="s">
        <v>1192</v>
      </c>
      <c r="G258" s="7" t="str">
        <f>VLOOKUP(A258,[1]done!$A:$I,9,0)</f>
        <v>Lawn Fertilizer</v>
      </c>
      <c r="H258" s="7" t="str" cm="1">
        <f t="array" ref="H258">_xlfn.IFS(
OR(ISNUMBER(SEARCH("mouse",E258)),ISNUMBER(SEARCH("rat",E258)),ISNUMBER(SEARCH("mice",E258)),ISNUMBER(SEARCH("rodent",E258))),"Rodent Control",
OR(ISNUMBER(SEARCH("fly",E258)),ISNUMBER(SEARCH("gnat",E258)),ISNUMBER(SEARCH("insect",E258)),ISNUMBER(SEARCH("mosquito",E258))),"Flying Insect Control",
OR(ISNUMBER(SEARCH("roach",E258)),ISNUMBER(SEARCH("ant",E258)),ISNUMBER(SEARCH("spider",E258)),ISNUMBER(SEARCH("cricket",E258)),ISNUMBER(SEARCH("scorpion",E258)),ISNUMBER(SEARCH("centipede",E258)),ISNUMBER(SEARCH("beetle",E258))),"Crawling Insect Control",
OR(ISNUMBER(SEARCH("tree",E258)),ISNUMBER(SEARCH("lantern",E258)),ISNUMBER(SEARCH("garden",E258)),ISNUMBER(SEARCH("plant",E258))),"Garden Pest Control",
OR(ISNUMBER(SEARCH("grass seed",E258)),ISNUMBER(SEARCH("seed mix",E258))),"Grass Seed",
OR(ISNUMBER(SEARCH("lawn food",E258)),ISNUMBER(SEARCH("fertilizer",E258))),"Lawn Fertilizer",
OR(ISNUMBER(SEARCH("patch",E258)),ISNUMBER(SEARCH("repair",E258)),ISNUMBER(SEARCH("thick'r",E258)),ISNUMBER(SEARCH("thick'r lawn",E258)),ISNUMBER(SEARCH("rapid grass",E258))),"Lawn Repair",
OR(ISNUMBER(SEARCH("weed",E258)),ISNUMBER(SEARCH("crabgrass",E258))),"Weed Control",
OR(ISNUMBER(SEARCH("fungicide",E258)),ISNUMBER(SEARCH("moss",E258))),"Disease &amp; Moss Control",
OR(ISNUMBER(SEARCH("plant food",E258)),ISNUMBER(SEARCH("miracid",E258))),"Plant Nutrition",
OR(ISNUMBER(SEARCH("perlite",E258))),"Soil Amendment",
OR(ISNUMBER(SEARCH("spreader",E258)),ISNUMBER(SEARCH("sprayer",E258)),ISNUMBER(SEARCH("mower",E258)),ISNUMBER(SEARCH("sweeper",E258)),ISNUMBER(SEARCH("pruner",E258)),ISNUMBER(SEARCH("trimmer",E258)),ISNUMBER(SEARCH("pole saw",E258))),"Garden Equipment",
TRUE,"Other"
)</f>
        <v>Other</v>
      </c>
      <c r="I258" s="7" t="str" cm="1">
        <f t="array" ref="I258">_xlfn.IFS(
OR(ISNUMBER(SEARCH("glue trap",E258)),ISNUMBER(SEARCH("glue board",E258))),"Glue Traps",
OR(ISNUMBER(SEARCH("snap trap",E258)),ISNUMBER(SEARCH("power-kill",E258)),ISNUMBER(SEARCH("wide pedal",E258)),ISNUMBER(SEARCH("metal pedal",E258))),"Snap Traps",
OR(ISNUMBER(SEARCH("electronic",E258)),ISNUMBER(SEARCH("zapper",E258))),"Electronic Traps",
OR(ISNUMBER(SEARCH("live catch",E258)),ISNUMBER(SEARCH("multi-catch",E258)),ISNUMBER(SEARCH("catch &amp; hold",E258)),ISNUMBER(SEARCH("tin cat",E258))),"Live Catch Traps",
OR(ISNUMBER(SEARCH("bait",E258)),ISNUMBER(SEARCH("poison",E258))),"Bait &amp; Poison",
ISNUMBER(SEARCH("repellent",E258)),"Repellents",
OR(ISNUMBER(SEARCH("fly trap",E258)),ISNUMBER(SEARCH("fly ribbon",E258)),ISNUMBER(SEARCH("fly stick",E258)),ISNUMBER(SEARCH("window fly",E258)),ISNUMBER(SEARCH("fly magnet",E258))),"Fly Traps",
OR(ISNUMBER(SEARCH("uv",E258)),ISNUMBER(SEARCH("fly light",E258)),ISNUMBER(SEARCH("plug-in",E258))),"UV Fly Traps",
ISNUMBER(SEARCH("roach",E258)),"Roach Traps",
ISNUMBER(SEARCH("ant",E258)),"Ant Traps",
ISNUMBER(SEARCH("spider",E258)),"Spider Traps",
ISNUMBER(SEARCH("mosquito",E258)),"Mosquito Traps",
ISNUMBER(SEARCH("beetle",E258)),"Beetle Traps",
ISNUMBER(SEARCH("lantern",E258)),"Lanternfly Control",
OR(ISNUMBER(SEARCH("tree shield",E258)),ISNUMBER(SEARCH("tree banding",E258)),ISNUMBER(SEARCH("insect barrier",E258))),"Tree Barriers",
OR(ISNUMBER(SEARCH("sun &amp; shade",E258)),ISNUMBER(SEARCH("sun and shade",E258))),"Sun &amp; Shade Mix",
ISNUMBER(SEARCH("tall fescue",E258)),"Tall Fescue",
ISNUMBER(SEARCH("bermudagrass",E258)),"Bermudagrass",
ISNUMBER(SEARCH("kentucky",E258)),"Kentucky Bluegrass",
ISNUMBER(SEARCH("zoysia",E258)),"Zoysia",
ISNUMBER(SEARCH("ryegrass",E258)),"Perennial Ryegrass",
ISNUMBER(SEARCH("centipede",E258)),"Centipede Grass",
ISNUMBER(SEARCH("dense shade",E258)),"Dense Shade Mix",
ISNUMBER(SEARCH("southern gold",E258)),"Southern Gold Mix",
ISNUMBER(SEARCH("heat-tolerant blue",E258)),"Heat-Tolerant Blue Mix",
ISNUMBER(SEARCH("high traffic",E258)),"High Traffic Mix",
ISNUMBER(SEARCH("quick fix",E258)),"Quick Fix Mix",
ISNUMBER(SEARCH("starter",E258)),"Starter Fertilizer",
ISNUMBER(SEARCH("weed &amp; feed",E258)),"Weed &amp; Feed",
ISNUMBER(SEARCH("lawn food",E258)),"Lawn Food",
ISNUMBER(SEARCH("triple action",E258)),"Triple Action Fertilizer",
ISNUMBER(SEARCH("green max",E258)),"Green Max Lawn Food",
ISNUMBER(SEARCH("patchmaster",E258)),"PatchMaster Repair",
ISNUMBER(SEARCH("ez seed",E258)),"EZ Seed Repair",
ISNUMBER(SEARCH("rapid grass",E258)),"Rapid Grass",
ISNUMBER(SEARCH("thick'r lawn",E258)),"Thick'R Lawn",
ISNUMBER(SEARCH("fungicide",E258)),"Fungicide",
ISNUMBER(SEARCH("moss",E258)),"Moss Control",
ISNUMBER(SEARCH("perlite",E258)),"Perlite",
ISNUMBER(SEARCH("plant food",E258)),"Plant Food",
ISNUMBER(SEARCH("spreader",E258)),"Spreader",
ISNUMBER(SEARCH("sprayer",E258)),"Sprayer",
ISNUMBER(SEARCH("mower",E258)),"Lawn Mower",
ISNUMBER(SEARCH("sweeper",E258)),"Lawn Sweeper",
OR(ISNUMBER(SEARCH("pruner",E258)),ISNUMBER(SEARCH("trimmer",E258)),ISNUMBER(SEARCH("pole saw",E258))),"Pruning Tools",
TRUE,"Other"
)</f>
        <v>Triple Action Fertilizer</v>
      </c>
      <c r="J258" s="7" t="str">
        <f t="shared" si="54"/>
        <v>Other - Triple Action Fertilizer</v>
      </c>
      <c r="K258" s="4">
        <v>50</v>
      </c>
      <c r="L258" s="4">
        <v>4.4000000000000004</v>
      </c>
      <c r="M258" s="4">
        <v>1584</v>
      </c>
      <c r="N258" s="4" t="s">
        <v>1193</v>
      </c>
      <c r="O258" s="4">
        <f>VLOOKUP(A258,[3]Sheet1!$A:$B,2,0)</f>
        <v>0</v>
      </c>
      <c r="P258" s="4">
        <f>VLOOKUP(A258,[3]Sheet1!$A:$C,3,0)</f>
        <v>50</v>
      </c>
      <c r="Q258" s="4">
        <f>VLOOKUP(A258,[3]Sheet1!$A:$D,4,0)</f>
        <v>1000</v>
      </c>
      <c r="R258" s="4">
        <f>VLOOKUP(A258,[3]Sheet1!$A:$E,5,0)</f>
        <v>1000</v>
      </c>
      <c r="S258" s="4">
        <f>VLOOKUP(A258,[3]Sheet1!$A:$F,6,0)</f>
        <v>1000</v>
      </c>
      <c r="T258" s="4">
        <f>VLOOKUP(A258,[3]Sheet1!$A:$G,7,0)</f>
        <v>100</v>
      </c>
      <c r="U258" s="4">
        <f>VLOOKUP(A258,[3]Sheet1!$A:$I,8,0)</f>
        <v>50</v>
      </c>
      <c r="V258" s="4">
        <f>VLOOKUP(A258,[3]Sheet1!$A:$J,9,0)</f>
        <v>50</v>
      </c>
      <c r="W258" s="4">
        <f>VLOOKUP(A258,[3]Sheet1!$A:$J,10,0)</f>
        <v>50</v>
      </c>
      <c r="X258" s="4">
        <f>VLOOKUP(A258,[3]Sheet1!$A:$K,11,0)</f>
        <v>200</v>
      </c>
      <c r="Y258" s="4">
        <f>VLOOKUP(A258,[3]Sheet1!$A:$L,12,0)</f>
        <v>50</v>
      </c>
      <c r="Z258" s="4">
        <f>VLOOKUP(A258,[3]Sheet1!$A:$M,13,0)</f>
        <v>0</v>
      </c>
      <c r="AA258" s="4">
        <f t="shared" si="64"/>
        <v>3550</v>
      </c>
      <c r="AB258" s="7">
        <f t="shared" si="55"/>
        <v>296</v>
      </c>
      <c r="AC258" s="15">
        <f t="shared" si="65"/>
        <v>295.83333333333331</v>
      </c>
      <c r="AD258" s="16">
        <f t="shared" si="66"/>
        <v>292839.5</v>
      </c>
      <c r="AE258" s="16">
        <f t="shared" si="67"/>
        <v>24403.291666666664</v>
      </c>
      <c r="AF258" s="16">
        <v>18.440000000000001</v>
      </c>
      <c r="AG258" s="16">
        <v>82.49</v>
      </c>
      <c r="AH258" s="8">
        <f t="shared" si="68"/>
        <v>0.90373333333333283</v>
      </c>
      <c r="AI258" s="8">
        <f t="shared" si="69"/>
        <v>3.1630666666666643</v>
      </c>
      <c r="AJ258" s="10">
        <v>0.5</v>
      </c>
      <c r="AK258" s="10">
        <v>0.5</v>
      </c>
      <c r="AL258" s="16">
        <v>18.440000000000001</v>
      </c>
      <c r="AM258" s="9">
        <f t="shared" si="56"/>
        <v>12.373499999999998</v>
      </c>
      <c r="AN258" s="9">
        <f t="shared" si="57"/>
        <v>2.4746999999999999</v>
      </c>
      <c r="AO258" s="9">
        <f t="shared" si="58"/>
        <v>16.498000000000001</v>
      </c>
      <c r="AP258" s="9">
        <f t="shared" si="59"/>
        <v>1.6497999999999999</v>
      </c>
      <c r="AQ258" s="9">
        <f t="shared" si="60"/>
        <v>16.498000000000001</v>
      </c>
      <c r="AR258" s="9">
        <f t="shared" si="61"/>
        <v>20.622499999999999</v>
      </c>
      <c r="AS258" s="11">
        <f t="shared" si="62"/>
        <v>9.0373333333333274</v>
      </c>
      <c r="AT258" s="12">
        <f t="shared" si="63"/>
        <v>6.2876666666666621</v>
      </c>
    </row>
    <row r="259" spans="1:46" ht="16.5" x14ac:dyDescent="0.4">
      <c r="A259" s="4" t="s">
        <v>1194</v>
      </c>
      <c r="B259" s="4" t="s">
        <v>513</v>
      </c>
      <c r="C259" s="7" t="s">
        <v>1784</v>
      </c>
      <c r="D259" s="4" t="s">
        <v>1195</v>
      </c>
      <c r="E259" s="4" t="s">
        <v>1196</v>
      </c>
      <c r="F259" s="4" t="s">
        <v>1197</v>
      </c>
      <c r="G259" s="7" t="str">
        <f>VLOOKUP(A259,[1]done!$A:$I,9,0)</f>
        <v>Lawn Fertilizer</v>
      </c>
      <c r="H259" s="7" t="str" cm="1">
        <f t="array" ref="H259">_xlfn.IFS(
OR(ISNUMBER(SEARCH("mouse",E259)),ISNUMBER(SEARCH("rat",E259)),ISNUMBER(SEARCH("mice",E259)),ISNUMBER(SEARCH("rodent",E259))),"Rodent Control",
OR(ISNUMBER(SEARCH("fly",E259)),ISNUMBER(SEARCH("gnat",E259)),ISNUMBER(SEARCH("insect",E259)),ISNUMBER(SEARCH("mosquito",E259))),"Flying Insect Control",
OR(ISNUMBER(SEARCH("roach",E259)),ISNUMBER(SEARCH("ant",E259)),ISNUMBER(SEARCH("spider",E259)),ISNUMBER(SEARCH("cricket",E259)),ISNUMBER(SEARCH("scorpion",E259)),ISNUMBER(SEARCH("centipede",E259)),ISNUMBER(SEARCH("beetle",E259))),"Crawling Insect Control",
OR(ISNUMBER(SEARCH("tree",E259)),ISNUMBER(SEARCH("lantern",E259)),ISNUMBER(SEARCH("garden",E259)),ISNUMBER(SEARCH("plant",E259))),"Garden Pest Control",
OR(ISNUMBER(SEARCH("grass seed",E259)),ISNUMBER(SEARCH("seed mix",E259))),"Grass Seed",
OR(ISNUMBER(SEARCH("lawn food",E259)),ISNUMBER(SEARCH("fertilizer",E259))),"Lawn Fertilizer",
OR(ISNUMBER(SEARCH("patch",E259)),ISNUMBER(SEARCH("repair",E259)),ISNUMBER(SEARCH("thick'r",E259)),ISNUMBER(SEARCH("thick'r lawn",E259)),ISNUMBER(SEARCH("rapid grass",E259))),"Lawn Repair",
OR(ISNUMBER(SEARCH("weed",E259)),ISNUMBER(SEARCH("crabgrass",E259))),"Weed Control",
OR(ISNUMBER(SEARCH("fungicide",E259)),ISNUMBER(SEARCH("moss",E259))),"Disease &amp; Moss Control",
OR(ISNUMBER(SEARCH("plant food",E259)),ISNUMBER(SEARCH("miracid",E259))),"Plant Nutrition",
OR(ISNUMBER(SEARCH("perlite",E259))),"Soil Amendment",
OR(ISNUMBER(SEARCH("spreader",E259)),ISNUMBER(SEARCH("sprayer",E259)),ISNUMBER(SEARCH("mower",E259)),ISNUMBER(SEARCH("sweeper",E259)),ISNUMBER(SEARCH("pruner",E259)),ISNUMBER(SEARCH("trimmer",E259)),ISNUMBER(SEARCH("pole saw",E259))),"Garden Equipment",
TRUE,"Other"
)</f>
        <v>Other</v>
      </c>
      <c r="I259" s="7" t="str" cm="1">
        <f t="array" ref="I259">_xlfn.IFS(
OR(ISNUMBER(SEARCH("glue trap",E259)),ISNUMBER(SEARCH("glue board",E259))),"Glue Traps",
OR(ISNUMBER(SEARCH("snap trap",E259)),ISNUMBER(SEARCH("power-kill",E259)),ISNUMBER(SEARCH("wide pedal",E259)),ISNUMBER(SEARCH("metal pedal",E259))),"Snap Traps",
OR(ISNUMBER(SEARCH("electronic",E259)),ISNUMBER(SEARCH("zapper",E259))),"Electronic Traps",
OR(ISNUMBER(SEARCH("live catch",E259)),ISNUMBER(SEARCH("multi-catch",E259)),ISNUMBER(SEARCH("catch &amp; hold",E259)),ISNUMBER(SEARCH("tin cat",E259))),"Live Catch Traps",
OR(ISNUMBER(SEARCH("bait",E259)),ISNUMBER(SEARCH("poison",E259))),"Bait &amp; Poison",
ISNUMBER(SEARCH("repellent",E259)),"Repellents",
OR(ISNUMBER(SEARCH("fly trap",E259)),ISNUMBER(SEARCH("fly ribbon",E259)),ISNUMBER(SEARCH("fly stick",E259)),ISNUMBER(SEARCH("window fly",E259)),ISNUMBER(SEARCH("fly magnet",E259))),"Fly Traps",
OR(ISNUMBER(SEARCH("uv",E259)),ISNUMBER(SEARCH("fly light",E259)),ISNUMBER(SEARCH("plug-in",E259))),"UV Fly Traps",
ISNUMBER(SEARCH("roach",E259)),"Roach Traps",
ISNUMBER(SEARCH("ant",E259)),"Ant Traps",
ISNUMBER(SEARCH("spider",E259)),"Spider Traps",
ISNUMBER(SEARCH("mosquito",E259)),"Mosquito Traps",
ISNUMBER(SEARCH("beetle",E259)),"Beetle Traps",
ISNUMBER(SEARCH("lantern",E259)),"Lanternfly Control",
OR(ISNUMBER(SEARCH("tree shield",E259)),ISNUMBER(SEARCH("tree banding",E259)),ISNUMBER(SEARCH("insect barrier",E259))),"Tree Barriers",
OR(ISNUMBER(SEARCH("sun &amp; shade",E259)),ISNUMBER(SEARCH("sun and shade",E259))),"Sun &amp; Shade Mix",
ISNUMBER(SEARCH("tall fescue",E259)),"Tall Fescue",
ISNUMBER(SEARCH("bermudagrass",E259)),"Bermudagrass",
ISNUMBER(SEARCH("kentucky",E259)),"Kentucky Bluegrass",
ISNUMBER(SEARCH("zoysia",E259)),"Zoysia",
ISNUMBER(SEARCH("ryegrass",E259)),"Perennial Ryegrass",
ISNUMBER(SEARCH("centipede",E259)),"Centipede Grass",
ISNUMBER(SEARCH("dense shade",E259)),"Dense Shade Mix",
ISNUMBER(SEARCH("southern gold",E259)),"Southern Gold Mix",
ISNUMBER(SEARCH("heat-tolerant blue",E259)),"Heat-Tolerant Blue Mix",
ISNUMBER(SEARCH("high traffic",E259)),"High Traffic Mix",
ISNUMBER(SEARCH("quick fix",E259)),"Quick Fix Mix",
ISNUMBER(SEARCH("starter",E259)),"Starter Fertilizer",
ISNUMBER(SEARCH("weed &amp; feed",E259)),"Weed &amp; Feed",
ISNUMBER(SEARCH("lawn food",E259)),"Lawn Food",
ISNUMBER(SEARCH("triple action",E259)),"Triple Action Fertilizer",
ISNUMBER(SEARCH("green max",E259)),"Green Max Lawn Food",
ISNUMBER(SEARCH("patchmaster",E259)),"PatchMaster Repair",
ISNUMBER(SEARCH("ez seed",E259)),"EZ Seed Repair",
ISNUMBER(SEARCH("rapid grass",E259)),"Rapid Grass",
ISNUMBER(SEARCH("thick'r lawn",E259)),"Thick'R Lawn",
ISNUMBER(SEARCH("fungicide",E259)),"Fungicide",
ISNUMBER(SEARCH("moss",E259)),"Moss Control",
ISNUMBER(SEARCH("perlite",E259)),"Perlite",
ISNUMBER(SEARCH("plant food",E259)),"Plant Food",
ISNUMBER(SEARCH("spreader",E259)),"Spreader",
ISNUMBER(SEARCH("sprayer",E259)),"Sprayer",
ISNUMBER(SEARCH("mower",E259)),"Lawn Mower",
ISNUMBER(SEARCH("sweeper",E259)),"Lawn Sweeper",
OR(ISNUMBER(SEARCH("pruner",E259)),ISNUMBER(SEARCH("trimmer",E259)),ISNUMBER(SEARCH("pole saw",E259))),"Pruning Tools",
TRUE,"Other"
)</f>
        <v>Triple Action Fertilizer</v>
      </c>
      <c r="J259" s="7" t="str">
        <f t="shared" ref="J259:J322" si="70">H259&amp;" - "&amp;I259</f>
        <v>Other - Triple Action Fertilizer</v>
      </c>
      <c r="K259" s="4">
        <v>50</v>
      </c>
      <c r="L259" s="4">
        <v>4.4000000000000004</v>
      </c>
      <c r="M259" s="4">
        <v>1588</v>
      </c>
      <c r="N259" s="4" t="s">
        <v>526</v>
      </c>
      <c r="O259" s="4">
        <f>VLOOKUP(A259,[3]Sheet1!$A:$B,2,0)</f>
        <v>0</v>
      </c>
      <c r="P259" s="4">
        <f>VLOOKUP(A259,[3]Sheet1!$A:$C,3,0)</f>
        <v>0</v>
      </c>
      <c r="Q259" s="4">
        <f>VLOOKUP(A259,[3]Sheet1!$A:$D,4,0)</f>
        <v>100</v>
      </c>
      <c r="R259" s="4">
        <f>VLOOKUP(A259,[3]Sheet1!$A:$E,5,0)</f>
        <v>500</v>
      </c>
      <c r="S259" s="4">
        <f>VLOOKUP(A259,[3]Sheet1!$A:$F,6,0)</f>
        <v>500</v>
      </c>
      <c r="T259" s="4">
        <f>VLOOKUP(A259,[3]Sheet1!$A:$G,7,0)</f>
        <v>300</v>
      </c>
      <c r="U259" s="4">
        <f>VLOOKUP(A259,[3]Sheet1!$A:$I,8,0)</f>
        <v>200</v>
      </c>
      <c r="V259" s="4">
        <f>VLOOKUP(A259,[3]Sheet1!$A:$J,9,0)</f>
        <v>100</v>
      </c>
      <c r="W259" s="4">
        <f>VLOOKUP(A259,[3]Sheet1!$A:$J,10,0)</f>
        <v>100</v>
      </c>
      <c r="X259" s="4">
        <f>VLOOKUP(A259,[3]Sheet1!$A:$K,11,0)</f>
        <v>0</v>
      </c>
      <c r="Y259" s="4">
        <f>VLOOKUP(A259,[3]Sheet1!$A:$L,12,0)</f>
        <v>0</v>
      </c>
      <c r="Z259" s="4">
        <f>VLOOKUP(A259,[3]Sheet1!$A:$M,13,0)</f>
        <v>0</v>
      </c>
      <c r="AA259" s="4">
        <f t="shared" si="64"/>
        <v>1800</v>
      </c>
      <c r="AB259" s="7">
        <f t="shared" ref="AB259:AB322" si="71">ROUND(AA259/12,0)</f>
        <v>150</v>
      </c>
      <c r="AC259" s="15">
        <f t="shared" si="65"/>
        <v>150</v>
      </c>
      <c r="AD259" s="16">
        <f t="shared" si="66"/>
        <v>109818</v>
      </c>
      <c r="AE259" s="16">
        <f t="shared" si="67"/>
        <v>9151.5</v>
      </c>
      <c r="AF259" s="16">
        <v>11.21</v>
      </c>
      <c r="AG259" s="16">
        <v>61.01</v>
      </c>
      <c r="AH259" s="8">
        <f t="shared" si="68"/>
        <v>0.81293333333333306</v>
      </c>
      <c r="AI259" s="8">
        <f t="shared" si="69"/>
        <v>2.8452666666666651</v>
      </c>
      <c r="AJ259" s="10">
        <v>0.5</v>
      </c>
      <c r="AK259" s="10">
        <v>0.5</v>
      </c>
      <c r="AL259" s="16">
        <v>11.21</v>
      </c>
      <c r="AM259" s="9">
        <f t="shared" ref="AM259:AM322" si="72">0.15*AG259</f>
        <v>9.1514999999999986</v>
      </c>
      <c r="AN259" s="9">
        <f t="shared" ref="AN259:AN322" si="73">0.03*AG259</f>
        <v>1.8302999999999998</v>
      </c>
      <c r="AO259" s="9">
        <f t="shared" ref="AO259:AO322" si="74">0.2*AG259</f>
        <v>12.202</v>
      </c>
      <c r="AP259" s="9">
        <f t="shared" ref="AP259:AP322" si="75">0.02*AG259</f>
        <v>1.2202</v>
      </c>
      <c r="AQ259" s="9">
        <f t="shared" ref="AQ259:AQ322" si="76">0.2*AG259</f>
        <v>12.202</v>
      </c>
      <c r="AR259" s="9">
        <f t="shared" ref="AR259:AR322" si="77">0.25*AG259</f>
        <v>15.2525</v>
      </c>
      <c r="AS259" s="11">
        <f t="shared" ref="AS259:AS322" si="78">(AG259*(1-(0.15+0.03+0.2+0.02))-AJ259-AK259-AL259-AQ259)/(1+0.1+0.4)</f>
        <v>8.1293333333333297</v>
      </c>
      <c r="AT259" s="12">
        <f t="shared" ref="AT259:AT322" si="79">(AG259*(1-(0.15+0.03+0.2+0.02))-AJ259-AK259-AL259-AR259)/(1+0.1+0.4)</f>
        <v>6.0956666666666628</v>
      </c>
    </row>
    <row r="260" spans="1:46" ht="16.5" x14ac:dyDescent="0.4">
      <c r="A260" s="4" t="s">
        <v>1198</v>
      </c>
      <c r="B260" s="4" t="s">
        <v>513</v>
      </c>
      <c r="C260" s="7" t="s">
        <v>513</v>
      </c>
      <c r="D260" s="4" t="s">
        <v>1199</v>
      </c>
      <c r="E260" s="4" t="s">
        <v>1200</v>
      </c>
      <c r="F260" s="4" t="s">
        <v>1201</v>
      </c>
      <c r="G260" s="7" t="str">
        <f>VLOOKUP(A260,[1]done!$A:$I,9,0)</f>
        <v>Lawn Fertilizer</v>
      </c>
      <c r="H260" s="7" t="str" cm="1">
        <f t="array" ref="H260">_xlfn.IFS(
OR(ISNUMBER(SEARCH("mouse",E260)),ISNUMBER(SEARCH("rat",E260)),ISNUMBER(SEARCH("mice",E260)),ISNUMBER(SEARCH("rodent",E260))),"Rodent Control",
OR(ISNUMBER(SEARCH("fly",E260)),ISNUMBER(SEARCH("gnat",E260)),ISNUMBER(SEARCH("insect",E260)),ISNUMBER(SEARCH("mosquito",E260))),"Flying Insect Control",
OR(ISNUMBER(SEARCH("roach",E260)),ISNUMBER(SEARCH("ant",E260)),ISNUMBER(SEARCH("spider",E260)),ISNUMBER(SEARCH("cricket",E260)),ISNUMBER(SEARCH("scorpion",E260)),ISNUMBER(SEARCH("centipede",E260)),ISNUMBER(SEARCH("beetle",E260))),"Crawling Insect Control",
OR(ISNUMBER(SEARCH("tree",E260)),ISNUMBER(SEARCH("lantern",E260)),ISNUMBER(SEARCH("garden",E260)),ISNUMBER(SEARCH("plant",E260))),"Garden Pest Control",
OR(ISNUMBER(SEARCH("grass seed",E260)),ISNUMBER(SEARCH("seed mix",E260))),"Grass Seed",
OR(ISNUMBER(SEARCH("lawn food",E260)),ISNUMBER(SEARCH("fertilizer",E260))),"Lawn Fertilizer",
OR(ISNUMBER(SEARCH("patch",E260)),ISNUMBER(SEARCH("repair",E260)),ISNUMBER(SEARCH("thick'r",E260)),ISNUMBER(SEARCH("thick'r lawn",E260)),ISNUMBER(SEARCH("rapid grass",E260))),"Lawn Repair",
OR(ISNUMBER(SEARCH("weed",E260)),ISNUMBER(SEARCH("crabgrass",E260))),"Weed Control",
OR(ISNUMBER(SEARCH("fungicide",E260)),ISNUMBER(SEARCH("moss",E260))),"Disease &amp; Moss Control",
OR(ISNUMBER(SEARCH("plant food",E260)),ISNUMBER(SEARCH("miracid",E260))),"Plant Nutrition",
OR(ISNUMBER(SEARCH("perlite",E260))),"Soil Amendment",
OR(ISNUMBER(SEARCH("spreader",E260)),ISNUMBER(SEARCH("sprayer",E260)),ISNUMBER(SEARCH("mower",E260)),ISNUMBER(SEARCH("sweeper",E260)),ISNUMBER(SEARCH("pruner",E260)),ISNUMBER(SEARCH("trimmer",E260)),ISNUMBER(SEARCH("pole saw",E260))),"Garden Equipment",
TRUE,"Other"
)</f>
        <v>Lawn Fertilizer</v>
      </c>
      <c r="I260" s="7" t="str" cm="1">
        <f t="array" ref="I260">_xlfn.IFS(
OR(ISNUMBER(SEARCH("glue trap",E260)),ISNUMBER(SEARCH("glue board",E260))),"Glue Traps",
OR(ISNUMBER(SEARCH("snap trap",E260)),ISNUMBER(SEARCH("power-kill",E260)),ISNUMBER(SEARCH("wide pedal",E260)),ISNUMBER(SEARCH("metal pedal",E260))),"Snap Traps",
OR(ISNUMBER(SEARCH("electronic",E260)),ISNUMBER(SEARCH("zapper",E260))),"Electronic Traps",
OR(ISNUMBER(SEARCH("live catch",E260)),ISNUMBER(SEARCH("multi-catch",E260)),ISNUMBER(SEARCH("catch &amp; hold",E260)),ISNUMBER(SEARCH("tin cat",E260))),"Live Catch Traps",
OR(ISNUMBER(SEARCH("bait",E260)),ISNUMBER(SEARCH("poison",E260))),"Bait &amp; Poison",
ISNUMBER(SEARCH("repellent",E260)),"Repellents",
OR(ISNUMBER(SEARCH("fly trap",E260)),ISNUMBER(SEARCH("fly ribbon",E260)),ISNUMBER(SEARCH("fly stick",E260)),ISNUMBER(SEARCH("window fly",E260)),ISNUMBER(SEARCH("fly magnet",E260))),"Fly Traps",
OR(ISNUMBER(SEARCH("uv",E260)),ISNUMBER(SEARCH("fly light",E260)),ISNUMBER(SEARCH("plug-in",E260))),"UV Fly Traps",
ISNUMBER(SEARCH("roach",E260)),"Roach Traps",
ISNUMBER(SEARCH("ant",E260)),"Ant Traps",
ISNUMBER(SEARCH("spider",E260)),"Spider Traps",
ISNUMBER(SEARCH("mosquito",E260)),"Mosquito Traps",
ISNUMBER(SEARCH("beetle",E260)),"Beetle Traps",
ISNUMBER(SEARCH("lantern",E260)),"Lanternfly Control",
OR(ISNUMBER(SEARCH("tree shield",E260)),ISNUMBER(SEARCH("tree banding",E260)),ISNUMBER(SEARCH("insect barrier",E260))),"Tree Barriers",
OR(ISNUMBER(SEARCH("sun &amp; shade",E260)),ISNUMBER(SEARCH("sun and shade",E260))),"Sun &amp; Shade Mix",
ISNUMBER(SEARCH("tall fescue",E260)),"Tall Fescue",
ISNUMBER(SEARCH("bermudagrass",E260)),"Bermudagrass",
ISNUMBER(SEARCH("kentucky",E260)),"Kentucky Bluegrass",
ISNUMBER(SEARCH("zoysia",E260)),"Zoysia",
ISNUMBER(SEARCH("ryegrass",E260)),"Perennial Ryegrass",
ISNUMBER(SEARCH("centipede",E260)),"Centipede Grass",
ISNUMBER(SEARCH("dense shade",E260)),"Dense Shade Mix",
ISNUMBER(SEARCH("southern gold",E260)),"Southern Gold Mix",
ISNUMBER(SEARCH("heat-tolerant blue",E260)),"Heat-Tolerant Blue Mix",
ISNUMBER(SEARCH("high traffic",E260)),"High Traffic Mix",
ISNUMBER(SEARCH("quick fix",E260)),"Quick Fix Mix",
ISNUMBER(SEARCH("starter",E260)),"Starter Fertilizer",
ISNUMBER(SEARCH("weed &amp; feed",E260)),"Weed &amp; Feed",
ISNUMBER(SEARCH("lawn food",E260)),"Lawn Food",
ISNUMBER(SEARCH("triple action",E260)),"Triple Action Fertilizer",
ISNUMBER(SEARCH("green max",E260)),"Green Max Lawn Food",
ISNUMBER(SEARCH("patchmaster",E260)),"PatchMaster Repair",
ISNUMBER(SEARCH("ez seed",E260)),"EZ Seed Repair",
ISNUMBER(SEARCH("rapid grass",E260)),"Rapid Grass",
ISNUMBER(SEARCH("thick'r lawn",E260)),"Thick'R Lawn",
ISNUMBER(SEARCH("fungicide",E260)),"Fungicide",
ISNUMBER(SEARCH("moss",E260)),"Moss Control",
ISNUMBER(SEARCH("perlite",E260)),"Perlite",
ISNUMBER(SEARCH("plant food",E260)),"Plant Food",
ISNUMBER(SEARCH("spreader",E260)),"Spreader",
ISNUMBER(SEARCH("sprayer",E260)),"Sprayer",
ISNUMBER(SEARCH("mower",E260)),"Lawn Mower",
ISNUMBER(SEARCH("sweeper",E260)),"Lawn Sweeper",
OR(ISNUMBER(SEARCH("pruner",E260)),ISNUMBER(SEARCH("trimmer",E260)),ISNUMBER(SEARCH("pole saw",E260))),"Pruning Tools",
TRUE,"Other"
)</f>
        <v>Lawn Food</v>
      </c>
      <c r="J260" s="7" t="str">
        <f t="shared" si="70"/>
        <v>Lawn Fertilizer - Lawn Food</v>
      </c>
      <c r="K260" s="4">
        <v>50</v>
      </c>
      <c r="L260" s="4">
        <v>4.3</v>
      </c>
      <c r="M260" s="4">
        <v>3838</v>
      </c>
      <c r="N260" s="4" t="s">
        <v>1202</v>
      </c>
      <c r="O260" s="4">
        <f>VLOOKUP(A260,[3]Sheet1!$A:$B,2,0)</f>
        <v>0</v>
      </c>
      <c r="P260" s="4">
        <f>VLOOKUP(A260,[3]Sheet1!$A:$C,3,0)</f>
        <v>0</v>
      </c>
      <c r="Q260" s="4">
        <f>VLOOKUP(A260,[3]Sheet1!$A:$D,4,0)</f>
        <v>100</v>
      </c>
      <c r="R260" s="4">
        <f>VLOOKUP(A260,[3]Sheet1!$A:$E,5,0)</f>
        <v>200</v>
      </c>
      <c r="S260" s="4">
        <f>VLOOKUP(A260,[3]Sheet1!$A:$F,6,0)</f>
        <v>400</v>
      </c>
      <c r="T260" s="4">
        <f>VLOOKUP(A260,[3]Sheet1!$A:$G,7,0)</f>
        <v>100</v>
      </c>
      <c r="U260" s="4">
        <f>VLOOKUP(A260,[3]Sheet1!$A:$I,8,0)</f>
        <v>50</v>
      </c>
      <c r="V260" s="4">
        <f>VLOOKUP(A260,[3]Sheet1!$A:$J,9,0)</f>
        <v>100</v>
      </c>
      <c r="W260" s="4">
        <f>VLOOKUP(A260,[3]Sheet1!$A:$J,10,0)</f>
        <v>50</v>
      </c>
      <c r="X260" s="4">
        <f>VLOOKUP(A260,[3]Sheet1!$A:$K,11,0)</f>
        <v>0</v>
      </c>
      <c r="Y260" s="4">
        <f>VLOOKUP(A260,[3]Sheet1!$A:$L,12,0)</f>
        <v>0</v>
      </c>
      <c r="Z260" s="4">
        <f>VLOOKUP(A260,[3]Sheet1!$A:$M,13,0)</f>
        <v>0</v>
      </c>
      <c r="AA260" s="4">
        <f t="shared" si="64"/>
        <v>1000</v>
      </c>
      <c r="AB260" s="7">
        <f t="shared" si="71"/>
        <v>83</v>
      </c>
      <c r="AC260" s="15">
        <f t="shared" si="65"/>
        <v>83.333333333333329</v>
      </c>
      <c r="AD260" s="16">
        <f t="shared" si="66"/>
        <v>35150</v>
      </c>
      <c r="AE260" s="16">
        <f t="shared" si="67"/>
        <v>2929.1666666666665</v>
      </c>
      <c r="AF260" s="16">
        <v>11.85</v>
      </c>
      <c r="AG260" s="16">
        <v>35.15</v>
      </c>
      <c r="AH260" s="8">
        <f t="shared" si="68"/>
        <v>8.0666666666666664E-2</v>
      </c>
      <c r="AI260" s="8">
        <f t="shared" si="69"/>
        <v>0.28233333333333333</v>
      </c>
      <c r="AJ260" s="10">
        <v>0.5</v>
      </c>
      <c r="AK260" s="10">
        <v>0.5</v>
      </c>
      <c r="AL260" s="16">
        <v>11.85</v>
      </c>
      <c r="AM260" s="9">
        <f t="shared" si="72"/>
        <v>5.2725</v>
      </c>
      <c r="AN260" s="9">
        <f t="shared" si="73"/>
        <v>1.0545</v>
      </c>
      <c r="AO260" s="9">
        <f t="shared" si="74"/>
        <v>7.03</v>
      </c>
      <c r="AP260" s="9">
        <f t="shared" si="75"/>
        <v>0.70299999999999996</v>
      </c>
      <c r="AQ260" s="9">
        <f t="shared" si="76"/>
        <v>7.03</v>
      </c>
      <c r="AR260" s="9">
        <f t="shared" si="77"/>
        <v>8.7874999999999996</v>
      </c>
      <c r="AS260" s="11">
        <f t="shared" si="78"/>
        <v>0.80666666666666664</v>
      </c>
      <c r="AT260" s="12">
        <f t="shared" si="79"/>
        <v>-0.3649999999999996</v>
      </c>
    </row>
    <row r="261" spans="1:46" ht="16.5" x14ac:dyDescent="0.4">
      <c r="A261" s="4" t="s">
        <v>1203</v>
      </c>
      <c r="B261" s="4" t="s">
        <v>513</v>
      </c>
      <c r="C261" s="7" t="s">
        <v>1784</v>
      </c>
      <c r="D261" s="4" t="s">
        <v>1204</v>
      </c>
      <c r="E261" s="4" t="s">
        <v>1205</v>
      </c>
      <c r="F261" s="4" t="s">
        <v>1206</v>
      </c>
      <c r="G261" s="7" t="str">
        <f>VLOOKUP(A261,[1]done!$A:$I,9,0)</f>
        <v>Lawn Fertilizer</v>
      </c>
      <c r="H261" s="7" t="str" cm="1">
        <f t="array" ref="H261">_xlfn.IFS(
OR(ISNUMBER(SEARCH("mouse",E261)),ISNUMBER(SEARCH("rat",E261)),ISNUMBER(SEARCH("mice",E261)),ISNUMBER(SEARCH("rodent",E261))),"Rodent Control",
OR(ISNUMBER(SEARCH("fly",E261)),ISNUMBER(SEARCH("gnat",E261)),ISNUMBER(SEARCH("insect",E261)),ISNUMBER(SEARCH("mosquito",E261))),"Flying Insect Control",
OR(ISNUMBER(SEARCH("roach",E261)),ISNUMBER(SEARCH("ant",E261)),ISNUMBER(SEARCH("spider",E261)),ISNUMBER(SEARCH("cricket",E261)),ISNUMBER(SEARCH("scorpion",E261)),ISNUMBER(SEARCH("centipede",E261)),ISNUMBER(SEARCH("beetle",E261))),"Crawling Insect Control",
OR(ISNUMBER(SEARCH("tree",E261)),ISNUMBER(SEARCH("lantern",E261)),ISNUMBER(SEARCH("garden",E261)),ISNUMBER(SEARCH("plant",E261))),"Garden Pest Control",
OR(ISNUMBER(SEARCH("grass seed",E261)),ISNUMBER(SEARCH("seed mix",E261))),"Grass Seed",
OR(ISNUMBER(SEARCH("lawn food",E261)),ISNUMBER(SEARCH("fertilizer",E261))),"Lawn Fertilizer",
OR(ISNUMBER(SEARCH("patch",E261)),ISNUMBER(SEARCH("repair",E261)),ISNUMBER(SEARCH("thick'r",E261)),ISNUMBER(SEARCH("thick'r lawn",E261)),ISNUMBER(SEARCH("rapid grass",E261))),"Lawn Repair",
OR(ISNUMBER(SEARCH("weed",E261)),ISNUMBER(SEARCH("crabgrass",E261))),"Weed Control",
OR(ISNUMBER(SEARCH("fungicide",E261)),ISNUMBER(SEARCH("moss",E261))),"Disease &amp; Moss Control",
OR(ISNUMBER(SEARCH("plant food",E261)),ISNUMBER(SEARCH("miracid",E261))),"Plant Nutrition",
OR(ISNUMBER(SEARCH("perlite",E261))),"Soil Amendment",
OR(ISNUMBER(SEARCH("spreader",E261)),ISNUMBER(SEARCH("sprayer",E261)),ISNUMBER(SEARCH("mower",E261)),ISNUMBER(SEARCH("sweeper",E261)),ISNUMBER(SEARCH("pruner",E261)),ISNUMBER(SEARCH("trimmer",E261)),ISNUMBER(SEARCH("pole saw",E261))),"Garden Equipment",
TRUE,"Other"
)</f>
        <v>Disease &amp; Moss Control</v>
      </c>
      <c r="I261" s="7" t="str" cm="1">
        <f t="array" ref="I261">_xlfn.IFS(
OR(ISNUMBER(SEARCH("glue trap",E261)),ISNUMBER(SEARCH("glue board",E261))),"Glue Traps",
OR(ISNUMBER(SEARCH("snap trap",E261)),ISNUMBER(SEARCH("power-kill",E261)),ISNUMBER(SEARCH("wide pedal",E261)),ISNUMBER(SEARCH("metal pedal",E261))),"Snap Traps",
OR(ISNUMBER(SEARCH("electronic",E261)),ISNUMBER(SEARCH("zapper",E261))),"Electronic Traps",
OR(ISNUMBER(SEARCH("live catch",E261)),ISNUMBER(SEARCH("multi-catch",E261)),ISNUMBER(SEARCH("catch &amp; hold",E261)),ISNUMBER(SEARCH("tin cat",E261))),"Live Catch Traps",
OR(ISNUMBER(SEARCH("bait",E261)),ISNUMBER(SEARCH("poison",E261))),"Bait &amp; Poison",
ISNUMBER(SEARCH("repellent",E261)),"Repellents",
OR(ISNUMBER(SEARCH("fly trap",E261)),ISNUMBER(SEARCH("fly ribbon",E261)),ISNUMBER(SEARCH("fly stick",E261)),ISNUMBER(SEARCH("window fly",E261)),ISNUMBER(SEARCH("fly magnet",E261))),"Fly Traps",
OR(ISNUMBER(SEARCH("uv",E261)),ISNUMBER(SEARCH("fly light",E261)),ISNUMBER(SEARCH("plug-in",E261))),"UV Fly Traps",
ISNUMBER(SEARCH("roach",E261)),"Roach Traps",
ISNUMBER(SEARCH("ant",E261)),"Ant Traps",
ISNUMBER(SEARCH("spider",E261)),"Spider Traps",
ISNUMBER(SEARCH("mosquito",E261)),"Mosquito Traps",
ISNUMBER(SEARCH("beetle",E261)),"Beetle Traps",
ISNUMBER(SEARCH("lantern",E261)),"Lanternfly Control",
OR(ISNUMBER(SEARCH("tree shield",E261)),ISNUMBER(SEARCH("tree banding",E261)),ISNUMBER(SEARCH("insect barrier",E261))),"Tree Barriers",
OR(ISNUMBER(SEARCH("sun &amp; shade",E261)),ISNUMBER(SEARCH("sun and shade",E261))),"Sun &amp; Shade Mix",
ISNUMBER(SEARCH("tall fescue",E261)),"Tall Fescue",
ISNUMBER(SEARCH("bermudagrass",E261)),"Bermudagrass",
ISNUMBER(SEARCH("kentucky",E261)),"Kentucky Bluegrass",
ISNUMBER(SEARCH("zoysia",E261)),"Zoysia",
ISNUMBER(SEARCH("ryegrass",E261)),"Perennial Ryegrass",
ISNUMBER(SEARCH("centipede",E261)),"Centipede Grass",
ISNUMBER(SEARCH("dense shade",E261)),"Dense Shade Mix",
ISNUMBER(SEARCH("southern gold",E261)),"Southern Gold Mix",
ISNUMBER(SEARCH("heat-tolerant blue",E261)),"Heat-Tolerant Blue Mix",
ISNUMBER(SEARCH("high traffic",E261)),"High Traffic Mix",
ISNUMBER(SEARCH("quick fix",E261)),"Quick Fix Mix",
ISNUMBER(SEARCH("starter",E261)),"Starter Fertilizer",
ISNUMBER(SEARCH("weed &amp; feed",E261)),"Weed &amp; Feed",
ISNUMBER(SEARCH("lawn food",E261)),"Lawn Food",
ISNUMBER(SEARCH("triple action",E261)),"Triple Action Fertilizer",
ISNUMBER(SEARCH("green max",E261)),"Green Max Lawn Food",
ISNUMBER(SEARCH("patchmaster",E261)),"PatchMaster Repair",
ISNUMBER(SEARCH("ez seed",E261)),"EZ Seed Repair",
ISNUMBER(SEARCH("rapid grass",E261)),"Rapid Grass",
ISNUMBER(SEARCH("thick'r lawn",E261)),"Thick'R Lawn",
ISNUMBER(SEARCH("fungicide",E261)),"Fungicide",
ISNUMBER(SEARCH("moss",E261)),"Moss Control",
ISNUMBER(SEARCH("perlite",E261)),"Perlite",
ISNUMBER(SEARCH("plant food",E261)),"Plant Food",
ISNUMBER(SEARCH("spreader",E261)),"Spreader",
ISNUMBER(SEARCH("sprayer",E261)),"Sprayer",
ISNUMBER(SEARCH("mower",E261)),"Lawn Mower",
ISNUMBER(SEARCH("sweeper",E261)),"Lawn Sweeper",
OR(ISNUMBER(SEARCH("pruner",E261)),ISNUMBER(SEARCH("trimmer",E261)),ISNUMBER(SEARCH("pole saw",E261))),"Pruning Tools",
TRUE,"Other"
)</f>
        <v>Triple Action Fertilizer</v>
      </c>
      <c r="J261" s="7" t="str">
        <f t="shared" si="70"/>
        <v>Disease &amp; Moss Control - Triple Action Fertilizer</v>
      </c>
      <c r="K261" s="4">
        <v>50</v>
      </c>
      <c r="L261" s="4">
        <v>4.4000000000000004</v>
      </c>
      <c r="M261" s="4">
        <v>1969</v>
      </c>
      <c r="N261" s="4" t="s">
        <v>1207</v>
      </c>
      <c r="O261" s="4">
        <f>VLOOKUP(A261,[3]Sheet1!$A:$B,2,0)</f>
        <v>0</v>
      </c>
      <c r="P261" s="4">
        <f>VLOOKUP(A261,[3]Sheet1!$A:$C,3,0)</f>
        <v>100</v>
      </c>
      <c r="Q261" s="4">
        <f>VLOOKUP(A261,[3]Sheet1!$A:$D,4,0)</f>
        <v>400</v>
      </c>
      <c r="R261" s="4">
        <f>VLOOKUP(A261,[3]Sheet1!$A:$E,5,0)</f>
        <v>1000</v>
      </c>
      <c r="S261" s="4">
        <f>VLOOKUP(A261,[3]Sheet1!$A:$F,6,0)</f>
        <v>1000</v>
      </c>
      <c r="T261" s="4">
        <f>VLOOKUP(A261,[3]Sheet1!$A:$G,7,0)</f>
        <v>50</v>
      </c>
      <c r="U261" s="4">
        <f>VLOOKUP(A261,[3]Sheet1!$A:$I,8,0)</f>
        <v>50</v>
      </c>
      <c r="V261" s="4">
        <f>VLOOKUP(A261,[3]Sheet1!$A:$J,9,0)</f>
        <v>50</v>
      </c>
      <c r="W261" s="4">
        <f>VLOOKUP(A261,[3]Sheet1!$A:$J,10,0)</f>
        <v>50</v>
      </c>
      <c r="X261" s="4">
        <f>VLOOKUP(A261,[3]Sheet1!$A:$K,11,0)</f>
        <v>50</v>
      </c>
      <c r="Y261" s="4">
        <f>VLOOKUP(A261,[3]Sheet1!$A:$L,12,0)</f>
        <v>0</v>
      </c>
      <c r="Z261" s="4">
        <f>VLOOKUP(A261,[3]Sheet1!$A:$M,13,0)</f>
        <v>50</v>
      </c>
      <c r="AA261" s="4">
        <f t="shared" si="64"/>
        <v>2800</v>
      </c>
      <c r="AB261" s="7">
        <f t="shared" si="71"/>
        <v>233</v>
      </c>
      <c r="AC261" s="15">
        <f t="shared" si="65"/>
        <v>233.33333333333334</v>
      </c>
      <c r="AD261" s="16">
        <f t="shared" si="66"/>
        <v>98812</v>
      </c>
      <c r="AE261" s="16">
        <f t="shared" si="67"/>
        <v>8234.3333333333339</v>
      </c>
      <c r="AF261" s="16">
        <v>17.36</v>
      </c>
      <c r="AG261" s="16">
        <v>35.29</v>
      </c>
      <c r="AH261" s="8">
        <f t="shared" si="68"/>
        <v>-0.28293333333333331</v>
      </c>
      <c r="AI261" s="8">
        <f t="shared" si="69"/>
        <v>-0.99026666666666652</v>
      </c>
      <c r="AJ261" s="10">
        <v>0.5</v>
      </c>
      <c r="AK261" s="10">
        <v>0.5</v>
      </c>
      <c r="AL261" s="16">
        <v>17.36</v>
      </c>
      <c r="AM261" s="9">
        <f t="shared" si="72"/>
        <v>5.2934999999999999</v>
      </c>
      <c r="AN261" s="9">
        <f t="shared" si="73"/>
        <v>1.0587</v>
      </c>
      <c r="AO261" s="9">
        <f t="shared" si="74"/>
        <v>7.0579999999999998</v>
      </c>
      <c r="AP261" s="9">
        <f t="shared" si="75"/>
        <v>0.70579999999999998</v>
      </c>
      <c r="AQ261" s="9">
        <f t="shared" si="76"/>
        <v>7.0579999999999998</v>
      </c>
      <c r="AR261" s="9">
        <f t="shared" si="77"/>
        <v>8.8224999999999998</v>
      </c>
      <c r="AS261" s="11">
        <f t="shared" si="78"/>
        <v>-2.829333333333333</v>
      </c>
      <c r="AT261" s="12">
        <f t="shared" si="79"/>
        <v>-4.0056666666666665</v>
      </c>
    </row>
    <row r="262" spans="1:46" ht="16.5" x14ac:dyDescent="0.4">
      <c r="A262" s="4" t="s">
        <v>1208</v>
      </c>
      <c r="B262" s="4" t="s">
        <v>513</v>
      </c>
      <c r="C262" s="7" t="s">
        <v>1784</v>
      </c>
      <c r="D262" s="4" t="s">
        <v>1209</v>
      </c>
      <c r="E262" s="4" t="s">
        <v>1210</v>
      </c>
      <c r="F262" s="4" t="s">
        <v>1211</v>
      </c>
      <c r="G262" s="7" t="str">
        <f>VLOOKUP(A262,[1]done!$A:$I,9,0)</f>
        <v>Grass Seed</v>
      </c>
      <c r="H262" s="7" t="str" cm="1">
        <f t="array" ref="H262">_xlfn.IFS(
OR(ISNUMBER(SEARCH("mouse",E262)),ISNUMBER(SEARCH("rat",E262)),ISNUMBER(SEARCH("mice",E262)),ISNUMBER(SEARCH("rodent",E262))),"Rodent Control",
OR(ISNUMBER(SEARCH("fly",E262)),ISNUMBER(SEARCH("gnat",E262)),ISNUMBER(SEARCH("insect",E262)),ISNUMBER(SEARCH("mosquito",E262))),"Flying Insect Control",
OR(ISNUMBER(SEARCH("roach",E262)),ISNUMBER(SEARCH("ant",E262)),ISNUMBER(SEARCH("spider",E262)),ISNUMBER(SEARCH("cricket",E262)),ISNUMBER(SEARCH("scorpion",E262)),ISNUMBER(SEARCH("centipede",E262)),ISNUMBER(SEARCH("beetle",E262))),"Crawling Insect Control",
OR(ISNUMBER(SEARCH("tree",E262)),ISNUMBER(SEARCH("lantern",E262)),ISNUMBER(SEARCH("garden",E262)),ISNUMBER(SEARCH("plant",E262))),"Garden Pest Control",
OR(ISNUMBER(SEARCH("grass seed",E262)),ISNUMBER(SEARCH("seed mix",E262))),"Grass Seed",
OR(ISNUMBER(SEARCH("lawn food",E262)),ISNUMBER(SEARCH("fertilizer",E262))),"Lawn Fertilizer",
OR(ISNUMBER(SEARCH("patch",E262)),ISNUMBER(SEARCH("repair",E262)),ISNUMBER(SEARCH("thick'r",E262)),ISNUMBER(SEARCH("thick'r lawn",E262)),ISNUMBER(SEARCH("rapid grass",E262))),"Lawn Repair",
OR(ISNUMBER(SEARCH("weed",E262)),ISNUMBER(SEARCH("crabgrass",E262))),"Weed Control",
OR(ISNUMBER(SEARCH("fungicide",E262)),ISNUMBER(SEARCH("moss",E262))),"Disease &amp; Moss Control",
OR(ISNUMBER(SEARCH("plant food",E262)),ISNUMBER(SEARCH("miracid",E262))),"Plant Nutrition",
OR(ISNUMBER(SEARCH("perlite",E262))),"Soil Amendment",
OR(ISNUMBER(SEARCH("spreader",E262)),ISNUMBER(SEARCH("sprayer",E262)),ISNUMBER(SEARCH("mower",E262)),ISNUMBER(SEARCH("sweeper",E262)),ISNUMBER(SEARCH("pruner",E262)),ISNUMBER(SEARCH("trimmer",E262)),ISNUMBER(SEARCH("pole saw",E262))),"Garden Equipment",
TRUE,"Other"
)</f>
        <v>Grass Seed</v>
      </c>
      <c r="I262" s="7" t="str" cm="1">
        <f t="array" ref="I262">_xlfn.IFS(
OR(ISNUMBER(SEARCH("glue trap",E262)),ISNUMBER(SEARCH("glue board",E262))),"Glue Traps",
OR(ISNUMBER(SEARCH("snap trap",E262)),ISNUMBER(SEARCH("power-kill",E262)),ISNUMBER(SEARCH("wide pedal",E262)),ISNUMBER(SEARCH("metal pedal",E262))),"Snap Traps",
OR(ISNUMBER(SEARCH("electronic",E262)),ISNUMBER(SEARCH("zapper",E262))),"Electronic Traps",
OR(ISNUMBER(SEARCH("live catch",E262)),ISNUMBER(SEARCH("multi-catch",E262)),ISNUMBER(SEARCH("catch &amp; hold",E262)),ISNUMBER(SEARCH("tin cat",E262))),"Live Catch Traps",
OR(ISNUMBER(SEARCH("bait",E262)),ISNUMBER(SEARCH("poison",E262))),"Bait &amp; Poison",
ISNUMBER(SEARCH("repellent",E262)),"Repellents",
OR(ISNUMBER(SEARCH("fly trap",E262)),ISNUMBER(SEARCH("fly ribbon",E262)),ISNUMBER(SEARCH("fly stick",E262)),ISNUMBER(SEARCH("window fly",E262)),ISNUMBER(SEARCH("fly magnet",E262))),"Fly Traps",
OR(ISNUMBER(SEARCH("uv",E262)),ISNUMBER(SEARCH("fly light",E262)),ISNUMBER(SEARCH("plug-in",E262))),"UV Fly Traps",
ISNUMBER(SEARCH("roach",E262)),"Roach Traps",
ISNUMBER(SEARCH("ant",E262)),"Ant Traps",
ISNUMBER(SEARCH("spider",E262)),"Spider Traps",
ISNUMBER(SEARCH("mosquito",E262)),"Mosquito Traps",
ISNUMBER(SEARCH("beetle",E262)),"Beetle Traps",
ISNUMBER(SEARCH("lantern",E262)),"Lanternfly Control",
OR(ISNUMBER(SEARCH("tree shield",E262)),ISNUMBER(SEARCH("tree banding",E262)),ISNUMBER(SEARCH("insect barrier",E262))),"Tree Barriers",
OR(ISNUMBER(SEARCH("sun &amp; shade",E262)),ISNUMBER(SEARCH("sun and shade",E262))),"Sun &amp; Shade Mix",
ISNUMBER(SEARCH("tall fescue",E262)),"Tall Fescue",
ISNUMBER(SEARCH("bermudagrass",E262)),"Bermudagrass",
ISNUMBER(SEARCH("kentucky",E262)),"Kentucky Bluegrass",
ISNUMBER(SEARCH("zoysia",E262)),"Zoysia",
ISNUMBER(SEARCH("ryegrass",E262)),"Perennial Ryegrass",
ISNUMBER(SEARCH("centipede",E262)),"Centipede Grass",
ISNUMBER(SEARCH("dense shade",E262)),"Dense Shade Mix",
ISNUMBER(SEARCH("southern gold",E262)),"Southern Gold Mix",
ISNUMBER(SEARCH("heat-tolerant blue",E262)),"Heat-Tolerant Blue Mix",
ISNUMBER(SEARCH("high traffic",E262)),"High Traffic Mix",
ISNUMBER(SEARCH("quick fix",E262)),"Quick Fix Mix",
ISNUMBER(SEARCH("starter",E262)),"Starter Fertilizer",
ISNUMBER(SEARCH("weed &amp; feed",E262)),"Weed &amp; Feed",
ISNUMBER(SEARCH("lawn food",E262)),"Lawn Food",
ISNUMBER(SEARCH("triple action",E262)),"Triple Action Fertilizer",
ISNUMBER(SEARCH("green max",E262)),"Green Max Lawn Food",
ISNUMBER(SEARCH("patchmaster",E262)),"PatchMaster Repair",
ISNUMBER(SEARCH("ez seed",E262)),"EZ Seed Repair",
ISNUMBER(SEARCH("rapid grass",E262)),"Rapid Grass",
ISNUMBER(SEARCH("thick'r lawn",E262)),"Thick'R Lawn",
ISNUMBER(SEARCH("fungicide",E262)),"Fungicide",
ISNUMBER(SEARCH("moss",E262)),"Moss Control",
ISNUMBER(SEARCH("perlite",E262)),"Perlite",
ISNUMBER(SEARCH("plant food",E262)),"Plant Food",
ISNUMBER(SEARCH("spreader",E262)),"Spreader",
ISNUMBER(SEARCH("sprayer",E262)),"Sprayer",
ISNUMBER(SEARCH("mower",E262)),"Lawn Mower",
ISNUMBER(SEARCH("sweeper",E262)),"Lawn Sweeper",
OR(ISNUMBER(SEARCH("pruner",E262)),ISNUMBER(SEARCH("trimmer",E262)),ISNUMBER(SEARCH("pole saw",E262))),"Pruning Tools",
TRUE,"Other"
)</f>
        <v>Southern Gold Mix</v>
      </c>
      <c r="J262" s="7" t="str">
        <f t="shared" si="70"/>
        <v>Grass Seed - Southern Gold Mix</v>
      </c>
      <c r="K262" s="4">
        <v>50</v>
      </c>
      <c r="L262" s="4">
        <v>4.2</v>
      </c>
      <c r="M262" s="4">
        <v>1147</v>
      </c>
      <c r="N262" s="4" t="s">
        <v>606</v>
      </c>
      <c r="O262" s="4">
        <f>VLOOKUP(A262,[3]Sheet1!$A:$B,2,0)</f>
        <v>0</v>
      </c>
      <c r="P262" s="4">
        <f>VLOOKUP(A262,[3]Sheet1!$A:$C,3,0)</f>
        <v>50</v>
      </c>
      <c r="Q262" s="4">
        <f>VLOOKUP(A262,[3]Sheet1!$A:$D,4,0)</f>
        <v>100</v>
      </c>
      <c r="R262" s="4">
        <f>VLOOKUP(A262,[3]Sheet1!$A:$E,5,0)</f>
        <v>1000</v>
      </c>
      <c r="S262" s="4">
        <f>VLOOKUP(A262,[3]Sheet1!$A:$F,6,0)</f>
        <v>200</v>
      </c>
      <c r="T262" s="4">
        <f>VLOOKUP(A262,[3]Sheet1!$A:$G,7,0)</f>
        <v>500</v>
      </c>
      <c r="U262" s="4">
        <f>VLOOKUP(A262,[3]Sheet1!$A:$I,8,0)</f>
        <v>400</v>
      </c>
      <c r="V262" s="4">
        <f>VLOOKUP(A262,[3]Sheet1!$A:$J,9,0)</f>
        <v>100</v>
      </c>
      <c r="W262" s="4">
        <f>VLOOKUP(A262,[3]Sheet1!$A:$J,10,0)</f>
        <v>50</v>
      </c>
      <c r="X262" s="4">
        <f>VLOOKUP(A262,[3]Sheet1!$A:$K,11,0)</f>
        <v>50</v>
      </c>
      <c r="Y262" s="4">
        <f>VLOOKUP(A262,[3]Sheet1!$A:$L,12,0)</f>
        <v>50</v>
      </c>
      <c r="Z262" s="4">
        <f>VLOOKUP(A262,[3]Sheet1!$A:$M,13,0)</f>
        <v>0</v>
      </c>
      <c r="AA262" s="4">
        <f t="shared" si="64"/>
        <v>2500</v>
      </c>
      <c r="AB262" s="7">
        <f t="shared" si="71"/>
        <v>208</v>
      </c>
      <c r="AC262" s="15">
        <f t="shared" si="65"/>
        <v>208.33333333333334</v>
      </c>
      <c r="AD262" s="16">
        <f t="shared" si="66"/>
        <v>44950</v>
      </c>
      <c r="AE262" s="16">
        <f t="shared" si="67"/>
        <v>3745.8333333333335</v>
      </c>
      <c r="AF262" s="16">
        <v>6.48</v>
      </c>
      <c r="AG262" s="16">
        <v>17.98</v>
      </c>
      <c r="AH262" s="8">
        <f t="shared" si="68"/>
        <v>-1.9200000000000019E-2</v>
      </c>
      <c r="AI262" s="8">
        <f t="shared" si="69"/>
        <v>-6.7200000000000051E-2</v>
      </c>
      <c r="AJ262" s="10">
        <v>0.5</v>
      </c>
      <c r="AK262" s="10">
        <v>0.5</v>
      </c>
      <c r="AL262" s="16">
        <v>6.48</v>
      </c>
      <c r="AM262" s="9">
        <f t="shared" si="72"/>
        <v>2.6970000000000001</v>
      </c>
      <c r="AN262" s="9">
        <f t="shared" si="73"/>
        <v>0.53939999999999999</v>
      </c>
      <c r="AO262" s="9">
        <f t="shared" si="74"/>
        <v>3.5960000000000001</v>
      </c>
      <c r="AP262" s="9">
        <f t="shared" si="75"/>
        <v>0.35960000000000003</v>
      </c>
      <c r="AQ262" s="9">
        <f t="shared" si="76"/>
        <v>3.5960000000000001</v>
      </c>
      <c r="AR262" s="9">
        <f t="shared" si="77"/>
        <v>4.4950000000000001</v>
      </c>
      <c r="AS262" s="11">
        <f t="shared" si="78"/>
        <v>-0.19200000000000017</v>
      </c>
      <c r="AT262" s="12">
        <f t="shared" si="79"/>
        <v>-0.79133333333333356</v>
      </c>
    </row>
    <row r="263" spans="1:46" ht="16.5" x14ac:dyDescent="0.4">
      <c r="A263" s="4" t="s">
        <v>1212</v>
      </c>
      <c r="B263" s="4" t="s">
        <v>513</v>
      </c>
      <c r="C263" s="7" t="s">
        <v>1784</v>
      </c>
      <c r="D263" s="4" t="s">
        <v>1213</v>
      </c>
      <c r="E263" s="4" t="s">
        <v>1214</v>
      </c>
      <c r="F263" s="4" t="s">
        <v>1215</v>
      </c>
      <c r="G263" s="7" t="str">
        <f>VLOOKUP(A263,[1]done!$A:$I,9,0)</f>
        <v>Grass Seed</v>
      </c>
      <c r="H263" s="7" t="str" cm="1">
        <f t="array" ref="H263">_xlfn.IFS(
OR(ISNUMBER(SEARCH("mouse",E263)),ISNUMBER(SEARCH("rat",E263)),ISNUMBER(SEARCH("mice",E263)),ISNUMBER(SEARCH("rodent",E263))),"Rodent Control",
OR(ISNUMBER(SEARCH("fly",E263)),ISNUMBER(SEARCH("gnat",E263)),ISNUMBER(SEARCH("insect",E263)),ISNUMBER(SEARCH("mosquito",E263))),"Flying Insect Control",
OR(ISNUMBER(SEARCH("roach",E263)),ISNUMBER(SEARCH("ant",E263)),ISNUMBER(SEARCH("spider",E263)),ISNUMBER(SEARCH("cricket",E263)),ISNUMBER(SEARCH("scorpion",E263)),ISNUMBER(SEARCH("centipede",E263)),ISNUMBER(SEARCH("beetle",E263))),"Crawling Insect Control",
OR(ISNUMBER(SEARCH("tree",E263)),ISNUMBER(SEARCH("lantern",E263)),ISNUMBER(SEARCH("garden",E263)),ISNUMBER(SEARCH("plant",E263))),"Garden Pest Control",
OR(ISNUMBER(SEARCH("grass seed",E263)),ISNUMBER(SEARCH("seed mix",E263))),"Grass Seed",
OR(ISNUMBER(SEARCH("lawn food",E263)),ISNUMBER(SEARCH("fertilizer",E263))),"Lawn Fertilizer",
OR(ISNUMBER(SEARCH("patch",E263)),ISNUMBER(SEARCH("repair",E263)),ISNUMBER(SEARCH("thick'r",E263)),ISNUMBER(SEARCH("thick'r lawn",E263)),ISNUMBER(SEARCH("rapid grass",E263))),"Lawn Repair",
OR(ISNUMBER(SEARCH("weed",E263)),ISNUMBER(SEARCH("crabgrass",E263))),"Weed Control",
OR(ISNUMBER(SEARCH("fungicide",E263)),ISNUMBER(SEARCH("moss",E263))),"Disease &amp; Moss Control",
OR(ISNUMBER(SEARCH("plant food",E263)),ISNUMBER(SEARCH("miracid",E263))),"Plant Nutrition",
OR(ISNUMBER(SEARCH("perlite",E263))),"Soil Amendment",
OR(ISNUMBER(SEARCH("spreader",E263)),ISNUMBER(SEARCH("sprayer",E263)),ISNUMBER(SEARCH("mower",E263)),ISNUMBER(SEARCH("sweeper",E263)),ISNUMBER(SEARCH("pruner",E263)),ISNUMBER(SEARCH("trimmer",E263)),ISNUMBER(SEARCH("pole saw",E263))),"Garden Equipment",
TRUE,"Other"
)</f>
        <v>Grass Seed</v>
      </c>
      <c r="I263" s="7" t="str" cm="1">
        <f t="array" ref="I263">_xlfn.IFS(
OR(ISNUMBER(SEARCH("glue trap",E263)),ISNUMBER(SEARCH("glue board",E263))),"Glue Traps",
OR(ISNUMBER(SEARCH("snap trap",E263)),ISNUMBER(SEARCH("power-kill",E263)),ISNUMBER(SEARCH("wide pedal",E263)),ISNUMBER(SEARCH("metal pedal",E263))),"Snap Traps",
OR(ISNUMBER(SEARCH("electronic",E263)),ISNUMBER(SEARCH("zapper",E263))),"Electronic Traps",
OR(ISNUMBER(SEARCH("live catch",E263)),ISNUMBER(SEARCH("multi-catch",E263)),ISNUMBER(SEARCH("catch &amp; hold",E263)),ISNUMBER(SEARCH("tin cat",E263))),"Live Catch Traps",
OR(ISNUMBER(SEARCH("bait",E263)),ISNUMBER(SEARCH("poison",E263))),"Bait &amp; Poison",
ISNUMBER(SEARCH("repellent",E263)),"Repellents",
OR(ISNUMBER(SEARCH("fly trap",E263)),ISNUMBER(SEARCH("fly ribbon",E263)),ISNUMBER(SEARCH("fly stick",E263)),ISNUMBER(SEARCH("window fly",E263)),ISNUMBER(SEARCH("fly magnet",E263))),"Fly Traps",
OR(ISNUMBER(SEARCH("uv",E263)),ISNUMBER(SEARCH("fly light",E263)),ISNUMBER(SEARCH("plug-in",E263))),"UV Fly Traps",
ISNUMBER(SEARCH("roach",E263)),"Roach Traps",
ISNUMBER(SEARCH("ant",E263)),"Ant Traps",
ISNUMBER(SEARCH("spider",E263)),"Spider Traps",
ISNUMBER(SEARCH("mosquito",E263)),"Mosquito Traps",
ISNUMBER(SEARCH("beetle",E263)),"Beetle Traps",
ISNUMBER(SEARCH("lantern",E263)),"Lanternfly Control",
OR(ISNUMBER(SEARCH("tree shield",E263)),ISNUMBER(SEARCH("tree banding",E263)),ISNUMBER(SEARCH("insect barrier",E263))),"Tree Barriers",
OR(ISNUMBER(SEARCH("sun &amp; shade",E263)),ISNUMBER(SEARCH("sun and shade",E263))),"Sun &amp; Shade Mix",
ISNUMBER(SEARCH("tall fescue",E263)),"Tall Fescue",
ISNUMBER(SEARCH("bermudagrass",E263)),"Bermudagrass",
ISNUMBER(SEARCH("kentucky",E263)),"Kentucky Bluegrass",
ISNUMBER(SEARCH("zoysia",E263)),"Zoysia",
ISNUMBER(SEARCH("ryegrass",E263)),"Perennial Ryegrass",
ISNUMBER(SEARCH("centipede",E263)),"Centipede Grass",
ISNUMBER(SEARCH("dense shade",E263)),"Dense Shade Mix",
ISNUMBER(SEARCH("southern gold",E263)),"Southern Gold Mix",
ISNUMBER(SEARCH("heat-tolerant blue",E263)),"Heat-Tolerant Blue Mix",
ISNUMBER(SEARCH("high traffic",E263)),"High Traffic Mix",
ISNUMBER(SEARCH("quick fix",E263)),"Quick Fix Mix",
ISNUMBER(SEARCH("starter",E263)),"Starter Fertilizer",
ISNUMBER(SEARCH("weed &amp; feed",E263)),"Weed &amp; Feed",
ISNUMBER(SEARCH("lawn food",E263)),"Lawn Food",
ISNUMBER(SEARCH("triple action",E263)),"Triple Action Fertilizer",
ISNUMBER(SEARCH("green max",E263)),"Green Max Lawn Food",
ISNUMBER(SEARCH("patchmaster",E263)),"PatchMaster Repair",
ISNUMBER(SEARCH("ez seed",E263)),"EZ Seed Repair",
ISNUMBER(SEARCH("rapid grass",E263)),"Rapid Grass",
ISNUMBER(SEARCH("thick'r lawn",E263)),"Thick'R Lawn",
ISNUMBER(SEARCH("fungicide",E263)),"Fungicide",
ISNUMBER(SEARCH("moss",E263)),"Moss Control",
ISNUMBER(SEARCH("perlite",E263)),"Perlite",
ISNUMBER(SEARCH("plant food",E263)),"Plant Food",
ISNUMBER(SEARCH("spreader",E263)),"Spreader",
ISNUMBER(SEARCH("sprayer",E263)),"Sprayer",
ISNUMBER(SEARCH("mower",E263)),"Lawn Mower",
ISNUMBER(SEARCH("sweeper",E263)),"Lawn Sweeper",
OR(ISNUMBER(SEARCH("pruner",E263)),ISNUMBER(SEARCH("trimmer",E263)),ISNUMBER(SEARCH("pole saw",E263))),"Pruning Tools",
TRUE,"Other"
)</f>
        <v>Southern Gold Mix</v>
      </c>
      <c r="J263" s="7" t="str">
        <f t="shared" si="70"/>
        <v>Grass Seed - Southern Gold Mix</v>
      </c>
      <c r="K263" s="4">
        <v>50</v>
      </c>
      <c r="L263" s="4">
        <v>4.2</v>
      </c>
      <c r="M263" s="4">
        <v>1145</v>
      </c>
      <c r="N263" s="4" t="s">
        <v>834</v>
      </c>
      <c r="O263" s="4">
        <f>VLOOKUP(A263,[3]Sheet1!$A:$B,2,0)</f>
        <v>0</v>
      </c>
      <c r="P263" s="4">
        <f>VLOOKUP(A263,[3]Sheet1!$A:$C,3,0)</f>
        <v>0</v>
      </c>
      <c r="Q263" s="4">
        <f>VLOOKUP(A263,[3]Sheet1!$A:$D,4,0)</f>
        <v>50</v>
      </c>
      <c r="R263" s="4">
        <f>VLOOKUP(A263,[3]Sheet1!$A:$E,5,0)</f>
        <v>200</v>
      </c>
      <c r="S263" s="4">
        <f>VLOOKUP(A263,[3]Sheet1!$A:$F,6,0)</f>
        <v>50</v>
      </c>
      <c r="T263" s="4">
        <f>VLOOKUP(A263,[3]Sheet1!$A:$G,7,0)</f>
        <v>100</v>
      </c>
      <c r="U263" s="4">
        <f>VLOOKUP(A263,[3]Sheet1!$A:$I,8,0)</f>
        <v>50</v>
      </c>
      <c r="V263" s="4">
        <f>VLOOKUP(A263,[3]Sheet1!$A:$J,9,0)</f>
        <v>50</v>
      </c>
      <c r="W263" s="4">
        <f>VLOOKUP(A263,[3]Sheet1!$A:$J,10,0)</f>
        <v>0</v>
      </c>
      <c r="X263" s="4">
        <f>VLOOKUP(A263,[3]Sheet1!$A:$K,11,0)</f>
        <v>50</v>
      </c>
      <c r="Y263" s="4">
        <f>VLOOKUP(A263,[3]Sheet1!$A:$L,12,0)</f>
        <v>0</v>
      </c>
      <c r="Z263" s="4">
        <f>VLOOKUP(A263,[3]Sheet1!$A:$M,13,0)</f>
        <v>0</v>
      </c>
      <c r="AA263" s="4">
        <f t="shared" si="64"/>
        <v>550</v>
      </c>
      <c r="AB263" s="7">
        <f t="shared" si="71"/>
        <v>46</v>
      </c>
      <c r="AC263" s="15">
        <f t="shared" si="65"/>
        <v>45.833333333333336</v>
      </c>
      <c r="AD263" s="16">
        <f t="shared" si="66"/>
        <v>35002</v>
      </c>
      <c r="AE263" s="16">
        <f t="shared" si="67"/>
        <v>2916.8333333333335</v>
      </c>
      <c r="AF263" s="16">
        <v>15.79</v>
      </c>
      <c r="AG263" s="16">
        <v>63.64</v>
      </c>
      <c r="AH263" s="8">
        <f t="shared" si="68"/>
        <v>0.5777333333333331</v>
      </c>
      <c r="AI263" s="8">
        <f t="shared" si="69"/>
        <v>2.022066666666666</v>
      </c>
      <c r="AJ263" s="10">
        <v>0.5</v>
      </c>
      <c r="AK263" s="10">
        <v>0.5</v>
      </c>
      <c r="AL263" s="16">
        <v>15.79</v>
      </c>
      <c r="AM263" s="9">
        <f t="shared" si="72"/>
        <v>9.5459999999999994</v>
      </c>
      <c r="AN263" s="9">
        <f t="shared" si="73"/>
        <v>1.9092</v>
      </c>
      <c r="AO263" s="9">
        <f t="shared" si="74"/>
        <v>12.728000000000002</v>
      </c>
      <c r="AP263" s="9">
        <f t="shared" si="75"/>
        <v>1.2727999999999999</v>
      </c>
      <c r="AQ263" s="9">
        <f t="shared" si="76"/>
        <v>12.728000000000002</v>
      </c>
      <c r="AR263" s="9">
        <f t="shared" si="77"/>
        <v>15.91</v>
      </c>
      <c r="AS263" s="11">
        <f t="shared" si="78"/>
        <v>5.7773333333333312</v>
      </c>
      <c r="AT263" s="12">
        <f t="shared" si="79"/>
        <v>3.6559999999999988</v>
      </c>
    </row>
    <row r="264" spans="1:46" ht="16.5" x14ac:dyDescent="0.4">
      <c r="A264" s="4" t="s">
        <v>1216</v>
      </c>
      <c r="B264" s="4" t="s">
        <v>513</v>
      </c>
      <c r="C264" s="7" t="s">
        <v>1784</v>
      </c>
      <c r="D264" s="4" t="s">
        <v>1217</v>
      </c>
      <c r="E264" s="4" t="s">
        <v>1218</v>
      </c>
      <c r="F264" s="4" t="s">
        <v>1219</v>
      </c>
      <c r="G264" s="7" t="str">
        <f>VLOOKUP(A264,[1]done!$A:$I,9,0)</f>
        <v>Grass Seed</v>
      </c>
      <c r="H264" s="7" t="str" cm="1">
        <f t="array" ref="H264">_xlfn.IFS(
OR(ISNUMBER(SEARCH("mouse",E264)),ISNUMBER(SEARCH("rat",E264)),ISNUMBER(SEARCH("mice",E264)),ISNUMBER(SEARCH("rodent",E264))),"Rodent Control",
OR(ISNUMBER(SEARCH("fly",E264)),ISNUMBER(SEARCH("gnat",E264)),ISNUMBER(SEARCH("insect",E264)),ISNUMBER(SEARCH("mosquito",E264))),"Flying Insect Control",
OR(ISNUMBER(SEARCH("roach",E264)),ISNUMBER(SEARCH("ant",E264)),ISNUMBER(SEARCH("spider",E264)),ISNUMBER(SEARCH("cricket",E264)),ISNUMBER(SEARCH("scorpion",E264)),ISNUMBER(SEARCH("centipede",E264)),ISNUMBER(SEARCH("beetle",E264))),"Crawling Insect Control",
OR(ISNUMBER(SEARCH("tree",E264)),ISNUMBER(SEARCH("lantern",E264)),ISNUMBER(SEARCH("garden",E264)),ISNUMBER(SEARCH("plant",E264))),"Garden Pest Control",
OR(ISNUMBER(SEARCH("grass seed",E264)),ISNUMBER(SEARCH("seed mix",E264))),"Grass Seed",
OR(ISNUMBER(SEARCH("lawn food",E264)),ISNUMBER(SEARCH("fertilizer",E264))),"Lawn Fertilizer",
OR(ISNUMBER(SEARCH("patch",E264)),ISNUMBER(SEARCH("repair",E264)),ISNUMBER(SEARCH("thick'r",E264)),ISNUMBER(SEARCH("thick'r lawn",E264)),ISNUMBER(SEARCH("rapid grass",E264))),"Lawn Repair",
OR(ISNUMBER(SEARCH("weed",E264)),ISNUMBER(SEARCH("crabgrass",E264))),"Weed Control",
OR(ISNUMBER(SEARCH("fungicide",E264)),ISNUMBER(SEARCH("moss",E264))),"Disease &amp; Moss Control",
OR(ISNUMBER(SEARCH("plant food",E264)),ISNUMBER(SEARCH("miracid",E264))),"Plant Nutrition",
OR(ISNUMBER(SEARCH("perlite",E264))),"Soil Amendment",
OR(ISNUMBER(SEARCH("spreader",E264)),ISNUMBER(SEARCH("sprayer",E264)),ISNUMBER(SEARCH("mower",E264)),ISNUMBER(SEARCH("sweeper",E264)),ISNUMBER(SEARCH("pruner",E264)),ISNUMBER(SEARCH("trimmer",E264)),ISNUMBER(SEARCH("pole saw",E264))),"Garden Equipment",
TRUE,"Other"
)</f>
        <v>Grass Seed</v>
      </c>
      <c r="I264" s="7" t="str" cm="1">
        <f t="array" ref="I264">_xlfn.IFS(
OR(ISNUMBER(SEARCH("glue trap",E264)),ISNUMBER(SEARCH("glue board",E264))),"Glue Traps",
OR(ISNUMBER(SEARCH("snap trap",E264)),ISNUMBER(SEARCH("power-kill",E264)),ISNUMBER(SEARCH("wide pedal",E264)),ISNUMBER(SEARCH("metal pedal",E264))),"Snap Traps",
OR(ISNUMBER(SEARCH("electronic",E264)),ISNUMBER(SEARCH("zapper",E264))),"Electronic Traps",
OR(ISNUMBER(SEARCH("live catch",E264)),ISNUMBER(SEARCH("multi-catch",E264)),ISNUMBER(SEARCH("catch &amp; hold",E264)),ISNUMBER(SEARCH("tin cat",E264))),"Live Catch Traps",
OR(ISNUMBER(SEARCH("bait",E264)),ISNUMBER(SEARCH("poison",E264))),"Bait &amp; Poison",
ISNUMBER(SEARCH("repellent",E264)),"Repellents",
OR(ISNUMBER(SEARCH("fly trap",E264)),ISNUMBER(SEARCH("fly ribbon",E264)),ISNUMBER(SEARCH("fly stick",E264)),ISNUMBER(SEARCH("window fly",E264)),ISNUMBER(SEARCH("fly magnet",E264))),"Fly Traps",
OR(ISNUMBER(SEARCH("uv",E264)),ISNUMBER(SEARCH("fly light",E264)),ISNUMBER(SEARCH("plug-in",E264))),"UV Fly Traps",
ISNUMBER(SEARCH("roach",E264)),"Roach Traps",
ISNUMBER(SEARCH("ant",E264)),"Ant Traps",
ISNUMBER(SEARCH("spider",E264)),"Spider Traps",
ISNUMBER(SEARCH("mosquito",E264)),"Mosquito Traps",
ISNUMBER(SEARCH("beetle",E264)),"Beetle Traps",
ISNUMBER(SEARCH("lantern",E264)),"Lanternfly Control",
OR(ISNUMBER(SEARCH("tree shield",E264)),ISNUMBER(SEARCH("tree banding",E264)),ISNUMBER(SEARCH("insect barrier",E264))),"Tree Barriers",
OR(ISNUMBER(SEARCH("sun &amp; shade",E264)),ISNUMBER(SEARCH("sun and shade",E264))),"Sun &amp; Shade Mix",
ISNUMBER(SEARCH("tall fescue",E264)),"Tall Fescue",
ISNUMBER(SEARCH("bermudagrass",E264)),"Bermudagrass",
ISNUMBER(SEARCH("kentucky",E264)),"Kentucky Bluegrass",
ISNUMBER(SEARCH("zoysia",E264)),"Zoysia",
ISNUMBER(SEARCH("ryegrass",E264)),"Perennial Ryegrass",
ISNUMBER(SEARCH("centipede",E264)),"Centipede Grass",
ISNUMBER(SEARCH("dense shade",E264)),"Dense Shade Mix",
ISNUMBER(SEARCH("southern gold",E264)),"Southern Gold Mix",
ISNUMBER(SEARCH("heat-tolerant blue",E264)),"Heat-Tolerant Blue Mix",
ISNUMBER(SEARCH("high traffic",E264)),"High Traffic Mix",
ISNUMBER(SEARCH("quick fix",E264)),"Quick Fix Mix",
ISNUMBER(SEARCH("starter",E264)),"Starter Fertilizer",
ISNUMBER(SEARCH("weed &amp; feed",E264)),"Weed &amp; Feed",
ISNUMBER(SEARCH("lawn food",E264)),"Lawn Food",
ISNUMBER(SEARCH("triple action",E264)),"Triple Action Fertilizer",
ISNUMBER(SEARCH("green max",E264)),"Green Max Lawn Food",
ISNUMBER(SEARCH("patchmaster",E264)),"PatchMaster Repair",
ISNUMBER(SEARCH("ez seed",E264)),"EZ Seed Repair",
ISNUMBER(SEARCH("rapid grass",E264)),"Rapid Grass",
ISNUMBER(SEARCH("thick'r lawn",E264)),"Thick'R Lawn",
ISNUMBER(SEARCH("fungicide",E264)),"Fungicide",
ISNUMBER(SEARCH("moss",E264)),"Moss Control",
ISNUMBER(SEARCH("perlite",E264)),"Perlite",
ISNUMBER(SEARCH("plant food",E264)),"Plant Food",
ISNUMBER(SEARCH("spreader",E264)),"Spreader",
ISNUMBER(SEARCH("sprayer",E264)),"Sprayer",
ISNUMBER(SEARCH("mower",E264)),"Lawn Mower",
ISNUMBER(SEARCH("sweeper",E264)),"Lawn Sweeper",
OR(ISNUMBER(SEARCH("pruner",E264)),ISNUMBER(SEARCH("trimmer",E264)),ISNUMBER(SEARCH("pole saw",E264))),"Pruning Tools",
TRUE,"Other"
)</f>
        <v>Perennial Ryegrass</v>
      </c>
      <c r="J264" s="7" t="str">
        <f t="shared" si="70"/>
        <v>Grass Seed - Perennial Ryegrass</v>
      </c>
      <c r="K264" s="4">
        <v>50</v>
      </c>
      <c r="L264" s="4">
        <v>4.3</v>
      </c>
      <c r="M264" s="4">
        <v>3643</v>
      </c>
      <c r="N264" s="4" t="s">
        <v>606</v>
      </c>
      <c r="O264" s="4">
        <f>VLOOKUP(A264,[3]Sheet1!$A:$B,2,0)</f>
        <v>0</v>
      </c>
      <c r="P264" s="4">
        <f>VLOOKUP(A264,[3]Sheet1!$A:$C,3,0)</f>
        <v>0</v>
      </c>
      <c r="Q264" s="4">
        <f>VLOOKUP(A264,[3]Sheet1!$A:$D,4,0)</f>
        <v>0</v>
      </c>
      <c r="R264" s="4">
        <f>VLOOKUP(A264,[3]Sheet1!$A:$E,5,0)</f>
        <v>0</v>
      </c>
      <c r="S264" s="4">
        <f>VLOOKUP(A264,[3]Sheet1!$A:$F,6,0)</f>
        <v>100</v>
      </c>
      <c r="T264" s="4">
        <f>VLOOKUP(A264,[3]Sheet1!$A:$G,7,0)</f>
        <v>100</v>
      </c>
      <c r="U264" s="4">
        <f>VLOOKUP(A264,[3]Sheet1!$A:$I,8,0)</f>
        <v>50</v>
      </c>
      <c r="V264" s="4">
        <f>VLOOKUP(A264,[3]Sheet1!$A:$J,9,0)</f>
        <v>100</v>
      </c>
      <c r="W264" s="4">
        <f>VLOOKUP(A264,[3]Sheet1!$A:$J,10,0)</f>
        <v>100</v>
      </c>
      <c r="X264" s="4">
        <f>VLOOKUP(A264,[3]Sheet1!$A:$K,11,0)</f>
        <v>100</v>
      </c>
      <c r="Y264" s="4">
        <f>VLOOKUP(A264,[3]Sheet1!$A:$L,12,0)</f>
        <v>100</v>
      </c>
      <c r="Z264" s="4">
        <f>VLOOKUP(A264,[3]Sheet1!$A:$M,13,0)</f>
        <v>50</v>
      </c>
      <c r="AA264" s="4">
        <f t="shared" si="64"/>
        <v>700</v>
      </c>
      <c r="AB264" s="7">
        <f t="shared" si="71"/>
        <v>58</v>
      </c>
      <c r="AC264" s="15">
        <f t="shared" si="65"/>
        <v>58.333333333333336</v>
      </c>
      <c r="AD264" s="16">
        <f t="shared" si="66"/>
        <v>13510</v>
      </c>
      <c r="AE264" s="16">
        <f t="shared" si="67"/>
        <v>1125.8333333333335</v>
      </c>
      <c r="AF264" s="16">
        <v>6.48</v>
      </c>
      <c r="AG264" s="16">
        <v>19.3</v>
      </c>
      <c r="AH264" s="8">
        <f t="shared" si="68"/>
        <v>1.5999999999999955E-2</v>
      </c>
      <c r="AI264" s="8">
        <f t="shared" si="69"/>
        <v>5.5999999999999842E-2</v>
      </c>
      <c r="AJ264" s="10">
        <v>0.5</v>
      </c>
      <c r="AK264" s="10">
        <v>0.5</v>
      </c>
      <c r="AL264" s="16">
        <v>6.48</v>
      </c>
      <c r="AM264" s="9">
        <f t="shared" si="72"/>
        <v>2.895</v>
      </c>
      <c r="AN264" s="9">
        <f t="shared" si="73"/>
        <v>0.57899999999999996</v>
      </c>
      <c r="AO264" s="9">
        <f t="shared" si="74"/>
        <v>3.8600000000000003</v>
      </c>
      <c r="AP264" s="9">
        <f t="shared" si="75"/>
        <v>0.38600000000000001</v>
      </c>
      <c r="AQ264" s="9">
        <f t="shared" si="76"/>
        <v>3.8600000000000003</v>
      </c>
      <c r="AR264" s="9">
        <f t="shared" si="77"/>
        <v>4.8250000000000002</v>
      </c>
      <c r="AS264" s="11">
        <f t="shared" si="78"/>
        <v>0.15999999999999956</v>
      </c>
      <c r="AT264" s="12">
        <f t="shared" si="79"/>
        <v>-0.48333333333333367</v>
      </c>
    </row>
    <row r="265" spans="1:46" ht="16.5" x14ac:dyDescent="0.4">
      <c r="A265" s="4" t="s">
        <v>1220</v>
      </c>
      <c r="B265" s="4" t="s">
        <v>513</v>
      </c>
      <c r="C265" s="7" t="s">
        <v>1784</v>
      </c>
      <c r="D265" s="4" t="s">
        <v>1221</v>
      </c>
      <c r="E265" s="4" t="s">
        <v>1222</v>
      </c>
      <c r="F265" s="4" t="s">
        <v>1223</v>
      </c>
      <c r="G265" s="7" t="str">
        <f>VLOOKUP(A265,[1]done!$A:$I,9,0)</f>
        <v>Grass Seed</v>
      </c>
      <c r="H265" s="7" t="str" cm="1">
        <f t="array" ref="H265">_xlfn.IFS(
OR(ISNUMBER(SEARCH("mouse",E265)),ISNUMBER(SEARCH("rat",E265)),ISNUMBER(SEARCH("mice",E265)),ISNUMBER(SEARCH("rodent",E265))),"Rodent Control",
OR(ISNUMBER(SEARCH("fly",E265)),ISNUMBER(SEARCH("gnat",E265)),ISNUMBER(SEARCH("insect",E265)),ISNUMBER(SEARCH("mosquito",E265))),"Flying Insect Control",
OR(ISNUMBER(SEARCH("roach",E265)),ISNUMBER(SEARCH("ant",E265)),ISNUMBER(SEARCH("spider",E265)),ISNUMBER(SEARCH("cricket",E265)),ISNUMBER(SEARCH("scorpion",E265)),ISNUMBER(SEARCH("centipede",E265)),ISNUMBER(SEARCH("beetle",E265))),"Crawling Insect Control",
OR(ISNUMBER(SEARCH("tree",E265)),ISNUMBER(SEARCH("lantern",E265)),ISNUMBER(SEARCH("garden",E265)),ISNUMBER(SEARCH("plant",E265))),"Garden Pest Control",
OR(ISNUMBER(SEARCH("grass seed",E265)),ISNUMBER(SEARCH("seed mix",E265))),"Grass Seed",
OR(ISNUMBER(SEARCH("lawn food",E265)),ISNUMBER(SEARCH("fertilizer",E265))),"Lawn Fertilizer",
OR(ISNUMBER(SEARCH("patch",E265)),ISNUMBER(SEARCH("repair",E265)),ISNUMBER(SEARCH("thick'r",E265)),ISNUMBER(SEARCH("thick'r lawn",E265)),ISNUMBER(SEARCH("rapid grass",E265))),"Lawn Repair",
OR(ISNUMBER(SEARCH("weed",E265)),ISNUMBER(SEARCH("crabgrass",E265))),"Weed Control",
OR(ISNUMBER(SEARCH("fungicide",E265)),ISNUMBER(SEARCH("moss",E265))),"Disease &amp; Moss Control",
OR(ISNUMBER(SEARCH("plant food",E265)),ISNUMBER(SEARCH("miracid",E265))),"Plant Nutrition",
OR(ISNUMBER(SEARCH("perlite",E265))),"Soil Amendment",
OR(ISNUMBER(SEARCH("spreader",E265)),ISNUMBER(SEARCH("sprayer",E265)),ISNUMBER(SEARCH("mower",E265)),ISNUMBER(SEARCH("sweeper",E265)),ISNUMBER(SEARCH("pruner",E265)),ISNUMBER(SEARCH("trimmer",E265)),ISNUMBER(SEARCH("pole saw",E265))),"Garden Equipment",
TRUE,"Other"
)</f>
        <v>Grass Seed</v>
      </c>
      <c r="I265" s="7" t="str" cm="1">
        <f t="array" ref="I265">_xlfn.IFS(
OR(ISNUMBER(SEARCH("glue trap",E265)),ISNUMBER(SEARCH("glue board",E265))),"Glue Traps",
OR(ISNUMBER(SEARCH("snap trap",E265)),ISNUMBER(SEARCH("power-kill",E265)),ISNUMBER(SEARCH("wide pedal",E265)),ISNUMBER(SEARCH("metal pedal",E265))),"Snap Traps",
OR(ISNUMBER(SEARCH("electronic",E265)),ISNUMBER(SEARCH("zapper",E265))),"Electronic Traps",
OR(ISNUMBER(SEARCH("live catch",E265)),ISNUMBER(SEARCH("multi-catch",E265)),ISNUMBER(SEARCH("catch &amp; hold",E265)),ISNUMBER(SEARCH("tin cat",E265))),"Live Catch Traps",
OR(ISNUMBER(SEARCH("bait",E265)),ISNUMBER(SEARCH("poison",E265))),"Bait &amp; Poison",
ISNUMBER(SEARCH("repellent",E265)),"Repellents",
OR(ISNUMBER(SEARCH("fly trap",E265)),ISNUMBER(SEARCH("fly ribbon",E265)),ISNUMBER(SEARCH("fly stick",E265)),ISNUMBER(SEARCH("window fly",E265)),ISNUMBER(SEARCH("fly magnet",E265))),"Fly Traps",
OR(ISNUMBER(SEARCH("uv",E265)),ISNUMBER(SEARCH("fly light",E265)),ISNUMBER(SEARCH("plug-in",E265))),"UV Fly Traps",
ISNUMBER(SEARCH("roach",E265)),"Roach Traps",
ISNUMBER(SEARCH("ant",E265)),"Ant Traps",
ISNUMBER(SEARCH("spider",E265)),"Spider Traps",
ISNUMBER(SEARCH("mosquito",E265)),"Mosquito Traps",
ISNUMBER(SEARCH("beetle",E265)),"Beetle Traps",
ISNUMBER(SEARCH("lantern",E265)),"Lanternfly Control",
OR(ISNUMBER(SEARCH("tree shield",E265)),ISNUMBER(SEARCH("tree banding",E265)),ISNUMBER(SEARCH("insect barrier",E265))),"Tree Barriers",
OR(ISNUMBER(SEARCH("sun &amp; shade",E265)),ISNUMBER(SEARCH("sun and shade",E265))),"Sun &amp; Shade Mix",
ISNUMBER(SEARCH("tall fescue",E265)),"Tall Fescue",
ISNUMBER(SEARCH("bermudagrass",E265)),"Bermudagrass",
ISNUMBER(SEARCH("kentucky",E265)),"Kentucky Bluegrass",
ISNUMBER(SEARCH("zoysia",E265)),"Zoysia",
ISNUMBER(SEARCH("ryegrass",E265)),"Perennial Ryegrass",
ISNUMBER(SEARCH("centipede",E265)),"Centipede Grass",
ISNUMBER(SEARCH("dense shade",E265)),"Dense Shade Mix",
ISNUMBER(SEARCH("southern gold",E265)),"Southern Gold Mix",
ISNUMBER(SEARCH("heat-tolerant blue",E265)),"Heat-Tolerant Blue Mix",
ISNUMBER(SEARCH("high traffic",E265)),"High Traffic Mix",
ISNUMBER(SEARCH("quick fix",E265)),"Quick Fix Mix",
ISNUMBER(SEARCH("starter",E265)),"Starter Fertilizer",
ISNUMBER(SEARCH("weed &amp; feed",E265)),"Weed &amp; Feed",
ISNUMBER(SEARCH("lawn food",E265)),"Lawn Food",
ISNUMBER(SEARCH("triple action",E265)),"Triple Action Fertilizer",
ISNUMBER(SEARCH("green max",E265)),"Green Max Lawn Food",
ISNUMBER(SEARCH("patchmaster",E265)),"PatchMaster Repair",
ISNUMBER(SEARCH("ez seed",E265)),"EZ Seed Repair",
ISNUMBER(SEARCH("rapid grass",E265)),"Rapid Grass",
ISNUMBER(SEARCH("thick'r lawn",E265)),"Thick'R Lawn",
ISNUMBER(SEARCH("fungicide",E265)),"Fungicide",
ISNUMBER(SEARCH("moss",E265)),"Moss Control",
ISNUMBER(SEARCH("perlite",E265)),"Perlite",
ISNUMBER(SEARCH("plant food",E265)),"Plant Food",
ISNUMBER(SEARCH("spreader",E265)),"Spreader",
ISNUMBER(SEARCH("sprayer",E265)),"Sprayer",
ISNUMBER(SEARCH("mower",E265)),"Lawn Mower",
ISNUMBER(SEARCH("sweeper",E265)),"Lawn Sweeper",
OR(ISNUMBER(SEARCH("pruner",E265)),ISNUMBER(SEARCH("trimmer",E265)),ISNUMBER(SEARCH("pole saw",E265))),"Pruning Tools",
TRUE,"Other"
)</f>
        <v>Dense Shade Mix</v>
      </c>
      <c r="J265" s="7" t="str">
        <f t="shared" si="70"/>
        <v>Grass Seed - Dense Shade Mix</v>
      </c>
      <c r="K265" s="4">
        <v>50</v>
      </c>
      <c r="L265" s="4">
        <v>4.3</v>
      </c>
      <c r="M265" s="4">
        <v>2022</v>
      </c>
      <c r="N265" s="4" t="s">
        <v>606</v>
      </c>
      <c r="O265" s="4">
        <f>VLOOKUP(A265,[3]Sheet1!$A:$B,2,0)</f>
        <v>0</v>
      </c>
      <c r="P265" s="4">
        <f>VLOOKUP(A265,[3]Sheet1!$A:$C,3,0)</f>
        <v>0</v>
      </c>
      <c r="Q265" s="4">
        <f>VLOOKUP(A265,[3]Sheet1!$A:$D,4,0)</f>
        <v>60</v>
      </c>
      <c r="R265" s="4">
        <f>VLOOKUP(A265,[3]Sheet1!$A:$E,5,0)</f>
        <v>100</v>
      </c>
      <c r="S265" s="4">
        <f>VLOOKUP(A265,[3]Sheet1!$A:$F,6,0)</f>
        <v>100</v>
      </c>
      <c r="T265" s="4">
        <f>VLOOKUP(A265,[3]Sheet1!$A:$G,7,0)</f>
        <v>100</v>
      </c>
      <c r="U265" s="4">
        <f>VLOOKUP(A265,[3]Sheet1!$A:$I,8,0)</f>
        <v>60</v>
      </c>
      <c r="V265" s="4">
        <f>VLOOKUP(A265,[3]Sheet1!$A:$J,9,0)</f>
        <v>60</v>
      </c>
      <c r="W265" s="4">
        <f>VLOOKUP(A265,[3]Sheet1!$A:$J,10,0)</f>
        <v>60</v>
      </c>
      <c r="X265" s="4">
        <f>VLOOKUP(A265,[3]Sheet1!$A:$K,11,0)</f>
        <v>60</v>
      </c>
      <c r="Y265" s="4">
        <f>VLOOKUP(A265,[3]Sheet1!$A:$L,12,0)</f>
        <v>60</v>
      </c>
      <c r="Z265" s="4">
        <f>VLOOKUP(A265,[3]Sheet1!$A:$M,13,0)</f>
        <v>0</v>
      </c>
      <c r="AA265" s="4">
        <f t="shared" si="64"/>
        <v>660</v>
      </c>
      <c r="AB265" s="7">
        <f t="shared" si="71"/>
        <v>55</v>
      </c>
      <c r="AC265" s="15">
        <f t="shared" si="65"/>
        <v>55</v>
      </c>
      <c r="AD265" s="16">
        <f t="shared" si="66"/>
        <v>16150.199999999999</v>
      </c>
      <c r="AE265" s="16">
        <f t="shared" si="67"/>
        <v>1345.85</v>
      </c>
      <c r="AF265" s="16">
        <v>6.31</v>
      </c>
      <c r="AG265" s="16">
        <v>24.47</v>
      </c>
      <c r="AH265" s="8">
        <f t="shared" si="68"/>
        <v>0.16519999999999993</v>
      </c>
      <c r="AI265" s="8">
        <f t="shared" si="69"/>
        <v>0.57819999999999971</v>
      </c>
      <c r="AJ265" s="10">
        <v>0.5</v>
      </c>
      <c r="AK265" s="10">
        <v>0.5</v>
      </c>
      <c r="AL265" s="16">
        <v>6.31</v>
      </c>
      <c r="AM265" s="9">
        <f t="shared" si="72"/>
        <v>3.6704999999999997</v>
      </c>
      <c r="AN265" s="9">
        <f t="shared" si="73"/>
        <v>0.73409999999999997</v>
      </c>
      <c r="AO265" s="9">
        <f t="shared" si="74"/>
        <v>4.8940000000000001</v>
      </c>
      <c r="AP265" s="9">
        <f t="shared" si="75"/>
        <v>0.4894</v>
      </c>
      <c r="AQ265" s="9">
        <f t="shared" si="76"/>
        <v>4.8940000000000001</v>
      </c>
      <c r="AR265" s="9">
        <f t="shared" si="77"/>
        <v>6.1174999999999997</v>
      </c>
      <c r="AS265" s="11">
        <f t="shared" si="78"/>
        <v>1.6519999999999992</v>
      </c>
      <c r="AT265" s="12">
        <f t="shared" si="79"/>
        <v>0.83633333333333282</v>
      </c>
    </row>
    <row r="266" spans="1:46" ht="16.5" x14ac:dyDescent="0.4">
      <c r="A266" s="4" t="s">
        <v>1224</v>
      </c>
      <c r="B266" s="4" t="s">
        <v>513</v>
      </c>
      <c r="C266" s="7" t="s">
        <v>1784</v>
      </c>
      <c r="D266" s="4" t="s">
        <v>1225</v>
      </c>
      <c r="E266" s="4" t="s">
        <v>1226</v>
      </c>
      <c r="F266" s="4" t="s">
        <v>1227</v>
      </c>
      <c r="G266" s="7" t="str">
        <f>VLOOKUP(A266,[1]done!$A:$I,9,0)</f>
        <v>Grass Seed</v>
      </c>
      <c r="H266" s="7" t="str" cm="1">
        <f t="array" ref="H266">_xlfn.IFS(
OR(ISNUMBER(SEARCH("mouse",E266)),ISNUMBER(SEARCH("rat",E266)),ISNUMBER(SEARCH("mice",E266)),ISNUMBER(SEARCH("rodent",E266))),"Rodent Control",
OR(ISNUMBER(SEARCH("fly",E266)),ISNUMBER(SEARCH("gnat",E266)),ISNUMBER(SEARCH("insect",E266)),ISNUMBER(SEARCH("mosquito",E266))),"Flying Insect Control",
OR(ISNUMBER(SEARCH("roach",E266)),ISNUMBER(SEARCH("ant",E266)),ISNUMBER(SEARCH("spider",E266)),ISNUMBER(SEARCH("cricket",E266)),ISNUMBER(SEARCH("scorpion",E266)),ISNUMBER(SEARCH("centipede",E266)),ISNUMBER(SEARCH("beetle",E266))),"Crawling Insect Control",
OR(ISNUMBER(SEARCH("tree",E266)),ISNUMBER(SEARCH("lantern",E266)),ISNUMBER(SEARCH("garden",E266)),ISNUMBER(SEARCH("plant",E266))),"Garden Pest Control",
OR(ISNUMBER(SEARCH("grass seed",E266)),ISNUMBER(SEARCH("seed mix",E266))),"Grass Seed",
OR(ISNUMBER(SEARCH("lawn food",E266)),ISNUMBER(SEARCH("fertilizer",E266))),"Lawn Fertilizer",
OR(ISNUMBER(SEARCH("patch",E266)),ISNUMBER(SEARCH("repair",E266)),ISNUMBER(SEARCH("thick'r",E266)),ISNUMBER(SEARCH("thick'r lawn",E266)),ISNUMBER(SEARCH("rapid grass",E266))),"Lawn Repair",
OR(ISNUMBER(SEARCH("weed",E266)),ISNUMBER(SEARCH("crabgrass",E266))),"Weed Control",
OR(ISNUMBER(SEARCH("fungicide",E266)),ISNUMBER(SEARCH("moss",E266))),"Disease &amp; Moss Control",
OR(ISNUMBER(SEARCH("plant food",E266)),ISNUMBER(SEARCH("miracid",E266))),"Plant Nutrition",
OR(ISNUMBER(SEARCH("perlite",E266))),"Soil Amendment",
OR(ISNUMBER(SEARCH("spreader",E266)),ISNUMBER(SEARCH("sprayer",E266)),ISNUMBER(SEARCH("mower",E266)),ISNUMBER(SEARCH("sweeper",E266)),ISNUMBER(SEARCH("pruner",E266)),ISNUMBER(SEARCH("trimmer",E266)),ISNUMBER(SEARCH("pole saw",E266))),"Garden Equipment",
TRUE,"Other"
)</f>
        <v>Crawling Insect Control</v>
      </c>
      <c r="I266" s="7" t="str" cm="1">
        <f t="array" ref="I266">_xlfn.IFS(
OR(ISNUMBER(SEARCH("glue trap",E266)),ISNUMBER(SEARCH("glue board",E266))),"Glue Traps",
OR(ISNUMBER(SEARCH("snap trap",E266)),ISNUMBER(SEARCH("power-kill",E266)),ISNUMBER(SEARCH("wide pedal",E266)),ISNUMBER(SEARCH("metal pedal",E266))),"Snap Traps",
OR(ISNUMBER(SEARCH("electronic",E266)),ISNUMBER(SEARCH("zapper",E266))),"Electronic Traps",
OR(ISNUMBER(SEARCH("live catch",E266)),ISNUMBER(SEARCH("multi-catch",E266)),ISNUMBER(SEARCH("catch &amp; hold",E266)),ISNUMBER(SEARCH("tin cat",E266))),"Live Catch Traps",
OR(ISNUMBER(SEARCH("bait",E266)),ISNUMBER(SEARCH("poison",E266))),"Bait &amp; Poison",
ISNUMBER(SEARCH("repellent",E266)),"Repellents",
OR(ISNUMBER(SEARCH("fly trap",E266)),ISNUMBER(SEARCH("fly ribbon",E266)),ISNUMBER(SEARCH("fly stick",E266)),ISNUMBER(SEARCH("window fly",E266)),ISNUMBER(SEARCH("fly magnet",E266))),"Fly Traps",
OR(ISNUMBER(SEARCH("uv",E266)),ISNUMBER(SEARCH("fly light",E266)),ISNUMBER(SEARCH("plug-in",E266))),"UV Fly Traps",
ISNUMBER(SEARCH("roach",E266)),"Roach Traps",
ISNUMBER(SEARCH("ant",E266)),"Ant Traps",
ISNUMBER(SEARCH("spider",E266)),"Spider Traps",
ISNUMBER(SEARCH("mosquito",E266)),"Mosquito Traps",
ISNUMBER(SEARCH("beetle",E266)),"Beetle Traps",
ISNUMBER(SEARCH("lantern",E266)),"Lanternfly Control",
OR(ISNUMBER(SEARCH("tree shield",E266)),ISNUMBER(SEARCH("tree banding",E266)),ISNUMBER(SEARCH("insect barrier",E266))),"Tree Barriers",
OR(ISNUMBER(SEARCH("sun &amp; shade",E266)),ISNUMBER(SEARCH("sun and shade",E266))),"Sun &amp; Shade Mix",
ISNUMBER(SEARCH("tall fescue",E266)),"Tall Fescue",
ISNUMBER(SEARCH("bermudagrass",E266)),"Bermudagrass",
ISNUMBER(SEARCH("kentucky",E266)),"Kentucky Bluegrass",
ISNUMBER(SEARCH("zoysia",E266)),"Zoysia",
ISNUMBER(SEARCH("ryegrass",E266)),"Perennial Ryegrass",
ISNUMBER(SEARCH("centipede",E266)),"Centipede Grass",
ISNUMBER(SEARCH("dense shade",E266)),"Dense Shade Mix",
ISNUMBER(SEARCH("southern gold",E266)),"Southern Gold Mix",
ISNUMBER(SEARCH("heat-tolerant blue",E266)),"Heat-Tolerant Blue Mix",
ISNUMBER(SEARCH("high traffic",E266)),"High Traffic Mix",
ISNUMBER(SEARCH("quick fix",E266)),"Quick Fix Mix",
ISNUMBER(SEARCH("starter",E266)),"Starter Fertilizer",
ISNUMBER(SEARCH("weed &amp; feed",E266)),"Weed &amp; Feed",
ISNUMBER(SEARCH("lawn food",E266)),"Lawn Food",
ISNUMBER(SEARCH("triple action",E266)),"Triple Action Fertilizer",
ISNUMBER(SEARCH("green max",E266)),"Green Max Lawn Food",
ISNUMBER(SEARCH("patchmaster",E266)),"PatchMaster Repair",
ISNUMBER(SEARCH("ez seed",E266)),"EZ Seed Repair",
ISNUMBER(SEARCH("rapid grass",E266)),"Rapid Grass",
ISNUMBER(SEARCH("thick'r lawn",E266)),"Thick'R Lawn",
ISNUMBER(SEARCH("fungicide",E266)),"Fungicide",
ISNUMBER(SEARCH("moss",E266)),"Moss Control",
ISNUMBER(SEARCH("perlite",E266)),"Perlite",
ISNUMBER(SEARCH("plant food",E266)),"Plant Food",
ISNUMBER(SEARCH("spreader",E266)),"Spreader",
ISNUMBER(SEARCH("sprayer",E266)),"Sprayer",
ISNUMBER(SEARCH("mower",E266)),"Lawn Mower",
ISNUMBER(SEARCH("sweeper",E266)),"Lawn Sweeper",
OR(ISNUMBER(SEARCH("pruner",E266)),ISNUMBER(SEARCH("trimmer",E266)),ISNUMBER(SEARCH("pole saw",E266))),"Pruning Tools",
TRUE,"Other"
)</f>
        <v>Ant Traps</v>
      </c>
      <c r="J266" s="7" t="str">
        <f t="shared" si="70"/>
        <v>Crawling Insect Control - Ant Traps</v>
      </c>
      <c r="K266" s="4">
        <v>50</v>
      </c>
      <c r="L266" s="4">
        <v>4.2</v>
      </c>
      <c r="M266" s="4">
        <v>2069</v>
      </c>
      <c r="N266" s="4" t="s">
        <v>606</v>
      </c>
      <c r="O266" s="4">
        <f>VLOOKUP(A266,[3]Sheet1!$A:$B,2,0)</f>
        <v>0</v>
      </c>
      <c r="P266" s="4">
        <f>VLOOKUP(A266,[3]Sheet1!$A:$C,3,0)</f>
        <v>0</v>
      </c>
      <c r="Q266" s="4">
        <f>VLOOKUP(A266,[3]Sheet1!$A:$D,4,0)</f>
        <v>50</v>
      </c>
      <c r="R266" s="4">
        <f>VLOOKUP(A266,[3]Sheet1!$A:$E,5,0)</f>
        <v>50</v>
      </c>
      <c r="S266" s="4">
        <f>VLOOKUP(A266,[3]Sheet1!$A:$F,6,0)</f>
        <v>50</v>
      </c>
      <c r="T266" s="4">
        <f>VLOOKUP(A266,[3]Sheet1!$A:$G,7,0)</f>
        <v>50</v>
      </c>
      <c r="U266" s="4">
        <f>VLOOKUP(A266,[3]Sheet1!$A:$I,8,0)</f>
        <v>50</v>
      </c>
      <c r="V266" s="4">
        <f>VLOOKUP(A266,[3]Sheet1!$A:$J,9,0)</f>
        <v>50</v>
      </c>
      <c r="W266" s="4">
        <f>VLOOKUP(A266,[3]Sheet1!$A:$J,10,0)</f>
        <v>50</v>
      </c>
      <c r="X266" s="4">
        <f>VLOOKUP(A266,[3]Sheet1!$A:$K,11,0)</f>
        <v>50</v>
      </c>
      <c r="Y266" s="4">
        <f>VLOOKUP(A266,[3]Sheet1!$A:$L,12,0)</f>
        <v>50</v>
      </c>
      <c r="Z266" s="4">
        <f>VLOOKUP(A266,[3]Sheet1!$A:$M,13,0)</f>
        <v>0</v>
      </c>
      <c r="AA266" s="4">
        <f t="shared" si="64"/>
        <v>450</v>
      </c>
      <c r="AB266" s="7">
        <f t="shared" si="71"/>
        <v>38</v>
      </c>
      <c r="AC266" s="15">
        <f t="shared" si="65"/>
        <v>37.5</v>
      </c>
      <c r="AD266" s="16">
        <f t="shared" si="66"/>
        <v>10795.5</v>
      </c>
      <c r="AE266" s="16">
        <f t="shared" si="67"/>
        <v>899.62499999999989</v>
      </c>
      <c r="AF266" s="16">
        <v>6.31</v>
      </c>
      <c r="AG266" s="16">
        <v>23.99</v>
      </c>
      <c r="AH266" s="8">
        <f t="shared" si="68"/>
        <v>0.15239999999999992</v>
      </c>
      <c r="AI266" s="8">
        <f t="shared" si="69"/>
        <v>0.53339999999999965</v>
      </c>
      <c r="AJ266" s="10">
        <v>0.5</v>
      </c>
      <c r="AK266" s="10">
        <v>0.5</v>
      </c>
      <c r="AL266" s="16">
        <v>6.31</v>
      </c>
      <c r="AM266" s="9">
        <f t="shared" si="72"/>
        <v>3.5984999999999996</v>
      </c>
      <c r="AN266" s="9">
        <f t="shared" si="73"/>
        <v>0.7196999999999999</v>
      </c>
      <c r="AO266" s="9">
        <f t="shared" si="74"/>
        <v>4.798</v>
      </c>
      <c r="AP266" s="9">
        <f t="shared" si="75"/>
        <v>0.4798</v>
      </c>
      <c r="AQ266" s="9">
        <f t="shared" si="76"/>
        <v>4.798</v>
      </c>
      <c r="AR266" s="9">
        <f t="shared" si="77"/>
        <v>5.9974999999999996</v>
      </c>
      <c r="AS266" s="11">
        <f t="shared" si="78"/>
        <v>1.5239999999999991</v>
      </c>
      <c r="AT266" s="12">
        <f t="shared" si="79"/>
        <v>0.72433333333333272</v>
      </c>
    </row>
    <row r="267" spans="1:46" ht="16.5" x14ac:dyDescent="0.4">
      <c r="A267" s="4" t="s">
        <v>1228</v>
      </c>
      <c r="B267" s="4" t="s">
        <v>513</v>
      </c>
      <c r="C267" s="7" t="s">
        <v>513</v>
      </c>
      <c r="D267" s="4" t="s">
        <v>1229</v>
      </c>
      <c r="E267" s="4" t="s">
        <v>1230</v>
      </c>
      <c r="F267" s="4" t="s">
        <v>1231</v>
      </c>
      <c r="G267" s="7" t="str">
        <f>VLOOKUP(A267,[1]done!$A:$I,9,0)</f>
        <v>Other Lawn products</v>
      </c>
      <c r="H267" s="7" t="str" cm="1">
        <f t="array" ref="H267">_xlfn.IFS(
OR(ISNUMBER(SEARCH("mouse",E267)),ISNUMBER(SEARCH("rat",E267)),ISNUMBER(SEARCH("mice",E267)),ISNUMBER(SEARCH("rodent",E267))),"Rodent Control",
OR(ISNUMBER(SEARCH("fly",E267)),ISNUMBER(SEARCH("gnat",E267)),ISNUMBER(SEARCH("insect",E267)),ISNUMBER(SEARCH("mosquito",E267))),"Flying Insect Control",
OR(ISNUMBER(SEARCH("roach",E267)),ISNUMBER(SEARCH("ant",E267)),ISNUMBER(SEARCH("spider",E267)),ISNUMBER(SEARCH("cricket",E267)),ISNUMBER(SEARCH("scorpion",E267)),ISNUMBER(SEARCH("centipede",E267)),ISNUMBER(SEARCH("beetle",E267))),"Crawling Insect Control",
OR(ISNUMBER(SEARCH("tree",E267)),ISNUMBER(SEARCH("lantern",E267)),ISNUMBER(SEARCH("garden",E267)),ISNUMBER(SEARCH("plant",E267))),"Garden Pest Control",
OR(ISNUMBER(SEARCH("grass seed",E267)),ISNUMBER(SEARCH("seed mix",E267))),"Grass Seed",
OR(ISNUMBER(SEARCH("lawn food",E267)),ISNUMBER(SEARCH("fertilizer",E267))),"Lawn Fertilizer",
OR(ISNUMBER(SEARCH("patch",E267)),ISNUMBER(SEARCH("repair",E267)),ISNUMBER(SEARCH("thick'r",E267)),ISNUMBER(SEARCH("thick'r lawn",E267)),ISNUMBER(SEARCH("rapid grass",E267))),"Lawn Repair",
OR(ISNUMBER(SEARCH("weed",E267)),ISNUMBER(SEARCH("crabgrass",E267))),"Weed Control",
OR(ISNUMBER(SEARCH("fungicide",E267)),ISNUMBER(SEARCH("moss",E267))),"Disease &amp; Moss Control",
OR(ISNUMBER(SEARCH("plant food",E267)),ISNUMBER(SEARCH("miracid",E267))),"Plant Nutrition",
OR(ISNUMBER(SEARCH("perlite",E267))),"Soil Amendment",
OR(ISNUMBER(SEARCH("spreader",E267)),ISNUMBER(SEARCH("sprayer",E267)),ISNUMBER(SEARCH("mower",E267)),ISNUMBER(SEARCH("sweeper",E267)),ISNUMBER(SEARCH("pruner",E267)),ISNUMBER(SEARCH("trimmer",E267)),ISNUMBER(SEARCH("pole saw",E267))),"Garden Equipment",
TRUE,"Other"
)</f>
        <v>Crawling Insect Control</v>
      </c>
      <c r="I267" s="7" t="str" cm="1">
        <f t="array" ref="I267">_xlfn.IFS(
OR(ISNUMBER(SEARCH("glue trap",E267)),ISNUMBER(SEARCH("glue board",E267))),"Glue Traps",
OR(ISNUMBER(SEARCH("snap trap",E267)),ISNUMBER(SEARCH("power-kill",E267)),ISNUMBER(SEARCH("wide pedal",E267)),ISNUMBER(SEARCH("metal pedal",E267))),"Snap Traps",
OR(ISNUMBER(SEARCH("electronic",E267)),ISNUMBER(SEARCH("zapper",E267))),"Electronic Traps",
OR(ISNUMBER(SEARCH("live catch",E267)),ISNUMBER(SEARCH("multi-catch",E267)),ISNUMBER(SEARCH("catch &amp; hold",E267)),ISNUMBER(SEARCH("tin cat",E267))),"Live Catch Traps",
OR(ISNUMBER(SEARCH("bait",E267)),ISNUMBER(SEARCH("poison",E267))),"Bait &amp; Poison",
ISNUMBER(SEARCH("repellent",E267)),"Repellents",
OR(ISNUMBER(SEARCH("fly trap",E267)),ISNUMBER(SEARCH("fly ribbon",E267)),ISNUMBER(SEARCH("fly stick",E267)),ISNUMBER(SEARCH("window fly",E267)),ISNUMBER(SEARCH("fly magnet",E267))),"Fly Traps",
OR(ISNUMBER(SEARCH("uv",E267)),ISNUMBER(SEARCH("fly light",E267)),ISNUMBER(SEARCH("plug-in",E267))),"UV Fly Traps",
ISNUMBER(SEARCH("roach",E267)),"Roach Traps",
ISNUMBER(SEARCH("ant",E267)),"Ant Traps",
ISNUMBER(SEARCH("spider",E267)),"Spider Traps",
ISNUMBER(SEARCH("mosquito",E267)),"Mosquito Traps",
ISNUMBER(SEARCH("beetle",E267)),"Beetle Traps",
ISNUMBER(SEARCH("lantern",E267)),"Lanternfly Control",
OR(ISNUMBER(SEARCH("tree shield",E267)),ISNUMBER(SEARCH("tree banding",E267)),ISNUMBER(SEARCH("insect barrier",E267))),"Tree Barriers",
OR(ISNUMBER(SEARCH("sun &amp; shade",E267)),ISNUMBER(SEARCH("sun and shade",E267))),"Sun &amp; Shade Mix",
ISNUMBER(SEARCH("tall fescue",E267)),"Tall Fescue",
ISNUMBER(SEARCH("bermudagrass",E267)),"Bermudagrass",
ISNUMBER(SEARCH("kentucky",E267)),"Kentucky Bluegrass",
ISNUMBER(SEARCH("zoysia",E267)),"Zoysia",
ISNUMBER(SEARCH("ryegrass",E267)),"Perennial Ryegrass",
ISNUMBER(SEARCH("centipede",E267)),"Centipede Grass",
ISNUMBER(SEARCH("dense shade",E267)),"Dense Shade Mix",
ISNUMBER(SEARCH("southern gold",E267)),"Southern Gold Mix",
ISNUMBER(SEARCH("heat-tolerant blue",E267)),"Heat-Tolerant Blue Mix",
ISNUMBER(SEARCH("high traffic",E267)),"High Traffic Mix",
ISNUMBER(SEARCH("quick fix",E267)),"Quick Fix Mix",
ISNUMBER(SEARCH("starter",E267)),"Starter Fertilizer",
ISNUMBER(SEARCH("weed &amp; feed",E267)),"Weed &amp; Feed",
ISNUMBER(SEARCH("lawn food",E267)),"Lawn Food",
ISNUMBER(SEARCH("triple action",E267)),"Triple Action Fertilizer",
ISNUMBER(SEARCH("green max",E267)),"Green Max Lawn Food",
ISNUMBER(SEARCH("patchmaster",E267)),"PatchMaster Repair",
ISNUMBER(SEARCH("ez seed",E267)),"EZ Seed Repair",
ISNUMBER(SEARCH("rapid grass",E267)),"Rapid Grass",
ISNUMBER(SEARCH("thick'r lawn",E267)),"Thick'R Lawn",
ISNUMBER(SEARCH("fungicide",E267)),"Fungicide",
ISNUMBER(SEARCH("moss",E267)),"Moss Control",
ISNUMBER(SEARCH("perlite",E267)),"Perlite",
ISNUMBER(SEARCH("plant food",E267)),"Plant Food",
ISNUMBER(SEARCH("spreader",E267)),"Spreader",
ISNUMBER(SEARCH("sprayer",E267)),"Sprayer",
ISNUMBER(SEARCH("mower",E267)),"Lawn Mower",
ISNUMBER(SEARCH("sweeper",E267)),"Lawn Sweeper",
OR(ISNUMBER(SEARCH("pruner",E267)),ISNUMBER(SEARCH("trimmer",E267)),ISNUMBER(SEARCH("pole saw",E267))),"Pruning Tools",
TRUE,"Other"
)</f>
        <v>Centipede Grass</v>
      </c>
      <c r="J267" s="7" t="str">
        <f t="shared" si="70"/>
        <v>Crawling Insect Control - Centipede Grass</v>
      </c>
      <c r="K267" s="4">
        <v>50</v>
      </c>
      <c r="L267" s="4">
        <v>3.5</v>
      </c>
      <c r="M267" s="4">
        <v>1308</v>
      </c>
      <c r="N267" s="4" t="s">
        <v>1232</v>
      </c>
      <c r="O267" s="4">
        <f>VLOOKUP(A267,[3]Sheet1!$A:$B,2,0)</f>
        <v>0</v>
      </c>
      <c r="P267" s="4">
        <f>VLOOKUP(A267,[3]Sheet1!$A:$C,3,0)</f>
        <v>0</v>
      </c>
      <c r="Q267" s="4">
        <f>VLOOKUP(A267,[3]Sheet1!$A:$D,4,0)</f>
        <v>200</v>
      </c>
      <c r="R267" s="4">
        <f>VLOOKUP(A267,[3]Sheet1!$A:$E,5,0)</f>
        <v>400</v>
      </c>
      <c r="S267" s="4">
        <f>VLOOKUP(A267,[3]Sheet1!$A:$F,6,0)</f>
        <v>400</v>
      </c>
      <c r="T267" s="4">
        <f>VLOOKUP(A267,[3]Sheet1!$A:$G,7,0)</f>
        <v>300</v>
      </c>
      <c r="U267" s="4">
        <f>VLOOKUP(A267,[3]Sheet1!$A:$I,8,0)</f>
        <v>200</v>
      </c>
      <c r="V267" s="4">
        <f>VLOOKUP(A267,[3]Sheet1!$A:$J,9,0)</f>
        <v>200</v>
      </c>
      <c r="W267" s="4">
        <f>VLOOKUP(A267,[3]Sheet1!$A:$J,10,0)</f>
        <v>100</v>
      </c>
      <c r="X267" s="4">
        <f>VLOOKUP(A267,[3]Sheet1!$A:$K,11,0)</f>
        <v>0</v>
      </c>
      <c r="Y267" s="4">
        <f>VLOOKUP(A267,[3]Sheet1!$A:$L,12,0)</f>
        <v>0</v>
      </c>
      <c r="Z267" s="4">
        <f>VLOOKUP(A267,[3]Sheet1!$A:$M,13,0)</f>
        <v>0</v>
      </c>
      <c r="AA267" s="4">
        <f t="shared" si="64"/>
        <v>1800</v>
      </c>
      <c r="AB267" s="7">
        <f t="shared" si="71"/>
        <v>150</v>
      </c>
      <c r="AC267" s="15">
        <f t="shared" si="65"/>
        <v>150</v>
      </c>
      <c r="AD267" s="16">
        <f t="shared" si="66"/>
        <v>39474</v>
      </c>
      <c r="AE267" s="16">
        <f t="shared" si="67"/>
        <v>3289.5</v>
      </c>
      <c r="AF267" s="16">
        <v>7.71</v>
      </c>
      <c r="AG267" s="16">
        <v>21.93</v>
      </c>
      <c r="AH267" s="8">
        <f t="shared" si="68"/>
        <v>4.1333333333332927E-3</v>
      </c>
      <c r="AI267" s="8">
        <f t="shared" si="69"/>
        <v>1.4466666666666522E-2</v>
      </c>
      <c r="AJ267" s="10">
        <v>0.5</v>
      </c>
      <c r="AK267" s="10">
        <v>0.5</v>
      </c>
      <c r="AL267" s="16">
        <v>7.71</v>
      </c>
      <c r="AM267" s="9">
        <f t="shared" si="72"/>
        <v>3.2894999999999999</v>
      </c>
      <c r="AN267" s="9">
        <f t="shared" si="73"/>
        <v>0.65789999999999993</v>
      </c>
      <c r="AO267" s="9">
        <f t="shared" si="74"/>
        <v>4.3860000000000001</v>
      </c>
      <c r="AP267" s="9">
        <f t="shared" si="75"/>
        <v>0.43859999999999999</v>
      </c>
      <c r="AQ267" s="9">
        <f t="shared" si="76"/>
        <v>4.3860000000000001</v>
      </c>
      <c r="AR267" s="9">
        <f t="shared" si="77"/>
        <v>5.4824999999999999</v>
      </c>
      <c r="AS267" s="11">
        <f t="shared" si="78"/>
        <v>4.1333333333332924E-2</v>
      </c>
      <c r="AT267" s="12">
        <f t="shared" si="79"/>
        <v>-0.68966666666666698</v>
      </c>
    </row>
    <row r="268" spans="1:46" ht="16.5" x14ac:dyDescent="0.4">
      <c r="A268" s="4" t="s">
        <v>1233</v>
      </c>
      <c r="B268" s="4" t="s">
        <v>513</v>
      </c>
      <c r="C268" s="7" t="s">
        <v>513</v>
      </c>
      <c r="D268" s="4" t="s">
        <v>1234</v>
      </c>
      <c r="E268" s="4" t="s">
        <v>1235</v>
      </c>
      <c r="F268" s="4" t="s">
        <v>1236</v>
      </c>
      <c r="G268" s="7" t="str">
        <f>VLOOKUP(A268,[1]done!$A:$I,9,0)</f>
        <v>Other Lawn products</v>
      </c>
      <c r="H268" s="7" t="str" cm="1">
        <f t="array" ref="H268">_xlfn.IFS(
OR(ISNUMBER(SEARCH("mouse",E268)),ISNUMBER(SEARCH("rat",E268)),ISNUMBER(SEARCH("mice",E268)),ISNUMBER(SEARCH("rodent",E268))),"Rodent Control",
OR(ISNUMBER(SEARCH("fly",E268)),ISNUMBER(SEARCH("gnat",E268)),ISNUMBER(SEARCH("insect",E268)),ISNUMBER(SEARCH("mosquito",E268))),"Flying Insect Control",
OR(ISNUMBER(SEARCH("roach",E268)),ISNUMBER(SEARCH("ant",E268)),ISNUMBER(SEARCH("spider",E268)),ISNUMBER(SEARCH("cricket",E268)),ISNUMBER(SEARCH("scorpion",E268)),ISNUMBER(SEARCH("centipede",E268)),ISNUMBER(SEARCH("beetle",E268))),"Crawling Insect Control",
OR(ISNUMBER(SEARCH("tree",E268)),ISNUMBER(SEARCH("lantern",E268)),ISNUMBER(SEARCH("garden",E268)),ISNUMBER(SEARCH("plant",E268))),"Garden Pest Control",
OR(ISNUMBER(SEARCH("grass seed",E268)),ISNUMBER(SEARCH("seed mix",E268))),"Grass Seed",
OR(ISNUMBER(SEARCH("lawn food",E268)),ISNUMBER(SEARCH("fertilizer",E268))),"Lawn Fertilizer",
OR(ISNUMBER(SEARCH("patch",E268)),ISNUMBER(SEARCH("repair",E268)),ISNUMBER(SEARCH("thick'r",E268)),ISNUMBER(SEARCH("thick'r lawn",E268)),ISNUMBER(SEARCH("rapid grass",E268))),"Lawn Repair",
OR(ISNUMBER(SEARCH("weed",E268)),ISNUMBER(SEARCH("crabgrass",E268))),"Weed Control",
OR(ISNUMBER(SEARCH("fungicide",E268)),ISNUMBER(SEARCH("moss",E268))),"Disease &amp; Moss Control",
OR(ISNUMBER(SEARCH("plant food",E268)),ISNUMBER(SEARCH("miracid",E268))),"Plant Nutrition",
OR(ISNUMBER(SEARCH("perlite",E268))),"Soil Amendment",
OR(ISNUMBER(SEARCH("spreader",E268)),ISNUMBER(SEARCH("sprayer",E268)),ISNUMBER(SEARCH("mower",E268)),ISNUMBER(SEARCH("sweeper",E268)),ISNUMBER(SEARCH("pruner",E268)),ISNUMBER(SEARCH("trimmer",E268)),ISNUMBER(SEARCH("pole saw",E268))),"Garden Equipment",
TRUE,"Other"
)</f>
        <v>Crawling Insect Control</v>
      </c>
      <c r="I268" s="7" t="str" cm="1">
        <f t="array" ref="I268">_xlfn.IFS(
OR(ISNUMBER(SEARCH("glue trap",E268)),ISNUMBER(SEARCH("glue board",E268))),"Glue Traps",
OR(ISNUMBER(SEARCH("snap trap",E268)),ISNUMBER(SEARCH("power-kill",E268)),ISNUMBER(SEARCH("wide pedal",E268)),ISNUMBER(SEARCH("metal pedal",E268))),"Snap Traps",
OR(ISNUMBER(SEARCH("electronic",E268)),ISNUMBER(SEARCH("zapper",E268))),"Electronic Traps",
OR(ISNUMBER(SEARCH("live catch",E268)),ISNUMBER(SEARCH("multi-catch",E268)),ISNUMBER(SEARCH("catch &amp; hold",E268)),ISNUMBER(SEARCH("tin cat",E268))),"Live Catch Traps",
OR(ISNUMBER(SEARCH("bait",E268)),ISNUMBER(SEARCH("poison",E268))),"Bait &amp; Poison",
ISNUMBER(SEARCH("repellent",E268)),"Repellents",
OR(ISNUMBER(SEARCH("fly trap",E268)),ISNUMBER(SEARCH("fly ribbon",E268)),ISNUMBER(SEARCH("fly stick",E268)),ISNUMBER(SEARCH("window fly",E268)),ISNUMBER(SEARCH("fly magnet",E268))),"Fly Traps",
OR(ISNUMBER(SEARCH("uv",E268)),ISNUMBER(SEARCH("fly light",E268)),ISNUMBER(SEARCH("plug-in",E268))),"UV Fly Traps",
ISNUMBER(SEARCH("roach",E268)),"Roach Traps",
ISNUMBER(SEARCH("ant",E268)),"Ant Traps",
ISNUMBER(SEARCH("spider",E268)),"Spider Traps",
ISNUMBER(SEARCH("mosquito",E268)),"Mosquito Traps",
ISNUMBER(SEARCH("beetle",E268)),"Beetle Traps",
ISNUMBER(SEARCH("lantern",E268)),"Lanternfly Control",
OR(ISNUMBER(SEARCH("tree shield",E268)),ISNUMBER(SEARCH("tree banding",E268)),ISNUMBER(SEARCH("insect barrier",E268))),"Tree Barriers",
OR(ISNUMBER(SEARCH("sun &amp; shade",E268)),ISNUMBER(SEARCH("sun and shade",E268))),"Sun &amp; Shade Mix",
ISNUMBER(SEARCH("tall fescue",E268)),"Tall Fescue",
ISNUMBER(SEARCH("bermudagrass",E268)),"Bermudagrass",
ISNUMBER(SEARCH("kentucky",E268)),"Kentucky Bluegrass",
ISNUMBER(SEARCH("zoysia",E268)),"Zoysia",
ISNUMBER(SEARCH("ryegrass",E268)),"Perennial Ryegrass",
ISNUMBER(SEARCH("centipede",E268)),"Centipede Grass",
ISNUMBER(SEARCH("dense shade",E268)),"Dense Shade Mix",
ISNUMBER(SEARCH("southern gold",E268)),"Southern Gold Mix",
ISNUMBER(SEARCH("heat-tolerant blue",E268)),"Heat-Tolerant Blue Mix",
ISNUMBER(SEARCH("high traffic",E268)),"High Traffic Mix",
ISNUMBER(SEARCH("quick fix",E268)),"Quick Fix Mix",
ISNUMBER(SEARCH("starter",E268)),"Starter Fertilizer",
ISNUMBER(SEARCH("weed &amp; feed",E268)),"Weed &amp; Feed",
ISNUMBER(SEARCH("lawn food",E268)),"Lawn Food",
ISNUMBER(SEARCH("triple action",E268)),"Triple Action Fertilizer",
ISNUMBER(SEARCH("green max",E268)),"Green Max Lawn Food",
ISNUMBER(SEARCH("patchmaster",E268)),"PatchMaster Repair",
ISNUMBER(SEARCH("ez seed",E268)),"EZ Seed Repair",
ISNUMBER(SEARCH("rapid grass",E268)),"Rapid Grass",
ISNUMBER(SEARCH("thick'r lawn",E268)),"Thick'R Lawn",
ISNUMBER(SEARCH("fungicide",E268)),"Fungicide",
ISNUMBER(SEARCH("moss",E268)),"Moss Control",
ISNUMBER(SEARCH("perlite",E268)),"Perlite",
ISNUMBER(SEARCH("plant food",E268)),"Plant Food",
ISNUMBER(SEARCH("spreader",E268)),"Spreader",
ISNUMBER(SEARCH("sprayer",E268)),"Sprayer",
ISNUMBER(SEARCH("mower",E268)),"Lawn Mower",
ISNUMBER(SEARCH("sweeper",E268)),"Lawn Sweeper",
OR(ISNUMBER(SEARCH("pruner",E268)),ISNUMBER(SEARCH("trimmer",E268)),ISNUMBER(SEARCH("pole saw",E268))),"Pruning Tools",
TRUE,"Other"
)</f>
        <v>Centipede Grass</v>
      </c>
      <c r="J268" s="7" t="str">
        <f t="shared" si="70"/>
        <v>Crawling Insect Control - Centipede Grass</v>
      </c>
      <c r="K268" s="4">
        <v>50</v>
      </c>
      <c r="L268" s="4">
        <v>3.5</v>
      </c>
      <c r="M268" s="4">
        <v>1309</v>
      </c>
      <c r="N268" s="4" t="s">
        <v>584</v>
      </c>
      <c r="O268" s="4">
        <f>VLOOKUP(A268,[3]Sheet1!$A:$B,2,0)</f>
        <v>0</v>
      </c>
      <c r="P268" s="4">
        <f>VLOOKUP(A268,[3]Sheet1!$A:$C,3,0)</f>
        <v>0</v>
      </c>
      <c r="Q268" s="4">
        <f>VLOOKUP(A268,[3]Sheet1!$A:$D,4,0)</f>
        <v>0</v>
      </c>
      <c r="R268" s="4">
        <f>VLOOKUP(A268,[3]Sheet1!$A:$E,5,0)</f>
        <v>100</v>
      </c>
      <c r="S268" s="4">
        <f>VLOOKUP(A268,[3]Sheet1!$A:$F,6,0)</f>
        <v>300</v>
      </c>
      <c r="T268" s="4">
        <f>VLOOKUP(A268,[3]Sheet1!$A:$G,7,0)</f>
        <v>200</v>
      </c>
      <c r="U268" s="4">
        <f>VLOOKUP(A268,[3]Sheet1!$A:$I,8,0)</f>
        <v>100</v>
      </c>
      <c r="V268" s="4">
        <f>VLOOKUP(A268,[3]Sheet1!$A:$J,9,0)</f>
        <v>50</v>
      </c>
      <c r="W268" s="4">
        <f>VLOOKUP(A268,[3]Sheet1!$A:$J,10,0)</f>
        <v>50</v>
      </c>
      <c r="X268" s="4">
        <f>VLOOKUP(A268,[3]Sheet1!$A:$K,11,0)</f>
        <v>0</v>
      </c>
      <c r="Y268" s="4">
        <f>VLOOKUP(A268,[3]Sheet1!$A:$L,12,0)</f>
        <v>0</v>
      </c>
      <c r="Z268" s="4">
        <f>VLOOKUP(A268,[3]Sheet1!$A:$M,13,0)</f>
        <v>0</v>
      </c>
      <c r="AA268" s="4">
        <f t="shared" si="64"/>
        <v>800</v>
      </c>
      <c r="AB268" s="7">
        <f t="shared" si="71"/>
        <v>67</v>
      </c>
      <c r="AC268" s="15">
        <f t="shared" si="65"/>
        <v>66.666666666666671</v>
      </c>
      <c r="AD268" s="16">
        <f t="shared" si="66"/>
        <v>24072</v>
      </c>
      <c r="AE268" s="16">
        <f t="shared" si="67"/>
        <v>2006.0000000000002</v>
      </c>
      <c r="AF268" s="16">
        <v>9.6999999999999993</v>
      </c>
      <c r="AG268" s="16">
        <v>30.09</v>
      </c>
      <c r="AH268" s="8">
        <f t="shared" si="68"/>
        <v>8.9066666666666572E-2</v>
      </c>
      <c r="AI268" s="8">
        <f t="shared" si="69"/>
        <v>0.31173333333333297</v>
      </c>
      <c r="AJ268" s="10">
        <v>0.5</v>
      </c>
      <c r="AK268" s="10">
        <v>0.5</v>
      </c>
      <c r="AL268" s="16">
        <v>9.6999999999999993</v>
      </c>
      <c r="AM268" s="9">
        <f t="shared" si="72"/>
        <v>4.5134999999999996</v>
      </c>
      <c r="AN268" s="9">
        <f t="shared" si="73"/>
        <v>0.90269999999999995</v>
      </c>
      <c r="AO268" s="9">
        <f t="shared" si="74"/>
        <v>6.0180000000000007</v>
      </c>
      <c r="AP268" s="9">
        <f t="shared" si="75"/>
        <v>0.6018</v>
      </c>
      <c r="AQ268" s="9">
        <f t="shared" si="76"/>
        <v>6.0180000000000007</v>
      </c>
      <c r="AR268" s="9">
        <f t="shared" si="77"/>
        <v>7.5225</v>
      </c>
      <c r="AS268" s="11">
        <f t="shared" si="78"/>
        <v>0.89066666666666572</v>
      </c>
      <c r="AT268" s="12">
        <f t="shared" si="79"/>
        <v>-0.11233333333333384</v>
      </c>
    </row>
    <row r="269" spans="1:46" ht="16.5" x14ac:dyDescent="0.4">
      <c r="A269" s="4" t="s">
        <v>1237</v>
      </c>
      <c r="B269" s="4" t="s">
        <v>513</v>
      </c>
      <c r="C269" s="7" t="s">
        <v>1784</v>
      </c>
      <c r="D269" s="4" t="s">
        <v>1238</v>
      </c>
      <c r="E269" s="4" t="s">
        <v>1239</v>
      </c>
      <c r="F269" s="4" t="s">
        <v>1240</v>
      </c>
      <c r="G269" s="7" t="str">
        <f>VLOOKUP(A269,[1]done!$A:$I,9,0)</f>
        <v>Grass Seed</v>
      </c>
      <c r="H269" s="7" t="str" cm="1">
        <f t="array" ref="H269">_xlfn.IFS(
OR(ISNUMBER(SEARCH("mouse",E269)),ISNUMBER(SEARCH("rat",E269)),ISNUMBER(SEARCH("mice",E269)),ISNUMBER(SEARCH("rodent",E269))),"Rodent Control",
OR(ISNUMBER(SEARCH("fly",E269)),ISNUMBER(SEARCH("gnat",E269)),ISNUMBER(SEARCH("insect",E269)),ISNUMBER(SEARCH("mosquito",E269))),"Flying Insect Control",
OR(ISNUMBER(SEARCH("roach",E269)),ISNUMBER(SEARCH("ant",E269)),ISNUMBER(SEARCH("spider",E269)),ISNUMBER(SEARCH("cricket",E269)),ISNUMBER(SEARCH("scorpion",E269)),ISNUMBER(SEARCH("centipede",E269)),ISNUMBER(SEARCH("beetle",E269))),"Crawling Insect Control",
OR(ISNUMBER(SEARCH("tree",E269)),ISNUMBER(SEARCH("lantern",E269)),ISNUMBER(SEARCH("garden",E269)),ISNUMBER(SEARCH("plant",E269))),"Garden Pest Control",
OR(ISNUMBER(SEARCH("grass seed",E269)),ISNUMBER(SEARCH("seed mix",E269))),"Grass Seed",
OR(ISNUMBER(SEARCH("lawn food",E269)),ISNUMBER(SEARCH("fertilizer",E269))),"Lawn Fertilizer",
OR(ISNUMBER(SEARCH("patch",E269)),ISNUMBER(SEARCH("repair",E269)),ISNUMBER(SEARCH("thick'r",E269)),ISNUMBER(SEARCH("thick'r lawn",E269)),ISNUMBER(SEARCH("rapid grass",E269))),"Lawn Repair",
OR(ISNUMBER(SEARCH("weed",E269)),ISNUMBER(SEARCH("crabgrass",E269))),"Weed Control",
OR(ISNUMBER(SEARCH("fungicide",E269)),ISNUMBER(SEARCH("moss",E269))),"Disease &amp; Moss Control",
OR(ISNUMBER(SEARCH("plant food",E269)),ISNUMBER(SEARCH("miracid",E269))),"Plant Nutrition",
OR(ISNUMBER(SEARCH("perlite",E269))),"Soil Amendment",
OR(ISNUMBER(SEARCH("spreader",E269)),ISNUMBER(SEARCH("sprayer",E269)),ISNUMBER(SEARCH("mower",E269)),ISNUMBER(SEARCH("sweeper",E269)),ISNUMBER(SEARCH("pruner",E269)),ISNUMBER(SEARCH("trimmer",E269)),ISNUMBER(SEARCH("pole saw",E269))),"Garden Equipment",
TRUE,"Other"
)</f>
        <v>Grass Seed</v>
      </c>
      <c r="I269" s="7" t="str" cm="1">
        <f t="array" ref="I269">_xlfn.IFS(
OR(ISNUMBER(SEARCH("glue trap",E269)),ISNUMBER(SEARCH("glue board",E269))),"Glue Traps",
OR(ISNUMBER(SEARCH("snap trap",E269)),ISNUMBER(SEARCH("power-kill",E269)),ISNUMBER(SEARCH("wide pedal",E269)),ISNUMBER(SEARCH("metal pedal",E269))),"Snap Traps",
OR(ISNUMBER(SEARCH("electronic",E269)),ISNUMBER(SEARCH("zapper",E269))),"Electronic Traps",
OR(ISNUMBER(SEARCH("live catch",E269)),ISNUMBER(SEARCH("multi-catch",E269)),ISNUMBER(SEARCH("catch &amp; hold",E269)),ISNUMBER(SEARCH("tin cat",E269))),"Live Catch Traps",
OR(ISNUMBER(SEARCH("bait",E269)),ISNUMBER(SEARCH("poison",E269))),"Bait &amp; Poison",
ISNUMBER(SEARCH("repellent",E269)),"Repellents",
OR(ISNUMBER(SEARCH("fly trap",E269)),ISNUMBER(SEARCH("fly ribbon",E269)),ISNUMBER(SEARCH("fly stick",E269)),ISNUMBER(SEARCH("window fly",E269)),ISNUMBER(SEARCH("fly magnet",E269))),"Fly Traps",
OR(ISNUMBER(SEARCH("uv",E269)),ISNUMBER(SEARCH("fly light",E269)),ISNUMBER(SEARCH("plug-in",E269))),"UV Fly Traps",
ISNUMBER(SEARCH("roach",E269)),"Roach Traps",
ISNUMBER(SEARCH("ant",E269)),"Ant Traps",
ISNUMBER(SEARCH("spider",E269)),"Spider Traps",
ISNUMBER(SEARCH("mosquito",E269)),"Mosquito Traps",
ISNUMBER(SEARCH("beetle",E269)),"Beetle Traps",
ISNUMBER(SEARCH("lantern",E269)),"Lanternfly Control",
OR(ISNUMBER(SEARCH("tree shield",E269)),ISNUMBER(SEARCH("tree banding",E269)),ISNUMBER(SEARCH("insect barrier",E269))),"Tree Barriers",
OR(ISNUMBER(SEARCH("sun &amp; shade",E269)),ISNUMBER(SEARCH("sun and shade",E269))),"Sun &amp; Shade Mix",
ISNUMBER(SEARCH("tall fescue",E269)),"Tall Fescue",
ISNUMBER(SEARCH("bermudagrass",E269)),"Bermudagrass",
ISNUMBER(SEARCH("kentucky",E269)),"Kentucky Bluegrass",
ISNUMBER(SEARCH("zoysia",E269)),"Zoysia",
ISNUMBER(SEARCH("ryegrass",E269)),"Perennial Ryegrass",
ISNUMBER(SEARCH("centipede",E269)),"Centipede Grass",
ISNUMBER(SEARCH("dense shade",E269)),"Dense Shade Mix",
ISNUMBER(SEARCH("southern gold",E269)),"Southern Gold Mix",
ISNUMBER(SEARCH("heat-tolerant blue",E269)),"Heat-Tolerant Blue Mix",
ISNUMBER(SEARCH("high traffic",E269)),"High Traffic Mix",
ISNUMBER(SEARCH("quick fix",E269)),"Quick Fix Mix",
ISNUMBER(SEARCH("starter",E269)),"Starter Fertilizer",
ISNUMBER(SEARCH("weed &amp; feed",E269)),"Weed &amp; Feed",
ISNUMBER(SEARCH("lawn food",E269)),"Lawn Food",
ISNUMBER(SEARCH("triple action",E269)),"Triple Action Fertilizer",
ISNUMBER(SEARCH("green max",E269)),"Green Max Lawn Food",
ISNUMBER(SEARCH("patchmaster",E269)),"PatchMaster Repair",
ISNUMBER(SEARCH("ez seed",E269)),"EZ Seed Repair",
ISNUMBER(SEARCH("rapid grass",E269)),"Rapid Grass",
ISNUMBER(SEARCH("thick'r lawn",E269)),"Thick'R Lawn",
ISNUMBER(SEARCH("fungicide",E269)),"Fungicide",
ISNUMBER(SEARCH("moss",E269)),"Moss Control",
ISNUMBER(SEARCH("perlite",E269)),"Perlite",
ISNUMBER(SEARCH("plant food",E269)),"Plant Food",
ISNUMBER(SEARCH("spreader",E269)),"Spreader",
ISNUMBER(SEARCH("sprayer",E269)),"Sprayer",
ISNUMBER(SEARCH("mower",E269)),"Lawn Mower",
ISNUMBER(SEARCH("sweeper",E269)),"Lawn Sweeper",
OR(ISNUMBER(SEARCH("pruner",E269)),ISNUMBER(SEARCH("trimmer",E269)),ISNUMBER(SEARCH("pole saw",E269))),"Pruning Tools",
TRUE,"Other"
)</f>
        <v>Tall Fescue</v>
      </c>
      <c r="J269" s="7" t="str">
        <f t="shared" si="70"/>
        <v>Grass Seed - Tall Fescue</v>
      </c>
      <c r="K269" s="4">
        <v>50</v>
      </c>
      <c r="L269" s="4">
        <v>3.6</v>
      </c>
      <c r="M269" s="4">
        <v>73</v>
      </c>
      <c r="N269" s="4" t="s">
        <v>1089</v>
      </c>
      <c r="O269" s="4">
        <f>VLOOKUP(A269,[3]Sheet1!$A:$B,2,0)</f>
        <v>0</v>
      </c>
      <c r="P269" s="4">
        <f>VLOOKUP(A269,[3]Sheet1!$A:$C,3,0)</f>
        <v>0</v>
      </c>
      <c r="Q269" s="4">
        <f>VLOOKUP(A269,[3]Sheet1!$A:$D,4,0)</f>
        <v>0</v>
      </c>
      <c r="R269" s="4">
        <f>VLOOKUP(A269,[3]Sheet1!$A:$E,5,0)</f>
        <v>100</v>
      </c>
      <c r="S269" s="4">
        <f>VLOOKUP(A269,[3]Sheet1!$A:$F,6,0)</f>
        <v>200</v>
      </c>
      <c r="T269" s="4">
        <f>VLOOKUP(A269,[3]Sheet1!$A:$G,7,0)</f>
        <v>100</v>
      </c>
      <c r="U269" s="4">
        <f>VLOOKUP(A269,[3]Sheet1!$A:$I,8,0)</f>
        <v>100</v>
      </c>
      <c r="V269" s="4">
        <f>VLOOKUP(A269,[3]Sheet1!$A:$J,9,0)</f>
        <v>50</v>
      </c>
      <c r="W269" s="4">
        <f>VLOOKUP(A269,[3]Sheet1!$A:$J,10,0)</f>
        <v>50</v>
      </c>
      <c r="X269" s="4">
        <f>VLOOKUP(A269,[3]Sheet1!$A:$K,11,0)</f>
        <v>0</v>
      </c>
      <c r="Y269" s="4">
        <f>VLOOKUP(A269,[3]Sheet1!$A:$L,12,0)</f>
        <v>0</v>
      </c>
      <c r="Z269" s="4">
        <f>VLOOKUP(A269,[3]Sheet1!$A:$M,13,0)</f>
        <v>0</v>
      </c>
      <c r="AA269" s="4">
        <f t="shared" si="64"/>
        <v>600</v>
      </c>
      <c r="AB269" s="7">
        <f t="shared" si="71"/>
        <v>50</v>
      </c>
      <c r="AC269" s="15">
        <f t="shared" si="65"/>
        <v>50</v>
      </c>
      <c r="AD269" s="16">
        <f t="shared" si="66"/>
        <v>14993.999999999998</v>
      </c>
      <c r="AE269" s="16">
        <f t="shared" si="67"/>
        <v>1249.5</v>
      </c>
      <c r="AF269" s="16">
        <v>7.79</v>
      </c>
      <c r="AG269" s="16">
        <v>24.99</v>
      </c>
      <c r="AH269" s="8">
        <f t="shared" si="68"/>
        <v>8.039999999999986E-2</v>
      </c>
      <c r="AI269" s="8">
        <f t="shared" si="69"/>
        <v>0.28139999999999943</v>
      </c>
      <c r="AJ269" s="10">
        <v>0.5</v>
      </c>
      <c r="AK269" s="10">
        <v>0.5</v>
      </c>
      <c r="AL269" s="16">
        <v>7.79</v>
      </c>
      <c r="AM269" s="9">
        <f t="shared" si="72"/>
        <v>3.7484999999999995</v>
      </c>
      <c r="AN269" s="9">
        <f t="shared" si="73"/>
        <v>0.74969999999999992</v>
      </c>
      <c r="AO269" s="9">
        <f t="shared" si="74"/>
        <v>4.9980000000000002</v>
      </c>
      <c r="AP269" s="9">
        <f t="shared" si="75"/>
        <v>0.49979999999999997</v>
      </c>
      <c r="AQ269" s="9">
        <f t="shared" si="76"/>
        <v>4.9980000000000002</v>
      </c>
      <c r="AR269" s="9">
        <f t="shared" si="77"/>
        <v>6.2474999999999996</v>
      </c>
      <c r="AS269" s="11">
        <f t="shared" si="78"/>
        <v>0.80399999999999849</v>
      </c>
      <c r="AT269" s="12">
        <f t="shared" si="79"/>
        <v>-2.9000000000001098E-2</v>
      </c>
    </row>
    <row r="270" spans="1:46" ht="16.5" x14ac:dyDescent="0.4">
      <c r="A270" s="4" t="s">
        <v>1241</v>
      </c>
      <c r="B270" s="4" t="s">
        <v>513</v>
      </c>
      <c r="C270" s="7" t="s">
        <v>1784</v>
      </c>
      <c r="D270" s="4" t="s">
        <v>1242</v>
      </c>
      <c r="E270" s="4" t="s">
        <v>1243</v>
      </c>
      <c r="F270" s="4" t="s">
        <v>1244</v>
      </c>
      <c r="G270" s="7" t="str">
        <f>VLOOKUP(A270,[1]done!$A:$I,9,0)</f>
        <v>Lawn Fertilizer</v>
      </c>
      <c r="H270" s="7" t="str" cm="1">
        <f t="array" ref="H270">_xlfn.IFS(
OR(ISNUMBER(SEARCH("mouse",E270)),ISNUMBER(SEARCH("rat",E270)),ISNUMBER(SEARCH("mice",E270)),ISNUMBER(SEARCH("rodent",E270))),"Rodent Control",
OR(ISNUMBER(SEARCH("fly",E270)),ISNUMBER(SEARCH("gnat",E270)),ISNUMBER(SEARCH("insect",E270)),ISNUMBER(SEARCH("mosquito",E270))),"Flying Insect Control",
OR(ISNUMBER(SEARCH("roach",E270)),ISNUMBER(SEARCH("ant",E270)),ISNUMBER(SEARCH("spider",E270)),ISNUMBER(SEARCH("cricket",E270)),ISNUMBER(SEARCH("scorpion",E270)),ISNUMBER(SEARCH("centipede",E270)),ISNUMBER(SEARCH("beetle",E270))),"Crawling Insect Control",
OR(ISNUMBER(SEARCH("tree",E270)),ISNUMBER(SEARCH("lantern",E270)),ISNUMBER(SEARCH("garden",E270)),ISNUMBER(SEARCH("plant",E270))),"Garden Pest Control",
OR(ISNUMBER(SEARCH("grass seed",E270)),ISNUMBER(SEARCH("seed mix",E270))),"Grass Seed",
OR(ISNUMBER(SEARCH("lawn food",E270)),ISNUMBER(SEARCH("fertilizer",E270))),"Lawn Fertilizer",
OR(ISNUMBER(SEARCH("patch",E270)),ISNUMBER(SEARCH("repair",E270)),ISNUMBER(SEARCH("thick'r",E270)),ISNUMBER(SEARCH("thick'r lawn",E270)),ISNUMBER(SEARCH("rapid grass",E270))),"Lawn Repair",
OR(ISNUMBER(SEARCH("weed",E270)),ISNUMBER(SEARCH("crabgrass",E270))),"Weed Control",
OR(ISNUMBER(SEARCH("fungicide",E270)),ISNUMBER(SEARCH("moss",E270))),"Disease &amp; Moss Control",
OR(ISNUMBER(SEARCH("plant food",E270)),ISNUMBER(SEARCH("miracid",E270))),"Plant Nutrition",
OR(ISNUMBER(SEARCH("perlite",E270))),"Soil Amendment",
OR(ISNUMBER(SEARCH("spreader",E270)),ISNUMBER(SEARCH("sprayer",E270)),ISNUMBER(SEARCH("mower",E270)),ISNUMBER(SEARCH("sweeper",E270)),ISNUMBER(SEARCH("pruner",E270)),ISNUMBER(SEARCH("trimmer",E270)),ISNUMBER(SEARCH("pole saw",E270))),"Garden Equipment",
TRUE,"Other"
)</f>
        <v>Lawn Fertilizer</v>
      </c>
      <c r="I270" s="7" t="str" cm="1">
        <f t="array" ref="I270">_xlfn.IFS(
OR(ISNUMBER(SEARCH("glue trap",E270)),ISNUMBER(SEARCH("glue board",E270))),"Glue Traps",
OR(ISNUMBER(SEARCH("snap trap",E270)),ISNUMBER(SEARCH("power-kill",E270)),ISNUMBER(SEARCH("wide pedal",E270)),ISNUMBER(SEARCH("metal pedal",E270))),"Snap Traps",
OR(ISNUMBER(SEARCH("electronic",E270)),ISNUMBER(SEARCH("zapper",E270))),"Electronic Traps",
OR(ISNUMBER(SEARCH("live catch",E270)),ISNUMBER(SEARCH("multi-catch",E270)),ISNUMBER(SEARCH("catch &amp; hold",E270)),ISNUMBER(SEARCH("tin cat",E270))),"Live Catch Traps",
OR(ISNUMBER(SEARCH("bait",E270)),ISNUMBER(SEARCH("poison",E270))),"Bait &amp; Poison",
ISNUMBER(SEARCH("repellent",E270)),"Repellents",
OR(ISNUMBER(SEARCH("fly trap",E270)),ISNUMBER(SEARCH("fly ribbon",E270)),ISNUMBER(SEARCH("fly stick",E270)),ISNUMBER(SEARCH("window fly",E270)),ISNUMBER(SEARCH("fly magnet",E270))),"Fly Traps",
OR(ISNUMBER(SEARCH("uv",E270)),ISNUMBER(SEARCH("fly light",E270)),ISNUMBER(SEARCH("plug-in",E270))),"UV Fly Traps",
ISNUMBER(SEARCH("roach",E270)),"Roach Traps",
ISNUMBER(SEARCH("ant",E270)),"Ant Traps",
ISNUMBER(SEARCH("spider",E270)),"Spider Traps",
ISNUMBER(SEARCH("mosquito",E270)),"Mosquito Traps",
ISNUMBER(SEARCH("beetle",E270)),"Beetle Traps",
ISNUMBER(SEARCH("lantern",E270)),"Lanternfly Control",
OR(ISNUMBER(SEARCH("tree shield",E270)),ISNUMBER(SEARCH("tree banding",E270)),ISNUMBER(SEARCH("insect barrier",E270))),"Tree Barriers",
OR(ISNUMBER(SEARCH("sun &amp; shade",E270)),ISNUMBER(SEARCH("sun and shade",E270))),"Sun &amp; Shade Mix",
ISNUMBER(SEARCH("tall fescue",E270)),"Tall Fescue",
ISNUMBER(SEARCH("bermudagrass",E270)),"Bermudagrass",
ISNUMBER(SEARCH("kentucky",E270)),"Kentucky Bluegrass",
ISNUMBER(SEARCH("zoysia",E270)),"Zoysia",
ISNUMBER(SEARCH("ryegrass",E270)),"Perennial Ryegrass",
ISNUMBER(SEARCH("centipede",E270)),"Centipede Grass",
ISNUMBER(SEARCH("dense shade",E270)),"Dense Shade Mix",
ISNUMBER(SEARCH("southern gold",E270)),"Southern Gold Mix",
ISNUMBER(SEARCH("heat-tolerant blue",E270)),"Heat-Tolerant Blue Mix",
ISNUMBER(SEARCH("high traffic",E270)),"High Traffic Mix",
ISNUMBER(SEARCH("quick fix",E270)),"Quick Fix Mix",
ISNUMBER(SEARCH("starter",E270)),"Starter Fertilizer",
ISNUMBER(SEARCH("weed &amp; feed",E270)),"Weed &amp; Feed",
ISNUMBER(SEARCH("lawn food",E270)),"Lawn Food",
ISNUMBER(SEARCH("triple action",E270)),"Triple Action Fertilizer",
ISNUMBER(SEARCH("green max",E270)),"Green Max Lawn Food",
ISNUMBER(SEARCH("patchmaster",E270)),"PatchMaster Repair",
ISNUMBER(SEARCH("ez seed",E270)),"EZ Seed Repair",
ISNUMBER(SEARCH("rapid grass",E270)),"Rapid Grass",
ISNUMBER(SEARCH("thick'r lawn",E270)),"Thick'R Lawn",
ISNUMBER(SEARCH("fungicide",E270)),"Fungicide",
ISNUMBER(SEARCH("moss",E270)),"Moss Control",
ISNUMBER(SEARCH("perlite",E270)),"Perlite",
ISNUMBER(SEARCH("plant food",E270)),"Plant Food",
ISNUMBER(SEARCH("spreader",E270)),"Spreader",
ISNUMBER(SEARCH("sprayer",E270)),"Sprayer",
ISNUMBER(SEARCH("mower",E270)),"Lawn Mower",
ISNUMBER(SEARCH("sweeper",E270)),"Lawn Sweeper",
OR(ISNUMBER(SEARCH("pruner",E270)),ISNUMBER(SEARCH("trimmer",E270)),ISNUMBER(SEARCH("pole saw",E270))),"Pruning Tools",
TRUE,"Other"
)</f>
        <v>Lawn Food</v>
      </c>
      <c r="J270" s="7" t="str">
        <f t="shared" si="70"/>
        <v>Lawn Fertilizer - Lawn Food</v>
      </c>
      <c r="K270" s="4">
        <v>50</v>
      </c>
      <c r="L270" s="4">
        <v>4.2</v>
      </c>
      <c r="M270" s="4">
        <v>64</v>
      </c>
      <c r="N270" s="4" t="s">
        <v>771</v>
      </c>
      <c r="O270" s="4">
        <f>VLOOKUP(A270,[3]Sheet1!$A:$B,2,0)</f>
        <v>0</v>
      </c>
      <c r="P270" s="4">
        <f>VLOOKUP(A270,[3]Sheet1!$A:$C,3,0)</f>
        <v>0</v>
      </c>
      <c r="Q270" s="4">
        <f>VLOOKUP(A270,[3]Sheet1!$A:$D,4,0)</f>
        <v>0</v>
      </c>
      <c r="R270" s="4">
        <f>VLOOKUP(A270,[3]Sheet1!$A:$E,5,0)</f>
        <v>100</v>
      </c>
      <c r="S270" s="4">
        <f>VLOOKUP(A270,[3]Sheet1!$A:$F,6,0)</f>
        <v>300</v>
      </c>
      <c r="T270" s="4">
        <f>VLOOKUP(A270,[3]Sheet1!$A:$G,7,0)</f>
        <v>200</v>
      </c>
      <c r="U270" s="4">
        <f>VLOOKUP(A270,[3]Sheet1!$A:$I,8,0)</f>
        <v>100</v>
      </c>
      <c r="V270" s="4">
        <f>VLOOKUP(A270,[3]Sheet1!$A:$J,9,0)</f>
        <v>100</v>
      </c>
      <c r="W270" s="4">
        <f>VLOOKUP(A270,[3]Sheet1!$A:$J,10,0)</f>
        <v>100</v>
      </c>
      <c r="X270" s="4">
        <f>VLOOKUP(A270,[3]Sheet1!$A:$K,11,0)</f>
        <v>0</v>
      </c>
      <c r="Y270" s="4">
        <f>VLOOKUP(A270,[3]Sheet1!$A:$L,12,0)</f>
        <v>0</v>
      </c>
      <c r="Z270" s="4">
        <f>VLOOKUP(A270,[3]Sheet1!$A:$M,13,0)</f>
        <v>0</v>
      </c>
      <c r="AA270" s="4">
        <f t="shared" si="64"/>
        <v>900</v>
      </c>
      <c r="AB270" s="7">
        <f t="shared" si="71"/>
        <v>75</v>
      </c>
      <c r="AC270" s="15">
        <f t="shared" si="65"/>
        <v>75</v>
      </c>
      <c r="AD270" s="16">
        <f t="shared" si="66"/>
        <v>13095</v>
      </c>
      <c r="AE270" s="16">
        <f t="shared" si="67"/>
        <v>1091.25</v>
      </c>
      <c r="AF270" s="16">
        <v>6.9</v>
      </c>
      <c r="AG270" s="16">
        <v>14.55</v>
      </c>
      <c r="AH270" s="8">
        <f t="shared" si="68"/>
        <v>-0.13866666666666669</v>
      </c>
      <c r="AI270" s="8">
        <f t="shared" si="69"/>
        <v>-0.48533333333333334</v>
      </c>
      <c r="AJ270" s="10">
        <v>0.5</v>
      </c>
      <c r="AK270" s="10">
        <v>0.5</v>
      </c>
      <c r="AL270" s="16">
        <v>6.9</v>
      </c>
      <c r="AM270" s="9">
        <f t="shared" si="72"/>
        <v>2.1825000000000001</v>
      </c>
      <c r="AN270" s="9">
        <f t="shared" si="73"/>
        <v>0.4365</v>
      </c>
      <c r="AO270" s="9">
        <f t="shared" si="74"/>
        <v>2.91</v>
      </c>
      <c r="AP270" s="9">
        <f t="shared" si="75"/>
        <v>0.29100000000000004</v>
      </c>
      <c r="AQ270" s="9">
        <f t="shared" si="76"/>
        <v>2.91</v>
      </c>
      <c r="AR270" s="9">
        <f t="shared" si="77"/>
        <v>3.6375000000000002</v>
      </c>
      <c r="AS270" s="11">
        <f t="shared" si="78"/>
        <v>-1.3866666666666667</v>
      </c>
      <c r="AT270" s="12">
        <f t="shared" si="79"/>
        <v>-1.8716666666666668</v>
      </c>
    </row>
    <row r="271" spans="1:46" ht="16.5" x14ac:dyDescent="0.4">
      <c r="A271" s="4" t="s">
        <v>1245</v>
      </c>
      <c r="B271" s="4" t="s">
        <v>513</v>
      </c>
      <c r="C271" s="7" t="s">
        <v>1784</v>
      </c>
      <c r="D271" s="4" t="s">
        <v>1246</v>
      </c>
      <c r="E271" s="4" t="s">
        <v>1247</v>
      </c>
      <c r="F271" s="4" t="s">
        <v>1248</v>
      </c>
      <c r="G271" s="7" t="str">
        <f>VLOOKUP(A271,[1]done!$A:$I,9,0)</f>
        <v>Other - Scotts</v>
      </c>
      <c r="H271" s="7" t="str" cm="1">
        <f t="array" ref="H271">_xlfn.IFS(
OR(ISNUMBER(SEARCH("mouse",E271)),ISNUMBER(SEARCH("rat",E271)),ISNUMBER(SEARCH("mice",E271)),ISNUMBER(SEARCH("rodent",E271))),"Rodent Control",
OR(ISNUMBER(SEARCH("fly",E271)),ISNUMBER(SEARCH("gnat",E271)),ISNUMBER(SEARCH("insect",E271)),ISNUMBER(SEARCH("mosquito",E271))),"Flying Insect Control",
OR(ISNUMBER(SEARCH("roach",E271)),ISNUMBER(SEARCH("ant",E271)),ISNUMBER(SEARCH("spider",E271)),ISNUMBER(SEARCH("cricket",E271)),ISNUMBER(SEARCH("scorpion",E271)),ISNUMBER(SEARCH("centipede",E271)),ISNUMBER(SEARCH("beetle",E271))),"Crawling Insect Control",
OR(ISNUMBER(SEARCH("tree",E271)),ISNUMBER(SEARCH("lantern",E271)),ISNUMBER(SEARCH("garden",E271)),ISNUMBER(SEARCH("plant",E271))),"Garden Pest Control",
OR(ISNUMBER(SEARCH("grass seed",E271)),ISNUMBER(SEARCH("seed mix",E271))),"Grass Seed",
OR(ISNUMBER(SEARCH("lawn food",E271)),ISNUMBER(SEARCH("fertilizer",E271))),"Lawn Fertilizer",
OR(ISNUMBER(SEARCH("patch",E271)),ISNUMBER(SEARCH("repair",E271)),ISNUMBER(SEARCH("thick'r",E271)),ISNUMBER(SEARCH("thick'r lawn",E271)),ISNUMBER(SEARCH("rapid grass",E271))),"Lawn Repair",
OR(ISNUMBER(SEARCH("weed",E271)),ISNUMBER(SEARCH("crabgrass",E271))),"Weed Control",
OR(ISNUMBER(SEARCH("fungicide",E271)),ISNUMBER(SEARCH("moss",E271))),"Disease &amp; Moss Control",
OR(ISNUMBER(SEARCH("plant food",E271)),ISNUMBER(SEARCH("miracid",E271))),"Plant Nutrition",
OR(ISNUMBER(SEARCH("perlite",E271))),"Soil Amendment",
OR(ISNUMBER(SEARCH("spreader",E271)),ISNUMBER(SEARCH("sprayer",E271)),ISNUMBER(SEARCH("mower",E271)),ISNUMBER(SEARCH("sweeper",E271)),ISNUMBER(SEARCH("pruner",E271)),ISNUMBER(SEARCH("trimmer",E271)),ISNUMBER(SEARCH("pole saw",E271))),"Garden Equipment",
TRUE,"Other"
)</f>
        <v>Disease &amp; Moss Control</v>
      </c>
      <c r="I271" s="7" t="str" cm="1">
        <f t="array" ref="I271">_xlfn.IFS(
OR(ISNUMBER(SEARCH("glue trap",E271)),ISNUMBER(SEARCH("glue board",E271))),"Glue Traps",
OR(ISNUMBER(SEARCH("snap trap",E271)),ISNUMBER(SEARCH("power-kill",E271)),ISNUMBER(SEARCH("wide pedal",E271)),ISNUMBER(SEARCH("metal pedal",E271))),"Snap Traps",
OR(ISNUMBER(SEARCH("electronic",E271)),ISNUMBER(SEARCH("zapper",E271))),"Electronic Traps",
OR(ISNUMBER(SEARCH("live catch",E271)),ISNUMBER(SEARCH("multi-catch",E271)),ISNUMBER(SEARCH("catch &amp; hold",E271)),ISNUMBER(SEARCH("tin cat",E271))),"Live Catch Traps",
OR(ISNUMBER(SEARCH("bait",E271)),ISNUMBER(SEARCH("poison",E271))),"Bait &amp; Poison",
ISNUMBER(SEARCH("repellent",E271)),"Repellents",
OR(ISNUMBER(SEARCH("fly trap",E271)),ISNUMBER(SEARCH("fly ribbon",E271)),ISNUMBER(SEARCH("fly stick",E271)),ISNUMBER(SEARCH("window fly",E271)),ISNUMBER(SEARCH("fly magnet",E271))),"Fly Traps",
OR(ISNUMBER(SEARCH("uv",E271)),ISNUMBER(SEARCH("fly light",E271)),ISNUMBER(SEARCH("plug-in",E271))),"UV Fly Traps",
ISNUMBER(SEARCH("roach",E271)),"Roach Traps",
ISNUMBER(SEARCH("ant",E271)),"Ant Traps",
ISNUMBER(SEARCH("spider",E271)),"Spider Traps",
ISNUMBER(SEARCH("mosquito",E271)),"Mosquito Traps",
ISNUMBER(SEARCH("beetle",E271)),"Beetle Traps",
ISNUMBER(SEARCH("lantern",E271)),"Lanternfly Control",
OR(ISNUMBER(SEARCH("tree shield",E271)),ISNUMBER(SEARCH("tree banding",E271)),ISNUMBER(SEARCH("insect barrier",E271))),"Tree Barriers",
OR(ISNUMBER(SEARCH("sun &amp; shade",E271)),ISNUMBER(SEARCH("sun and shade",E271))),"Sun &amp; Shade Mix",
ISNUMBER(SEARCH("tall fescue",E271)),"Tall Fescue",
ISNUMBER(SEARCH("bermudagrass",E271)),"Bermudagrass",
ISNUMBER(SEARCH("kentucky",E271)),"Kentucky Bluegrass",
ISNUMBER(SEARCH("zoysia",E271)),"Zoysia",
ISNUMBER(SEARCH("ryegrass",E271)),"Perennial Ryegrass",
ISNUMBER(SEARCH("centipede",E271)),"Centipede Grass",
ISNUMBER(SEARCH("dense shade",E271)),"Dense Shade Mix",
ISNUMBER(SEARCH("southern gold",E271)),"Southern Gold Mix",
ISNUMBER(SEARCH("heat-tolerant blue",E271)),"Heat-Tolerant Blue Mix",
ISNUMBER(SEARCH("high traffic",E271)),"High Traffic Mix",
ISNUMBER(SEARCH("quick fix",E271)),"Quick Fix Mix",
ISNUMBER(SEARCH("starter",E271)),"Starter Fertilizer",
ISNUMBER(SEARCH("weed &amp; feed",E271)),"Weed &amp; Feed",
ISNUMBER(SEARCH("lawn food",E271)),"Lawn Food",
ISNUMBER(SEARCH("triple action",E271)),"Triple Action Fertilizer",
ISNUMBER(SEARCH("green max",E271)),"Green Max Lawn Food",
ISNUMBER(SEARCH("patchmaster",E271)),"PatchMaster Repair",
ISNUMBER(SEARCH("ez seed",E271)),"EZ Seed Repair",
ISNUMBER(SEARCH("rapid grass",E271)),"Rapid Grass",
ISNUMBER(SEARCH("thick'r lawn",E271)),"Thick'R Lawn",
ISNUMBER(SEARCH("fungicide",E271)),"Fungicide",
ISNUMBER(SEARCH("moss",E271)),"Moss Control",
ISNUMBER(SEARCH("perlite",E271)),"Perlite",
ISNUMBER(SEARCH("plant food",E271)),"Plant Food",
ISNUMBER(SEARCH("spreader",E271)),"Spreader",
ISNUMBER(SEARCH("sprayer",E271)),"Sprayer",
ISNUMBER(SEARCH("mower",E271)),"Lawn Mower",
ISNUMBER(SEARCH("sweeper",E271)),"Lawn Sweeper",
OR(ISNUMBER(SEARCH("pruner",E271)),ISNUMBER(SEARCH("trimmer",E271)),ISNUMBER(SEARCH("pole saw",E271))),"Pruning Tools",
TRUE,"Other"
)</f>
        <v>Moss Control</v>
      </c>
      <c r="J271" s="7" t="str">
        <f t="shared" si="70"/>
        <v>Disease &amp; Moss Control - Moss Control</v>
      </c>
      <c r="K271" s="4">
        <v>50</v>
      </c>
      <c r="L271" s="4">
        <v>4.2</v>
      </c>
      <c r="M271" s="4">
        <v>469</v>
      </c>
      <c r="N271" s="4" t="s">
        <v>526</v>
      </c>
      <c r="O271" s="4">
        <f>VLOOKUP(A271,[3]Sheet1!$A:$B,2,0)</f>
        <v>0</v>
      </c>
      <c r="P271" s="4">
        <f>VLOOKUP(A271,[3]Sheet1!$A:$C,3,0)</f>
        <v>0</v>
      </c>
      <c r="Q271" s="4">
        <f>VLOOKUP(A271,[3]Sheet1!$A:$D,4,0)</f>
        <v>0</v>
      </c>
      <c r="R271" s="4">
        <f>VLOOKUP(A271,[3]Sheet1!$A:$E,5,0)</f>
        <v>100</v>
      </c>
      <c r="S271" s="4">
        <f>VLOOKUP(A271,[3]Sheet1!$A:$F,6,0)</f>
        <v>200</v>
      </c>
      <c r="T271" s="4">
        <f>VLOOKUP(A271,[3]Sheet1!$A:$G,7,0)</f>
        <v>50</v>
      </c>
      <c r="U271" s="4">
        <f>VLOOKUP(A271,[3]Sheet1!$A:$I,8,0)</f>
        <v>50</v>
      </c>
      <c r="V271" s="4">
        <f>VLOOKUP(A271,[3]Sheet1!$A:$J,9,0)</f>
        <v>50</v>
      </c>
      <c r="W271" s="4">
        <f>VLOOKUP(A271,[3]Sheet1!$A:$J,10,0)</f>
        <v>50</v>
      </c>
      <c r="X271" s="4">
        <f>VLOOKUP(A271,[3]Sheet1!$A:$K,11,0)</f>
        <v>0</v>
      </c>
      <c r="Y271" s="4">
        <f>VLOOKUP(A271,[3]Sheet1!$A:$L,12,0)</f>
        <v>0</v>
      </c>
      <c r="Z271" s="4">
        <f>VLOOKUP(A271,[3]Sheet1!$A:$M,13,0)</f>
        <v>0</v>
      </c>
      <c r="AA271" s="4">
        <f t="shared" si="64"/>
        <v>500</v>
      </c>
      <c r="AB271" s="7">
        <f t="shared" si="71"/>
        <v>42</v>
      </c>
      <c r="AC271" s="15">
        <f t="shared" si="65"/>
        <v>41.666666666666664</v>
      </c>
      <c r="AD271" s="16">
        <f t="shared" si="66"/>
        <v>19250</v>
      </c>
      <c r="AE271" s="16">
        <f t="shared" si="67"/>
        <v>1604.1666666666665</v>
      </c>
      <c r="AF271" s="16">
        <v>12.1</v>
      </c>
      <c r="AG271" s="16">
        <v>38.5</v>
      </c>
      <c r="AH271" s="8">
        <f t="shared" si="68"/>
        <v>0.15333333333333321</v>
      </c>
      <c r="AI271" s="8">
        <f t="shared" si="69"/>
        <v>0.53666666666666618</v>
      </c>
      <c r="AJ271" s="10">
        <v>0.5</v>
      </c>
      <c r="AK271" s="10">
        <v>0.5</v>
      </c>
      <c r="AL271" s="16">
        <v>12.1</v>
      </c>
      <c r="AM271" s="9">
        <f t="shared" si="72"/>
        <v>5.7749999999999995</v>
      </c>
      <c r="AN271" s="9">
        <f t="shared" si="73"/>
        <v>1.155</v>
      </c>
      <c r="AO271" s="9">
        <f t="shared" si="74"/>
        <v>7.7</v>
      </c>
      <c r="AP271" s="9">
        <f t="shared" si="75"/>
        <v>0.77</v>
      </c>
      <c r="AQ271" s="9">
        <f t="shared" si="76"/>
        <v>7.7</v>
      </c>
      <c r="AR271" s="9">
        <f t="shared" si="77"/>
        <v>9.625</v>
      </c>
      <c r="AS271" s="11">
        <f t="shared" si="78"/>
        <v>1.5333333333333321</v>
      </c>
      <c r="AT271" s="12">
        <f t="shared" si="79"/>
        <v>0.24999999999999881</v>
      </c>
    </row>
    <row r="272" spans="1:46" ht="16.5" x14ac:dyDescent="0.4">
      <c r="A272" s="4" t="s">
        <v>1249</v>
      </c>
      <c r="B272" s="4" t="s">
        <v>513</v>
      </c>
      <c r="C272" s="7" t="s">
        <v>1791</v>
      </c>
      <c r="D272" s="4" t="s">
        <v>1250</v>
      </c>
      <c r="E272" s="4" t="s">
        <v>1251</v>
      </c>
      <c r="F272" s="4" t="s">
        <v>1252</v>
      </c>
      <c r="G272" s="7" t="str">
        <f>VLOOKUP(A272,[1]done!$A:$I,9,0)</f>
        <v>Other Lawn products</v>
      </c>
      <c r="H272" s="7" t="str" cm="1">
        <f t="array" ref="H272">_xlfn.IFS(
OR(ISNUMBER(SEARCH("mouse",E272)),ISNUMBER(SEARCH("rat",E272)),ISNUMBER(SEARCH("mice",E272)),ISNUMBER(SEARCH("rodent",E272))),"Rodent Control",
OR(ISNUMBER(SEARCH("fly",E272)),ISNUMBER(SEARCH("gnat",E272)),ISNUMBER(SEARCH("insect",E272)),ISNUMBER(SEARCH("mosquito",E272))),"Flying Insect Control",
OR(ISNUMBER(SEARCH("roach",E272)),ISNUMBER(SEARCH("ant",E272)),ISNUMBER(SEARCH("spider",E272)),ISNUMBER(SEARCH("cricket",E272)),ISNUMBER(SEARCH("scorpion",E272)),ISNUMBER(SEARCH("centipede",E272)),ISNUMBER(SEARCH("beetle",E272))),"Crawling Insect Control",
OR(ISNUMBER(SEARCH("tree",E272)),ISNUMBER(SEARCH("lantern",E272)),ISNUMBER(SEARCH("garden",E272)),ISNUMBER(SEARCH("plant",E272))),"Garden Pest Control",
OR(ISNUMBER(SEARCH("grass seed",E272)),ISNUMBER(SEARCH("seed mix",E272))),"Grass Seed",
OR(ISNUMBER(SEARCH("lawn food",E272)),ISNUMBER(SEARCH("fertilizer",E272))),"Lawn Fertilizer",
OR(ISNUMBER(SEARCH("patch",E272)),ISNUMBER(SEARCH("repair",E272)),ISNUMBER(SEARCH("thick'r",E272)),ISNUMBER(SEARCH("thick'r lawn",E272)),ISNUMBER(SEARCH("rapid grass",E272))),"Lawn Repair",
OR(ISNUMBER(SEARCH("weed",E272)),ISNUMBER(SEARCH("crabgrass",E272))),"Weed Control",
OR(ISNUMBER(SEARCH("fungicide",E272)),ISNUMBER(SEARCH("moss",E272))),"Disease &amp; Moss Control",
OR(ISNUMBER(SEARCH("plant food",E272)),ISNUMBER(SEARCH("miracid",E272))),"Plant Nutrition",
OR(ISNUMBER(SEARCH("perlite",E272))),"Soil Amendment",
OR(ISNUMBER(SEARCH("spreader",E272)),ISNUMBER(SEARCH("sprayer",E272)),ISNUMBER(SEARCH("mower",E272)),ISNUMBER(SEARCH("sweeper",E272)),ISNUMBER(SEARCH("pruner",E272)),ISNUMBER(SEARCH("trimmer",E272)),ISNUMBER(SEARCH("pole saw",E272))),"Garden Equipment",
TRUE,"Other"
)</f>
        <v>Garden Equipment</v>
      </c>
      <c r="I272" s="7" t="str" cm="1">
        <f t="array" ref="I272">_xlfn.IFS(
OR(ISNUMBER(SEARCH("glue trap",E272)),ISNUMBER(SEARCH("glue board",E272))),"Glue Traps",
OR(ISNUMBER(SEARCH("snap trap",E272)),ISNUMBER(SEARCH("power-kill",E272)),ISNUMBER(SEARCH("wide pedal",E272)),ISNUMBER(SEARCH("metal pedal",E272))),"Snap Traps",
OR(ISNUMBER(SEARCH("electronic",E272)),ISNUMBER(SEARCH("zapper",E272))),"Electronic Traps",
OR(ISNUMBER(SEARCH("live catch",E272)),ISNUMBER(SEARCH("multi-catch",E272)),ISNUMBER(SEARCH("catch &amp; hold",E272)),ISNUMBER(SEARCH("tin cat",E272))),"Live Catch Traps",
OR(ISNUMBER(SEARCH("bait",E272)),ISNUMBER(SEARCH("poison",E272))),"Bait &amp; Poison",
ISNUMBER(SEARCH("repellent",E272)),"Repellents",
OR(ISNUMBER(SEARCH("fly trap",E272)),ISNUMBER(SEARCH("fly ribbon",E272)),ISNUMBER(SEARCH("fly stick",E272)),ISNUMBER(SEARCH("window fly",E272)),ISNUMBER(SEARCH("fly magnet",E272))),"Fly Traps",
OR(ISNUMBER(SEARCH("uv",E272)),ISNUMBER(SEARCH("fly light",E272)),ISNUMBER(SEARCH("plug-in",E272))),"UV Fly Traps",
ISNUMBER(SEARCH("roach",E272)),"Roach Traps",
ISNUMBER(SEARCH("ant",E272)),"Ant Traps",
ISNUMBER(SEARCH("spider",E272)),"Spider Traps",
ISNUMBER(SEARCH("mosquito",E272)),"Mosquito Traps",
ISNUMBER(SEARCH("beetle",E272)),"Beetle Traps",
ISNUMBER(SEARCH("lantern",E272)),"Lanternfly Control",
OR(ISNUMBER(SEARCH("tree shield",E272)),ISNUMBER(SEARCH("tree banding",E272)),ISNUMBER(SEARCH("insect barrier",E272))),"Tree Barriers",
OR(ISNUMBER(SEARCH("sun &amp; shade",E272)),ISNUMBER(SEARCH("sun and shade",E272))),"Sun &amp; Shade Mix",
ISNUMBER(SEARCH("tall fescue",E272)),"Tall Fescue",
ISNUMBER(SEARCH("bermudagrass",E272)),"Bermudagrass",
ISNUMBER(SEARCH("kentucky",E272)),"Kentucky Bluegrass",
ISNUMBER(SEARCH("zoysia",E272)),"Zoysia",
ISNUMBER(SEARCH("ryegrass",E272)),"Perennial Ryegrass",
ISNUMBER(SEARCH("centipede",E272)),"Centipede Grass",
ISNUMBER(SEARCH("dense shade",E272)),"Dense Shade Mix",
ISNUMBER(SEARCH("southern gold",E272)),"Southern Gold Mix",
ISNUMBER(SEARCH("heat-tolerant blue",E272)),"Heat-Tolerant Blue Mix",
ISNUMBER(SEARCH("high traffic",E272)),"High Traffic Mix",
ISNUMBER(SEARCH("quick fix",E272)),"Quick Fix Mix",
ISNUMBER(SEARCH("starter",E272)),"Starter Fertilizer",
ISNUMBER(SEARCH("weed &amp; feed",E272)),"Weed &amp; Feed",
ISNUMBER(SEARCH("lawn food",E272)),"Lawn Food",
ISNUMBER(SEARCH("triple action",E272)),"Triple Action Fertilizer",
ISNUMBER(SEARCH("green max",E272)),"Green Max Lawn Food",
ISNUMBER(SEARCH("patchmaster",E272)),"PatchMaster Repair",
ISNUMBER(SEARCH("ez seed",E272)),"EZ Seed Repair",
ISNUMBER(SEARCH("rapid grass",E272)),"Rapid Grass",
ISNUMBER(SEARCH("thick'r lawn",E272)),"Thick'R Lawn",
ISNUMBER(SEARCH("fungicide",E272)),"Fungicide",
ISNUMBER(SEARCH("moss",E272)),"Moss Control",
ISNUMBER(SEARCH("perlite",E272)),"Perlite",
ISNUMBER(SEARCH("plant food",E272)),"Plant Food",
ISNUMBER(SEARCH("spreader",E272)),"Spreader",
ISNUMBER(SEARCH("sprayer",E272)),"Sprayer",
ISNUMBER(SEARCH("mower",E272)),"Lawn Mower",
ISNUMBER(SEARCH("sweeper",E272)),"Lawn Sweeper",
OR(ISNUMBER(SEARCH("pruner",E272)),ISNUMBER(SEARCH("trimmer",E272)),ISNUMBER(SEARCH("pole saw",E272))),"Pruning Tools",
TRUE,"Other"
)</f>
        <v>Lawn Sweeper</v>
      </c>
      <c r="J272" s="7" t="str">
        <f t="shared" si="70"/>
        <v>Garden Equipment - Lawn Sweeper</v>
      </c>
      <c r="K272" s="4">
        <v>50</v>
      </c>
      <c r="L272" s="4">
        <v>3.5</v>
      </c>
      <c r="M272" s="4">
        <v>2204</v>
      </c>
      <c r="O272" s="4">
        <f>VLOOKUP(A272,[3]Sheet1!$A:$B,2,0)</f>
        <v>100</v>
      </c>
      <c r="P272" s="4">
        <f>VLOOKUP(A272,[3]Sheet1!$A:$C,3,0)</f>
        <v>0</v>
      </c>
      <c r="Q272" s="4">
        <f>VLOOKUP(A272,[3]Sheet1!$A:$D,4,0)</f>
        <v>50</v>
      </c>
      <c r="R272" s="4">
        <f>VLOOKUP(A272,[3]Sheet1!$A:$E,5,0)</f>
        <v>200</v>
      </c>
      <c r="S272" s="4">
        <f>VLOOKUP(A272,[3]Sheet1!$A:$F,6,0)</f>
        <v>100</v>
      </c>
      <c r="T272" s="4">
        <f>VLOOKUP(A272,[3]Sheet1!$A:$G,7,0)</f>
        <v>50</v>
      </c>
      <c r="U272" s="4">
        <f>VLOOKUP(A272,[3]Sheet1!$A:$I,8,0)</f>
        <v>0</v>
      </c>
      <c r="V272" s="4">
        <f>VLOOKUP(A272,[3]Sheet1!$A:$J,9,0)</f>
        <v>50</v>
      </c>
      <c r="W272" s="4">
        <f>VLOOKUP(A272,[3]Sheet1!$A:$J,10,0)</f>
        <v>50</v>
      </c>
      <c r="X272" s="4">
        <f>VLOOKUP(A272,[3]Sheet1!$A:$K,11,0)</f>
        <v>1000</v>
      </c>
      <c r="Y272" s="4">
        <f>VLOOKUP(A272,[3]Sheet1!$A:$L,12,0)</f>
        <v>1000</v>
      </c>
      <c r="Z272" s="4">
        <f>VLOOKUP(A272,[3]Sheet1!$A:$M,13,0)</f>
        <v>1000</v>
      </c>
      <c r="AA272" s="4">
        <f t="shared" si="64"/>
        <v>3600</v>
      </c>
      <c r="AB272" s="7">
        <f t="shared" si="71"/>
        <v>300</v>
      </c>
      <c r="AC272" s="15">
        <f t="shared" si="65"/>
        <v>300</v>
      </c>
      <c r="AD272" s="16">
        <f t="shared" si="66"/>
        <v>611964</v>
      </c>
      <c r="AE272" s="16">
        <f t="shared" si="67"/>
        <v>50997</v>
      </c>
      <c r="AF272" s="16">
        <v>25.12</v>
      </c>
      <c r="AG272" s="16">
        <v>169.99</v>
      </c>
      <c r="AH272" s="8">
        <f t="shared" si="68"/>
        <v>2.7917333333333332</v>
      </c>
      <c r="AI272" s="8">
        <f t="shared" si="69"/>
        <v>9.7710666666666643</v>
      </c>
      <c r="AJ272" s="10">
        <v>0.5</v>
      </c>
      <c r="AK272" s="10">
        <v>0.5</v>
      </c>
      <c r="AL272" s="16">
        <v>25.12</v>
      </c>
      <c r="AM272" s="9">
        <f t="shared" si="72"/>
        <v>25.4985</v>
      </c>
      <c r="AN272" s="9">
        <f t="shared" si="73"/>
        <v>5.0997000000000003</v>
      </c>
      <c r="AO272" s="9">
        <f t="shared" si="74"/>
        <v>33.998000000000005</v>
      </c>
      <c r="AP272" s="9">
        <f t="shared" si="75"/>
        <v>3.3998000000000004</v>
      </c>
      <c r="AQ272" s="9">
        <f t="shared" si="76"/>
        <v>33.998000000000005</v>
      </c>
      <c r="AR272" s="9">
        <f t="shared" si="77"/>
        <v>42.497500000000002</v>
      </c>
      <c r="AS272" s="11">
        <f t="shared" si="78"/>
        <v>27.917333333333328</v>
      </c>
      <c r="AT272" s="12">
        <f t="shared" si="79"/>
        <v>22.250999999999994</v>
      </c>
    </row>
    <row r="273" spans="1:46" ht="16.5" x14ac:dyDescent="0.4">
      <c r="A273" s="4" t="s">
        <v>1253</v>
      </c>
      <c r="B273" s="4" t="s">
        <v>513</v>
      </c>
      <c r="C273" s="7" t="s">
        <v>1784</v>
      </c>
      <c r="D273" s="4" t="s">
        <v>1254</v>
      </c>
      <c r="E273" s="4" t="s">
        <v>1255</v>
      </c>
      <c r="F273" s="4" t="s">
        <v>1256</v>
      </c>
      <c r="G273" s="7" t="str">
        <f>VLOOKUP(A273,[1]done!$A:$I,9,0)</f>
        <v>Grass Seed</v>
      </c>
      <c r="H273" s="7" t="str" cm="1">
        <f t="array" ref="H273">_xlfn.IFS(
OR(ISNUMBER(SEARCH("mouse",E273)),ISNUMBER(SEARCH("rat",E273)),ISNUMBER(SEARCH("mice",E273)),ISNUMBER(SEARCH("rodent",E273))),"Rodent Control",
OR(ISNUMBER(SEARCH("fly",E273)),ISNUMBER(SEARCH("gnat",E273)),ISNUMBER(SEARCH("insect",E273)),ISNUMBER(SEARCH("mosquito",E273))),"Flying Insect Control",
OR(ISNUMBER(SEARCH("roach",E273)),ISNUMBER(SEARCH("ant",E273)),ISNUMBER(SEARCH("spider",E273)),ISNUMBER(SEARCH("cricket",E273)),ISNUMBER(SEARCH("scorpion",E273)),ISNUMBER(SEARCH("centipede",E273)),ISNUMBER(SEARCH("beetle",E273))),"Crawling Insect Control",
OR(ISNUMBER(SEARCH("tree",E273)),ISNUMBER(SEARCH("lantern",E273)),ISNUMBER(SEARCH("garden",E273)),ISNUMBER(SEARCH("plant",E273))),"Garden Pest Control",
OR(ISNUMBER(SEARCH("grass seed",E273)),ISNUMBER(SEARCH("seed mix",E273))),"Grass Seed",
OR(ISNUMBER(SEARCH("lawn food",E273)),ISNUMBER(SEARCH("fertilizer",E273))),"Lawn Fertilizer",
OR(ISNUMBER(SEARCH("patch",E273)),ISNUMBER(SEARCH("repair",E273)),ISNUMBER(SEARCH("thick'r",E273)),ISNUMBER(SEARCH("thick'r lawn",E273)),ISNUMBER(SEARCH("rapid grass",E273))),"Lawn Repair",
OR(ISNUMBER(SEARCH("weed",E273)),ISNUMBER(SEARCH("crabgrass",E273))),"Weed Control",
OR(ISNUMBER(SEARCH("fungicide",E273)),ISNUMBER(SEARCH("moss",E273))),"Disease &amp; Moss Control",
OR(ISNUMBER(SEARCH("plant food",E273)),ISNUMBER(SEARCH("miracid",E273))),"Plant Nutrition",
OR(ISNUMBER(SEARCH("perlite",E273))),"Soil Amendment",
OR(ISNUMBER(SEARCH("spreader",E273)),ISNUMBER(SEARCH("sprayer",E273)),ISNUMBER(SEARCH("mower",E273)),ISNUMBER(SEARCH("sweeper",E273)),ISNUMBER(SEARCH("pruner",E273)),ISNUMBER(SEARCH("trimmer",E273)),ISNUMBER(SEARCH("pole saw",E273))),"Garden Equipment",
TRUE,"Other"
)</f>
        <v>Grass Seed</v>
      </c>
      <c r="I273" s="7" t="str" cm="1">
        <f t="array" ref="I273">_xlfn.IFS(
OR(ISNUMBER(SEARCH("glue trap",E273)),ISNUMBER(SEARCH("glue board",E273))),"Glue Traps",
OR(ISNUMBER(SEARCH("snap trap",E273)),ISNUMBER(SEARCH("power-kill",E273)),ISNUMBER(SEARCH("wide pedal",E273)),ISNUMBER(SEARCH("metal pedal",E273))),"Snap Traps",
OR(ISNUMBER(SEARCH("electronic",E273)),ISNUMBER(SEARCH("zapper",E273))),"Electronic Traps",
OR(ISNUMBER(SEARCH("live catch",E273)),ISNUMBER(SEARCH("multi-catch",E273)),ISNUMBER(SEARCH("catch &amp; hold",E273)),ISNUMBER(SEARCH("tin cat",E273))),"Live Catch Traps",
OR(ISNUMBER(SEARCH("bait",E273)),ISNUMBER(SEARCH("poison",E273))),"Bait &amp; Poison",
ISNUMBER(SEARCH("repellent",E273)),"Repellents",
OR(ISNUMBER(SEARCH("fly trap",E273)),ISNUMBER(SEARCH("fly ribbon",E273)),ISNUMBER(SEARCH("fly stick",E273)),ISNUMBER(SEARCH("window fly",E273)),ISNUMBER(SEARCH("fly magnet",E273))),"Fly Traps",
OR(ISNUMBER(SEARCH("uv",E273)),ISNUMBER(SEARCH("fly light",E273)),ISNUMBER(SEARCH("plug-in",E273))),"UV Fly Traps",
ISNUMBER(SEARCH("roach",E273)),"Roach Traps",
ISNUMBER(SEARCH("ant",E273)),"Ant Traps",
ISNUMBER(SEARCH("spider",E273)),"Spider Traps",
ISNUMBER(SEARCH("mosquito",E273)),"Mosquito Traps",
ISNUMBER(SEARCH("beetle",E273)),"Beetle Traps",
ISNUMBER(SEARCH("lantern",E273)),"Lanternfly Control",
OR(ISNUMBER(SEARCH("tree shield",E273)),ISNUMBER(SEARCH("tree banding",E273)),ISNUMBER(SEARCH("insect barrier",E273))),"Tree Barriers",
OR(ISNUMBER(SEARCH("sun &amp; shade",E273)),ISNUMBER(SEARCH("sun and shade",E273))),"Sun &amp; Shade Mix",
ISNUMBER(SEARCH("tall fescue",E273)),"Tall Fescue",
ISNUMBER(SEARCH("bermudagrass",E273)),"Bermudagrass",
ISNUMBER(SEARCH("kentucky",E273)),"Kentucky Bluegrass",
ISNUMBER(SEARCH("zoysia",E273)),"Zoysia",
ISNUMBER(SEARCH("ryegrass",E273)),"Perennial Ryegrass",
ISNUMBER(SEARCH("centipede",E273)),"Centipede Grass",
ISNUMBER(SEARCH("dense shade",E273)),"Dense Shade Mix",
ISNUMBER(SEARCH("southern gold",E273)),"Southern Gold Mix",
ISNUMBER(SEARCH("heat-tolerant blue",E273)),"Heat-Tolerant Blue Mix",
ISNUMBER(SEARCH("high traffic",E273)),"High Traffic Mix",
ISNUMBER(SEARCH("quick fix",E273)),"Quick Fix Mix",
ISNUMBER(SEARCH("starter",E273)),"Starter Fertilizer",
ISNUMBER(SEARCH("weed &amp; feed",E273)),"Weed &amp; Feed",
ISNUMBER(SEARCH("lawn food",E273)),"Lawn Food",
ISNUMBER(SEARCH("triple action",E273)),"Triple Action Fertilizer",
ISNUMBER(SEARCH("green max",E273)),"Green Max Lawn Food",
ISNUMBER(SEARCH("patchmaster",E273)),"PatchMaster Repair",
ISNUMBER(SEARCH("ez seed",E273)),"EZ Seed Repair",
ISNUMBER(SEARCH("rapid grass",E273)),"Rapid Grass",
ISNUMBER(SEARCH("thick'r lawn",E273)),"Thick'R Lawn",
ISNUMBER(SEARCH("fungicide",E273)),"Fungicide",
ISNUMBER(SEARCH("moss",E273)),"Moss Control",
ISNUMBER(SEARCH("perlite",E273)),"Perlite",
ISNUMBER(SEARCH("plant food",E273)),"Plant Food",
ISNUMBER(SEARCH("spreader",E273)),"Spreader",
ISNUMBER(SEARCH("sprayer",E273)),"Sprayer",
ISNUMBER(SEARCH("mower",E273)),"Lawn Mower",
ISNUMBER(SEARCH("sweeper",E273)),"Lawn Sweeper",
OR(ISNUMBER(SEARCH("pruner",E273)),ISNUMBER(SEARCH("trimmer",E273)),ISNUMBER(SEARCH("pole saw",E273))),"Pruning Tools",
TRUE,"Other"
)</f>
        <v>Southern Gold Mix</v>
      </c>
      <c r="J273" s="7" t="str">
        <f t="shared" si="70"/>
        <v>Grass Seed - Southern Gold Mix</v>
      </c>
      <c r="K273" s="4">
        <v>50</v>
      </c>
      <c r="L273" s="4">
        <v>4.2</v>
      </c>
      <c r="M273" s="4">
        <v>490</v>
      </c>
      <c r="N273" s="4" t="s">
        <v>995</v>
      </c>
      <c r="O273" s="4">
        <f>VLOOKUP(A273,[3]Sheet1!$A:$B,2,0)</f>
        <v>0</v>
      </c>
      <c r="P273" s="4">
        <f>VLOOKUP(A273,[3]Sheet1!$A:$C,3,0)</f>
        <v>0</v>
      </c>
      <c r="Q273" s="4">
        <f>VLOOKUP(A273,[3]Sheet1!$A:$D,4,0)</f>
        <v>0</v>
      </c>
      <c r="R273" s="4">
        <f>VLOOKUP(A273,[3]Sheet1!$A:$E,5,0)</f>
        <v>0</v>
      </c>
      <c r="S273" s="4">
        <f>VLOOKUP(A273,[3]Sheet1!$A:$F,6,0)</f>
        <v>0</v>
      </c>
      <c r="T273" s="4">
        <f>VLOOKUP(A273,[3]Sheet1!$A:$G,7,0)</f>
        <v>0</v>
      </c>
      <c r="U273" s="4">
        <f>VLOOKUP(A273,[3]Sheet1!$A:$I,8,0)</f>
        <v>0</v>
      </c>
      <c r="V273" s="4">
        <f>VLOOKUP(A273,[3]Sheet1!$A:$J,9,0)</f>
        <v>0</v>
      </c>
      <c r="W273" s="4">
        <f>VLOOKUP(A273,[3]Sheet1!$A:$J,10,0)</f>
        <v>0</v>
      </c>
      <c r="X273" s="4">
        <f>VLOOKUP(A273,[3]Sheet1!$A:$K,11,0)</f>
        <v>50</v>
      </c>
      <c r="Y273" s="4">
        <f>VLOOKUP(A273,[3]Sheet1!$A:$L,12,0)</f>
        <v>0</v>
      </c>
      <c r="Z273" s="4">
        <f>VLOOKUP(A273,[3]Sheet1!$A:$M,13,0)</f>
        <v>0</v>
      </c>
      <c r="AA273" s="4">
        <f t="shared" si="64"/>
        <v>50</v>
      </c>
      <c r="AB273" s="7">
        <f t="shared" si="71"/>
        <v>4</v>
      </c>
      <c r="AC273" s="15">
        <f t="shared" si="65"/>
        <v>4.166666666666667</v>
      </c>
      <c r="AD273" s="16">
        <f t="shared" si="66"/>
        <v>4450</v>
      </c>
      <c r="AE273" s="16">
        <f t="shared" si="67"/>
        <v>370.83333333333337</v>
      </c>
      <c r="AF273" s="16">
        <v>23</v>
      </c>
      <c r="AG273" s="16">
        <v>89</v>
      </c>
      <c r="AH273" s="8">
        <f t="shared" si="68"/>
        <v>0.77333333333333321</v>
      </c>
      <c r="AI273" s="8">
        <f t="shared" si="69"/>
        <v>2.7066666666666661</v>
      </c>
      <c r="AJ273" s="10">
        <v>0.5</v>
      </c>
      <c r="AK273" s="10">
        <v>0.5</v>
      </c>
      <c r="AL273" s="16">
        <v>23</v>
      </c>
      <c r="AM273" s="9">
        <f t="shared" si="72"/>
        <v>13.35</v>
      </c>
      <c r="AN273" s="9">
        <f t="shared" si="73"/>
        <v>2.67</v>
      </c>
      <c r="AO273" s="9">
        <f t="shared" si="74"/>
        <v>17.8</v>
      </c>
      <c r="AP273" s="9">
        <f t="shared" si="75"/>
        <v>1.78</v>
      </c>
      <c r="AQ273" s="9">
        <f t="shared" si="76"/>
        <v>17.8</v>
      </c>
      <c r="AR273" s="9">
        <f t="shared" si="77"/>
        <v>22.25</v>
      </c>
      <c r="AS273" s="11">
        <f t="shared" si="78"/>
        <v>7.7333333333333316</v>
      </c>
      <c r="AT273" s="12">
        <f t="shared" si="79"/>
        <v>4.7666666666666657</v>
      </c>
    </row>
    <row r="274" spans="1:46" ht="16.5" x14ac:dyDescent="0.4">
      <c r="A274" s="4" t="s">
        <v>1257</v>
      </c>
      <c r="B274" s="4" t="s">
        <v>513</v>
      </c>
      <c r="C274" s="7" t="s">
        <v>1784</v>
      </c>
      <c r="D274" s="4" t="s">
        <v>1258</v>
      </c>
      <c r="E274" s="4" t="s">
        <v>1259</v>
      </c>
      <c r="F274" s="4" t="s">
        <v>1260</v>
      </c>
      <c r="G274" s="7" t="str">
        <f>VLOOKUP(A274,[1]done!$A:$I,9,0)</f>
        <v>Grass Seed</v>
      </c>
      <c r="H274" s="7" t="str" cm="1">
        <f t="array" ref="H274">_xlfn.IFS(
OR(ISNUMBER(SEARCH("mouse",E274)),ISNUMBER(SEARCH("rat",E274)),ISNUMBER(SEARCH("mice",E274)),ISNUMBER(SEARCH("rodent",E274))),"Rodent Control",
OR(ISNUMBER(SEARCH("fly",E274)),ISNUMBER(SEARCH("gnat",E274)),ISNUMBER(SEARCH("insect",E274)),ISNUMBER(SEARCH("mosquito",E274))),"Flying Insect Control",
OR(ISNUMBER(SEARCH("roach",E274)),ISNUMBER(SEARCH("ant",E274)),ISNUMBER(SEARCH("spider",E274)),ISNUMBER(SEARCH("cricket",E274)),ISNUMBER(SEARCH("scorpion",E274)),ISNUMBER(SEARCH("centipede",E274)),ISNUMBER(SEARCH("beetle",E274))),"Crawling Insect Control",
OR(ISNUMBER(SEARCH("tree",E274)),ISNUMBER(SEARCH("lantern",E274)),ISNUMBER(SEARCH("garden",E274)),ISNUMBER(SEARCH("plant",E274))),"Garden Pest Control",
OR(ISNUMBER(SEARCH("grass seed",E274)),ISNUMBER(SEARCH("seed mix",E274))),"Grass Seed",
OR(ISNUMBER(SEARCH("lawn food",E274)),ISNUMBER(SEARCH("fertilizer",E274))),"Lawn Fertilizer",
OR(ISNUMBER(SEARCH("patch",E274)),ISNUMBER(SEARCH("repair",E274)),ISNUMBER(SEARCH("thick'r",E274)),ISNUMBER(SEARCH("thick'r lawn",E274)),ISNUMBER(SEARCH("rapid grass",E274))),"Lawn Repair",
OR(ISNUMBER(SEARCH("weed",E274)),ISNUMBER(SEARCH("crabgrass",E274))),"Weed Control",
OR(ISNUMBER(SEARCH("fungicide",E274)),ISNUMBER(SEARCH("moss",E274))),"Disease &amp; Moss Control",
OR(ISNUMBER(SEARCH("plant food",E274)),ISNUMBER(SEARCH("miracid",E274))),"Plant Nutrition",
OR(ISNUMBER(SEARCH("perlite",E274))),"Soil Amendment",
OR(ISNUMBER(SEARCH("spreader",E274)),ISNUMBER(SEARCH("sprayer",E274)),ISNUMBER(SEARCH("mower",E274)),ISNUMBER(SEARCH("sweeper",E274)),ISNUMBER(SEARCH("pruner",E274)),ISNUMBER(SEARCH("trimmer",E274)),ISNUMBER(SEARCH("pole saw",E274))),"Garden Equipment",
TRUE,"Other"
)</f>
        <v>Grass Seed</v>
      </c>
      <c r="I274" s="7" t="str" cm="1">
        <f t="array" ref="I274">_xlfn.IFS(
OR(ISNUMBER(SEARCH("glue trap",E274)),ISNUMBER(SEARCH("glue board",E274))),"Glue Traps",
OR(ISNUMBER(SEARCH("snap trap",E274)),ISNUMBER(SEARCH("power-kill",E274)),ISNUMBER(SEARCH("wide pedal",E274)),ISNUMBER(SEARCH("metal pedal",E274))),"Snap Traps",
OR(ISNUMBER(SEARCH("electronic",E274)),ISNUMBER(SEARCH("zapper",E274))),"Electronic Traps",
OR(ISNUMBER(SEARCH("live catch",E274)),ISNUMBER(SEARCH("multi-catch",E274)),ISNUMBER(SEARCH("catch &amp; hold",E274)),ISNUMBER(SEARCH("tin cat",E274))),"Live Catch Traps",
OR(ISNUMBER(SEARCH("bait",E274)),ISNUMBER(SEARCH("poison",E274))),"Bait &amp; Poison",
ISNUMBER(SEARCH("repellent",E274)),"Repellents",
OR(ISNUMBER(SEARCH("fly trap",E274)),ISNUMBER(SEARCH("fly ribbon",E274)),ISNUMBER(SEARCH("fly stick",E274)),ISNUMBER(SEARCH("window fly",E274)),ISNUMBER(SEARCH("fly magnet",E274))),"Fly Traps",
OR(ISNUMBER(SEARCH("uv",E274)),ISNUMBER(SEARCH("fly light",E274)),ISNUMBER(SEARCH("plug-in",E274))),"UV Fly Traps",
ISNUMBER(SEARCH("roach",E274)),"Roach Traps",
ISNUMBER(SEARCH("ant",E274)),"Ant Traps",
ISNUMBER(SEARCH("spider",E274)),"Spider Traps",
ISNUMBER(SEARCH("mosquito",E274)),"Mosquito Traps",
ISNUMBER(SEARCH("beetle",E274)),"Beetle Traps",
ISNUMBER(SEARCH("lantern",E274)),"Lanternfly Control",
OR(ISNUMBER(SEARCH("tree shield",E274)),ISNUMBER(SEARCH("tree banding",E274)),ISNUMBER(SEARCH("insect barrier",E274))),"Tree Barriers",
OR(ISNUMBER(SEARCH("sun &amp; shade",E274)),ISNUMBER(SEARCH("sun and shade",E274))),"Sun &amp; Shade Mix",
ISNUMBER(SEARCH("tall fescue",E274)),"Tall Fescue",
ISNUMBER(SEARCH("bermudagrass",E274)),"Bermudagrass",
ISNUMBER(SEARCH("kentucky",E274)),"Kentucky Bluegrass",
ISNUMBER(SEARCH("zoysia",E274)),"Zoysia",
ISNUMBER(SEARCH("ryegrass",E274)),"Perennial Ryegrass",
ISNUMBER(SEARCH("centipede",E274)),"Centipede Grass",
ISNUMBER(SEARCH("dense shade",E274)),"Dense Shade Mix",
ISNUMBER(SEARCH("southern gold",E274)),"Southern Gold Mix",
ISNUMBER(SEARCH("heat-tolerant blue",E274)),"Heat-Tolerant Blue Mix",
ISNUMBER(SEARCH("high traffic",E274)),"High Traffic Mix",
ISNUMBER(SEARCH("quick fix",E274)),"Quick Fix Mix",
ISNUMBER(SEARCH("starter",E274)),"Starter Fertilizer",
ISNUMBER(SEARCH("weed &amp; feed",E274)),"Weed &amp; Feed",
ISNUMBER(SEARCH("lawn food",E274)),"Lawn Food",
ISNUMBER(SEARCH("triple action",E274)),"Triple Action Fertilizer",
ISNUMBER(SEARCH("green max",E274)),"Green Max Lawn Food",
ISNUMBER(SEARCH("patchmaster",E274)),"PatchMaster Repair",
ISNUMBER(SEARCH("ez seed",E274)),"EZ Seed Repair",
ISNUMBER(SEARCH("rapid grass",E274)),"Rapid Grass",
ISNUMBER(SEARCH("thick'r lawn",E274)),"Thick'R Lawn",
ISNUMBER(SEARCH("fungicide",E274)),"Fungicide",
ISNUMBER(SEARCH("moss",E274)),"Moss Control",
ISNUMBER(SEARCH("perlite",E274)),"Perlite",
ISNUMBER(SEARCH("plant food",E274)),"Plant Food",
ISNUMBER(SEARCH("spreader",E274)),"Spreader",
ISNUMBER(SEARCH("sprayer",E274)),"Sprayer",
ISNUMBER(SEARCH("mower",E274)),"Lawn Mower",
ISNUMBER(SEARCH("sweeper",E274)),"Lawn Sweeper",
OR(ISNUMBER(SEARCH("pruner",E274)),ISNUMBER(SEARCH("trimmer",E274)),ISNUMBER(SEARCH("pole saw",E274))),"Pruning Tools",
TRUE,"Other"
)</f>
        <v>High Traffic Mix</v>
      </c>
      <c r="J274" s="7" t="str">
        <f t="shared" si="70"/>
        <v>Grass Seed - High Traffic Mix</v>
      </c>
      <c r="K274" s="4">
        <v>50</v>
      </c>
      <c r="L274" s="4">
        <v>4.3</v>
      </c>
      <c r="M274" s="4">
        <v>2690</v>
      </c>
      <c r="N274" s="4" t="s">
        <v>531</v>
      </c>
      <c r="O274" s="4">
        <f>VLOOKUP(A274,[3]Sheet1!$A:$B,2,0)</f>
        <v>0</v>
      </c>
      <c r="P274" s="4">
        <f>VLOOKUP(A274,[3]Sheet1!$A:$C,3,0)</f>
        <v>0</v>
      </c>
      <c r="Q274" s="4">
        <f>VLOOKUP(A274,[3]Sheet1!$A:$D,4,0)</f>
        <v>100</v>
      </c>
      <c r="R274" s="4">
        <f>VLOOKUP(A274,[3]Sheet1!$A:$E,5,0)</f>
        <v>300</v>
      </c>
      <c r="S274" s="4">
        <f>VLOOKUP(A274,[3]Sheet1!$A:$F,6,0)</f>
        <v>300</v>
      </c>
      <c r="T274" s="4">
        <f>VLOOKUP(A274,[3]Sheet1!$A:$G,7,0)</f>
        <v>800</v>
      </c>
      <c r="U274" s="4">
        <f>VLOOKUP(A274,[3]Sheet1!$A:$I,8,0)</f>
        <v>50</v>
      </c>
      <c r="V274" s="4">
        <f>VLOOKUP(A274,[3]Sheet1!$A:$J,9,0)</f>
        <v>50</v>
      </c>
      <c r="W274" s="4">
        <f>VLOOKUP(A274,[3]Sheet1!$A:$J,10,0)</f>
        <v>50</v>
      </c>
      <c r="X274" s="4">
        <f>VLOOKUP(A274,[3]Sheet1!$A:$K,11,0)</f>
        <v>100</v>
      </c>
      <c r="Y274" s="4">
        <f>VLOOKUP(A274,[3]Sheet1!$A:$L,12,0)</f>
        <v>50</v>
      </c>
      <c r="Z274" s="4">
        <f>VLOOKUP(A274,[3]Sheet1!$A:$M,13,0)</f>
        <v>0</v>
      </c>
      <c r="AA274" s="4">
        <f t="shared" si="64"/>
        <v>1800</v>
      </c>
      <c r="AB274" s="7">
        <f t="shared" si="71"/>
        <v>150</v>
      </c>
      <c r="AC274" s="15">
        <f t="shared" si="65"/>
        <v>150</v>
      </c>
      <c r="AD274" s="16">
        <f t="shared" si="66"/>
        <v>76734</v>
      </c>
      <c r="AE274" s="16">
        <f t="shared" si="67"/>
        <v>6394.5</v>
      </c>
      <c r="AF274" s="16">
        <v>8.2100000000000009</v>
      </c>
      <c r="AG274" s="16">
        <v>42.63</v>
      </c>
      <c r="AH274" s="8">
        <f t="shared" si="68"/>
        <v>0.52279999999999982</v>
      </c>
      <c r="AI274" s="8">
        <f t="shared" si="69"/>
        <v>1.8297999999999992</v>
      </c>
      <c r="AJ274" s="10">
        <v>0.5</v>
      </c>
      <c r="AK274" s="10">
        <v>0.5</v>
      </c>
      <c r="AL274" s="16">
        <v>8.2100000000000009</v>
      </c>
      <c r="AM274" s="9">
        <f t="shared" si="72"/>
        <v>6.3944999999999999</v>
      </c>
      <c r="AN274" s="9">
        <f t="shared" si="73"/>
        <v>1.2788999999999999</v>
      </c>
      <c r="AO274" s="9">
        <f t="shared" si="74"/>
        <v>8.5260000000000016</v>
      </c>
      <c r="AP274" s="9">
        <f t="shared" si="75"/>
        <v>0.85260000000000002</v>
      </c>
      <c r="AQ274" s="9">
        <f t="shared" si="76"/>
        <v>8.5260000000000016</v>
      </c>
      <c r="AR274" s="9">
        <f t="shared" si="77"/>
        <v>10.657500000000001</v>
      </c>
      <c r="AS274" s="11">
        <f t="shared" si="78"/>
        <v>5.227999999999998</v>
      </c>
      <c r="AT274" s="12">
        <f t="shared" si="79"/>
        <v>3.8069999999999986</v>
      </c>
    </row>
    <row r="275" spans="1:46" ht="16.5" x14ac:dyDescent="0.4">
      <c r="A275" s="4" t="s">
        <v>1261</v>
      </c>
      <c r="B275" s="4" t="s">
        <v>513</v>
      </c>
      <c r="C275" s="7" t="s">
        <v>1791</v>
      </c>
      <c r="D275" s="4" t="s">
        <v>1262</v>
      </c>
      <c r="E275" s="4" t="s">
        <v>1263</v>
      </c>
      <c r="F275" s="4" t="s">
        <v>1264</v>
      </c>
      <c r="G275" s="7" t="str">
        <f>VLOOKUP(A275,[1]done!$A:$I,9,0)</f>
        <v>Other Lawn products</v>
      </c>
      <c r="H275" s="7" t="str" cm="1">
        <f t="array" ref="H275">_xlfn.IFS(
OR(ISNUMBER(SEARCH("mouse",E275)),ISNUMBER(SEARCH("rat",E275)),ISNUMBER(SEARCH("mice",E275)),ISNUMBER(SEARCH("rodent",E275))),"Rodent Control",
OR(ISNUMBER(SEARCH("fly",E275)),ISNUMBER(SEARCH("gnat",E275)),ISNUMBER(SEARCH("insect",E275)),ISNUMBER(SEARCH("mosquito",E275))),"Flying Insect Control",
OR(ISNUMBER(SEARCH("roach",E275)),ISNUMBER(SEARCH("ant",E275)),ISNUMBER(SEARCH("spider",E275)),ISNUMBER(SEARCH("cricket",E275)),ISNUMBER(SEARCH("scorpion",E275)),ISNUMBER(SEARCH("centipede",E275)),ISNUMBER(SEARCH("beetle",E275))),"Crawling Insect Control",
OR(ISNUMBER(SEARCH("tree",E275)),ISNUMBER(SEARCH("lantern",E275)),ISNUMBER(SEARCH("garden",E275)),ISNUMBER(SEARCH("plant",E275))),"Garden Pest Control",
OR(ISNUMBER(SEARCH("grass seed",E275)),ISNUMBER(SEARCH("seed mix",E275))),"Grass Seed",
OR(ISNUMBER(SEARCH("lawn food",E275)),ISNUMBER(SEARCH("fertilizer",E275))),"Lawn Fertilizer",
OR(ISNUMBER(SEARCH("patch",E275)),ISNUMBER(SEARCH("repair",E275)),ISNUMBER(SEARCH("thick'r",E275)),ISNUMBER(SEARCH("thick'r lawn",E275)),ISNUMBER(SEARCH("rapid grass",E275))),"Lawn Repair",
OR(ISNUMBER(SEARCH("weed",E275)),ISNUMBER(SEARCH("crabgrass",E275))),"Weed Control",
OR(ISNUMBER(SEARCH("fungicide",E275)),ISNUMBER(SEARCH("moss",E275))),"Disease &amp; Moss Control",
OR(ISNUMBER(SEARCH("plant food",E275)),ISNUMBER(SEARCH("miracid",E275))),"Plant Nutrition",
OR(ISNUMBER(SEARCH("perlite",E275))),"Soil Amendment",
OR(ISNUMBER(SEARCH("spreader",E275)),ISNUMBER(SEARCH("sprayer",E275)),ISNUMBER(SEARCH("mower",E275)),ISNUMBER(SEARCH("sweeper",E275)),ISNUMBER(SEARCH("pruner",E275)),ISNUMBER(SEARCH("trimmer",E275)),ISNUMBER(SEARCH("pole saw",E275))),"Garden Equipment",
TRUE,"Other"
)</f>
        <v>Garden Equipment</v>
      </c>
      <c r="I275" s="7" t="str" cm="1">
        <f t="array" ref="I275">_xlfn.IFS(
OR(ISNUMBER(SEARCH("glue trap",E275)),ISNUMBER(SEARCH("glue board",E275))),"Glue Traps",
OR(ISNUMBER(SEARCH("snap trap",E275)),ISNUMBER(SEARCH("power-kill",E275)),ISNUMBER(SEARCH("wide pedal",E275)),ISNUMBER(SEARCH("metal pedal",E275))),"Snap Traps",
OR(ISNUMBER(SEARCH("electronic",E275)),ISNUMBER(SEARCH("zapper",E275))),"Electronic Traps",
OR(ISNUMBER(SEARCH("live catch",E275)),ISNUMBER(SEARCH("multi-catch",E275)),ISNUMBER(SEARCH("catch &amp; hold",E275)),ISNUMBER(SEARCH("tin cat",E275))),"Live Catch Traps",
OR(ISNUMBER(SEARCH("bait",E275)),ISNUMBER(SEARCH("poison",E275))),"Bait &amp; Poison",
ISNUMBER(SEARCH("repellent",E275)),"Repellents",
OR(ISNUMBER(SEARCH("fly trap",E275)),ISNUMBER(SEARCH("fly ribbon",E275)),ISNUMBER(SEARCH("fly stick",E275)),ISNUMBER(SEARCH("window fly",E275)),ISNUMBER(SEARCH("fly magnet",E275))),"Fly Traps",
OR(ISNUMBER(SEARCH("uv",E275)),ISNUMBER(SEARCH("fly light",E275)),ISNUMBER(SEARCH("plug-in",E275))),"UV Fly Traps",
ISNUMBER(SEARCH("roach",E275)),"Roach Traps",
ISNUMBER(SEARCH("ant",E275)),"Ant Traps",
ISNUMBER(SEARCH("spider",E275)),"Spider Traps",
ISNUMBER(SEARCH("mosquito",E275)),"Mosquito Traps",
ISNUMBER(SEARCH("beetle",E275)),"Beetle Traps",
ISNUMBER(SEARCH("lantern",E275)),"Lanternfly Control",
OR(ISNUMBER(SEARCH("tree shield",E275)),ISNUMBER(SEARCH("tree banding",E275)),ISNUMBER(SEARCH("insect barrier",E275))),"Tree Barriers",
OR(ISNUMBER(SEARCH("sun &amp; shade",E275)),ISNUMBER(SEARCH("sun and shade",E275))),"Sun &amp; Shade Mix",
ISNUMBER(SEARCH("tall fescue",E275)),"Tall Fescue",
ISNUMBER(SEARCH("bermudagrass",E275)),"Bermudagrass",
ISNUMBER(SEARCH("kentucky",E275)),"Kentucky Bluegrass",
ISNUMBER(SEARCH("zoysia",E275)),"Zoysia",
ISNUMBER(SEARCH("ryegrass",E275)),"Perennial Ryegrass",
ISNUMBER(SEARCH("centipede",E275)),"Centipede Grass",
ISNUMBER(SEARCH("dense shade",E275)),"Dense Shade Mix",
ISNUMBER(SEARCH("southern gold",E275)),"Southern Gold Mix",
ISNUMBER(SEARCH("heat-tolerant blue",E275)),"Heat-Tolerant Blue Mix",
ISNUMBER(SEARCH("high traffic",E275)),"High Traffic Mix",
ISNUMBER(SEARCH("quick fix",E275)),"Quick Fix Mix",
ISNUMBER(SEARCH("starter",E275)),"Starter Fertilizer",
ISNUMBER(SEARCH("weed &amp; feed",E275)),"Weed &amp; Feed",
ISNUMBER(SEARCH("lawn food",E275)),"Lawn Food",
ISNUMBER(SEARCH("triple action",E275)),"Triple Action Fertilizer",
ISNUMBER(SEARCH("green max",E275)),"Green Max Lawn Food",
ISNUMBER(SEARCH("patchmaster",E275)),"PatchMaster Repair",
ISNUMBER(SEARCH("ez seed",E275)),"EZ Seed Repair",
ISNUMBER(SEARCH("rapid grass",E275)),"Rapid Grass",
ISNUMBER(SEARCH("thick'r lawn",E275)),"Thick'R Lawn",
ISNUMBER(SEARCH("fungicide",E275)),"Fungicide",
ISNUMBER(SEARCH("moss",E275)),"Moss Control",
ISNUMBER(SEARCH("perlite",E275)),"Perlite",
ISNUMBER(SEARCH("plant food",E275)),"Plant Food",
ISNUMBER(SEARCH("spreader",E275)),"Spreader",
ISNUMBER(SEARCH("sprayer",E275)),"Sprayer",
ISNUMBER(SEARCH("mower",E275)),"Lawn Mower",
ISNUMBER(SEARCH("sweeper",E275)),"Lawn Sweeper",
OR(ISNUMBER(SEARCH("pruner",E275)),ISNUMBER(SEARCH("trimmer",E275)),ISNUMBER(SEARCH("pole saw",E275))),"Pruning Tools",
TRUE,"Other"
)</f>
        <v>Pruning Tools</v>
      </c>
      <c r="J275" s="7" t="str">
        <f t="shared" si="70"/>
        <v>Garden Equipment - Pruning Tools</v>
      </c>
      <c r="K275" s="4">
        <v>50</v>
      </c>
      <c r="L275" s="4">
        <v>4</v>
      </c>
      <c r="M275" s="4">
        <v>1640</v>
      </c>
      <c r="N275" s="4" t="s">
        <v>1265</v>
      </c>
      <c r="O275" s="4">
        <f>VLOOKUP(A275,[3]Sheet1!$A:$B,2,0)</f>
        <v>0</v>
      </c>
      <c r="P275" s="4">
        <f>VLOOKUP(A275,[3]Sheet1!$A:$C,3,0)</f>
        <v>0</v>
      </c>
      <c r="Q275" s="4">
        <f>VLOOKUP(A275,[3]Sheet1!$A:$D,4,0)</f>
        <v>0</v>
      </c>
      <c r="R275" s="4">
        <f>VLOOKUP(A275,[3]Sheet1!$A:$E,5,0)</f>
        <v>100</v>
      </c>
      <c r="S275" s="4">
        <f>VLOOKUP(A275,[3]Sheet1!$A:$F,6,0)</f>
        <v>100</v>
      </c>
      <c r="T275" s="4">
        <f>VLOOKUP(A275,[3]Sheet1!$A:$G,7,0)</f>
        <v>400</v>
      </c>
      <c r="U275" s="4">
        <f>VLOOKUP(A275,[3]Sheet1!$A:$I,8,0)</f>
        <v>200</v>
      </c>
      <c r="V275" s="4">
        <f>VLOOKUP(A275,[3]Sheet1!$A:$J,9,0)</f>
        <v>100</v>
      </c>
      <c r="W275" s="4">
        <f>VLOOKUP(A275,[3]Sheet1!$A:$J,10,0)</f>
        <v>100</v>
      </c>
      <c r="X275" s="4">
        <f>VLOOKUP(A275,[3]Sheet1!$A:$K,11,0)</f>
        <v>50</v>
      </c>
      <c r="Y275" s="4">
        <f>VLOOKUP(A275,[3]Sheet1!$A:$L,12,0)</f>
        <v>0</v>
      </c>
      <c r="Z275" s="4">
        <f>VLOOKUP(A275,[3]Sheet1!$A:$M,13,0)</f>
        <v>0</v>
      </c>
      <c r="AA275" s="4">
        <f t="shared" si="64"/>
        <v>1050</v>
      </c>
      <c r="AB275" s="7">
        <f t="shared" si="71"/>
        <v>88</v>
      </c>
      <c r="AC275" s="15">
        <f t="shared" si="65"/>
        <v>87.5</v>
      </c>
      <c r="AD275" s="16">
        <f t="shared" si="66"/>
        <v>75967.5</v>
      </c>
      <c r="AE275" s="16">
        <f t="shared" si="67"/>
        <v>6330.6249999999991</v>
      </c>
      <c r="AF275" s="16">
        <v>12.36</v>
      </c>
      <c r="AG275" s="16">
        <v>72.349999999999994</v>
      </c>
      <c r="AH275" s="8">
        <f t="shared" si="68"/>
        <v>1.0386666666666666</v>
      </c>
      <c r="AI275" s="8">
        <f t="shared" si="69"/>
        <v>3.6353333333333326</v>
      </c>
      <c r="AJ275" s="10">
        <v>0.5</v>
      </c>
      <c r="AK275" s="10">
        <v>0.5</v>
      </c>
      <c r="AL275" s="16">
        <v>12.36</v>
      </c>
      <c r="AM275" s="9">
        <f t="shared" si="72"/>
        <v>10.852499999999999</v>
      </c>
      <c r="AN275" s="9">
        <f t="shared" si="73"/>
        <v>2.1704999999999997</v>
      </c>
      <c r="AO275" s="9">
        <f t="shared" si="74"/>
        <v>14.469999999999999</v>
      </c>
      <c r="AP275" s="9">
        <f t="shared" si="75"/>
        <v>1.4469999999999998</v>
      </c>
      <c r="AQ275" s="9">
        <f t="shared" si="76"/>
        <v>14.469999999999999</v>
      </c>
      <c r="AR275" s="9">
        <f t="shared" si="77"/>
        <v>18.087499999999999</v>
      </c>
      <c r="AS275" s="11">
        <f t="shared" si="78"/>
        <v>10.386666666666665</v>
      </c>
      <c r="AT275" s="12">
        <f t="shared" si="79"/>
        <v>7.9749999999999988</v>
      </c>
    </row>
    <row r="276" spans="1:46" ht="16.5" x14ac:dyDescent="0.4">
      <c r="A276" s="4" t="s">
        <v>1266</v>
      </c>
      <c r="B276" s="4" t="s">
        <v>513</v>
      </c>
      <c r="C276" s="7" t="s">
        <v>513</v>
      </c>
      <c r="D276" s="4" t="s">
        <v>1267</v>
      </c>
      <c r="E276" s="4" t="s">
        <v>1268</v>
      </c>
      <c r="F276" s="4" t="s">
        <v>1269</v>
      </c>
      <c r="G276" s="7" t="str">
        <f>VLOOKUP(A276,[1]done!$A:$I,9,0)</f>
        <v>Lawn Fertilizer</v>
      </c>
      <c r="H276" s="7" t="str" cm="1">
        <f t="array" ref="H276">_xlfn.IFS(
OR(ISNUMBER(SEARCH("mouse",E276)),ISNUMBER(SEARCH("rat",E276)),ISNUMBER(SEARCH("mice",E276)),ISNUMBER(SEARCH("rodent",E276))),"Rodent Control",
OR(ISNUMBER(SEARCH("fly",E276)),ISNUMBER(SEARCH("gnat",E276)),ISNUMBER(SEARCH("insect",E276)),ISNUMBER(SEARCH("mosquito",E276))),"Flying Insect Control",
OR(ISNUMBER(SEARCH("roach",E276)),ISNUMBER(SEARCH("ant",E276)),ISNUMBER(SEARCH("spider",E276)),ISNUMBER(SEARCH("cricket",E276)),ISNUMBER(SEARCH("scorpion",E276)),ISNUMBER(SEARCH("centipede",E276)),ISNUMBER(SEARCH("beetle",E276))),"Crawling Insect Control",
OR(ISNUMBER(SEARCH("tree",E276)),ISNUMBER(SEARCH("lantern",E276)),ISNUMBER(SEARCH("garden",E276)),ISNUMBER(SEARCH("plant",E276))),"Garden Pest Control",
OR(ISNUMBER(SEARCH("grass seed",E276)),ISNUMBER(SEARCH("seed mix",E276))),"Grass Seed",
OR(ISNUMBER(SEARCH("lawn food",E276)),ISNUMBER(SEARCH("fertilizer",E276))),"Lawn Fertilizer",
OR(ISNUMBER(SEARCH("patch",E276)),ISNUMBER(SEARCH("repair",E276)),ISNUMBER(SEARCH("thick'r",E276)),ISNUMBER(SEARCH("thick'r lawn",E276)),ISNUMBER(SEARCH("rapid grass",E276))),"Lawn Repair",
OR(ISNUMBER(SEARCH("weed",E276)),ISNUMBER(SEARCH("crabgrass",E276))),"Weed Control",
OR(ISNUMBER(SEARCH("fungicide",E276)),ISNUMBER(SEARCH("moss",E276))),"Disease &amp; Moss Control",
OR(ISNUMBER(SEARCH("plant food",E276)),ISNUMBER(SEARCH("miracid",E276))),"Plant Nutrition",
OR(ISNUMBER(SEARCH("perlite",E276))),"Soil Amendment",
OR(ISNUMBER(SEARCH("spreader",E276)),ISNUMBER(SEARCH("sprayer",E276)),ISNUMBER(SEARCH("mower",E276)),ISNUMBER(SEARCH("sweeper",E276)),ISNUMBER(SEARCH("pruner",E276)),ISNUMBER(SEARCH("trimmer",E276)),ISNUMBER(SEARCH("pole saw",E276))),"Garden Equipment",
TRUE,"Other"
)</f>
        <v>Lawn Fertilizer</v>
      </c>
      <c r="I276" s="7" t="str" cm="1">
        <f t="array" ref="I276">_xlfn.IFS(
OR(ISNUMBER(SEARCH("glue trap",E276)),ISNUMBER(SEARCH("glue board",E276))),"Glue Traps",
OR(ISNUMBER(SEARCH("snap trap",E276)),ISNUMBER(SEARCH("power-kill",E276)),ISNUMBER(SEARCH("wide pedal",E276)),ISNUMBER(SEARCH("metal pedal",E276))),"Snap Traps",
OR(ISNUMBER(SEARCH("electronic",E276)),ISNUMBER(SEARCH("zapper",E276))),"Electronic Traps",
OR(ISNUMBER(SEARCH("live catch",E276)),ISNUMBER(SEARCH("multi-catch",E276)),ISNUMBER(SEARCH("catch &amp; hold",E276)),ISNUMBER(SEARCH("tin cat",E276))),"Live Catch Traps",
OR(ISNUMBER(SEARCH("bait",E276)),ISNUMBER(SEARCH("poison",E276))),"Bait &amp; Poison",
ISNUMBER(SEARCH("repellent",E276)),"Repellents",
OR(ISNUMBER(SEARCH("fly trap",E276)),ISNUMBER(SEARCH("fly ribbon",E276)),ISNUMBER(SEARCH("fly stick",E276)),ISNUMBER(SEARCH("window fly",E276)),ISNUMBER(SEARCH("fly magnet",E276))),"Fly Traps",
OR(ISNUMBER(SEARCH("uv",E276)),ISNUMBER(SEARCH("fly light",E276)),ISNUMBER(SEARCH("plug-in",E276))),"UV Fly Traps",
ISNUMBER(SEARCH("roach",E276)),"Roach Traps",
ISNUMBER(SEARCH("ant",E276)),"Ant Traps",
ISNUMBER(SEARCH("spider",E276)),"Spider Traps",
ISNUMBER(SEARCH("mosquito",E276)),"Mosquito Traps",
ISNUMBER(SEARCH("beetle",E276)),"Beetle Traps",
ISNUMBER(SEARCH("lantern",E276)),"Lanternfly Control",
OR(ISNUMBER(SEARCH("tree shield",E276)),ISNUMBER(SEARCH("tree banding",E276)),ISNUMBER(SEARCH("insect barrier",E276))),"Tree Barriers",
OR(ISNUMBER(SEARCH("sun &amp; shade",E276)),ISNUMBER(SEARCH("sun and shade",E276))),"Sun &amp; Shade Mix",
ISNUMBER(SEARCH("tall fescue",E276)),"Tall Fescue",
ISNUMBER(SEARCH("bermudagrass",E276)),"Bermudagrass",
ISNUMBER(SEARCH("kentucky",E276)),"Kentucky Bluegrass",
ISNUMBER(SEARCH("zoysia",E276)),"Zoysia",
ISNUMBER(SEARCH("ryegrass",E276)),"Perennial Ryegrass",
ISNUMBER(SEARCH("centipede",E276)),"Centipede Grass",
ISNUMBER(SEARCH("dense shade",E276)),"Dense Shade Mix",
ISNUMBER(SEARCH("southern gold",E276)),"Southern Gold Mix",
ISNUMBER(SEARCH("heat-tolerant blue",E276)),"Heat-Tolerant Blue Mix",
ISNUMBER(SEARCH("high traffic",E276)),"High Traffic Mix",
ISNUMBER(SEARCH("quick fix",E276)),"Quick Fix Mix",
ISNUMBER(SEARCH("starter",E276)),"Starter Fertilizer",
ISNUMBER(SEARCH("weed &amp; feed",E276)),"Weed &amp; Feed",
ISNUMBER(SEARCH("lawn food",E276)),"Lawn Food",
ISNUMBER(SEARCH("triple action",E276)),"Triple Action Fertilizer",
ISNUMBER(SEARCH("green max",E276)),"Green Max Lawn Food",
ISNUMBER(SEARCH("patchmaster",E276)),"PatchMaster Repair",
ISNUMBER(SEARCH("ez seed",E276)),"EZ Seed Repair",
ISNUMBER(SEARCH("rapid grass",E276)),"Rapid Grass",
ISNUMBER(SEARCH("thick'r lawn",E276)),"Thick'R Lawn",
ISNUMBER(SEARCH("fungicide",E276)),"Fungicide",
ISNUMBER(SEARCH("moss",E276)),"Moss Control",
ISNUMBER(SEARCH("perlite",E276)),"Perlite",
ISNUMBER(SEARCH("plant food",E276)),"Plant Food",
ISNUMBER(SEARCH("spreader",E276)),"Spreader",
ISNUMBER(SEARCH("sprayer",E276)),"Sprayer",
ISNUMBER(SEARCH("mower",E276)),"Lawn Mower",
ISNUMBER(SEARCH("sweeper",E276)),"Lawn Sweeper",
OR(ISNUMBER(SEARCH("pruner",E276)),ISNUMBER(SEARCH("trimmer",E276)),ISNUMBER(SEARCH("pole saw",E276))),"Pruning Tools",
TRUE,"Other"
)</f>
        <v>Spreader</v>
      </c>
      <c r="J276" s="7" t="str">
        <f t="shared" si="70"/>
        <v>Lawn Fertilizer - Spreader</v>
      </c>
      <c r="K276" s="4">
        <v>50</v>
      </c>
      <c r="L276" s="4">
        <v>4.4000000000000004</v>
      </c>
      <c r="M276" s="4">
        <v>662</v>
      </c>
      <c r="O276" s="4">
        <f>VLOOKUP(A276,[3]Sheet1!$A:$B,2,0)</f>
        <v>60</v>
      </c>
      <c r="P276" s="4">
        <f>VLOOKUP(A276,[3]Sheet1!$A:$C,3,0)</f>
        <v>0</v>
      </c>
      <c r="Q276" s="4">
        <f>VLOOKUP(A276,[3]Sheet1!$A:$D,4,0)</f>
        <v>0</v>
      </c>
      <c r="R276" s="4">
        <f>VLOOKUP(A276,[3]Sheet1!$A:$E,5,0)</f>
        <v>0</v>
      </c>
      <c r="S276" s="4">
        <f>VLOOKUP(A276,[3]Sheet1!$A:$F,6,0)</f>
        <v>0</v>
      </c>
      <c r="T276" s="4">
        <f>VLOOKUP(A276,[3]Sheet1!$A:$G,7,0)</f>
        <v>60</v>
      </c>
      <c r="U276" s="4">
        <f>VLOOKUP(A276,[3]Sheet1!$A:$I,8,0)</f>
        <v>60</v>
      </c>
      <c r="V276" s="4">
        <f>VLOOKUP(A276,[3]Sheet1!$A:$J,9,0)</f>
        <v>60</v>
      </c>
      <c r="W276" s="4">
        <f>VLOOKUP(A276,[3]Sheet1!$A:$J,10,0)</f>
        <v>60</v>
      </c>
      <c r="X276" s="4">
        <f>VLOOKUP(A276,[3]Sheet1!$A:$K,11,0)</f>
        <v>400</v>
      </c>
      <c r="Y276" s="4">
        <f>VLOOKUP(A276,[3]Sheet1!$A:$L,12,0)</f>
        <v>200</v>
      </c>
      <c r="Z276" s="4">
        <f>VLOOKUP(A276,[3]Sheet1!$A:$M,13,0)</f>
        <v>200</v>
      </c>
      <c r="AA276" s="4">
        <f t="shared" si="64"/>
        <v>1100</v>
      </c>
      <c r="AB276" s="7">
        <f t="shared" si="71"/>
        <v>92</v>
      </c>
      <c r="AC276" s="15">
        <f t="shared" si="65"/>
        <v>91.666666666666671</v>
      </c>
      <c r="AD276" s="16">
        <f t="shared" si="66"/>
        <v>49918</v>
      </c>
      <c r="AE276" s="16">
        <f t="shared" si="67"/>
        <v>4159.8333333333339</v>
      </c>
      <c r="AF276" s="16">
        <v>8.5399999999999991</v>
      </c>
      <c r="AG276" s="16">
        <v>45.38</v>
      </c>
      <c r="AH276" s="8">
        <f t="shared" si="68"/>
        <v>0.5741333333333335</v>
      </c>
      <c r="AI276" s="8">
        <f t="shared" si="69"/>
        <v>2.009466666666667</v>
      </c>
      <c r="AJ276" s="10">
        <v>0.5</v>
      </c>
      <c r="AK276" s="10">
        <v>0.5</v>
      </c>
      <c r="AL276" s="16">
        <v>8.5399999999999991</v>
      </c>
      <c r="AM276" s="9">
        <f t="shared" si="72"/>
        <v>6.8070000000000004</v>
      </c>
      <c r="AN276" s="9">
        <f t="shared" si="73"/>
        <v>1.3613999999999999</v>
      </c>
      <c r="AO276" s="9">
        <f t="shared" si="74"/>
        <v>9.0760000000000005</v>
      </c>
      <c r="AP276" s="9">
        <f t="shared" si="75"/>
        <v>0.90760000000000007</v>
      </c>
      <c r="AQ276" s="9">
        <f t="shared" si="76"/>
        <v>9.0760000000000005</v>
      </c>
      <c r="AR276" s="9">
        <f t="shared" si="77"/>
        <v>11.345000000000001</v>
      </c>
      <c r="AS276" s="11">
        <f t="shared" si="78"/>
        <v>5.7413333333333343</v>
      </c>
      <c r="AT276" s="12">
        <f t="shared" si="79"/>
        <v>4.2286666666666681</v>
      </c>
    </row>
    <row r="277" spans="1:46" ht="16.5" x14ac:dyDescent="0.4">
      <c r="A277" s="4" t="s">
        <v>1270</v>
      </c>
      <c r="B277" s="4" t="s">
        <v>513</v>
      </c>
      <c r="C277" s="7" t="s">
        <v>1793</v>
      </c>
      <c r="D277" s="4" t="s">
        <v>1271</v>
      </c>
      <c r="E277" s="4" t="s">
        <v>1272</v>
      </c>
      <c r="F277" s="4" t="s">
        <v>1273</v>
      </c>
      <c r="G277" s="7" t="str">
        <f>VLOOKUP(A277,[1]done!$A:$I,9,0)</f>
        <v>Insecticide/Fungicide</v>
      </c>
      <c r="H277" s="7" t="str" cm="1">
        <f t="array" ref="H277">_xlfn.IFS(
OR(ISNUMBER(SEARCH("mouse",E277)),ISNUMBER(SEARCH("rat",E277)),ISNUMBER(SEARCH("mice",E277)),ISNUMBER(SEARCH("rodent",E277))),"Rodent Control",
OR(ISNUMBER(SEARCH("fly",E277)),ISNUMBER(SEARCH("gnat",E277)),ISNUMBER(SEARCH("insect",E277)),ISNUMBER(SEARCH("mosquito",E277))),"Flying Insect Control",
OR(ISNUMBER(SEARCH("roach",E277)),ISNUMBER(SEARCH("ant",E277)),ISNUMBER(SEARCH("spider",E277)),ISNUMBER(SEARCH("cricket",E277)),ISNUMBER(SEARCH("scorpion",E277)),ISNUMBER(SEARCH("centipede",E277)),ISNUMBER(SEARCH("beetle",E277))),"Crawling Insect Control",
OR(ISNUMBER(SEARCH("tree",E277)),ISNUMBER(SEARCH("lantern",E277)),ISNUMBER(SEARCH("garden",E277)),ISNUMBER(SEARCH("plant",E277))),"Garden Pest Control",
OR(ISNUMBER(SEARCH("grass seed",E277)),ISNUMBER(SEARCH("seed mix",E277))),"Grass Seed",
OR(ISNUMBER(SEARCH("lawn food",E277)),ISNUMBER(SEARCH("fertilizer",E277))),"Lawn Fertilizer",
OR(ISNUMBER(SEARCH("patch",E277)),ISNUMBER(SEARCH("repair",E277)),ISNUMBER(SEARCH("thick'r",E277)),ISNUMBER(SEARCH("thick'r lawn",E277)),ISNUMBER(SEARCH("rapid grass",E277))),"Lawn Repair",
OR(ISNUMBER(SEARCH("weed",E277)),ISNUMBER(SEARCH("crabgrass",E277))),"Weed Control",
OR(ISNUMBER(SEARCH("fungicide",E277)),ISNUMBER(SEARCH("moss",E277))),"Disease &amp; Moss Control",
OR(ISNUMBER(SEARCH("plant food",E277)),ISNUMBER(SEARCH("miracid",E277))),"Plant Nutrition",
OR(ISNUMBER(SEARCH("perlite",E277))),"Soil Amendment",
OR(ISNUMBER(SEARCH("spreader",E277)),ISNUMBER(SEARCH("sprayer",E277)),ISNUMBER(SEARCH("mower",E277)),ISNUMBER(SEARCH("sweeper",E277)),ISNUMBER(SEARCH("pruner",E277)),ISNUMBER(SEARCH("trimmer",E277)),ISNUMBER(SEARCH("pole saw",E277))),"Garden Equipment",
TRUE,"Other"
)</f>
        <v>Other</v>
      </c>
      <c r="I277" s="7" t="str" cm="1">
        <f t="array" ref="I277">_xlfn.IFS(
OR(ISNUMBER(SEARCH("glue trap",E277)),ISNUMBER(SEARCH("glue board",E277))),"Glue Traps",
OR(ISNUMBER(SEARCH("snap trap",E277)),ISNUMBER(SEARCH("power-kill",E277)),ISNUMBER(SEARCH("wide pedal",E277)),ISNUMBER(SEARCH("metal pedal",E277))),"Snap Traps",
OR(ISNUMBER(SEARCH("electronic",E277)),ISNUMBER(SEARCH("zapper",E277))),"Electronic Traps",
OR(ISNUMBER(SEARCH("live catch",E277)),ISNUMBER(SEARCH("multi-catch",E277)),ISNUMBER(SEARCH("catch &amp; hold",E277)),ISNUMBER(SEARCH("tin cat",E277))),"Live Catch Traps",
OR(ISNUMBER(SEARCH("bait",E277)),ISNUMBER(SEARCH("poison",E277))),"Bait &amp; Poison",
ISNUMBER(SEARCH("repellent",E277)),"Repellents",
OR(ISNUMBER(SEARCH("fly trap",E277)),ISNUMBER(SEARCH("fly ribbon",E277)),ISNUMBER(SEARCH("fly stick",E277)),ISNUMBER(SEARCH("window fly",E277)),ISNUMBER(SEARCH("fly magnet",E277))),"Fly Traps",
OR(ISNUMBER(SEARCH("uv",E277)),ISNUMBER(SEARCH("fly light",E277)),ISNUMBER(SEARCH("plug-in",E277))),"UV Fly Traps",
ISNUMBER(SEARCH("roach",E277)),"Roach Traps",
ISNUMBER(SEARCH("ant",E277)),"Ant Traps",
ISNUMBER(SEARCH("spider",E277)),"Spider Traps",
ISNUMBER(SEARCH("mosquito",E277)),"Mosquito Traps",
ISNUMBER(SEARCH("beetle",E277)),"Beetle Traps",
ISNUMBER(SEARCH("lantern",E277)),"Lanternfly Control",
OR(ISNUMBER(SEARCH("tree shield",E277)),ISNUMBER(SEARCH("tree banding",E277)),ISNUMBER(SEARCH("insect barrier",E277))),"Tree Barriers",
OR(ISNUMBER(SEARCH("sun &amp; shade",E277)),ISNUMBER(SEARCH("sun and shade",E277))),"Sun &amp; Shade Mix",
ISNUMBER(SEARCH("tall fescue",E277)),"Tall Fescue",
ISNUMBER(SEARCH("bermudagrass",E277)),"Bermudagrass",
ISNUMBER(SEARCH("kentucky",E277)),"Kentucky Bluegrass",
ISNUMBER(SEARCH("zoysia",E277)),"Zoysia",
ISNUMBER(SEARCH("ryegrass",E277)),"Perennial Ryegrass",
ISNUMBER(SEARCH("centipede",E277)),"Centipede Grass",
ISNUMBER(SEARCH("dense shade",E277)),"Dense Shade Mix",
ISNUMBER(SEARCH("southern gold",E277)),"Southern Gold Mix",
ISNUMBER(SEARCH("heat-tolerant blue",E277)),"Heat-Tolerant Blue Mix",
ISNUMBER(SEARCH("high traffic",E277)),"High Traffic Mix",
ISNUMBER(SEARCH("quick fix",E277)),"Quick Fix Mix",
ISNUMBER(SEARCH("starter",E277)),"Starter Fertilizer",
ISNUMBER(SEARCH("weed &amp; feed",E277)),"Weed &amp; Feed",
ISNUMBER(SEARCH("lawn food",E277)),"Lawn Food",
ISNUMBER(SEARCH("triple action",E277)),"Triple Action Fertilizer",
ISNUMBER(SEARCH("green max",E277)),"Green Max Lawn Food",
ISNUMBER(SEARCH("patchmaster",E277)),"PatchMaster Repair",
ISNUMBER(SEARCH("ez seed",E277)),"EZ Seed Repair",
ISNUMBER(SEARCH("rapid grass",E277)),"Rapid Grass",
ISNUMBER(SEARCH("thick'r lawn",E277)),"Thick'R Lawn",
ISNUMBER(SEARCH("fungicide",E277)),"Fungicide",
ISNUMBER(SEARCH("moss",E277)),"Moss Control",
ISNUMBER(SEARCH("perlite",E277)),"Perlite",
ISNUMBER(SEARCH("plant food",E277)),"Plant Food",
ISNUMBER(SEARCH("spreader",E277)),"Spreader",
ISNUMBER(SEARCH("sprayer",E277)),"Sprayer",
ISNUMBER(SEARCH("mower",E277)),"Lawn Mower",
ISNUMBER(SEARCH("sweeper",E277)),"Lawn Sweeper",
OR(ISNUMBER(SEARCH("pruner",E277)),ISNUMBER(SEARCH("trimmer",E277)),ISNUMBER(SEARCH("pole saw",E277))),"Pruning Tools",
TRUE,"Other"
)</f>
        <v>Other</v>
      </c>
      <c r="J277" s="7" t="str">
        <f t="shared" si="70"/>
        <v>Other - Other</v>
      </c>
      <c r="K277" s="4">
        <v>50</v>
      </c>
      <c r="L277" s="4">
        <v>4.5999999999999996</v>
      </c>
      <c r="M277" s="4">
        <v>37</v>
      </c>
      <c r="N277" s="4" t="s">
        <v>1274</v>
      </c>
      <c r="O277" s="4">
        <f>VLOOKUP(A277,[3]Sheet1!$A:$B,2,0)</f>
        <v>0</v>
      </c>
      <c r="P277" s="4">
        <f>VLOOKUP(A277,[3]Sheet1!$A:$C,3,0)</f>
        <v>0</v>
      </c>
      <c r="Q277" s="4">
        <f>VLOOKUP(A277,[3]Sheet1!$A:$D,4,0)</f>
        <v>0</v>
      </c>
      <c r="R277" s="4">
        <f>VLOOKUP(A277,[3]Sheet1!$A:$E,5,0)</f>
        <v>0</v>
      </c>
      <c r="S277" s="4">
        <f>VLOOKUP(A277,[3]Sheet1!$A:$F,6,0)</f>
        <v>0</v>
      </c>
      <c r="T277" s="4">
        <f>VLOOKUP(A277,[3]Sheet1!$A:$G,7,0)</f>
        <v>0</v>
      </c>
      <c r="U277" s="4">
        <f>VLOOKUP(A277,[3]Sheet1!$A:$I,8,0)</f>
        <v>0</v>
      </c>
      <c r="V277" s="4">
        <f>VLOOKUP(A277,[3]Sheet1!$A:$J,9,0)</f>
        <v>0</v>
      </c>
      <c r="W277" s="4">
        <f>VLOOKUP(A277,[3]Sheet1!$A:$J,10,0)</f>
        <v>50</v>
      </c>
      <c r="X277" s="4">
        <f>VLOOKUP(A277,[3]Sheet1!$A:$K,11,0)</f>
        <v>50</v>
      </c>
      <c r="Y277" s="4">
        <f>VLOOKUP(A277,[3]Sheet1!$A:$L,12,0)</f>
        <v>0</v>
      </c>
      <c r="Z277" s="4">
        <f>VLOOKUP(A277,[3]Sheet1!$A:$M,13,0)</f>
        <v>0</v>
      </c>
      <c r="AA277" s="4">
        <f t="shared" si="64"/>
        <v>100</v>
      </c>
      <c r="AB277" s="7">
        <f t="shared" si="71"/>
        <v>8</v>
      </c>
      <c r="AC277" s="15">
        <f t="shared" si="65"/>
        <v>8.3333333333333339</v>
      </c>
      <c r="AD277" s="16">
        <f t="shared" si="66"/>
        <v>9200</v>
      </c>
      <c r="AE277" s="16">
        <f t="shared" si="67"/>
        <v>766.66666666666674</v>
      </c>
      <c r="AF277" s="16">
        <v>14.9</v>
      </c>
      <c r="AG277" s="16">
        <v>92</v>
      </c>
      <c r="AH277" s="8">
        <f t="shared" si="68"/>
        <v>1.3933333333333331</v>
      </c>
      <c r="AI277" s="8">
        <f t="shared" si="69"/>
        <v>4.8766666666666652</v>
      </c>
      <c r="AJ277" s="10">
        <v>0.5</v>
      </c>
      <c r="AK277" s="10">
        <v>0.5</v>
      </c>
      <c r="AL277" s="16">
        <v>14.9</v>
      </c>
      <c r="AM277" s="9">
        <f t="shared" si="72"/>
        <v>13.799999999999999</v>
      </c>
      <c r="AN277" s="9">
        <f t="shared" si="73"/>
        <v>2.76</v>
      </c>
      <c r="AO277" s="9">
        <f t="shared" si="74"/>
        <v>18.400000000000002</v>
      </c>
      <c r="AP277" s="9">
        <f t="shared" si="75"/>
        <v>1.84</v>
      </c>
      <c r="AQ277" s="9">
        <f t="shared" si="76"/>
        <v>18.400000000000002</v>
      </c>
      <c r="AR277" s="9">
        <f t="shared" si="77"/>
        <v>23</v>
      </c>
      <c r="AS277" s="11">
        <f t="shared" si="78"/>
        <v>13.93333333333333</v>
      </c>
      <c r="AT277" s="12">
        <f t="shared" si="79"/>
        <v>10.866666666666665</v>
      </c>
    </row>
    <row r="278" spans="1:46" ht="16.5" x14ac:dyDescent="0.4">
      <c r="A278" s="4" t="s">
        <v>1275</v>
      </c>
      <c r="B278" s="4" t="s">
        <v>513</v>
      </c>
      <c r="C278" s="7" t="s">
        <v>1791</v>
      </c>
      <c r="D278" s="4" t="s">
        <v>1276</v>
      </c>
      <c r="E278" s="4" t="s">
        <v>1277</v>
      </c>
      <c r="F278" s="4" t="s">
        <v>1278</v>
      </c>
      <c r="G278" s="7" t="str">
        <f>VLOOKUP(A278,[1]done!$A:$I,9,0)</f>
        <v>Other - Scotts</v>
      </c>
      <c r="H278" s="7" t="str" cm="1">
        <f t="array" ref="H278">_xlfn.IFS(
OR(ISNUMBER(SEARCH("mouse",E278)),ISNUMBER(SEARCH("rat",E278)),ISNUMBER(SEARCH("mice",E278)),ISNUMBER(SEARCH("rodent",E278))),"Rodent Control",
OR(ISNUMBER(SEARCH("fly",E278)),ISNUMBER(SEARCH("gnat",E278)),ISNUMBER(SEARCH("insect",E278)),ISNUMBER(SEARCH("mosquito",E278))),"Flying Insect Control",
OR(ISNUMBER(SEARCH("roach",E278)),ISNUMBER(SEARCH("ant",E278)),ISNUMBER(SEARCH("spider",E278)),ISNUMBER(SEARCH("cricket",E278)),ISNUMBER(SEARCH("scorpion",E278)),ISNUMBER(SEARCH("centipede",E278)),ISNUMBER(SEARCH("beetle",E278))),"Crawling Insect Control",
OR(ISNUMBER(SEARCH("tree",E278)),ISNUMBER(SEARCH("lantern",E278)),ISNUMBER(SEARCH("garden",E278)),ISNUMBER(SEARCH("plant",E278))),"Garden Pest Control",
OR(ISNUMBER(SEARCH("grass seed",E278)),ISNUMBER(SEARCH("seed mix",E278))),"Grass Seed",
OR(ISNUMBER(SEARCH("lawn food",E278)),ISNUMBER(SEARCH("fertilizer",E278))),"Lawn Fertilizer",
OR(ISNUMBER(SEARCH("patch",E278)),ISNUMBER(SEARCH("repair",E278)),ISNUMBER(SEARCH("thick'r",E278)),ISNUMBER(SEARCH("thick'r lawn",E278)),ISNUMBER(SEARCH("rapid grass",E278))),"Lawn Repair",
OR(ISNUMBER(SEARCH("weed",E278)),ISNUMBER(SEARCH("crabgrass",E278))),"Weed Control",
OR(ISNUMBER(SEARCH("fungicide",E278)),ISNUMBER(SEARCH("moss",E278))),"Disease &amp; Moss Control",
OR(ISNUMBER(SEARCH("plant food",E278)),ISNUMBER(SEARCH("miracid",E278))),"Plant Nutrition",
OR(ISNUMBER(SEARCH("perlite",E278))),"Soil Amendment",
OR(ISNUMBER(SEARCH("spreader",E278)),ISNUMBER(SEARCH("sprayer",E278)),ISNUMBER(SEARCH("mower",E278)),ISNUMBER(SEARCH("sweeper",E278)),ISNUMBER(SEARCH("pruner",E278)),ISNUMBER(SEARCH("trimmer",E278)),ISNUMBER(SEARCH("pole saw",E278))),"Garden Equipment",
TRUE,"Other"
)</f>
        <v>Garden Equipment</v>
      </c>
      <c r="I278" s="7" t="str" cm="1">
        <f t="array" ref="I278">_xlfn.IFS(
OR(ISNUMBER(SEARCH("glue trap",E278)),ISNUMBER(SEARCH("glue board",E278))),"Glue Traps",
OR(ISNUMBER(SEARCH("snap trap",E278)),ISNUMBER(SEARCH("power-kill",E278)),ISNUMBER(SEARCH("wide pedal",E278)),ISNUMBER(SEARCH("metal pedal",E278))),"Snap Traps",
OR(ISNUMBER(SEARCH("electronic",E278)),ISNUMBER(SEARCH("zapper",E278))),"Electronic Traps",
OR(ISNUMBER(SEARCH("live catch",E278)),ISNUMBER(SEARCH("multi-catch",E278)),ISNUMBER(SEARCH("catch &amp; hold",E278)),ISNUMBER(SEARCH("tin cat",E278))),"Live Catch Traps",
OR(ISNUMBER(SEARCH("bait",E278)),ISNUMBER(SEARCH("poison",E278))),"Bait &amp; Poison",
ISNUMBER(SEARCH("repellent",E278)),"Repellents",
OR(ISNUMBER(SEARCH("fly trap",E278)),ISNUMBER(SEARCH("fly ribbon",E278)),ISNUMBER(SEARCH("fly stick",E278)),ISNUMBER(SEARCH("window fly",E278)),ISNUMBER(SEARCH("fly magnet",E278))),"Fly Traps",
OR(ISNUMBER(SEARCH("uv",E278)),ISNUMBER(SEARCH("fly light",E278)),ISNUMBER(SEARCH("plug-in",E278))),"UV Fly Traps",
ISNUMBER(SEARCH("roach",E278)),"Roach Traps",
ISNUMBER(SEARCH("ant",E278)),"Ant Traps",
ISNUMBER(SEARCH("spider",E278)),"Spider Traps",
ISNUMBER(SEARCH("mosquito",E278)),"Mosquito Traps",
ISNUMBER(SEARCH("beetle",E278)),"Beetle Traps",
ISNUMBER(SEARCH("lantern",E278)),"Lanternfly Control",
OR(ISNUMBER(SEARCH("tree shield",E278)),ISNUMBER(SEARCH("tree banding",E278)),ISNUMBER(SEARCH("insect barrier",E278))),"Tree Barriers",
OR(ISNUMBER(SEARCH("sun &amp; shade",E278)),ISNUMBER(SEARCH("sun and shade",E278))),"Sun &amp; Shade Mix",
ISNUMBER(SEARCH("tall fescue",E278)),"Tall Fescue",
ISNUMBER(SEARCH("bermudagrass",E278)),"Bermudagrass",
ISNUMBER(SEARCH("kentucky",E278)),"Kentucky Bluegrass",
ISNUMBER(SEARCH("zoysia",E278)),"Zoysia",
ISNUMBER(SEARCH("ryegrass",E278)),"Perennial Ryegrass",
ISNUMBER(SEARCH("centipede",E278)),"Centipede Grass",
ISNUMBER(SEARCH("dense shade",E278)),"Dense Shade Mix",
ISNUMBER(SEARCH("southern gold",E278)),"Southern Gold Mix",
ISNUMBER(SEARCH("heat-tolerant blue",E278)),"Heat-Tolerant Blue Mix",
ISNUMBER(SEARCH("high traffic",E278)),"High Traffic Mix",
ISNUMBER(SEARCH("quick fix",E278)),"Quick Fix Mix",
ISNUMBER(SEARCH("starter",E278)),"Starter Fertilizer",
ISNUMBER(SEARCH("weed &amp; feed",E278)),"Weed &amp; Feed",
ISNUMBER(SEARCH("lawn food",E278)),"Lawn Food",
ISNUMBER(SEARCH("triple action",E278)),"Triple Action Fertilizer",
ISNUMBER(SEARCH("green max",E278)),"Green Max Lawn Food",
ISNUMBER(SEARCH("patchmaster",E278)),"PatchMaster Repair",
ISNUMBER(SEARCH("ez seed",E278)),"EZ Seed Repair",
ISNUMBER(SEARCH("rapid grass",E278)),"Rapid Grass",
ISNUMBER(SEARCH("thick'r lawn",E278)),"Thick'R Lawn",
ISNUMBER(SEARCH("fungicide",E278)),"Fungicide",
ISNUMBER(SEARCH("moss",E278)),"Moss Control",
ISNUMBER(SEARCH("perlite",E278)),"Perlite",
ISNUMBER(SEARCH("plant food",E278)),"Plant Food",
ISNUMBER(SEARCH("spreader",E278)),"Spreader",
ISNUMBER(SEARCH("sprayer",E278)),"Sprayer",
ISNUMBER(SEARCH("mower",E278)),"Lawn Mower",
ISNUMBER(SEARCH("sweeper",E278)),"Lawn Sweeper",
OR(ISNUMBER(SEARCH("pruner",E278)),ISNUMBER(SEARCH("trimmer",E278)),ISNUMBER(SEARCH("pole saw",E278))),"Pruning Tools",
TRUE,"Other"
)</f>
        <v>Pruning Tools</v>
      </c>
      <c r="J278" s="7" t="str">
        <f t="shared" si="70"/>
        <v>Garden Equipment - Pruning Tools</v>
      </c>
      <c r="K278" s="4">
        <v>50</v>
      </c>
      <c r="L278" s="4">
        <v>4.5</v>
      </c>
      <c r="M278" s="4">
        <v>848</v>
      </c>
      <c r="N278" s="4" t="s">
        <v>1279</v>
      </c>
      <c r="O278" s="4">
        <f>VLOOKUP(A278,[3]Sheet1!$A:$B,2,0)</f>
        <v>50</v>
      </c>
      <c r="P278" s="4">
        <f>VLOOKUP(A278,[3]Sheet1!$A:$C,3,0)</f>
        <v>0</v>
      </c>
      <c r="Q278" s="4">
        <f>VLOOKUP(A278,[3]Sheet1!$A:$D,4,0)</f>
        <v>0</v>
      </c>
      <c r="R278" s="4">
        <f>VLOOKUP(A278,[3]Sheet1!$A:$E,5,0)</f>
        <v>50</v>
      </c>
      <c r="S278" s="4">
        <f>VLOOKUP(A278,[3]Sheet1!$A:$F,6,0)</f>
        <v>0</v>
      </c>
      <c r="T278" s="4">
        <f>VLOOKUP(A278,[3]Sheet1!$A:$G,7,0)</f>
        <v>0</v>
      </c>
      <c r="U278" s="4">
        <f>VLOOKUP(A278,[3]Sheet1!$A:$I,8,0)</f>
        <v>50</v>
      </c>
      <c r="V278" s="4">
        <f>VLOOKUP(A278,[3]Sheet1!$A:$J,9,0)</f>
        <v>0</v>
      </c>
      <c r="W278" s="4">
        <f>VLOOKUP(A278,[3]Sheet1!$A:$J,10,0)</f>
        <v>50</v>
      </c>
      <c r="X278" s="4">
        <f>VLOOKUP(A278,[3]Sheet1!$A:$K,11,0)</f>
        <v>50</v>
      </c>
      <c r="Y278" s="4">
        <f>VLOOKUP(A278,[3]Sheet1!$A:$L,12,0)</f>
        <v>50</v>
      </c>
      <c r="Z278" s="4">
        <f>VLOOKUP(A278,[3]Sheet1!$A:$M,13,0)</f>
        <v>50</v>
      </c>
      <c r="AA278" s="4">
        <f t="shared" si="64"/>
        <v>350</v>
      </c>
      <c r="AB278" s="7">
        <f t="shared" si="71"/>
        <v>29</v>
      </c>
      <c r="AC278" s="15">
        <f t="shared" si="65"/>
        <v>29.166666666666668</v>
      </c>
      <c r="AD278" s="16">
        <f t="shared" si="66"/>
        <v>25371.5</v>
      </c>
      <c r="AE278" s="16">
        <f t="shared" si="67"/>
        <v>2114.2916666666665</v>
      </c>
      <c r="AF278" s="16">
        <v>6.86</v>
      </c>
      <c r="AG278" s="16">
        <v>72.489999999999995</v>
      </c>
      <c r="AH278" s="8">
        <f t="shared" si="68"/>
        <v>1.4090666666666665</v>
      </c>
      <c r="AI278" s="8">
        <f t="shared" si="69"/>
        <v>4.931733333333332</v>
      </c>
      <c r="AJ278" s="10">
        <v>0.5</v>
      </c>
      <c r="AK278" s="10">
        <v>0.5</v>
      </c>
      <c r="AL278" s="16">
        <v>6.86</v>
      </c>
      <c r="AM278" s="9">
        <f t="shared" si="72"/>
        <v>10.873499999999998</v>
      </c>
      <c r="AN278" s="9">
        <f t="shared" si="73"/>
        <v>2.1746999999999996</v>
      </c>
      <c r="AO278" s="9">
        <f t="shared" si="74"/>
        <v>14.497999999999999</v>
      </c>
      <c r="AP278" s="9">
        <f t="shared" si="75"/>
        <v>1.4498</v>
      </c>
      <c r="AQ278" s="9">
        <f t="shared" si="76"/>
        <v>14.497999999999999</v>
      </c>
      <c r="AR278" s="9">
        <f t="shared" si="77"/>
        <v>18.122499999999999</v>
      </c>
      <c r="AS278" s="11">
        <f t="shared" si="78"/>
        <v>14.090666666666664</v>
      </c>
      <c r="AT278" s="12">
        <f t="shared" si="79"/>
        <v>11.67433333333333</v>
      </c>
    </row>
    <row r="279" spans="1:46" ht="16.5" x14ac:dyDescent="0.4">
      <c r="A279" s="4" t="s">
        <v>1280</v>
      </c>
      <c r="B279" s="4" t="s">
        <v>513</v>
      </c>
      <c r="C279" s="7" t="s">
        <v>1784</v>
      </c>
      <c r="D279" s="4" t="s">
        <v>1281</v>
      </c>
      <c r="E279" s="4" t="s">
        <v>1282</v>
      </c>
      <c r="F279" s="4" t="s">
        <v>1283</v>
      </c>
      <c r="G279" s="7" t="str">
        <f>VLOOKUP(A279,[1]done!$A:$I,9,0)</f>
        <v>Lawn Fertilizer</v>
      </c>
      <c r="H279" s="7" t="str" cm="1">
        <f t="array" ref="H279">_xlfn.IFS(
OR(ISNUMBER(SEARCH("mouse",E279)),ISNUMBER(SEARCH("rat",E279)),ISNUMBER(SEARCH("mice",E279)),ISNUMBER(SEARCH("rodent",E279))),"Rodent Control",
OR(ISNUMBER(SEARCH("fly",E279)),ISNUMBER(SEARCH("gnat",E279)),ISNUMBER(SEARCH("insect",E279)),ISNUMBER(SEARCH("mosquito",E279))),"Flying Insect Control",
OR(ISNUMBER(SEARCH("roach",E279)),ISNUMBER(SEARCH("ant",E279)),ISNUMBER(SEARCH("spider",E279)),ISNUMBER(SEARCH("cricket",E279)),ISNUMBER(SEARCH("scorpion",E279)),ISNUMBER(SEARCH("centipede",E279)),ISNUMBER(SEARCH("beetle",E279))),"Crawling Insect Control",
OR(ISNUMBER(SEARCH("tree",E279)),ISNUMBER(SEARCH("lantern",E279)),ISNUMBER(SEARCH("garden",E279)),ISNUMBER(SEARCH("plant",E279))),"Garden Pest Control",
OR(ISNUMBER(SEARCH("grass seed",E279)),ISNUMBER(SEARCH("seed mix",E279))),"Grass Seed",
OR(ISNUMBER(SEARCH("lawn food",E279)),ISNUMBER(SEARCH("fertilizer",E279))),"Lawn Fertilizer",
OR(ISNUMBER(SEARCH("patch",E279)),ISNUMBER(SEARCH("repair",E279)),ISNUMBER(SEARCH("thick'r",E279)),ISNUMBER(SEARCH("thick'r lawn",E279)),ISNUMBER(SEARCH("rapid grass",E279))),"Lawn Repair",
OR(ISNUMBER(SEARCH("weed",E279)),ISNUMBER(SEARCH("crabgrass",E279))),"Weed Control",
OR(ISNUMBER(SEARCH("fungicide",E279)),ISNUMBER(SEARCH("moss",E279))),"Disease &amp; Moss Control",
OR(ISNUMBER(SEARCH("plant food",E279)),ISNUMBER(SEARCH("miracid",E279))),"Plant Nutrition",
OR(ISNUMBER(SEARCH("perlite",E279))),"Soil Amendment",
OR(ISNUMBER(SEARCH("spreader",E279)),ISNUMBER(SEARCH("sprayer",E279)),ISNUMBER(SEARCH("mower",E279)),ISNUMBER(SEARCH("sweeper",E279)),ISNUMBER(SEARCH("pruner",E279)),ISNUMBER(SEARCH("trimmer",E279)),ISNUMBER(SEARCH("pole saw",E279))),"Garden Equipment",
TRUE,"Other"
)</f>
        <v>Lawn Fertilizer</v>
      </c>
      <c r="I279" s="7" t="str" cm="1">
        <f t="array" ref="I279">_xlfn.IFS(
OR(ISNUMBER(SEARCH("glue trap",E279)),ISNUMBER(SEARCH("glue board",E279))),"Glue Traps",
OR(ISNUMBER(SEARCH("snap trap",E279)),ISNUMBER(SEARCH("power-kill",E279)),ISNUMBER(SEARCH("wide pedal",E279)),ISNUMBER(SEARCH("metal pedal",E279))),"Snap Traps",
OR(ISNUMBER(SEARCH("electronic",E279)),ISNUMBER(SEARCH("zapper",E279))),"Electronic Traps",
OR(ISNUMBER(SEARCH("live catch",E279)),ISNUMBER(SEARCH("multi-catch",E279)),ISNUMBER(SEARCH("catch &amp; hold",E279)),ISNUMBER(SEARCH("tin cat",E279))),"Live Catch Traps",
OR(ISNUMBER(SEARCH("bait",E279)),ISNUMBER(SEARCH("poison",E279))),"Bait &amp; Poison",
ISNUMBER(SEARCH("repellent",E279)),"Repellents",
OR(ISNUMBER(SEARCH("fly trap",E279)),ISNUMBER(SEARCH("fly ribbon",E279)),ISNUMBER(SEARCH("fly stick",E279)),ISNUMBER(SEARCH("window fly",E279)),ISNUMBER(SEARCH("fly magnet",E279))),"Fly Traps",
OR(ISNUMBER(SEARCH("uv",E279)),ISNUMBER(SEARCH("fly light",E279)),ISNUMBER(SEARCH("plug-in",E279))),"UV Fly Traps",
ISNUMBER(SEARCH("roach",E279)),"Roach Traps",
ISNUMBER(SEARCH("ant",E279)),"Ant Traps",
ISNUMBER(SEARCH("spider",E279)),"Spider Traps",
ISNUMBER(SEARCH("mosquito",E279)),"Mosquito Traps",
ISNUMBER(SEARCH("beetle",E279)),"Beetle Traps",
ISNUMBER(SEARCH("lantern",E279)),"Lanternfly Control",
OR(ISNUMBER(SEARCH("tree shield",E279)),ISNUMBER(SEARCH("tree banding",E279)),ISNUMBER(SEARCH("insect barrier",E279))),"Tree Barriers",
OR(ISNUMBER(SEARCH("sun &amp; shade",E279)),ISNUMBER(SEARCH("sun and shade",E279))),"Sun &amp; Shade Mix",
ISNUMBER(SEARCH("tall fescue",E279)),"Tall Fescue",
ISNUMBER(SEARCH("bermudagrass",E279)),"Bermudagrass",
ISNUMBER(SEARCH("kentucky",E279)),"Kentucky Bluegrass",
ISNUMBER(SEARCH("zoysia",E279)),"Zoysia",
ISNUMBER(SEARCH("ryegrass",E279)),"Perennial Ryegrass",
ISNUMBER(SEARCH("centipede",E279)),"Centipede Grass",
ISNUMBER(SEARCH("dense shade",E279)),"Dense Shade Mix",
ISNUMBER(SEARCH("southern gold",E279)),"Southern Gold Mix",
ISNUMBER(SEARCH("heat-tolerant blue",E279)),"Heat-Tolerant Blue Mix",
ISNUMBER(SEARCH("high traffic",E279)),"High Traffic Mix",
ISNUMBER(SEARCH("quick fix",E279)),"Quick Fix Mix",
ISNUMBER(SEARCH("starter",E279)),"Starter Fertilizer",
ISNUMBER(SEARCH("weed &amp; feed",E279)),"Weed &amp; Feed",
ISNUMBER(SEARCH("lawn food",E279)),"Lawn Food",
ISNUMBER(SEARCH("triple action",E279)),"Triple Action Fertilizer",
ISNUMBER(SEARCH("green max",E279)),"Green Max Lawn Food",
ISNUMBER(SEARCH("patchmaster",E279)),"PatchMaster Repair",
ISNUMBER(SEARCH("ez seed",E279)),"EZ Seed Repair",
ISNUMBER(SEARCH("rapid grass",E279)),"Rapid Grass",
ISNUMBER(SEARCH("thick'r lawn",E279)),"Thick'R Lawn",
ISNUMBER(SEARCH("fungicide",E279)),"Fungicide",
ISNUMBER(SEARCH("moss",E279)),"Moss Control",
ISNUMBER(SEARCH("perlite",E279)),"Perlite",
ISNUMBER(SEARCH("plant food",E279)),"Plant Food",
ISNUMBER(SEARCH("spreader",E279)),"Spreader",
ISNUMBER(SEARCH("sprayer",E279)),"Sprayer",
ISNUMBER(SEARCH("mower",E279)),"Lawn Mower",
ISNUMBER(SEARCH("sweeper",E279)),"Lawn Sweeper",
OR(ISNUMBER(SEARCH("pruner",E279)),ISNUMBER(SEARCH("trimmer",E279)),ISNUMBER(SEARCH("pole saw",E279))),"Pruning Tools",
TRUE,"Other"
)</f>
        <v>Lawn Food</v>
      </c>
      <c r="J279" s="7" t="str">
        <f t="shared" si="70"/>
        <v>Lawn Fertilizer - Lawn Food</v>
      </c>
      <c r="K279" s="4">
        <v>50</v>
      </c>
      <c r="L279" s="4">
        <v>5</v>
      </c>
      <c r="M279" s="4">
        <v>1</v>
      </c>
      <c r="N279" s="4" t="s">
        <v>1284</v>
      </c>
      <c r="O279" s="4">
        <f>VLOOKUP(A279,[3]Sheet1!$A:$B,2,0)</f>
        <v>0</v>
      </c>
      <c r="P279" s="4">
        <f>VLOOKUP(A279,[3]Sheet1!$A:$C,3,0)</f>
        <v>0</v>
      </c>
      <c r="Q279" s="4">
        <f>VLOOKUP(A279,[3]Sheet1!$A:$D,4,0)</f>
        <v>0</v>
      </c>
      <c r="R279" s="4">
        <f>VLOOKUP(A279,[3]Sheet1!$A:$E,5,0)</f>
        <v>0</v>
      </c>
      <c r="S279" s="4">
        <f>VLOOKUP(A279,[3]Sheet1!$A:$F,6,0)</f>
        <v>0</v>
      </c>
      <c r="T279" s="4">
        <f>VLOOKUP(A279,[3]Sheet1!$A:$G,7,0)</f>
        <v>0</v>
      </c>
      <c r="U279" s="4">
        <f>VLOOKUP(A279,[3]Sheet1!$A:$I,8,0)</f>
        <v>0</v>
      </c>
      <c r="V279" s="4">
        <f>VLOOKUP(A279,[3]Sheet1!$A:$J,9,0)</f>
        <v>0</v>
      </c>
      <c r="W279" s="4">
        <f>VLOOKUP(A279,[3]Sheet1!$A:$J,10,0)</f>
        <v>50</v>
      </c>
      <c r="X279" s="4">
        <f>VLOOKUP(A279,[3]Sheet1!$A:$K,11,0)</f>
        <v>0</v>
      </c>
      <c r="Y279" s="4">
        <f>VLOOKUP(A279,[3]Sheet1!$A:$L,12,0)</f>
        <v>0</v>
      </c>
      <c r="Z279" s="4">
        <f>VLOOKUP(A279,[3]Sheet1!$A:$M,13,0)</f>
        <v>0</v>
      </c>
      <c r="AA279" s="4">
        <f t="shared" si="64"/>
        <v>50</v>
      </c>
      <c r="AB279" s="7">
        <f t="shared" si="71"/>
        <v>4</v>
      </c>
      <c r="AC279" s="15">
        <f t="shared" si="65"/>
        <v>4.166666666666667</v>
      </c>
      <c r="AD279" s="16">
        <f t="shared" si="66"/>
        <v>3999.4999999999995</v>
      </c>
      <c r="AE279" s="16">
        <f t="shared" si="67"/>
        <v>333.29166666666669</v>
      </c>
      <c r="AF279" s="16">
        <v>28.66</v>
      </c>
      <c r="AG279" s="16">
        <v>79.989999999999995</v>
      </c>
      <c r="AH279" s="8">
        <f t="shared" si="68"/>
        <v>0.15573333333333289</v>
      </c>
      <c r="AI279" s="8">
        <f t="shared" si="69"/>
        <v>0.54506666666666503</v>
      </c>
      <c r="AJ279" s="10">
        <v>0.5</v>
      </c>
      <c r="AK279" s="10">
        <v>0.5</v>
      </c>
      <c r="AL279" s="16">
        <v>28.66</v>
      </c>
      <c r="AM279" s="9">
        <f t="shared" si="72"/>
        <v>11.998499999999998</v>
      </c>
      <c r="AN279" s="9">
        <f t="shared" si="73"/>
        <v>2.3996999999999997</v>
      </c>
      <c r="AO279" s="9">
        <f t="shared" si="74"/>
        <v>15.997999999999999</v>
      </c>
      <c r="AP279" s="9">
        <f t="shared" si="75"/>
        <v>1.5997999999999999</v>
      </c>
      <c r="AQ279" s="9">
        <f t="shared" si="76"/>
        <v>15.997999999999999</v>
      </c>
      <c r="AR279" s="9">
        <f t="shared" si="77"/>
        <v>19.997499999999999</v>
      </c>
      <c r="AS279" s="11">
        <f t="shared" si="78"/>
        <v>1.5573333333333288</v>
      </c>
      <c r="AT279" s="12">
        <f t="shared" si="79"/>
        <v>-1.1090000000000042</v>
      </c>
    </row>
    <row r="280" spans="1:46" ht="16.5" x14ac:dyDescent="0.4">
      <c r="A280" s="4" t="s">
        <v>1285</v>
      </c>
      <c r="B280" s="4" t="s">
        <v>513</v>
      </c>
      <c r="C280" s="7" t="s">
        <v>1784</v>
      </c>
      <c r="D280" s="4" t="s">
        <v>1286</v>
      </c>
      <c r="E280" s="4" t="s">
        <v>1287</v>
      </c>
      <c r="F280" s="4" t="s">
        <v>1288</v>
      </c>
      <c r="G280" s="7" t="str">
        <f>VLOOKUP(A280,[1]done!$A:$I,9,0)</f>
        <v>Lawn Fertilizer</v>
      </c>
      <c r="H280" s="7" t="str" cm="1">
        <f t="array" ref="H280">_xlfn.IFS(
OR(ISNUMBER(SEARCH("mouse",E280)),ISNUMBER(SEARCH("rat",E280)),ISNUMBER(SEARCH("mice",E280)),ISNUMBER(SEARCH("rodent",E280))),"Rodent Control",
OR(ISNUMBER(SEARCH("fly",E280)),ISNUMBER(SEARCH("gnat",E280)),ISNUMBER(SEARCH("insect",E280)),ISNUMBER(SEARCH("mosquito",E280))),"Flying Insect Control",
OR(ISNUMBER(SEARCH("roach",E280)),ISNUMBER(SEARCH("ant",E280)),ISNUMBER(SEARCH("spider",E280)),ISNUMBER(SEARCH("cricket",E280)),ISNUMBER(SEARCH("scorpion",E280)),ISNUMBER(SEARCH("centipede",E280)),ISNUMBER(SEARCH("beetle",E280))),"Crawling Insect Control",
OR(ISNUMBER(SEARCH("tree",E280)),ISNUMBER(SEARCH("lantern",E280)),ISNUMBER(SEARCH("garden",E280)),ISNUMBER(SEARCH("plant",E280))),"Garden Pest Control",
OR(ISNUMBER(SEARCH("grass seed",E280)),ISNUMBER(SEARCH("seed mix",E280))),"Grass Seed",
OR(ISNUMBER(SEARCH("lawn food",E280)),ISNUMBER(SEARCH("fertilizer",E280))),"Lawn Fertilizer",
OR(ISNUMBER(SEARCH("patch",E280)),ISNUMBER(SEARCH("repair",E280)),ISNUMBER(SEARCH("thick'r",E280)),ISNUMBER(SEARCH("thick'r lawn",E280)),ISNUMBER(SEARCH("rapid grass",E280))),"Lawn Repair",
OR(ISNUMBER(SEARCH("weed",E280)),ISNUMBER(SEARCH("crabgrass",E280))),"Weed Control",
OR(ISNUMBER(SEARCH("fungicide",E280)),ISNUMBER(SEARCH("moss",E280))),"Disease &amp; Moss Control",
OR(ISNUMBER(SEARCH("plant food",E280)),ISNUMBER(SEARCH("miracid",E280))),"Plant Nutrition",
OR(ISNUMBER(SEARCH("perlite",E280))),"Soil Amendment",
OR(ISNUMBER(SEARCH("spreader",E280)),ISNUMBER(SEARCH("sprayer",E280)),ISNUMBER(SEARCH("mower",E280)),ISNUMBER(SEARCH("sweeper",E280)),ISNUMBER(SEARCH("pruner",E280)),ISNUMBER(SEARCH("trimmer",E280)),ISNUMBER(SEARCH("pole saw",E280))),"Garden Equipment",
TRUE,"Other"
)</f>
        <v>Lawn Fertilizer</v>
      </c>
      <c r="I280" s="7" t="str" cm="1">
        <f t="array" ref="I280">_xlfn.IFS(
OR(ISNUMBER(SEARCH("glue trap",E280)),ISNUMBER(SEARCH("glue board",E280))),"Glue Traps",
OR(ISNUMBER(SEARCH("snap trap",E280)),ISNUMBER(SEARCH("power-kill",E280)),ISNUMBER(SEARCH("wide pedal",E280)),ISNUMBER(SEARCH("metal pedal",E280))),"Snap Traps",
OR(ISNUMBER(SEARCH("electronic",E280)),ISNUMBER(SEARCH("zapper",E280))),"Electronic Traps",
OR(ISNUMBER(SEARCH("live catch",E280)),ISNUMBER(SEARCH("multi-catch",E280)),ISNUMBER(SEARCH("catch &amp; hold",E280)),ISNUMBER(SEARCH("tin cat",E280))),"Live Catch Traps",
OR(ISNUMBER(SEARCH("bait",E280)),ISNUMBER(SEARCH("poison",E280))),"Bait &amp; Poison",
ISNUMBER(SEARCH("repellent",E280)),"Repellents",
OR(ISNUMBER(SEARCH("fly trap",E280)),ISNUMBER(SEARCH("fly ribbon",E280)),ISNUMBER(SEARCH("fly stick",E280)),ISNUMBER(SEARCH("window fly",E280)),ISNUMBER(SEARCH("fly magnet",E280))),"Fly Traps",
OR(ISNUMBER(SEARCH("uv",E280)),ISNUMBER(SEARCH("fly light",E280)),ISNUMBER(SEARCH("plug-in",E280))),"UV Fly Traps",
ISNUMBER(SEARCH("roach",E280)),"Roach Traps",
ISNUMBER(SEARCH("ant",E280)),"Ant Traps",
ISNUMBER(SEARCH("spider",E280)),"Spider Traps",
ISNUMBER(SEARCH("mosquito",E280)),"Mosquito Traps",
ISNUMBER(SEARCH("beetle",E280)),"Beetle Traps",
ISNUMBER(SEARCH("lantern",E280)),"Lanternfly Control",
OR(ISNUMBER(SEARCH("tree shield",E280)),ISNUMBER(SEARCH("tree banding",E280)),ISNUMBER(SEARCH("insect barrier",E280))),"Tree Barriers",
OR(ISNUMBER(SEARCH("sun &amp; shade",E280)),ISNUMBER(SEARCH("sun and shade",E280))),"Sun &amp; Shade Mix",
ISNUMBER(SEARCH("tall fescue",E280)),"Tall Fescue",
ISNUMBER(SEARCH("bermudagrass",E280)),"Bermudagrass",
ISNUMBER(SEARCH("kentucky",E280)),"Kentucky Bluegrass",
ISNUMBER(SEARCH("zoysia",E280)),"Zoysia",
ISNUMBER(SEARCH("ryegrass",E280)),"Perennial Ryegrass",
ISNUMBER(SEARCH("centipede",E280)),"Centipede Grass",
ISNUMBER(SEARCH("dense shade",E280)),"Dense Shade Mix",
ISNUMBER(SEARCH("southern gold",E280)),"Southern Gold Mix",
ISNUMBER(SEARCH("heat-tolerant blue",E280)),"Heat-Tolerant Blue Mix",
ISNUMBER(SEARCH("high traffic",E280)),"High Traffic Mix",
ISNUMBER(SEARCH("quick fix",E280)),"Quick Fix Mix",
ISNUMBER(SEARCH("starter",E280)),"Starter Fertilizer",
ISNUMBER(SEARCH("weed &amp; feed",E280)),"Weed &amp; Feed",
ISNUMBER(SEARCH("lawn food",E280)),"Lawn Food",
ISNUMBER(SEARCH("triple action",E280)),"Triple Action Fertilizer",
ISNUMBER(SEARCH("green max",E280)),"Green Max Lawn Food",
ISNUMBER(SEARCH("patchmaster",E280)),"PatchMaster Repair",
ISNUMBER(SEARCH("ez seed",E280)),"EZ Seed Repair",
ISNUMBER(SEARCH("rapid grass",E280)),"Rapid Grass",
ISNUMBER(SEARCH("thick'r lawn",E280)),"Thick'R Lawn",
ISNUMBER(SEARCH("fungicide",E280)),"Fungicide",
ISNUMBER(SEARCH("moss",E280)),"Moss Control",
ISNUMBER(SEARCH("perlite",E280)),"Perlite",
ISNUMBER(SEARCH("plant food",E280)),"Plant Food",
ISNUMBER(SEARCH("spreader",E280)),"Spreader",
ISNUMBER(SEARCH("sprayer",E280)),"Sprayer",
ISNUMBER(SEARCH("mower",E280)),"Lawn Mower",
ISNUMBER(SEARCH("sweeper",E280)),"Lawn Sweeper",
OR(ISNUMBER(SEARCH("pruner",E280)),ISNUMBER(SEARCH("trimmer",E280)),ISNUMBER(SEARCH("pole saw",E280))),"Pruning Tools",
TRUE,"Other"
)</f>
        <v>Lawn Food</v>
      </c>
      <c r="J280" s="7" t="str">
        <f t="shared" si="70"/>
        <v>Lawn Fertilizer - Lawn Food</v>
      </c>
      <c r="K280" s="4">
        <v>50</v>
      </c>
      <c r="L280" s="4">
        <v>4.0999999999999996</v>
      </c>
      <c r="M280" s="4">
        <v>7</v>
      </c>
      <c r="N280" s="4" t="s">
        <v>1289</v>
      </c>
      <c r="O280" s="4">
        <f>VLOOKUP(A280,[3]Sheet1!$A:$B,2,0)</f>
        <v>0</v>
      </c>
      <c r="P280" s="4">
        <f>VLOOKUP(A280,[3]Sheet1!$A:$C,3,0)</f>
        <v>0</v>
      </c>
      <c r="Q280" s="4">
        <f>VLOOKUP(A280,[3]Sheet1!$A:$D,4,0)</f>
        <v>0</v>
      </c>
      <c r="R280" s="4">
        <f>VLOOKUP(A280,[3]Sheet1!$A:$E,5,0)</f>
        <v>0</v>
      </c>
      <c r="S280" s="4">
        <f>VLOOKUP(A280,[3]Sheet1!$A:$F,6,0)</f>
        <v>0</v>
      </c>
      <c r="T280" s="4">
        <f>VLOOKUP(A280,[3]Sheet1!$A:$G,7,0)</f>
        <v>0</v>
      </c>
      <c r="U280" s="4">
        <f>VLOOKUP(A280,[3]Sheet1!$A:$I,8,0)</f>
        <v>50</v>
      </c>
      <c r="V280" s="4">
        <f>VLOOKUP(A280,[3]Sheet1!$A:$J,9,0)</f>
        <v>50</v>
      </c>
      <c r="W280" s="4">
        <f>VLOOKUP(A280,[3]Sheet1!$A:$J,10,0)</f>
        <v>50</v>
      </c>
      <c r="X280" s="4">
        <f>VLOOKUP(A280,[3]Sheet1!$A:$K,11,0)</f>
        <v>0</v>
      </c>
      <c r="Y280" s="4">
        <f>VLOOKUP(A280,[3]Sheet1!$A:$L,12,0)</f>
        <v>0</v>
      </c>
      <c r="Z280" s="4">
        <f>VLOOKUP(A280,[3]Sheet1!$A:$M,13,0)</f>
        <v>0</v>
      </c>
      <c r="AA280" s="4">
        <f t="shared" si="64"/>
        <v>150</v>
      </c>
      <c r="AB280" s="7">
        <f t="shared" si="71"/>
        <v>13</v>
      </c>
      <c r="AC280" s="15">
        <f t="shared" si="65"/>
        <v>12.5</v>
      </c>
      <c r="AD280" s="16">
        <f t="shared" si="66"/>
        <v>5248.5</v>
      </c>
      <c r="AE280" s="16">
        <f t="shared" si="67"/>
        <v>437.375</v>
      </c>
      <c r="AF280" s="16">
        <v>8.4600000000000009</v>
      </c>
      <c r="AG280" s="16">
        <v>34.99</v>
      </c>
      <c r="AH280" s="8">
        <f t="shared" si="68"/>
        <v>0.30239999999999989</v>
      </c>
      <c r="AI280" s="8">
        <f t="shared" si="69"/>
        <v>1.0583999999999996</v>
      </c>
      <c r="AJ280" s="10">
        <v>0.5</v>
      </c>
      <c r="AK280" s="10">
        <v>0.5</v>
      </c>
      <c r="AL280" s="16">
        <v>8.4600000000000009</v>
      </c>
      <c r="AM280" s="9">
        <f t="shared" si="72"/>
        <v>5.2484999999999999</v>
      </c>
      <c r="AN280" s="9">
        <f t="shared" si="73"/>
        <v>1.0497000000000001</v>
      </c>
      <c r="AO280" s="9">
        <f t="shared" si="74"/>
        <v>6.9980000000000011</v>
      </c>
      <c r="AP280" s="9">
        <f t="shared" si="75"/>
        <v>0.69980000000000009</v>
      </c>
      <c r="AQ280" s="9">
        <f t="shared" si="76"/>
        <v>6.9980000000000011</v>
      </c>
      <c r="AR280" s="9">
        <f t="shared" si="77"/>
        <v>8.7475000000000005</v>
      </c>
      <c r="AS280" s="11">
        <f t="shared" si="78"/>
        <v>3.0239999999999987</v>
      </c>
      <c r="AT280" s="12">
        <f t="shared" si="79"/>
        <v>1.8576666666666657</v>
      </c>
    </row>
    <row r="281" spans="1:46" ht="16.5" x14ac:dyDescent="0.4">
      <c r="A281" s="4" t="s">
        <v>1290</v>
      </c>
      <c r="B281" s="4" t="s">
        <v>513</v>
      </c>
      <c r="C281" s="7" t="s">
        <v>1794</v>
      </c>
      <c r="D281" s="4" t="s">
        <v>1291</v>
      </c>
      <c r="E281" s="4" t="s">
        <v>1292</v>
      </c>
      <c r="F281" s="4" t="s">
        <v>1293</v>
      </c>
      <c r="G281" s="7" t="str">
        <f>VLOOKUP(A281,[1]done!$A:$I,9,0)</f>
        <v>Weed Control</v>
      </c>
      <c r="H281" s="7" t="str" cm="1">
        <f t="array" ref="H281">_xlfn.IFS(
OR(ISNUMBER(SEARCH("mouse",E281)),ISNUMBER(SEARCH("rat",E281)),ISNUMBER(SEARCH("mice",E281)),ISNUMBER(SEARCH("rodent",E281))),"Rodent Control",
OR(ISNUMBER(SEARCH("fly",E281)),ISNUMBER(SEARCH("gnat",E281)),ISNUMBER(SEARCH("insect",E281)),ISNUMBER(SEARCH("mosquito",E281))),"Flying Insect Control",
OR(ISNUMBER(SEARCH("roach",E281)),ISNUMBER(SEARCH("ant",E281)),ISNUMBER(SEARCH("spider",E281)),ISNUMBER(SEARCH("cricket",E281)),ISNUMBER(SEARCH("scorpion",E281)),ISNUMBER(SEARCH("centipede",E281)),ISNUMBER(SEARCH("beetle",E281))),"Crawling Insect Control",
OR(ISNUMBER(SEARCH("tree",E281)),ISNUMBER(SEARCH("lantern",E281)),ISNUMBER(SEARCH("garden",E281)),ISNUMBER(SEARCH("plant",E281))),"Garden Pest Control",
OR(ISNUMBER(SEARCH("grass seed",E281)),ISNUMBER(SEARCH("seed mix",E281))),"Grass Seed",
OR(ISNUMBER(SEARCH("lawn food",E281)),ISNUMBER(SEARCH("fertilizer",E281))),"Lawn Fertilizer",
OR(ISNUMBER(SEARCH("patch",E281)),ISNUMBER(SEARCH("repair",E281)),ISNUMBER(SEARCH("thick'r",E281)),ISNUMBER(SEARCH("thick'r lawn",E281)),ISNUMBER(SEARCH("rapid grass",E281))),"Lawn Repair",
OR(ISNUMBER(SEARCH("weed",E281)),ISNUMBER(SEARCH("crabgrass",E281))),"Weed Control",
OR(ISNUMBER(SEARCH("fungicide",E281)),ISNUMBER(SEARCH("moss",E281))),"Disease &amp; Moss Control",
OR(ISNUMBER(SEARCH("plant food",E281)),ISNUMBER(SEARCH("miracid",E281))),"Plant Nutrition",
OR(ISNUMBER(SEARCH("perlite",E281))),"Soil Amendment",
OR(ISNUMBER(SEARCH("spreader",E281)),ISNUMBER(SEARCH("sprayer",E281)),ISNUMBER(SEARCH("mower",E281)),ISNUMBER(SEARCH("sweeper",E281)),ISNUMBER(SEARCH("pruner",E281)),ISNUMBER(SEARCH("trimmer",E281)),ISNUMBER(SEARCH("pole saw",E281))),"Garden Equipment",
TRUE,"Other"
)</f>
        <v>Garden Pest Control</v>
      </c>
      <c r="I281" s="7" t="str" cm="1">
        <f t="array" ref="I281">_xlfn.IFS(
OR(ISNUMBER(SEARCH("glue trap",E281)),ISNUMBER(SEARCH("glue board",E281))),"Glue Traps",
OR(ISNUMBER(SEARCH("snap trap",E281)),ISNUMBER(SEARCH("power-kill",E281)),ISNUMBER(SEARCH("wide pedal",E281)),ISNUMBER(SEARCH("metal pedal",E281))),"Snap Traps",
OR(ISNUMBER(SEARCH("electronic",E281)),ISNUMBER(SEARCH("zapper",E281))),"Electronic Traps",
OR(ISNUMBER(SEARCH("live catch",E281)),ISNUMBER(SEARCH("multi-catch",E281)),ISNUMBER(SEARCH("catch &amp; hold",E281)),ISNUMBER(SEARCH("tin cat",E281))),"Live Catch Traps",
OR(ISNUMBER(SEARCH("bait",E281)),ISNUMBER(SEARCH("poison",E281))),"Bait &amp; Poison",
ISNUMBER(SEARCH("repellent",E281)),"Repellents",
OR(ISNUMBER(SEARCH("fly trap",E281)),ISNUMBER(SEARCH("fly ribbon",E281)),ISNUMBER(SEARCH("fly stick",E281)),ISNUMBER(SEARCH("window fly",E281)),ISNUMBER(SEARCH("fly magnet",E281))),"Fly Traps",
OR(ISNUMBER(SEARCH("uv",E281)),ISNUMBER(SEARCH("fly light",E281)),ISNUMBER(SEARCH("plug-in",E281))),"UV Fly Traps",
ISNUMBER(SEARCH("roach",E281)),"Roach Traps",
ISNUMBER(SEARCH("ant",E281)),"Ant Traps",
ISNUMBER(SEARCH("spider",E281)),"Spider Traps",
ISNUMBER(SEARCH("mosquito",E281)),"Mosquito Traps",
ISNUMBER(SEARCH("beetle",E281)),"Beetle Traps",
ISNUMBER(SEARCH("lantern",E281)),"Lanternfly Control",
OR(ISNUMBER(SEARCH("tree shield",E281)),ISNUMBER(SEARCH("tree banding",E281)),ISNUMBER(SEARCH("insect barrier",E281))),"Tree Barriers",
OR(ISNUMBER(SEARCH("sun &amp; shade",E281)),ISNUMBER(SEARCH("sun and shade",E281))),"Sun &amp; Shade Mix",
ISNUMBER(SEARCH("tall fescue",E281)),"Tall Fescue",
ISNUMBER(SEARCH("bermudagrass",E281)),"Bermudagrass",
ISNUMBER(SEARCH("kentucky",E281)),"Kentucky Bluegrass",
ISNUMBER(SEARCH("zoysia",E281)),"Zoysia",
ISNUMBER(SEARCH("ryegrass",E281)),"Perennial Ryegrass",
ISNUMBER(SEARCH("centipede",E281)),"Centipede Grass",
ISNUMBER(SEARCH("dense shade",E281)),"Dense Shade Mix",
ISNUMBER(SEARCH("southern gold",E281)),"Southern Gold Mix",
ISNUMBER(SEARCH("heat-tolerant blue",E281)),"Heat-Tolerant Blue Mix",
ISNUMBER(SEARCH("high traffic",E281)),"High Traffic Mix",
ISNUMBER(SEARCH("quick fix",E281)),"Quick Fix Mix",
ISNUMBER(SEARCH("starter",E281)),"Starter Fertilizer",
ISNUMBER(SEARCH("weed &amp; feed",E281)),"Weed &amp; Feed",
ISNUMBER(SEARCH("lawn food",E281)),"Lawn Food",
ISNUMBER(SEARCH("triple action",E281)),"Triple Action Fertilizer",
ISNUMBER(SEARCH("green max",E281)),"Green Max Lawn Food",
ISNUMBER(SEARCH("patchmaster",E281)),"PatchMaster Repair",
ISNUMBER(SEARCH("ez seed",E281)),"EZ Seed Repair",
ISNUMBER(SEARCH("rapid grass",E281)),"Rapid Grass",
ISNUMBER(SEARCH("thick'r lawn",E281)),"Thick'R Lawn",
ISNUMBER(SEARCH("fungicide",E281)),"Fungicide",
ISNUMBER(SEARCH("moss",E281)),"Moss Control",
ISNUMBER(SEARCH("perlite",E281)),"Perlite",
ISNUMBER(SEARCH("plant food",E281)),"Plant Food",
ISNUMBER(SEARCH("spreader",E281)),"Spreader",
ISNUMBER(SEARCH("sprayer",E281)),"Sprayer",
ISNUMBER(SEARCH("mower",E281)),"Lawn Mower",
ISNUMBER(SEARCH("sweeper",E281)),"Lawn Sweeper",
OR(ISNUMBER(SEARCH("pruner",E281)),ISNUMBER(SEARCH("trimmer",E281)),ISNUMBER(SEARCH("pole saw",E281))),"Pruning Tools",
TRUE,"Other"
)</f>
        <v>Sprayer</v>
      </c>
      <c r="J281" s="7" t="str">
        <f t="shared" si="70"/>
        <v>Garden Pest Control - Sprayer</v>
      </c>
      <c r="K281" s="4">
        <v>50</v>
      </c>
      <c r="L281" s="4">
        <v>4.2</v>
      </c>
      <c r="M281" s="4">
        <v>129</v>
      </c>
      <c r="O281" s="4">
        <f>VLOOKUP(A281,[3]Sheet1!$A:$B,2,0)</f>
        <v>0</v>
      </c>
      <c r="P281" s="4">
        <f>VLOOKUP(A281,[3]Sheet1!$A:$C,3,0)</f>
        <v>0</v>
      </c>
      <c r="Q281" s="4">
        <f>VLOOKUP(A281,[3]Sheet1!$A:$D,4,0)</f>
        <v>100</v>
      </c>
      <c r="R281" s="4">
        <f>VLOOKUP(A281,[3]Sheet1!$A:$E,5,0)</f>
        <v>300</v>
      </c>
      <c r="S281" s="4">
        <f>VLOOKUP(A281,[3]Sheet1!$A:$F,6,0)</f>
        <v>300</v>
      </c>
      <c r="T281" s="4">
        <f>VLOOKUP(A281,[3]Sheet1!$A:$G,7,0)</f>
        <v>300</v>
      </c>
      <c r="U281" s="4">
        <f>VLOOKUP(A281,[3]Sheet1!$A:$I,8,0)</f>
        <v>100</v>
      </c>
      <c r="V281" s="4">
        <f>VLOOKUP(A281,[3]Sheet1!$A:$J,9,0)</f>
        <v>50</v>
      </c>
      <c r="W281" s="4">
        <f>VLOOKUP(A281,[3]Sheet1!$A:$J,10,0)</f>
        <v>100</v>
      </c>
      <c r="X281" s="4">
        <f>VLOOKUP(A281,[3]Sheet1!$A:$K,11,0)</f>
        <v>50</v>
      </c>
      <c r="Y281" s="4">
        <f>VLOOKUP(A281,[3]Sheet1!$A:$L,12,0)</f>
        <v>50</v>
      </c>
      <c r="Z281" s="4">
        <f>VLOOKUP(A281,[3]Sheet1!$A:$M,13,0)</f>
        <v>0</v>
      </c>
      <c r="AA281" s="4">
        <f t="shared" si="64"/>
        <v>1350</v>
      </c>
      <c r="AB281" s="7">
        <f t="shared" si="71"/>
        <v>113</v>
      </c>
      <c r="AC281" s="15">
        <f t="shared" si="65"/>
        <v>112.5</v>
      </c>
      <c r="AD281" s="16">
        <f t="shared" si="66"/>
        <v>121486.5</v>
      </c>
      <c r="AE281" s="16">
        <f t="shared" si="67"/>
        <v>10123.875</v>
      </c>
      <c r="AF281" s="16">
        <v>16.420000000000002</v>
      </c>
      <c r="AG281" s="16">
        <v>89.99</v>
      </c>
      <c r="AH281" s="8">
        <f t="shared" si="68"/>
        <v>1.2383999999999995</v>
      </c>
      <c r="AI281" s="8">
        <f t="shared" si="69"/>
        <v>4.3343999999999969</v>
      </c>
      <c r="AJ281" s="10">
        <v>0.5</v>
      </c>
      <c r="AK281" s="10">
        <v>0.5</v>
      </c>
      <c r="AL281" s="16">
        <v>16.420000000000002</v>
      </c>
      <c r="AM281" s="9">
        <f t="shared" si="72"/>
        <v>13.498499999999998</v>
      </c>
      <c r="AN281" s="9">
        <f t="shared" si="73"/>
        <v>2.6996999999999995</v>
      </c>
      <c r="AO281" s="9">
        <f t="shared" si="74"/>
        <v>17.998000000000001</v>
      </c>
      <c r="AP281" s="9">
        <f t="shared" si="75"/>
        <v>1.7997999999999998</v>
      </c>
      <c r="AQ281" s="9">
        <f t="shared" si="76"/>
        <v>17.998000000000001</v>
      </c>
      <c r="AR281" s="9">
        <f t="shared" si="77"/>
        <v>22.497499999999999</v>
      </c>
      <c r="AS281" s="11">
        <f t="shared" si="78"/>
        <v>12.383999999999993</v>
      </c>
      <c r="AT281" s="12">
        <f t="shared" si="79"/>
        <v>9.3843333333333288</v>
      </c>
    </row>
    <row r="282" spans="1:46" ht="16.5" x14ac:dyDescent="0.4">
      <c r="A282" s="4" t="s">
        <v>1294</v>
      </c>
      <c r="B282" s="4" t="s">
        <v>513</v>
      </c>
      <c r="C282" s="7" t="s">
        <v>513</v>
      </c>
      <c r="D282" s="4" t="s">
        <v>1295</v>
      </c>
      <c r="E282" s="4" t="s">
        <v>1296</v>
      </c>
      <c r="F282" s="4" t="s">
        <v>1297</v>
      </c>
      <c r="G282" s="7" t="str">
        <f>VLOOKUP(A282,[1]done!$A:$I,9,0)</f>
        <v>Other - Scotts</v>
      </c>
      <c r="H282" s="7" t="str" cm="1">
        <f t="array" ref="H282">_xlfn.IFS(
OR(ISNUMBER(SEARCH("mouse",E282)),ISNUMBER(SEARCH("rat",E282)),ISNUMBER(SEARCH("mice",E282)),ISNUMBER(SEARCH("rodent",E282))),"Rodent Control",
OR(ISNUMBER(SEARCH("fly",E282)),ISNUMBER(SEARCH("gnat",E282)),ISNUMBER(SEARCH("insect",E282)),ISNUMBER(SEARCH("mosquito",E282))),"Flying Insect Control",
OR(ISNUMBER(SEARCH("roach",E282)),ISNUMBER(SEARCH("ant",E282)),ISNUMBER(SEARCH("spider",E282)),ISNUMBER(SEARCH("cricket",E282)),ISNUMBER(SEARCH("scorpion",E282)),ISNUMBER(SEARCH("centipede",E282)),ISNUMBER(SEARCH("beetle",E282))),"Crawling Insect Control",
OR(ISNUMBER(SEARCH("tree",E282)),ISNUMBER(SEARCH("lantern",E282)),ISNUMBER(SEARCH("garden",E282)),ISNUMBER(SEARCH("plant",E282))),"Garden Pest Control",
OR(ISNUMBER(SEARCH("grass seed",E282)),ISNUMBER(SEARCH("seed mix",E282))),"Grass Seed",
OR(ISNUMBER(SEARCH("lawn food",E282)),ISNUMBER(SEARCH("fertilizer",E282))),"Lawn Fertilizer",
OR(ISNUMBER(SEARCH("patch",E282)),ISNUMBER(SEARCH("repair",E282)),ISNUMBER(SEARCH("thick'r",E282)),ISNUMBER(SEARCH("thick'r lawn",E282)),ISNUMBER(SEARCH("rapid grass",E282))),"Lawn Repair",
OR(ISNUMBER(SEARCH("weed",E282)),ISNUMBER(SEARCH("crabgrass",E282))),"Weed Control",
OR(ISNUMBER(SEARCH("fungicide",E282)),ISNUMBER(SEARCH("moss",E282))),"Disease &amp; Moss Control",
OR(ISNUMBER(SEARCH("plant food",E282)),ISNUMBER(SEARCH("miracid",E282))),"Plant Nutrition",
OR(ISNUMBER(SEARCH("perlite",E282))),"Soil Amendment",
OR(ISNUMBER(SEARCH("spreader",E282)),ISNUMBER(SEARCH("sprayer",E282)),ISNUMBER(SEARCH("mower",E282)),ISNUMBER(SEARCH("sweeper",E282)),ISNUMBER(SEARCH("pruner",E282)),ISNUMBER(SEARCH("trimmer",E282)),ISNUMBER(SEARCH("pole saw",E282))),"Garden Equipment",
TRUE,"Other"
)</f>
        <v>Rodent Control</v>
      </c>
      <c r="I282" s="7" t="str" cm="1">
        <f t="array" ref="I282">_xlfn.IFS(
OR(ISNUMBER(SEARCH("glue trap",E282)),ISNUMBER(SEARCH("glue board",E282))),"Glue Traps",
OR(ISNUMBER(SEARCH("snap trap",E282)),ISNUMBER(SEARCH("power-kill",E282)),ISNUMBER(SEARCH("wide pedal",E282)),ISNUMBER(SEARCH("metal pedal",E282))),"Snap Traps",
OR(ISNUMBER(SEARCH("electronic",E282)),ISNUMBER(SEARCH("zapper",E282))),"Electronic Traps",
OR(ISNUMBER(SEARCH("live catch",E282)),ISNUMBER(SEARCH("multi-catch",E282)),ISNUMBER(SEARCH("catch &amp; hold",E282)),ISNUMBER(SEARCH("tin cat",E282))),"Live Catch Traps",
OR(ISNUMBER(SEARCH("bait",E282)),ISNUMBER(SEARCH("poison",E282))),"Bait &amp; Poison",
ISNUMBER(SEARCH("repellent",E282)),"Repellents",
OR(ISNUMBER(SEARCH("fly trap",E282)),ISNUMBER(SEARCH("fly ribbon",E282)),ISNUMBER(SEARCH("fly stick",E282)),ISNUMBER(SEARCH("window fly",E282)),ISNUMBER(SEARCH("fly magnet",E282))),"Fly Traps",
OR(ISNUMBER(SEARCH("uv",E282)),ISNUMBER(SEARCH("fly light",E282)),ISNUMBER(SEARCH("plug-in",E282))),"UV Fly Traps",
ISNUMBER(SEARCH("roach",E282)),"Roach Traps",
ISNUMBER(SEARCH("ant",E282)),"Ant Traps",
ISNUMBER(SEARCH("spider",E282)),"Spider Traps",
ISNUMBER(SEARCH("mosquito",E282)),"Mosquito Traps",
ISNUMBER(SEARCH("beetle",E282)),"Beetle Traps",
ISNUMBER(SEARCH("lantern",E282)),"Lanternfly Control",
OR(ISNUMBER(SEARCH("tree shield",E282)),ISNUMBER(SEARCH("tree banding",E282)),ISNUMBER(SEARCH("insect barrier",E282))),"Tree Barriers",
OR(ISNUMBER(SEARCH("sun &amp; shade",E282)),ISNUMBER(SEARCH("sun and shade",E282))),"Sun &amp; Shade Mix",
ISNUMBER(SEARCH("tall fescue",E282)),"Tall Fescue",
ISNUMBER(SEARCH("bermudagrass",E282)),"Bermudagrass",
ISNUMBER(SEARCH("kentucky",E282)),"Kentucky Bluegrass",
ISNUMBER(SEARCH("zoysia",E282)),"Zoysia",
ISNUMBER(SEARCH("ryegrass",E282)),"Perennial Ryegrass",
ISNUMBER(SEARCH("centipede",E282)),"Centipede Grass",
ISNUMBER(SEARCH("dense shade",E282)),"Dense Shade Mix",
ISNUMBER(SEARCH("southern gold",E282)),"Southern Gold Mix",
ISNUMBER(SEARCH("heat-tolerant blue",E282)),"Heat-Tolerant Blue Mix",
ISNUMBER(SEARCH("high traffic",E282)),"High Traffic Mix",
ISNUMBER(SEARCH("quick fix",E282)),"Quick Fix Mix",
ISNUMBER(SEARCH("starter",E282)),"Starter Fertilizer",
ISNUMBER(SEARCH("weed &amp; feed",E282)),"Weed &amp; Feed",
ISNUMBER(SEARCH("lawn food",E282)),"Lawn Food",
ISNUMBER(SEARCH("triple action",E282)),"Triple Action Fertilizer",
ISNUMBER(SEARCH("green max",E282)),"Green Max Lawn Food",
ISNUMBER(SEARCH("patchmaster",E282)),"PatchMaster Repair",
ISNUMBER(SEARCH("ez seed",E282)),"EZ Seed Repair",
ISNUMBER(SEARCH("rapid grass",E282)),"Rapid Grass",
ISNUMBER(SEARCH("thick'r lawn",E282)),"Thick'R Lawn",
ISNUMBER(SEARCH("fungicide",E282)),"Fungicide",
ISNUMBER(SEARCH("moss",E282)),"Moss Control",
ISNUMBER(SEARCH("perlite",E282)),"Perlite",
ISNUMBER(SEARCH("plant food",E282)),"Plant Food",
ISNUMBER(SEARCH("spreader",E282)),"Spreader",
ISNUMBER(SEARCH("sprayer",E282)),"Sprayer",
ISNUMBER(SEARCH("mower",E282)),"Lawn Mower",
ISNUMBER(SEARCH("sweeper",E282)),"Lawn Sweeper",
OR(ISNUMBER(SEARCH("pruner",E282)),ISNUMBER(SEARCH("trimmer",E282)),ISNUMBER(SEARCH("pole saw",E282))),"Pruning Tools",
TRUE,"Other"
)</f>
        <v>Other</v>
      </c>
      <c r="J282" s="7" t="str">
        <f t="shared" si="70"/>
        <v>Rodent Control - Other</v>
      </c>
      <c r="K282" s="4">
        <v>50</v>
      </c>
      <c r="L282" s="4">
        <v>4.2</v>
      </c>
      <c r="M282" s="4">
        <v>479</v>
      </c>
      <c r="N282" s="4" t="s">
        <v>1298</v>
      </c>
      <c r="O282" s="4">
        <f>VLOOKUP(A282,[3]Sheet1!$A:$B,2,0)</f>
        <v>0</v>
      </c>
      <c r="P282" s="4">
        <f>VLOOKUP(A282,[3]Sheet1!$A:$C,3,0)</f>
        <v>0</v>
      </c>
      <c r="Q282" s="4">
        <f>VLOOKUP(A282,[3]Sheet1!$A:$D,4,0)</f>
        <v>0</v>
      </c>
      <c r="R282" s="4">
        <f>VLOOKUP(A282,[3]Sheet1!$A:$E,5,0)</f>
        <v>50</v>
      </c>
      <c r="S282" s="4">
        <f>VLOOKUP(A282,[3]Sheet1!$A:$F,6,0)</f>
        <v>0</v>
      </c>
      <c r="T282" s="4">
        <f>VLOOKUP(A282,[3]Sheet1!$A:$G,7,0)</f>
        <v>50</v>
      </c>
      <c r="U282" s="4">
        <f>VLOOKUP(A282,[3]Sheet1!$A:$I,8,0)</f>
        <v>50</v>
      </c>
      <c r="V282" s="4">
        <f>VLOOKUP(A282,[3]Sheet1!$A:$J,9,0)</f>
        <v>50</v>
      </c>
      <c r="W282" s="4">
        <f>VLOOKUP(A282,[3]Sheet1!$A:$J,10,0)</f>
        <v>50</v>
      </c>
      <c r="X282" s="4">
        <f>VLOOKUP(A282,[3]Sheet1!$A:$K,11,0)</f>
        <v>0</v>
      </c>
      <c r="Y282" s="4">
        <f>VLOOKUP(A282,[3]Sheet1!$A:$L,12,0)</f>
        <v>0</v>
      </c>
      <c r="Z282" s="4">
        <f>VLOOKUP(A282,[3]Sheet1!$A:$M,13,0)</f>
        <v>0</v>
      </c>
      <c r="AA282" s="4">
        <f t="shared" si="64"/>
        <v>250</v>
      </c>
      <c r="AB282" s="7">
        <f t="shared" si="71"/>
        <v>21</v>
      </c>
      <c r="AC282" s="15">
        <f t="shared" si="65"/>
        <v>20.833333333333332</v>
      </c>
      <c r="AD282" s="16">
        <f t="shared" si="66"/>
        <v>12497.5</v>
      </c>
      <c r="AE282" s="16">
        <f t="shared" si="67"/>
        <v>1041.4583333333333</v>
      </c>
      <c r="AF282" s="16">
        <v>7.88</v>
      </c>
      <c r="AG282" s="16">
        <v>49.99</v>
      </c>
      <c r="AH282" s="8">
        <f t="shared" si="68"/>
        <v>0.74106666666666676</v>
      </c>
      <c r="AI282" s="8">
        <f t="shared" si="69"/>
        <v>2.5937333333333332</v>
      </c>
      <c r="AJ282" s="10">
        <v>0.5</v>
      </c>
      <c r="AK282" s="10">
        <v>0.5</v>
      </c>
      <c r="AL282" s="16">
        <v>7.88</v>
      </c>
      <c r="AM282" s="9">
        <f t="shared" si="72"/>
        <v>7.4984999999999999</v>
      </c>
      <c r="AN282" s="9">
        <f t="shared" si="73"/>
        <v>1.4997</v>
      </c>
      <c r="AO282" s="9">
        <f t="shared" si="74"/>
        <v>9.9980000000000011</v>
      </c>
      <c r="AP282" s="9">
        <f t="shared" si="75"/>
        <v>0.99980000000000002</v>
      </c>
      <c r="AQ282" s="9">
        <f t="shared" si="76"/>
        <v>9.9980000000000011</v>
      </c>
      <c r="AR282" s="9">
        <f t="shared" si="77"/>
        <v>12.4975</v>
      </c>
      <c r="AS282" s="11">
        <f t="shared" si="78"/>
        <v>7.4106666666666667</v>
      </c>
      <c r="AT282" s="12">
        <f t="shared" si="79"/>
        <v>5.7443333333333335</v>
      </c>
    </row>
    <row r="283" spans="1:46" ht="16.5" x14ac:dyDescent="0.4">
      <c r="A283" s="4" t="s">
        <v>1299</v>
      </c>
      <c r="B283" s="4" t="s">
        <v>513</v>
      </c>
      <c r="C283" s="7" t="s">
        <v>1785</v>
      </c>
      <c r="D283" s="4" t="s">
        <v>1300</v>
      </c>
      <c r="E283" s="4" t="s">
        <v>1301</v>
      </c>
      <c r="F283" s="4" t="s">
        <v>1302</v>
      </c>
      <c r="G283" s="7" t="str">
        <f>VLOOKUP(A283,[1]done!$A:$I,9,0)</f>
        <v>Other crawling insects</v>
      </c>
      <c r="H283" s="7" t="str" cm="1">
        <f t="array" ref="H283">_xlfn.IFS(
OR(ISNUMBER(SEARCH("mouse",E283)),ISNUMBER(SEARCH("rat",E283)),ISNUMBER(SEARCH("mice",E283)),ISNUMBER(SEARCH("rodent",E283))),"Rodent Control",
OR(ISNUMBER(SEARCH("fly",E283)),ISNUMBER(SEARCH("gnat",E283)),ISNUMBER(SEARCH("insect",E283)),ISNUMBER(SEARCH("mosquito",E283))),"Flying Insect Control",
OR(ISNUMBER(SEARCH("roach",E283)),ISNUMBER(SEARCH("ant",E283)),ISNUMBER(SEARCH("spider",E283)),ISNUMBER(SEARCH("cricket",E283)),ISNUMBER(SEARCH("scorpion",E283)),ISNUMBER(SEARCH("centipede",E283)),ISNUMBER(SEARCH("beetle",E283))),"Crawling Insect Control",
OR(ISNUMBER(SEARCH("tree",E283)),ISNUMBER(SEARCH("lantern",E283)),ISNUMBER(SEARCH("garden",E283)),ISNUMBER(SEARCH("plant",E283))),"Garden Pest Control",
OR(ISNUMBER(SEARCH("grass seed",E283)),ISNUMBER(SEARCH("seed mix",E283))),"Grass Seed",
OR(ISNUMBER(SEARCH("lawn food",E283)),ISNUMBER(SEARCH("fertilizer",E283))),"Lawn Fertilizer",
OR(ISNUMBER(SEARCH("patch",E283)),ISNUMBER(SEARCH("repair",E283)),ISNUMBER(SEARCH("thick'r",E283)),ISNUMBER(SEARCH("thick'r lawn",E283)),ISNUMBER(SEARCH("rapid grass",E283))),"Lawn Repair",
OR(ISNUMBER(SEARCH("weed",E283)),ISNUMBER(SEARCH("crabgrass",E283))),"Weed Control",
OR(ISNUMBER(SEARCH("fungicide",E283)),ISNUMBER(SEARCH("moss",E283))),"Disease &amp; Moss Control",
OR(ISNUMBER(SEARCH("plant food",E283)),ISNUMBER(SEARCH("miracid",E283))),"Plant Nutrition",
OR(ISNUMBER(SEARCH("perlite",E283))),"Soil Amendment",
OR(ISNUMBER(SEARCH("spreader",E283)),ISNUMBER(SEARCH("sprayer",E283)),ISNUMBER(SEARCH("mower",E283)),ISNUMBER(SEARCH("sweeper",E283)),ISNUMBER(SEARCH("pruner",E283)),ISNUMBER(SEARCH("trimmer",E283)),ISNUMBER(SEARCH("pole saw",E283))),"Garden Equipment",
TRUE,"Other"
)</f>
        <v>Crawling Insect Control</v>
      </c>
      <c r="I283" s="7" t="str" cm="1">
        <f t="array" ref="I283">_xlfn.IFS(
OR(ISNUMBER(SEARCH("glue trap",E283)),ISNUMBER(SEARCH("glue board",E283))),"Glue Traps",
OR(ISNUMBER(SEARCH("snap trap",E283)),ISNUMBER(SEARCH("power-kill",E283)),ISNUMBER(SEARCH("wide pedal",E283)),ISNUMBER(SEARCH("metal pedal",E283))),"Snap Traps",
OR(ISNUMBER(SEARCH("electronic",E283)),ISNUMBER(SEARCH("zapper",E283))),"Electronic Traps",
OR(ISNUMBER(SEARCH("live catch",E283)),ISNUMBER(SEARCH("multi-catch",E283)),ISNUMBER(SEARCH("catch &amp; hold",E283)),ISNUMBER(SEARCH("tin cat",E283))),"Live Catch Traps",
OR(ISNUMBER(SEARCH("bait",E283)),ISNUMBER(SEARCH("poison",E283))),"Bait &amp; Poison",
ISNUMBER(SEARCH("repellent",E283)),"Repellents",
OR(ISNUMBER(SEARCH("fly trap",E283)),ISNUMBER(SEARCH("fly ribbon",E283)),ISNUMBER(SEARCH("fly stick",E283)),ISNUMBER(SEARCH("window fly",E283)),ISNUMBER(SEARCH("fly magnet",E283))),"Fly Traps",
OR(ISNUMBER(SEARCH("uv",E283)),ISNUMBER(SEARCH("fly light",E283)),ISNUMBER(SEARCH("plug-in",E283))),"UV Fly Traps",
ISNUMBER(SEARCH("roach",E283)),"Roach Traps",
ISNUMBER(SEARCH("ant",E283)),"Ant Traps",
ISNUMBER(SEARCH("spider",E283)),"Spider Traps",
ISNUMBER(SEARCH("mosquito",E283)),"Mosquito Traps",
ISNUMBER(SEARCH("beetle",E283)),"Beetle Traps",
ISNUMBER(SEARCH("lantern",E283)),"Lanternfly Control",
OR(ISNUMBER(SEARCH("tree shield",E283)),ISNUMBER(SEARCH("tree banding",E283)),ISNUMBER(SEARCH("insect barrier",E283))),"Tree Barriers",
OR(ISNUMBER(SEARCH("sun &amp; shade",E283)),ISNUMBER(SEARCH("sun and shade",E283))),"Sun &amp; Shade Mix",
ISNUMBER(SEARCH("tall fescue",E283)),"Tall Fescue",
ISNUMBER(SEARCH("bermudagrass",E283)),"Bermudagrass",
ISNUMBER(SEARCH("kentucky",E283)),"Kentucky Bluegrass",
ISNUMBER(SEARCH("zoysia",E283)),"Zoysia",
ISNUMBER(SEARCH("ryegrass",E283)),"Perennial Ryegrass",
ISNUMBER(SEARCH("centipede",E283)),"Centipede Grass",
ISNUMBER(SEARCH("dense shade",E283)),"Dense Shade Mix",
ISNUMBER(SEARCH("southern gold",E283)),"Southern Gold Mix",
ISNUMBER(SEARCH("heat-tolerant blue",E283)),"Heat-Tolerant Blue Mix",
ISNUMBER(SEARCH("high traffic",E283)),"High Traffic Mix",
ISNUMBER(SEARCH("quick fix",E283)),"Quick Fix Mix",
ISNUMBER(SEARCH("starter",E283)),"Starter Fertilizer",
ISNUMBER(SEARCH("weed &amp; feed",E283)),"Weed &amp; Feed",
ISNUMBER(SEARCH("lawn food",E283)),"Lawn Food",
ISNUMBER(SEARCH("triple action",E283)),"Triple Action Fertilizer",
ISNUMBER(SEARCH("green max",E283)),"Green Max Lawn Food",
ISNUMBER(SEARCH("patchmaster",E283)),"PatchMaster Repair",
ISNUMBER(SEARCH("ez seed",E283)),"EZ Seed Repair",
ISNUMBER(SEARCH("rapid grass",E283)),"Rapid Grass",
ISNUMBER(SEARCH("thick'r lawn",E283)),"Thick'R Lawn",
ISNUMBER(SEARCH("fungicide",E283)),"Fungicide",
ISNUMBER(SEARCH("moss",E283)),"Moss Control",
ISNUMBER(SEARCH("perlite",E283)),"Perlite",
ISNUMBER(SEARCH("plant food",E283)),"Plant Food",
ISNUMBER(SEARCH("spreader",E283)),"Spreader",
ISNUMBER(SEARCH("sprayer",E283)),"Sprayer",
ISNUMBER(SEARCH("mower",E283)),"Lawn Mower",
ISNUMBER(SEARCH("sweeper",E283)),"Lawn Sweeper",
OR(ISNUMBER(SEARCH("pruner",E283)),ISNUMBER(SEARCH("trimmer",E283)),ISNUMBER(SEARCH("pole saw",E283))),"Pruning Tools",
TRUE,"Other"
)</f>
        <v>Ant Traps</v>
      </c>
      <c r="J283" s="7" t="str">
        <f t="shared" si="70"/>
        <v>Crawling Insect Control - Ant Traps</v>
      </c>
      <c r="K283" s="4">
        <v>50</v>
      </c>
      <c r="L283" s="4">
        <v>4.7</v>
      </c>
      <c r="M283" s="4">
        <v>2776</v>
      </c>
      <c r="N283" s="4" t="s">
        <v>1303</v>
      </c>
      <c r="O283" s="4">
        <f>VLOOKUP(A283,[3]Sheet1!$A:$B,2,0)</f>
        <v>0</v>
      </c>
      <c r="P283" s="4">
        <f>VLOOKUP(A283,[3]Sheet1!$A:$C,3,0)</f>
        <v>0</v>
      </c>
      <c r="Q283" s="4">
        <f>VLOOKUP(A283,[3]Sheet1!$A:$D,4,0)</f>
        <v>100</v>
      </c>
      <c r="R283" s="4">
        <f>VLOOKUP(A283,[3]Sheet1!$A:$E,5,0)</f>
        <v>100</v>
      </c>
      <c r="S283" s="4">
        <f>VLOOKUP(A283,[3]Sheet1!$A:$F,6,0)</f>
        <v>200</v>
      </c>
      <c r="T283" s="4">
        <f>VLOOKUP(A283,[3]Sheet1!$A:$G,7,0)</f>
        <v>100</v>
      </c>
      <c r="U283" s="4">
        <f>VLOOKUP(A283,[3]Sheet1!$A:$I,8,0)</f>
        <v>100</v>
      </c>
      <c r="V283" s="4">
        <f>VLOOKUP(A283,[3]Sheet1!$A:$J,9,0)</f>
        <v>100</v>
      </c>
      <c r="W283" s="4">
        <f>VLOOKUP(A283,[3]Sheet1!$A:$J,10,0)</f>
        <v>200</v>
      </c>
      <c r="X283" s="4">
        <f>VLOOKUP(A283,[3]Sheet1!$A:$K,11,0)</f>
        <v>0</v>
      </c>
      <c r="Y283" s="4">
        <f>VLOOKUP(A283,[3]Sheet1!$A:$L,12,0)</f>
        <v>0</v>
      </c>
      <c r="Z283" s="4">
        <f>VLOOKUP(A283,[3]Sheet1!$A:$M,13,0)</f>
        <v>0</v>
      </c>
      <c r="AA283" s="4">
        <f t="shared" si="64"/>
        <v>900</v>
      </c>
      <c r="AB283" s="7">
        <f t="shared" si="71"/>
        <v>75</v>
      </c>
      <c r="AC283" s="15">
        <f t="shared" si="65"/>
        <v>75</v>
      </c>
      <c r="AD283" s="16">
        <f t="shared" si="66"/>
        <v>7821</v>
      </c>
      <c r="AE283" s="16">
        <f t="shared" si="67"/>
        <v>651.75</v>
      </c>
      <c r="AF283" s="16">
        <v>4.28</v>
      </c>
      <c r="AG283" s="16">
        <v>8.69</v>
      </c>
      <c r="AH283" s="8">
        <f t="shared" si="68"/>
        <v>-0.12026666666666673</v>
      </c>
      <c r="AI283" s="8">
        <f t="shared" si="69"/>
        <v>-0.42093333333333349</v>
      </c>
      <c r="AJ283" s="10">
        <v>0.5</v>
      </c>
      <c r="AK283" s="10">
        <v>0.5</v>
      </c>
      <c r="AL283" s="16">
        <v>4.28</v>
      </c>
      <c r="AM283" s="9">
        <f t="shared" si="72"/>
        <v>1.3034999999999999</v>
      </c>
      <c r="AN283" s="9">
        <f t="shared" si="73"/>
        <v>0.26069999999999999</v>
      </c>
      <c r="AO283" s="9">
        <f t="shared" si="74"/>
        <v>1.738</v>
      </c>
      <c r="AP283" s="9">
        <f t="shared" si="75"/>
        <v>0.17379999999999998</v>
      </c>
      <c r="AQ283" s="9">
        <f t="shared" si="76"/>
        <v>1.738</v>
      </c>
      <c r="AR283" s="9">
        <f t="shared" si="77"/>
        <v>2.1724999999999999</v>
      </c>
      <c r="AS283" s="11">
        <f t="shared" si="78"/>
        <v>-1.2026666666666672</v>
      </c>
      <c r="AT283" s="12">
        <f t="shared" si="79"/>
        <v>-1.4923333333333337</v>
      </c>
    </row>
    <row r="284" spans="1:46" ht="16.5" x14ac:dyDescent="0.4">
      <c r="A284" s="4" t="s">
        <v>1304</v>
      </c>
      <c r="B284" s="4" t="s">
        <v>513</v>
      </c>
      <c r="C284" s="7" t="s">
        <v>1784</v>
      </c>
      <c r="D284" s="4" t="s">
        <v>1305</v>
      </c>
      <c r="E284" s="4" t="s">
        <v>1306</v>
      </c>
      <c r="F284" s="4" t="s">
        <v>1307</v>
      </c>
      <c r="G284" s="7" t="str">
        <f>VLOOKUP(A284,[1]done!$A:$I,9,0)</f>
        <v>Grass Seed</v>
      </c>
      <c r="H284" s="7" t="str" cm="1">
        <f t="array" ref="H284">_xlfn.IFS(
OR(ISNUMBER(SEARCH("mouse",E284)),ISNUMBER(SEARCH("rat",E284)),ISNUMBER(SEARCH("mice",E284)),ISNUMBER(SEARCH("rodent",E284))),"Rodent Control",
OR(ISNUMBER(SEARCH("fly",E284)),ISNUMBER(SEARCH("gnat",E284)),ISNUMBER(SEARCH("insect",E284)),ISNUMBER(SEARCH("mosquito",E284))),"Flying Insect Control",
OR(ISNUMBER(SEARCH("roach",E284)),ISNUMBER(SEARCH("ant",E284)),ISNUMBER(SEARCH("spider",E284)),ISNUMBER(SEARCH("cricket",E284)),ISNUMBER(SEARCH("scorpion",E284)),ISNUMBER(SEARCH("centipede",E284)),ISNUMBER(SEARCH("beetle",E284))),"Crawling Insect Control",
OR(ISNUMBER(SEARCH("tree",E284)),ISNUMBER(SEARCH("lantern",E284)),ISNUMBER(SEARCH("garden",E284)),ISNUMBER(SEARCH("plant",E284))),"Garden Pest Control",
OR(ISNUMBER(SEARCH("grass seed",E284)),ISNUMBER(SEARCH("seed mix",E284))),"Grass Seed",
OR(ISNUMBER(SEARCH("lawn food",E284)),ISNUMBER(SEARCH("fertilizer",E284))),"Lawn Fertilizer",
OR(ISNUMBER(SEARCH("patch",E284)),ISNUMBER(SEARCH("repair",E284)),ISNUMBER(SEARCH("thick'r",E284)),ISNUMBER(SEARCH("thick'r lawn",E284)),ISNUMBER(SEARCH("rapid grass",E284))),"Lawn Repair",
OR(ISNUMBER(SEARCH("weed",E284)),ISNUMBER(SEARCH("crabgrass",E284))),"Weed Control",
OR(ISNUMBER(SEARCH("fungicide",E284)),ISNUMBER(SEARCH("moss",E284))),"Disease &amp; Moss Control",
OR(ISNUMBER(SEARCH("plant food",E284)),ISNUMBER(SEARCH("miracid",E284))),"Plant Nutrition",
OR(ISNUMBER(SEARCH("perlite",E284))),"Soil Amendment",
OR(ISNUMBER(SEARCH("spreader",E284)),ISNUMBER(SEARCH("sprayer",E284)),ISNUMBER(SEARCH("mower",E284)),ISNUMBER(SEARCH("sweeper",E284)),ISNUMBER(SEARCH("pruner",E284)),ISNUMBER(SEARCH("trimmer",E284)),ISNUMBER(SEARCH("pole saw",E284))),"Garden Equipment",
TRUE,"Other"
)</f>
        <v>Grass Seed</v>
      </c>
      <c r="I284" s="7" t="str" cm="1">
        <f t="array" ref="I284">_xlfn.IFS(
OR(ISNUMBER(SEARCH("glue trap",E284)),ISNUMBER(SEARCH("glue board",E284))),"Glue Traps",
OR(ISNUMBER(SEARCH("snap trap",E284)),ISNUMBER(SEARCH("power-kill",E284)),ISNUMBER(SEARCH("wide pedal",E284)),ISNUMBER(SEARCH("metal pedal",E284))),"Snap Traps",
OR(ISNUMBER(SEARCH("electronic",E284)),ISNUMBER(SEARCH("zapper",E284))),"Electronic Traps",
OR(ISNUMBER(SEARCH("live catch",E284)),ISNUMBER(SEARCH("multi-catch",E284)),ISNUMBER(SEARCH("catch &amp; hold",E284)),ISNUMBER(SEARCH("tin cat",E284))),"Live Catch Traps",
OR(ISNUMBER(SEARCH("bait",E284)),ISNUMBER(SEARCH("poison",E284))),"Bait &amp; Poison",
ISNUMBER(SEARCH("repellent",E284)),"Repellents",
OR(ISNUMBER(SEARCH("fly trap",E284)),ISNUMBER(SEARCH("fly ribbon",E284)),ISNUMBER(SEARCH("fly stick",E284)),ISNUMBER(SEARCH("window fly",E284)),ISNUMBER(SEARCH("fly magnet",E284))),"Fly Traps",
OR(ISNUMBER(SEARCH("uv",E284)),ISNUMBER(SEARCH("fly light",E284)),ISNUMBER(SEARCH("plug-in",E284))),"UV Fly Traps",
ISNUMBER(SEARCH("roach",E284)),"Roach Traps",
ISNUMBER(SEARCH("ant",E284)),"Ant Traps",
ISNUMBER(SEARCH("spider",E284)),"Spider Traps",
ISNUMBER(SEARCH("mosquito",E284)),"Mosquito Traps",
ISNUMBER(SEARCH("beetle",E284)),"Beetle Traps",
ISNUMBER(SEARCH("lantern",E284)),"Lanternfly Control",
OR(ISNUMBER(SEARCH("tree shield",E284)),ISNUMBER(SEARCH("tree banding",E284)),ISNUMBER(SEARCH("insect barrier",E284))),"Tree Barriers",
OR(ISNUMBER(SEARCH("sun &amp; shade",E284)),ISNUMBER(SEARCH("sun and shade",E284))),"Sun &amp; Shade Mix",
ISNUMBER(SEARCH("tall fescue",E284)),"Tall Fescue",
ISNUMBER(SEARCH("bermudagrass",E284)),"Bermudagrass",
ISNUMBER(SEARCH("kentucky",E284)),"Kentucky Bluegrass",
ISNUMBER(SEARCH("zoysia",E284)),"Zoysia",
ISNUMBER(SEARCH("ryegrass",E284)),"Perennial Ryegrass",
ISNUMBER(SEARCH("centipede",E284)),"Centipede Grass",
ISNUMBER(SEARCH("dense shade",E284)),"Dense Shade Mix",
ISNUMBER(SEARCH("southern gold",E284)),"Southern Gold Mix",
ISNUMBER(SEARCH("heat-tolerant blue",E284)),"Heat-Tolerant Blue Mix",
ISNUMBER(SEARCH("high traffic",E284)),"High Traffic Mix",
ISNUMBER(SEARCH("quick fix",E284)),"Quick Fix Mix",
ISNUMBER(SEARCH("starter",E284)),"Starter Fertilizer",
ISNUMBER(SEARCH("weed &amp; feed",E284)),"Weed &amp; Feed",
ISNUMBER(SEARCH("lawn food",E284)),"Lawn Food",
ISNUMBER(SEARCH("triple action",E284)),"Triple Action Fertilizer",
ISNUMBER(SEARCH("green max",E284)),"Green Max Lawn Food",
ISNUMBER(SEARCH("patchmaster",E284)),"PatchMaster Repair",
ISNUMBER(SEARCH("ez seed",E284)),"EZ Seed Repair",
ISNUMBER(SEARCH("rapid grass",E284)),"Rapid Grass",
ISNUMBER(SEARCH("thick'r lawn",E284)),"Thick'R Lawn",
ISNUMBER(SEARCH("fungicide",E284)),"Fungicide",
ISNUMBER(SEARCH("moss",E284)),"Moss Control",
ISNUMBER(SEARCH("perlite",E284)),"Perlite",
ISNUMBER(SEARCH("plant food",E284)),"Plant Food",
ISNUMBER(SEARCH("spreader",E284)),"Spreader",
ISNUMBER(SEARCH("sprayer",E284)),"Sprayer",
ISNUMBER(SEARCH("mower",E284)),"Lawn Mower",
ISNUMBER(SEARCH("sweeper",E284)),"Lawn Sweeper",
OR(ISNUMBER(SEARCH("pruner",E284)),ISNUMBER(SEARCH("trimmer",E284)),ISNUMBER(SEARCH("pole saw",E284))),"Pruning Tools",
TRUE,"Other"
)</f>
        <v>Quick Fix Mix</v>
      </c>
      <c r="J284" s="7" t="str">
        <f t="shared" si="70"/>
        <v>Grass Seed - Quick Fix Mix</v>
      </c>
      <c r="K284" s="4">
        <v>50</v>
      </c>
      <c r="L284" s="4">
        <v>4.2</v>
      </c>
      <c r="M284" s="4">
        <v>2851</v>
      </c>
      <c r="N284" s="4" t="s">
        <v>1308</v>
      </c>
      <c r="O284" s="4">
        <f>VLOOKUP(A284,[3]Sheet1!$A:$B,2,0)</f>
        <v>0</v>
      </c>
      <c r="P284" s="4">
        <f>VLOOKUP(A284,[3]Sheet1!$A:$C,3,0)</f>
        <v>0</v>
      </c>
      <c r="Q284" s="4">
        <f>VLOOKUP(A284,[3]Sheet1!$A:$D,4,0)</f>
        <v>50</v>
      </c>
      <c r="R284" s="4">
        <f>VLOOKUP(A284,[3]Sheet1!$A:$E,5,0)</f>
        <v>200</v>
      </c>
      <c r="S284" s="4">
        <f>VLOOKUP(A284,[3]Sheet1!$A:$F,6,0)</f>
        <v>200</v>
      </c>
      <c r="T284" s="4">
        <f>VLOOKUP(A284,[3]Sheet1!$A:$G,7,0)</f>
        <v>100</v>
      </c>
      <c r="U284" s="4">
        <f>VLOOKUP(A284,[3]Sheet1!$A:$I,8,0)</f>
        <v>50</v>
      </c>
      <c r="V284" s="4">
        <f>VLOOKUP(A284,[3]Sheet1!$A:$J,9,0)</f>
        <v>50</v>
      </c>
      <c r="W284" s="4">
        <f>VLOOKUP(A284,[3]Sheet1!$A:$J,10,0)</f>
        <v>50</v>
      </c>
      <c r="X284" s="4">
        <f>VLOOKUP(A284,[3]Sheet1!$A:$K,11,0)</f>
        <v>100</v>
      </c>
      <c r="Y284" s="4">
        <f>VLOOKUP(A284,[3]Sheet1!$A:$L,12,0)</f>
        <v>50</v>
      </c>
      <c r="Z284" s="4">
        <f>VLOOKUP(A284,[3]Sheet1!$A:$M,13,0)</f>
        <v>0</v>
      </c>
      <c r="AA284" s="4">
        <f t="shared" si="64"/>
        <v>850</v>
      </c>
      <c r="AB284" s="7">
        <f t="shared" si="71"/>
        <v>71</v>
      </c>
      <c r="AC284" s="15">
        <f t="shared" si="65"/>
        <v>70.833333333333329</v>
      </c>
      <c r="AD284" s="16">
        <f t="shared" si="66"/>
        <v>13566</v>
      </c>
      <c r="AE284" s="16">
        <f t="shared" si="67"/>
        <v>1130.5</v>
      </c>
      <c r="AF284" s="16">
        <v>7.3</v>
      </c>
      <c r="AG284" s="16">
        <v>15.96</v>
      </c>
      <c r="AH284" s="8">
        <f t="shared" si="68"/>
        <v>-0.12773333333333331</v>
      </c>
      <c r="AI284" s="8">
        <f t="shared" si="69"/>
        <v>-0.4470666666666665</v>
      </c>
      <c r="AJ284" s="10">
        <v>0.5</v>
      </c>
      <c r="AK284" s="10">
        <v>0.5</v>
      </c>
      <c r="AL284" s="16">
        <v>7.3</v>
      </c>
      <c r="AM284" s="9">
        <f t="shared" si="72"/>
        <v>2.3940000000000001</v>
      </c>
      <c r="AN284" s="9">
        <f t="shared" si="73"/>
        <v>0.4788</v>
      </c>
      <c r="AO284" s="9">
        <f t="shared" si="74"/>
        <v>3.1920000000000002</v>
      </c>
      <c r="AP284" s="9">
        <f t="shared" si="75"/>
        <v>0.31920000000000004</v>
      </c>
      <c r="AQ284" s="9">
        <f t="shared" si="76"/>
        <v>3.1920000000000002</v>
      </c>
      <c r="AR284" s="9">
        <f t="shared" si="77"/>
        <v>3.99</v>
      </c>
      <c r="AS284" s="11">
        <f t="shared" si="78"/>
        <v>-1.277333333333333</v>
      </c>
      <c r="AT284" s="12">
        <f t="shared" si="79"/>
        <v>-1.809333333333333</v>
      </c>
    </row>
    <row r="285" spans="1:46" ht="16.5" x14ac:dyDescent="0.4">
      <c r="A285" s="4" t="s">
        <v>1309</v>
      </c>
      <c r="B285" s="4" t="s">
        <v>513</v>
      </c>
      <c r="C285" s="7" t="s">
        <v>1795</v>
      </c>
      <c r="D285" s="4" t="s">
        <v>1310</v>
      </c>
      <c r="E285" s="4" t="s">
        <v>1311</v>
      </c>
      <c r="F285" s="4" t="s">
        <v>1312</v>
      </c>
      <c r="G285" s="7" t="str">
        <f>VLOOKUP(A285,[1]done!$A:$I,9,0)</f>
        <v>Weed Control</v>
      </c>
      <c r="H285" s="7" t="str" cm="1">
        <f t="array" ref="H285">_xlfn.IFS(
OR(ISNUMBER(SEARCH("mouse",E285)),ISNUMBER(SEARCH("rat",E285)),ISNUMBER(SEARCH("mice",E285)),ISNUMBER(SEARCH("rodent",E285))),"Rodent Control",
OR(ISNUMBER(SEARCH("fly",E285)),ISNUMBER(SEARCH("gnat",E285)),ISNUMBER(SEARCH("insect",E285)),ISNUMBER(SEARCH("mosquito",E285))),"Flying Insect Control",
OR(ISNUMBER(SEARCH("roach",E285)),ISNUMBER(SEARCH("ant",E285)),ISNUMBER(SEARCH("spider",E285)),ISNUMBER(SEARCH("cricket",E285)),ISNUMBER(SEARCH("scorpion",E285)),ISNUMBER(SEARCH("centipede",E285)),ISNUMBER(SEARCH("beetle",E285))),"Crawling Insect Control",
OR(ISNUMBER(SEARCH("tree",E285)),ISNUMBER(SEARCH("lantern",E285)),ISNUMBER(SEARCH("garden",E285)),ISNUMBER(SEARCH("plant",E285))),"Garden Pest Control",
OR(ISNUMBER(SEARCH("grass seed",E285)),ISNUMBER(SEARCH("seed mix",E285))),"Grass Seed",
OR(ISNUMBER(SEARCH("lawn food",E285)),ISNUMBER(SEARCH("fertilizer",E285))),"Lawn Fertilizer",
OR(ISNUMBER(SEARCH("patch",E285)),ISNUMBER(SEARCH("repair",E285)),ISNUMBER(SEARCH("thick'r",E285)),ISNUMBER(SEARCH("thick'r lawn",E285)),ISNUMBER(SEARCH("rapid grass",E285))),"Lawn Repair",
OR(ISNUMBER(SEARCH("weed",E285)),ISNUMBER(SEARCH("crabgrass",E285))),"Weed Control",
OR(ISNUMBER(SEARCH("fungicide",E285)),ISNUMBER(SEARCH("moss",E285))),"Disease &amp; Moss Control",
OR(ISNUMBER(SEARCH("plant food",E285)),ISNUMBER(SEARCH("miracid",E285))),"Plant Nutrition",
OR(ISNUMBER(SEARCH("perlite",E285))),"Soil Amendment",
OR(ISNUMBER(SEARCH("spreader",E285)),ISNUMBER(SEARCH("sprayer",E285)),ISNUMBER(SEARCH("mower",E285)),ISNUMBER(SEARCH("sweeper",E285)),ISNUMBER(SEARCH("pruner",E285)),ISNUMBER(SEARCH("trimmer",E285)),ISNUMBER(SEARCH("pole saw",E285))),"Garden Equipment",
TRUE,"Other"
)</f>
        <v>Weed Control</v>
      </c>
      <c r="I285" s="7" t="str" cm="1">
        <f t="array" ref="I285">_xlfn.IFS(
OR(ISNUMBER(SEARCH("glue trap",E285)),ISNUMBER(SEARCH("glue board",E285))),"Glue Traps",
OR(ISNUMBER(SEARCH("snap trap",E285)),ISNUMBER(SEARCH("power-kill",E285)),ISNUMBER(SEARCH("wide pedal",E285)),ISNUMBER(SEARCH("metal pedal",E285))),"Snap Traps",
OR(ISNUMBER(SEARCH("electronic",E285)),ISNUMBER(SEARCH("zapper",E285))),"Electronic Traps",
OR(ISNUMBER(SEARCH("live catch",E285)),ISNUMBER(SEARCH("multi-catch",E285)),ISNUMBER(SEARCH("catch &amp; hold",E285)),ISNUMBER(SEARCH("tin cat",E285))),"Live Catch Traps",
OR(ISNUMBER(SEARCH("bait",E285)),ISNUMBER(SEARCH("poison",E285))),"Bait &amp; Poison",
ISNUMBER(SEARCH("repellent",E285)),"Repellents",
OR(ISNUMBER(SEARCH("fly trap",E285)),ISNUMBER(SEARCH("fly ribbon",E285)),ISNUMBER(SEARCH("fly stick",E285)),ISNUMBER(SEARCH("window fly",E285)),ISNUMBER(SEARCH("fly magnet",E285))),"Fly Traps",
OR(ISNUMBER(SEARCH("uv",E285)),ISNUMBER(SEARCH("fly light",E285)),ISNUMBER(SEARCH("plug-in",E285))),"UV Fly Traps",
ISNUMBER(SEARCH("roach",E285)),"Roach Traps",
ISNUMBER(SEARCH("ant",E285)),"Ant Traps",
ISNUMBER(SEARCH("spider",E285)),"Spider Traps",
ISNUMBER(SEARCH("mosquito",E285)),"Mosquito Traps",
ISNUMBER(SEARCH("beetle",E285)),"Beetle Traps",
ISNUMBER(SEARCH("lantern",E285)),"Lanternfly Control",
OR(ISNUMBER(SEARCH("tree shield",E285)),ISNUMBER(SEARCH("tree banding",E285)),ISNUMBER(SEARCH("insect barrier",E285))),"Tree Barriers",
OR(ISNUMBER(SEARCH("sun &amp; shade",E285)),ISNUMBER(SEARCH("sun and shade",E285))),"Sun &amp; Shade Mix",
ISNUMBER(SEARCH("tall fescue",E285)),"Tall Fescue",
ISNUMBER(SEARCH("bermudagrass",E285)),"Bermudagrass",
ISNUMBER(SEARCH("kentucky",E285)),"Kentucky Bluegrass",
ISNUMBER(SEARCH("zoysia",E285)),"Zoysia",
ISNUMBER(SEARCH("ryegrass",E285)),"Perennial Ryegrass",
ISNUMBER(SEARCH("centipede",E285)),"Centipede Grass",
ISNUMBER(SEARCH("dense shade",E285)),"Dense Shade Mix",
ISNUMBER(SEARCH("southern gold",E285)),"Southern Gold Mix",
ISNUMBER(SEARCH("heat-tolerant blue",E285)),"Heat-Tolerant Blue Mix",
ISNUMBER(SEARCH("high traffic",E285)),"High Traffic Mix",
ISNUMBER(SEARCH("quick fix",E285)),"Quick Fix Mix",
ISNUMBER(SEARCH("starter",E285)),"Starter Fertilizer",
ISNUMBER(SEARCH("weed &amp; feed",E285)),"Weed &amp; Feed",
ISNUMBER(SEARCH("lawn food",E285)),"Lawn Food",
ISNUMBER(SEARCH("triple action",E285)),"Triple Action Fertilizer",
ISNUMBER(SEARCH("green max",E285)),"Green Max Lawn Food",
ISNUMBER(SEARCH("patchmaster",E285)),"PatchMaster Repair",
ISNUMBER(SEARCH("ez seed",E285)),"EZ Seed Repair",
ISNUMBER(SEARCH("rapid grass",E285)),"Rapid Grass",
ISNUMBER(SEARCH("thick'r lawn",E285)),"Thick'R Lawn",
ISNUMBER(SEARCH("fungicide",E285)),"Fungicide",
ISNUMBER(SEARCH("moss",E285)),"Moss Control",
ISNUMBER(SEARCH("perlite",E285)),"Perlite",
ISNUMBER(SEARCH("plant food",E285)),"Plant Food",
ISNUMBER(SEARCH("spreader",E285)),"Spreader",
ISNUMBER(SEARCH("sprayer",E285)),"Sprayer",
ISNUMBER(SEARCH("mower",E285)),"Lawn Mower",
ISNUMBER(SEARCH("sweeper",E285)),"Lawn Sweeper",
OR(ISNUMBER(SEARCH("pruner",E285)),ISNUMBER(SEARCH("trimmer",E285)),ISNUMBER(SEARCH("pole saw",E285))),"Pruning Tools",
TRUE,"Other"
)</f>
        <v>Other</v>
      </c>
      <c r="J285" s="7" t="str">
        <f t="shared" si="70"/>
        <v>Weed Control - Other</v>
      </c>
      <c r="K285" s="4">
        <v>50</v>
      </c>
      <c r="L285" s="4">
        <v>4.0999999999999996</v>
      </c>
      <c r="M285" s="4">
        <v>402</v>
      </c>
      <c r="O285" s="4">
        <f>VLOOKUP(A285,[3]Sheet1!$A:$B,2,0)</f>
        <v>0</v>
      </c>
      <c r="P285" s="4">
        <f>VLOOKUP(A285,[3]Sheet1!$A:$C,3,0)</f>
        <v>0</v>
      </c>
      <c r="Q285" s="4">
        <f>VLOOKUP(A285,[3]Sheet1!$A:$D,4,0)</f>
        <v>0</v>
      </c>
      <c r="R285" s="4">
        <f>VLOOKUP(A285,[3]Sheet1!$A:$E,5,0)</f>
        <v>100</v>
      </c>
      <c r="S285" s="4">
        <f>VLOOKUP(A285,[3]Sheet1!$A:$F,6,0)</f>
        <v>400</v>
      </c>
      <c r="T285" s="4">
        <f>VLOOKUP(A285,[3]Sheet1!$A:$G,7,0)</f>
        <v>100</v>
      </c>
      <c r="U285" s="4">
        <f>VLOOKUP(A285,[3]Sheet1!$A:$I,8,0)</f>
        <v>100</v>
      </c>
      <c r="V285" s="4">
        <f>VLOOKUP(A285,[3]Sheet1!$A:$J,9,0)</f>
        <v>100</v>
      </c>
      <c r="W285" s="4">
        <f>VLOOKUP(A285,[3]Sheet1!$A:$J,10,0)</f>
        <v>100</v>
      </c>
      <c r="X285" s="4">
        <f>VLOOKUP(A285,[3]Sheet1!$A:$K,11,0)</f>
        <v>0</v>
      </c>
      <c r="Y285" s="4">
        <f>VLOOKUP(A285,[3]Sheet1!$A:$L,12,0)</f>
        <v>0</v>
      </c>
      <c r="Z285" s="4">
        <f>VLOOKUP(A285,[3]Sheet1!$A:$M,13,0)</f>
        <v>0</v>
      </c>
      <c r="AA285" s="4">
        <f t="shared" si="64"/>
        <v>900</v>
      </c>
      <c r="AB285" s="7">
        <f t="shared" si="71"/>
        <v>75</v>
      </c>
      <c r="AC285" s="15">
        <f t="shared" si="65"/>
        <v>75</v>
      </c>
      <c r="AD285" s="16">
        <f t="shared" si="66"/>
        <v>5841</v>
      </c>
      <c r="AE285" s="16">
        <f t="shared" si="67"/>
        <v>486.75</v>
      </c>
      <c r="AF285" s="16">
        <v>6.02</v>
      </c>
      <c r="AG285" s="16">
        <v>6.49</v>
      </c>
      <c r="AH285" s="8">
        <f t="shared" si="68"/>
        <v>-0.29493333333333333</v>
      </c>
      <c r="AI285" s="8">
        <f t="shared" si="69"/>
        <v>-1.0322666666666664</v>
      </c>
      <c r="AJ285" s="10">
        <v>0.5</v>
      </c>
      <c r="AK285" s="10">
        <v>0.5</v>
      </c>
      <c r="AL285" s="16">
        <v>6.02</v>
      </c>
      <c r="AM285" s="9">
        <f t="shared" si="72"/>
        <v>0.97350000000000003</v>
      </c>
      <c r="AN285" s="9">
        <f t="shared" si="73"/>
        <v>0.19470000000000001</v>
      </c>
      <c r="AO285" s="9">
        <f t="shared" si="74"/>
        <v>1.298</v>
      </c>
      <c r="AP285" s="9">
        <f t="shared" si="75"/>
        <v>0.1298</v>
      </c>
      <c r="AQ285" s="9">
        <f t="shared" si="76"/>
        <v>1.298</v>
      </c>
      <c r="AR285" s="9">
        <f t="shared" si="77"/>
        <v>1.6225000000000001</v>
      </c>
      <c r="AS285" s="11">
        <f t="shared" si="78"/>
        <v>-2.9493333333333331</v>
      </c>
      <c r="AT285" s="12">
        <f t="shared" si="79"/>
        <v>-3.1656666666666666</v>
      </c>
    </row>
    <row r="286" spans="1:46" ht="16.5" x14ac:dyDescent="0.4">
      <c r="A286" s="4" t="s">
        <v>1313</v>
      </c>
      <c r="B286" s="4" t="s">
        <v>1314</v>
      </c>
      <c r="C286" s="7" t="s">
        <v>1796</v>
      </c>
      <c r="D286" s="4" t="s">
        <v>1315</v>
      </c>
      <c r="E286" s="4" t="s">
        <v>1316</v>
      </c>
      <c r="F286" s="4" t="s">
        <v>1317</v>
      </c>
      <c r="G286" s="7" t="str">
        <f>VLOOKUP(A286,[1]done!$A:$I,9,0)</f>
        <v>Rodent</v>
      </c>
      <c r="H286" s="7" t="str" cm="1">
        <f t="array" ref="H286">_xlfn.IFS(
OR(ISNUMBER(SEARCH("mouse",E286)),ISNUMBER(SEARCH("rat",E286)),ISNUMBER(SEARCH("mice",E286)),ISNUMBER(SEARCH("rodent",E286))),"Rodent Control",
OR(ISNUMBER(SEARCH("fly",E286)),ISNUMBER(SEARCH("gnat",E286)),ISNUMBER(SEARCH("insect",E286)),ISNUMBER(SEARCH("mosquito",E286))),"Flying Insect Control",
OR(ISNUMBER(SEARCH("roach",E286)),ISNUMBER(SEARCH("ant",E286)),ISNUMBER(SEARCH("spider",E286)),ISNUMBER(SEARCH("cricket",E286)),ISNUMBER(SEARCH("scorpion",E286)),ISNUMBER(SEARCH("centipede",E286)),ISNUMBER(SEARCH("beetle",E286))),"Crawling Insect Control",
OR(ISNUMBER(SEARCH("tree",E286)),ISNUMBER(SEARCH("lantern",E286)),ISNUMBER(SEARCH("garden",E286)),ISNUMBER(SEARCH("plant",E286))),"Garden Pest Control",
OR(ISNUMBER(SEARCH("grass seed",E286)),ISNUMBER(SEARCH("seed mix",E286))),"Grass Seed",
OR(ISNUMBER(SEARCH("lawn food",E286)),ISNUMBER(SEARCH("fertilizer",E286))),"Lawn Fertilizer",
OR(ISNUMBER(SEARCH("patch",E286)),ISNUMBER(SEARCH("repair",E286)),ISNUMBER(SEARCH("thick'r",E286)),ISNUMBER(SEARCH("thick'r lawn",E286)),ISNUMBER(SEARCH("rapid grass",E286))),"Lawn Repair",
OR(ISNUMBER(SEARCH("weed",E286)),ISNUMBER(SEARCH("crabgrass",E286))),"Weed Control",
OR(ISNUMBER(SEARCH("fungicide",E286)),ISNUMBER(SEARCH("moss",E286))),"Disease &amp; Moss Control",
OR(ISNUMBER(SEARCH("plant food",E286)),ISNUMBER(SEARCH("miracid",E286))),"Plant Nutrition",
OR(ISNUMBER(SEARCH("perlite",E286))),"Soil Amendment",
OR(ISNUMBER(SEARCH("spreader",E286)),ISNUMBER(SEARCH("sprayer",E286)),ISNUMBER(SEARCH("mower",E286)),ISNUMBER(SEARCH("sweeper",E286)),ISNUMBER(SEARCH("pruner",E286)),ISNUMBER(SEARCH("trimmer",E286)),ISNUMBER(SEARCH("pole saw",E286))),"Garden Equipment",
TRUE,"Other"
)</f>
        <v>Rodent Control</v>
      </c>
      <c r="I286" s="7" t="str" cm="1">
        <f t="array" ref="I286">_xlfn.IFS(
OR(ISNUMBER(SEARCH("glue trap",E286)),ISNUMBER(SEARCH("glue board",E286))),"Glue Traps",
OR(ISNUMBER(SEARCH("snap trap",E286)),ISNUMBER(SEARCH("power-kill",E286)),ISNUMBER(SEARCH("wide pedal",E286)),ISNUMBER(SEARCH("metal pedal",E286))),"Snap Traps",
OR(ISNUMBER(SEARCH("electronic",E286)),ISNUMBER(SEARCH("zapper",E286))),"Electronic Traps",
OR(ISNUMBER(SEARCH("live catch",E286)),ISNUMBER(SEARCH("multi-catch",E286)),ISNUMBER(SEARCH("catch &amp; hold",E286)),ISNUMBER(SEARCH("tin cat",E286))),"Live Catch Traps",
OR(ISNUMBER(SEARCH("bait",E286)),ISNUMBER(SEARCH("poison",E286))),"Bait &amp; Poison",
ISNUMBER(SEARCH("repellent",E286)),"Repellents",
OR(ISNUMBER(SEARCH("fly trap",E286)),ISNUMBER(SEARCH("fly ribbon",E286)),ISNUMBER(SEARCH("fly stick",E286)),ISNUMBER(SEARCH("window fly",E286)),ISNUMBER(SEARCH("fly magnet",E286))),"Fly Traps",
OR(ISNUMBER(SEARCH("uv",E286)),ISNUMBER(SEARCH("fly light",E286)),ISNUMBER(SEARCH("plug-in",E286))),"UV Fly Traps",
ISNUMBER(SEARCH("roach",E286)),"Roach Traps",
ISNUMBER(SEARCH("ant",E286)),"Ant Traps",
ISNUMBER(SEARCH("spider",E286)),"Spider Traps",
ISNUMBER(SEARCH("mosquito",E286)),"Mosquito Traps",
ISNUMBER(SEARCH("beetle",E286)),"Beetle Traps",
ISNUMBER(SEARCH("lantern",E286)),"Lanternfly Control",
OR(ISNUMBER(SEARCH("tree shield",E286)),ISNUMBER(SEARCH("tree banding",E286)),ISNUMBER(SEARCH("insect barrier",E286))),"Tree Barriers",
OR(ISNUMBER(SEARCH("sun &amp; shade",E286)),ISNUMBER(SEARCH("sun and shade",E286))),"Sun &amp; Shade Mix",
ISNUMBER(SEARCH("tall fescue",E286)),"Tall Fescue",
ISNUMBER(SEARCH("bermudagrass",E286)),"Bermudagrass",
ISNUMBER(SEARCH("kentucky",E286)),"Kentucky Bluegrass",
ISNUMBER(SEARCH("zoysia",E286)),"Zoysia",
ISNUMBER(SEARCH("ryegrass",E286)),"Perennial Ryegrass",
ISNUMBER(SEARCH("centipede",E286)),"Centipede Grass",
ISNUMBER(SEARCH("dense shade",E286)),"Dense Shade Mix",
ISNUMBER(SEARCH("southern gold",E286)),"Southern Gold Mix",
ISNUMBER(SEARCH("heat-tolerant blue",E286)),"Heat-Tolerant Blue Mix",
ISNUMBER(SEARCH("high traffic",E286)),"High Traffic Mix",
ISNUMBER(SEARCH("quick fix",E286)),"Quick Fix Mix",
ISNUMBER(SEARCH("starter",E286)),"Starter Fertilizer",
ISNUMBER(SEARCH("weed &amp; feed",E286)),"Weed &amp; Feed",
ISNUMBER(SEARCH("lawn food",E286)),"Lawn Food",
ISNUMBER(SEARCH("triple action",E286)),"Triple Action Fertilizer",
ISNUMBER(SEARCH("green max",E286)),"Green Max Lawn Food",
ISNUMBER(SEARCH("patchmaster",E286)),"PatchMaster Repair",
ISNUMBER(SEARCH("ez seed",E286)),"EZ Seed Repair",
ISNUMBER(SEARCH("rapid grass",E286)),"Rapid Grass",
ISNUMBER(SEARCH("thick'r lawn",E286)),"Thick'R Lawn",
ISNUMBER(SEARCH("fungicide",E286)),"Fungicide",
ISNUMBER(SEARCH("moss",E286)),"Moss Control",
ISNUMBER(SEARCH("perlite",E286)),"Perlite",
ISNUMBER(SEARCH("plant food",E286)),"Plant Food",
ISNUMBER(SEARCH("spreader",E286)),"Spreader",
ISNUMBER(SEARCH("sprayer",E286)),"Sprayer",
ISNUMBER(SEARCH("mower",E286)),"Lawn Mower",
ISNUMBER(SEARCH("sweeper",E286)),"Lawn Sweeper",
OR(ISNUMBER(SEARCH("pruner",E286)),ISNUMBER(SEARCH("trimmer",E286)),ISNUMBER(SEARCH("pole saw",E286))),"Pruning Tools",
TRUE,"Other"
)</f>
        <v>Snap Traps</v>
      </c>
      <c r="J286" s="7" t="str">
        <f t="shared" si="70"/>
        <v>Rodent Control - Snap Traps</v>
      </c>
      <c r="K286" s="4">
        <v>20000</v>
      </c>
      <c r="L286" s="4">
        <v>4.2</v>
      </c>
      <c r="M286" s="4">
        <v>25912</v>
      </c>
      <c r="N286" s="4" t="s">
        <v>1318</v>
      </c>
      <c r="O286" s="4">
        <f>VLOOKUP(A286,[4]Sheet1!$A:$B,2,0)</f>
        <v>20000</v>
      </c>
      <c r="P286" s="4">
        <f>VLOOKUP(A286,[4]Sheet1!$A:$C,3,0)</f>
        <v>10000</v>
      </c>
      <c r="Q286" s="4">
        <f>VLOOKUP(A286,[4]Sheet1!$A:$D,4,0)</f>
        <v>10000</v>
      </c>
      <c r="R286" s="4">
        <f>VLOOKUP(A286,[4]Sheet1!$A:$E,5,0)</f>
        <v>20000</v>
      </c>
      <c r="S286" s="4">
        <f>VLOOKUP(A286,[4]Sheet1!$A:$F,6,0)</f>
        <v>20000</v>
      </c>
      <c r="T286" s="4">
        <f>VLOOKUP(A286,[4]Sheet1!$A:$G,7,0)</f>
        <v>20000</v>
      </c>
      <c r="U286" s="4">
        <f>VLOOKUP(A286,[4]Sheet1!$A:$H,8,0)</f>
        <v>20000</v>
      </c>
      <c r="V286" s="4">
        <f>VLOOKUP(A286,[4]Sheet1!$A:$I,9,0)</f>
        <v>10000</v>
      </c>
      <c r="W286" s="4">
        <f>VLOOKUP(A286,[4]Sheet1!$A:$J,10,0)</f>
        <v>10000</v>
      </c>
      <c r="X286" s="4">
        <f>VLOOKUP(A286,[4]Sheet1!$A:$K,11,0)</f>
        <v>20000</v>
      </c>
      <c r="Y286" s="4">
        <f>VLOOKUP(A286,[4]Sheet1!$A:$L,12,0)</f>
        <v>30000</v>
      </c>
      <c r="Z286" s="4">
        <f>VLOOKUP(A286,[4]Sheet1!$A:$M,13,0)</f>
        <v>30000</v>
      </c>
      <c r="AA286" s="4">
        <f>SUM(O286:Z286)</f>
        <v>220000</v>
      </c>
      <c r="AB286" s="7">
        <f t="shared" si="71"/>
        <v>18333</v>
      </c>
      <c r="AC286" s="15">
        <f>AVERAGE(O286:Z286)</f>
        <v>18333.333333333332</v>
      </c>
      <c r="AD286" s="16">
        <f>AG286*AA286</f>
        <v>2725800</v>
      </c>
      <c r="AE286" s="16">
        <f>AG286*AC286</f>
        <v>227150</v>
      </c>
      <c r="AF286" s="16">
        <v>5.66</v>
      </c>
      <c r="AG286" s="16">
        <v>12.39</v>
      </c>
      <c r="AH286" s="15">
        <f>0.1*AS286</f>
        <v>-0.11360000000000002</v>
      </c>
      <c r="AI286" s="15">
        <f>0.35*AS286</f>
        <v>-0.39760000000000001</v>
      </c>
      <c r="AJ286" s="10">
        <v>0.5</v>
      </c>
      <c r="AK286" s="10">
        <v>0.5</v>
      </c>
      <c r="AL286" s="16">
        <v>5.66</v>
      </c>
      <c r="AM286" s="9">
        <f t="shared" si="72"/>
        <v>1.8585</v>
      </c>
      <c r="AN286" s="9">
        <f t="shared" si="73"/>
        <v>0.37170000000000003</v>
      </c>
      <c r="AO286" s="9">
        <f t="shared" si="74"/>
        <v>2.4780000000000002</v>
      </c>
      <c r="AP286" s="9">
        <f t="shared" si="75"/>
        <v>0.24780000000000002</v>
      </c>
      <c r="AQ286" s="9">
        <f t="shared" si="76"/>
        <v>2.4780000000000002</v>
      </c>
      <c r="AR286" s="9">
        <f t="shared" si="77"/>
        <v>3.0975000000000001</v>
      </c>
      <c r="AS286" s="11">
        <f t="shared" si="78"/>
        <v>-1.1360000000000001</v>
      </c>
      <c r="AT286" s="12">
        <f t="shared" si="79"/>
        <v>-1.5490000000000002</v>
      </c>
    </row>
    <row r="287" spans="1:46" ht="16.5" x14ac:dyDescent="0.4">
      <c r="A287" s="4" t="s">
        <v>1319</v>
      </c>
      <c r="B287" s="4" t="s">
        <v>1314</v>
      </c>
      <c r="C287" s="7" t="s">
        <v>1796</v>
      </c>
      <c r="D287" s="4" t="s">
        <v>1320</v>
      </c>
      <c r="E287" s="4" t="s">
        <v>1321</v>
      </c>
      <c r="F287" s="4" t="s">
        <v>1322</v>
      </c>
      <c r="G287" s="7" t="str">
        <f>VLOOKUP(A287,[1]done!$A:$I,9,0)</f>
        <v>Rodent</v>
      </c>
      <c r="H287" s="7" t="str" cm="1">
        <f t="array" ref="H287">_xlfn.IFS(
OR(ISNUMBER(SEARCH("mouse",E287)),ISNUMBER(SEARCH("rat",E287)),ISNUMBER(SEARCH("mice",E287)),ISNUMBER(SEARCH("rodent",E287))),"Rodent Control",
OR(ISNUMBER(SEARCH("fly",E287)),ISNUMBER(SEARCH("gnat",E287)),ISNUMBER(SEARCH("insect",E287)),ISNUMBER(SEARCH("mosquito",E287))),"Flying Insect Control",
OR(ISNUMBER(SEARCH("roach",E287)),ISNUMBER(SEARCH("ant",E287)),ISNUMBER(SEARCH("spider",E287)),ISNUMBER(SEARCH("cricket",E287)),ISNUMBER(SEARCH("scorpion",E287)),ISNUMBER(SEARCH("centipede",E287)),ISNUMBER(SEARCH("beetle",E287))),"Crawling Insect Control",
OR(ISNUMBER(SEARCH("tree",E287)),ISNUMBER(SEARCH("lantern",E287)),ISNUMBER(SEARCH("garden",E287)),ISNUMBER(SEARCH("plant",E287))),"Garden Pest Control",
OR(ISNUMBER(SEARCH("grass seed",E287)),ISNUMBER(SEARCH("seed mix",E287))),"Grass Seed",
OR(ISNUMBER(SEARCH("lawn food",E287)),ISNUMBER(SEARCH("fertilizer",E287))),"Lawn Fertilizer",
OR(ISNUMBER(SEARCH("patch",E287)),ISNUMBER(SEARCH("repair",E287)),ISNUMBER(SEARCH("thick'r",E287)),ISNUMBER(SEARCH("thick'r lawn",E287)),ISNUMBER(SEARCH("rapid grass",E287))),"Lawn Repair",
OR(ISNUMBER(SEARCH("weed",E287)),ISNUMBER(SEARCH("crabgrass",E287))),"Weed Control",
OR(ISNUMBER(SEARCH("fungicide",E287)),ISNUMBER(SEARCH("moss",E287))),"Disease &amp; Moss Control",
OR(ISNUMBER(SEARCH("plant food",E287)),ISNUMBER(SEARCH("miracid",E287))),"Plant Nutrition",
OR(ISNUMBER(SEARCH("perlite",E287))),"Soil Amendment",
OR(ISNUMBER(SEARCH("spreader",E287)),ISNUMBER(SEARCH("sprayer",E287)),ISNUMBER(SEARCH("mower",E287)),ISNUMBER(SEARCH("sweeper",E287)),ISNUMBER(SEARCH("pruner",E287)),ISNUMBER(SEARCH("trimmer",E287)),ISNUMBER(SEARCH("pole saw",E287))),"Garden Equipment",
TRUE,"Other"
)</f>
        <v>Rodent Control</v>
      </c>
      <c r="I287" s="7" t="str" cm="1">
        <f t="array" ref="I287">_xlfn.IFS(
OR(ISNUMBER(SEARCH("glue trap",E287)),ISNUMBER(SEARCH("glue board",E287))),"Glue Traps",
OR(ISNUMBER(SEARCH("snap trap",E287)),ISNUMBER(SEARCH("power-kill",E287)),ISNUMBER(SEARCH("wide pedal",E287)),ISNUMBER(SEARCH("metal pedal",E287))),"Snap Traps",
OR(ISNUMBER(SEARCH("electronic",E287)),ISNUMBER(SEARCH("zapper",E287))),"Electronic Traps",
OR(ISNUMBER(SEARCH("live catch",E287)),ISNUMBER(SEARCH("multi-catch",E287)),ISNUMBER(SEARCH("catch &amp; hold",E287)),ISNUMBER(SEARCH("tin cat",E287))),"Live Catch Traps",
OR(ISNUMBER(SEARCH("bait",E287)),ISNUMBER(SEARCH("poison",E287))),"Bait &amp; Poison",
ISNUMBER(SEARCH("repellent",E287)),"Repellents",
OR(ISNUMBER(SEARCH("fly trap",E287)),ISNUMBER(SEARCH("fly ribbon",E287)),ISNUMBER(SEARCH("fly stick",E287)),ISNUMBER(SEARCH("window fly",E287)),ISNUMBER(SEARCH("fly magnet",E287))),"Fly Traps",
OR(ISNUMBER(SEARCH("uv",E287)),ISNUMBER(SEARCH("fly light",E287)),ISNUMBER(SEARCH("plug-in",E287))),"UV Fly Traps",
ISNUMBER(SEARCH("roach",E287)),"Roach Traps",
ISNUMBER(SEARCH("ant",E287)),"Ant Traps",
ISNUMBER(SEARCH("spider",E287)),"Spider Traps",
ISNUMBER(SEARCH("mosquito",E287)),"Mosquito Traps",
ISNUMBER(SEARCH("beetle",E287)),"Beetle Traps",
ISNUMBER(SEARCH("lantern",E287)),"Lanternfly Control",
OR(ISNUMBER(SEARCH("tree shield",E287)),ISNUMBER(SEARCH("tree banding",E287)),ISNUMBER(SEARCH("insect barrier",E287))),"Tree Barriers",
OR(ISNUMBER(SEARCH("sun &amp; shade",E287)),ISNUMBER(SEARCH("sun and shade",E287))),"Sun &amp; Shade Mix",
ISNUMBER(SEARCH("tall fescue",E287)),"Tall Fescue",
ISNUMBER(SEARCH("bermudagrass",E287)),"Bermudagrass",
ISNUMBER(SEARCH("kentucky",E287)),"Kentucky Bluegrass",
ISNUMBER(SEARCH("zoysia",E287)),"Zoysia",
ISNUMBER(SEARCH("ryegrass",E287)),"Perennial Ryegrass",
ISNUMBER(SEARCH("centipede",E287)),"Centipede Grass",
ISNUMBER(SEARCH("dense shade",E287)),"Dense Shade Mix",
ISNUMBER(SEARCH("southern gold",E287)),"Southern Gold Mix",
ISNUMBER(SEARCH("heat-tolerant blue",E287)),"Heat-Tolerant Blue Mix",
ISNUMBER(SEARCH("high traffic",E287)),"High Traffic Mix",
ISNUMBER(SEARCH("quick fix",E287)),"Quick Fix Mix",
ISNUMBER(SEARCH("starter",E287)),"Starter Fertilizer",
ISNUMBER(SEARCH("weed &amp; feed",E287)),"Weed &amp; Feed",
ISNUMBER(SEARCH("lawn food",E287)),"Lawn Food",
ISNUMBER(SEARCH("triple action",E287)),"Triple Action Fertilizer",
ISNUMBER(SEARCH("green max",E287)),"Green Max Lawn Food",
ISNUMBER(SEARCH("patchmaster",E287)),"PatchMaster Repair",
ISNUMBER(SEARCH("ez seed",E287)),"EZ Seed Repair",
ISNUMBER(SEARCH("rapid grass",E287)),"Rapid Grass",
ISNUMBER(SEARCH("thick'r lawn",E287)),"Thick'R Lawn",
ISNUMBER(SEARCH("fungicide",E287)),"Fungicide",
ISNUMBER(SEARCH("moss",E287)),"Moss Control",
ISNUMBER(SEARCH("perlite",E287)),"Perlite",
ISNUMBER(SEARCH("plant food",E287)),"Plant Food",
ISNUMBER(SEARCH("spreader",E287)),"Spreader",
ISNUMBER(SEARCH("sprayer",E287)),"Sprayer",
ISNUMBER(SEARCH("mower",E287)),"Lawn Mower",
ISNUMBER(SEARCH("sweeper",E287)),"Lawn Sweeper",
OR(ISNUMBER(SEARCH("pruner",E287)),ISNUMBER(SEARCH("trimmer",E287)),ISNUMBER(SEARCH("pole saw",E287))),"Pruning Tools",
TRUE,"Other"
)</f>
        <v>Snap Traps</v>
      </c>
      <c r="J287" s="7" t="str">
        <f t="shared" si="70"/>
        <v>Rodent Control - Snap Traps</v>
      </c>
      <c r="K287" s="4">
        <v>10000</v>
      </c>
      <c r="L287" s="4">
        <v>4.2</v>
      </c>
      <c r="M287" s="4">
        <v>25912</v>
      </c>
      <c r="N287" s="4" t="s">
        <v>1323</v>
      </c>
      <c r="O287" s="4">
        <f>VLOOKUP(A287,[4]Sheet1!$A:$B,2,0)</f>
        <v>10000</v>
      </c>
      <c r="P287" s="4">
        <f>VLOOKUP(A287,[4]Sheet1!$A:$C,3,0)</f>
        <v>9000</v>
      </c>
      <c r="Q287" s="4">
        <f>VLOOKUP(A287,[4]Sheet1!$A:$D,4,0)</f>
        <v>8000</v>
      </c>
      <c r="R287" s="4">
        <f>VLOOKUP(A287,[4]Sheet1!$A:$E,5,0)</f>
        <v>5000</v>
      </c>
      <c r="S287" s="4">
        <f>VLOOKUP(A287,[4]Sheet1!$A:$F,6,0)</f>
        <v>7000</v>
      </c>
      <c r="T287" s="4">
        <f>VLOOKUP(A287,[4]Sheet1!$A:$G,7,0)</f>
        <v>8000</v>
      </c>
      <c r="U287" s="4">
        <f>VLOOKUP(A287,[4]Sheet1!$A:$H,8,0)</f>
        <v>8000</v>
      </c>
      <c r="V287" s="4">
        <f>VLOOKUP(A287,[4]Sheet1!$A:$I,9,0)</f>
        <v>10000</v>
      </c>
      <c r="W287" s="4">
        <f>VLOOKUP(A287,[4]Sheet1!$A:$J,10,0)</f>
        <v>10000</v>
      </c>
      <c r="X287" s="4">
        <f>VLOOKUP(A287,[4]Sheet1!$A:$K,11,0)</f>
        <v>9000</v>
      </c>
      <c r="Y287" s="4">
        <f>VLOOKUP(A287,[4]Sheet1!$A:$L,12,0)</f>
        <v>10000</v>
      </c>
      <c r="Z287" s="4">
        <f>VLOOKUP(A287,[4]Sheet1!$A:$M,13,0)</f>
        <v>10000</v>
      </c>
      <c r="AA287" s="4">
        <f t="shared" ref="AA287:AA350" si="80">SUM(O287:Z287)</f>
        <v>104000</v>
      </c>
      <c r="AB287" s="7">
        <f t="shared" si="71"/>
        <v>8667</v>
      </c>
      <c r="AC287" s="15">
        <f t="shared" ref="AC287:AC350" si="81">AVERAGE(O287:Z287)</f>
        <v>8666.6666666666661</v>
      </c>
      <c r="AD287" s="16">
        <f t="shared" ref="AD287:AD350" si="82">AG287*AA287</f>
        <v>1288560</v>
      </c>
      <c r="AE287" s="16">
        <f t="shared" ref="AE287:AE350" si="83">AG287*AC287</f>
        <v>107380</v>
      </c>
      <c r="AF287" s="16">
        <v>6.02</v>
      </c>
      <c r="AG287" s="16">
        <v>12.39</v>
      </c>
      <c r="AH287" s="15">
        <f t="shared" ref="AH287:AH350" si="84">0.1*AS287</f>
        <v>-0.13759999999999997</v>
      </c>
      <c r="AI287" s="15">
        <f t="shared" ref="AI287:AI350" si="85">0.35*AS287</f>
        <v>-0.48159999999999986</v>
      </c>
      <c r="AJ287" s="10">
        <v>0.5</v>
      </c>
      <c r="AK287" s="10">
        <v>0.5</v>
      </c>
      <c r="AL287" s="16">
        <v>6.02</v>
      </c>
      <c r="AM287" s="9">
        <f t="shared" si="72"/>
        <v>1.8585</v>
      </c>
      <c r="AN287" s="9">
        <f t="shared" si="73"/>
        <v>0.37170000000000003</v>
      </c>
      <c r="AO287" s="9">
        <f t="shared" si="74"/>
        <v>2.4780000000000002</v>
      </c>
      <c r="AP287" s="9">
        <f t="shared" si="75"/>
        <v>0.24780000000000002</v>
      </c>
      <c r="AQ287" s="9">
        <f t="shared" si="76"/>
        <v>2.4780000000000002</v>
      </c>
      <c r="AR287" s="9">
        <f t="shared" si="77"/>
        <v>3.0975000000000001</v>
      </c>
      <c r="AS287" s="11">
        <f t="shared" si="78"/>
        <v>-1.3759999999999997</v>
      </c>
      <c r="AT287" s="12">
        <f t="shared" si="79"/>
        <v>-1.7889999999999997</v>
      </c>
    </row>
    <row r="288" spans="1:46" ht="16.5" x14ac:dyDescent="0.4">
      <c r="A288" s="4" t="s">
        <v>1324</v>
      </c>
      <c r="B288" s="4" t="s">
        <v>1314</v>
      </c>
      <c r="C288" s="7" t="s">
        <v>1314</v>
      </c>
      <c r="D288" s="4" t="s">
        <v>1325</v>
      </c>
      <c r="E288" s="4" t="s">
        <v>1326</v>
      </c>
      <c r="F288" s="4" t="s">
        <v>1327</v>
      </c>
      <c r="G288" s="7" t="str">
        <f>VLOOKUP(A288,[1]done!$A:$I,9,0)</f>
        <v>Rodent</v>
      </c>
      <c r="H288" s="7" t="str" cm="1">
        <f t="array" ref="H288">_xlfn.IFS(
OR(ISNUMBER(SEARCH("mouse",E288)),ISNUMBER(SEARCH("rat",E288)),ISNUMBER(SEARCH("mice",E288)),ISNUMBER(SEARCH("rodent",E288))),"Rodent Control",
OR(ISNUMBER(SEARCH("fly",E288)),ISNUMBER(SEARCH("gnat",E288)),ISNUMBER(SEARCH("insect",E288)),ISNUMBER(SEARCH("mosquito",E288))),"Flying Insect Control",
OR(ISNUMBER(SEARCH("roach",E288)),ISNUMBER(SEARCH("ant",E288)),ISNUMBER(SEARCH("spider",E288)),ISNUMBER(SEARCH("cricket",E288)),ISNUMBER(SEARCH("scorpion",E288)),ISNUMBER(SEARCH("centipede",E288)),ISNUMBER(SEARCH("beetle",E288))),"Crawling Insect Control",
OR(ISNUMBER(SEARCH("tree",E288)),ISNUMBER(SEARCH("lantern",E288)),ISNUMBER(SEARCH("garden",E288)),ISNUMBER(SEARCH("plant",E288))),"Garden Pest Control",
OR(ISNUMBER(SEARCH("grass seed",E288)),ISNUMBER(SEARCH("seed mix",E288))),"Grass Seed",
OR(ISNUMBER(SEARCH("lawn food",E288)),ISNUMBER(SEARCH("fertilizer",E288))),"Lawn Fertilizer",
OR(ISNUMBER(SEARCH("patch",E288)),ISNUMBER(SEARCH("repair",E288)),ISNUMBER(SEARCH("thick'r",E288)),ISNUMBER(SEARCH("thick'r lawn",E288)),ISNUMBER(SEARCH("rapid grass",E288))),"Lawn Repair",
OR(ISNUMBER(SEARCH("weed",E288)),ISNUMBER(SEARCH("crabgrass",E288))),"Weed Control",
OR(ISNUMBER(SEARCH("fungicide",E288)),ISNUMBER(SEARCH("moss",E288))),"Disease &amp; Moss Control",
OR(ISNUMBER(SEARCH("plant food",E288)),ISNUMBER(SEARCH("miracid",E288))),"Plant Nutrition",
OR(ISNUMBER(SEARCH("perlite",E288))),"Soil Amendment",
OR(ISNUMBER(SEARCH("spreader",E288)),ISNUMBER(SEARCH("sprayer",E288)),ISNUMBER(SEARCH("mower",E288)),ISNUMBER(SEARCH("sweeper",E288)),ISNUMBER(SEARCH("pruner",E288)),ISNUMBER(SEARCH("trimmer",E288)),ISNUMBER(SEARCH("pole saw",E288))),"Garden Equipment",
TRUE,"Other"
)</f>
        <v>Rodent Control</v>
      </c>
      <c r="I288" s="7" t="str" cm="1">
        <f t="array" ref="I288">_xlfn.IFS(
OR(ISNUMBER(SEARCH("glue trap",E288)),ISNUMBER(SEARCH("glue board",E288))),"Glue Traps",
OR(ISNUMBER(SEARCH("snap trap",E288)),ISNUMBER(SEARCH("power-kill",E288)),ISNUMBER(SEARCH("wide pedal",E288)),ISNUMBER(SEARCH("metal pedal",E288))),"Snap Traps",
OR(ISNUMBER(SEARCH("electronic",E288)),ISNUMBER(SEARCH("zapper",E288))),"Electronic Traps",
OR(ISNUMBER(SEARCH("live catch",E288)),ISNUMBER(SEARCH("multi-catch",E288)),ISNUMBER(SEARCH("catch &amp; hold",E288)),ISNUMBER(SEARCH("tin cat",E288))),"Live Catch Traps",
OR(ISNUMBER(SEARCH("bait",E288)),ISNUMBER(SEARCH("poison",E288))),"Bait &amp; Poison",
ISNUMBER(SEARCH("repellent",E288)),"Repellents",
OR(ISNUMBER(SEARCH("fly trap",E288)),ISNUMBER(SEARCH("fly ribbon",E288)),ISNUMBER(SEARCH("fly stick",E288)),ISNUMBER(SEARCH("window fly",E288)),ISNUMBER(SEARCH("fly magnet",E288))),"Fly Traps",
OR(ISNUMBER(SEARCH("uv",E288)),ISNUMBER(SEARCH("fly light",E288)),ISNUMBER(SEARCH("plug-in",E288))),"UV Fly Traps",
ISNUMBER(SEARCH("roach",E288)),"Roach Traps",
ISNUMBER(SEARCH("ant",E288)),"Ant Traps",
ISNUMBER(SEARCH("spider",E288)),"Spider Traps",
ISNUMBER(SEARCH("mosquito",E288)),"Mosquito Traps",
ISNUMBER(SEARCH("beetle",E288)),"Beetle Traps",
ISNUMBER(SEARCH("lantern",E288)),"Lanternfly Control",
OR(ISNUMBER(SEARCH("tree shield",E288)),ISNUMBER(SEARCH("tree banding",E288)),ISNUMBER(SEARCH("insect barrier",E288))),"Tree Barriers",
OR(ISNUMBER(SEARCH("sun &amp; shade",E288)),ISNUMBER(SEARCH("sun and shade",E288))),"Sun &amp; Shade Mix",
ISNUMBER(SEARCH("tall fescue",E288)),"Tall Fescue",
ISNUMBER(SEARCH("bermudagrass",E288)),"Bermudagrass",
ISNUMBER(SEARCH("kentucky",E288)),"Kentucky Bluegrass",
ISNUMBER(SEARCH("zoysia",E288)),"Zoysia",
ISNUMBER(SEARCH("ryegrass",E288)),"Perennial Ryegrass",
ISNUMBER(SEARCH("centipede",E288)),"Centipede Grass",
ISNUMBER(SEARCH("dense shade",E288)),"Dense Shade Mix",
ISNUMBER(SEARCH("southern gold",E288)),"Southern Gold Mix",
ISNUMBER(SEARCH("heat-tolerant blue",E288)),"Heat-Tolerant Blue Mix",
ISNUMBER(SEARCH("high traffic",E288)),"High Traffic Mix",
ISNUMBER(SEARCH("quick fix",E288)),"Quick Fix Mix",
ISNUMBER(SEARCH("starter",E288)),"Starter Fertilizer",
ISNUMBER(SEARCH("weed &amp; feed",E288)),"Weed &amp; Feed",
ISNUMBER(SEARCH("lawn food",E288)),"Lawn Food",
ISNUMBER(SEARCH("triple action",E288)),"Triple Action Fertilizer",
ISNUMBER(SEARCH("green max",E288)),"Green Max Lawn Food",
ISNUMBER(SEARCH("patchmaster",E288)),"PatchMaster Repair",
ISNUMBER(SEARCH("ez seed",E288)),"EZ Seed Repair",
ISNUMBER(SEARCH("rapid grass",E288)),"Rapid Grass",
ISNUMBER(SEARCH("thick'r lawn",E288)),"Thick'R Lawn",
ISNUMBER(SEARCH("fungicide",E288)),"Fungicide",
ISNUMBER(SEARCH("moss",E288)),"Moss Control",
ISNUMBER(SEARCH("perlite",E288)),"Perlite",
ISNUMBER(SEARCH("plant food",E288)),"Plant Food",
ISNUMBER(SEARCH("spreader",E288)),"Spreader",
ISNUMBER(SEARCH("sprayer",E288)),"Sprayer",
ISNUMBER(SEARCH("mower",E288)),"Lawn Mower",
ISNUMBER(SEARCH("sweeper",E288)),"Lawn Sweeper",
OR(ISNUMBER(SEARCH("pruner",E288)),ISNUMBER(SEARCH("trimmer",E288)),ISNUMBER(SEARCH("pole saw",E288))),"Pruning Tools",
TRUE,"Other"
)</f>
        <v>Bait &amp; Poison</v>
      </c>
      <c r="J288" s="7" t="str">
        <f t="shared" si="70"/>
        <v>Rodent Control - Bait &amp; Poison</v>
      </c>
      <c r="K288" s="4">
        <v>10000</v>
      </c>
      <c r="L288" s="4">
        <v>4</v>
      </c>
      <c r="M288" s="4">
        <v>8091</v>
      </c>
      <c r="N288" s="4" t="s">
        <v>1328</v>
      </c>
      <c r="O288" s="4">
        <f>VLOOKUP(A288,[4]Sheet1!$A:$B,2,0)</f>
        <v>9000</v>
      </c>
      <c r="P288" s="4">
        <f>VLOOKUP(A288,[4]Sheet1!$A:$C,3,0)</f>
        <v>8000</v>
      </c>
      <c r="Q288" s="4">
        <f>VLOOKUP(A288,[4]Sheet1!$A:$D,4,0)</f>
        <v>9000</v>
      </c>
      <c r="R288" s="4">
        <f>VLOOKUP(A288,[4]Sheet1!$A:$E,5,0)</f>
        <v>10000</v>
      </c>
      <c r="S288" s="4">
        <f>VLOOKUP(A288,[4]Sheet1!$A:$F,6,0)</f>
        <v>10000</v>
      </c>
      <c r="T288" s="4">
        <f>VLOOKUP(A288,[4]Sheet1!$A:$G,7,0)</f>
        <v>7000</v>
      </c>
      <c r="U288" s="4">
        <f>VLOOKUP(A288,[4]Sheet1!$A:$H,8,0)</f>
        <v>10000</v>
      </c>
      <c r="V288" s="4">
        <f>VLOOKUP(A288,[4]Sheet1!$A:$I,9,0)</f>
        <v>10000</v>
      </c>
      <c r="W288" s="4">
        <f>VLOOKUP(A288,[4]Sheet1!$A:$J,10,0)</f>
        <v>10000</v>
      </c>
      <c r="X288" s="4">
        <f>VLOOKUP(A288,[4]Sheet1!$A:$K,11,0)</f>
        <v>10000</v>
      </c>
      <c r="Y288" s="4">
        <f>VLOOKUP(A288,[4]Sheet1!$A:$L,12,0)</f>
        <v>10000</v>
      </c>
      <c r="Z288" s="4">
        <f>VLOOKUP(A288,[4]Sheet1!$A:$M,13,0)</f>
        <v>10000</v>
      </c>
      <c r="AA288" s="4">
        <f t="shared" si="80"/>
        <v>113000</v>
      </c>
      <c r="AB288" s="7">
        <f t="shared" si="71"/>
        <v>9417</v>
      </c>
      <c r="AC288" s="15">
        <f t="shared" si="81"/>
        <v>9416.6666666666661</v>
      </c>
      <c r="AD288" s="16">
        <f t="shared" si="82"/>
        <v>1917609.9999999998</v>
      </c>
      <c r="AE288" s="16">
        <f t="shared" si="83"/>
        <v>159800.83333333331</v>
      </c>
      <c r="AF288" s="16">
        <v>7.63</v>
      </c>
      <c r="AG288" s="16">
        <v>16.97</v>
      </c>
      <c r="AH288" s="15">
        <f t="shared" si="84"/>
        <v>-0.12280000000000009</v>
      </c>
      <c r="AI288" s="15">
        <f t="shared" si="85"/>
        <v>-0.42980000000000029</v>
      </c>
      <c r="AJ288" s="10">
        <v>0.5</v>
      </c>
      <c r="AK288" s="10">
        <v>0.5</v>
      </c>
      <c r="AL288" s="16">
        <v>7.63</v>
      </c>
      <c r="AM288" s="9">
        <f t="shared" si="72"/>
        <v>2.5454999999999997</v>
      </c>
      <c r="AN288" s="9">
        <f t="shared" si="73"/>
        <v>0.5091</v>
      </c>
      <c r="AO288" s="9">
        <f t="shared" si="74"/>
        <v>3.3940000000000001</v>
      </c>
      <c r="AP288" s="9">
        <f t="shared" si="75"/>
        <v>0.33939999999999998</v>
      </c>
      <c r="AQ288" s="9">
        <f t="shared" si="76"/>
        <v>3.3940000000000001</v>
      </c>
      <c r="AR288" s="9">
        <f t="shared" si="77"/>
        <v>4.2424999999999997</v>
      </c>
      <c r="AS288" s="11">
        <f t="shared" si="78"/>
        <v>-1.2280000000000009</v>
      </c>
      <c r="AT288" s="12">
        <f t="shared" si="79"/>
        <v>-1.7936666666666674</v>
      </c>
    </row>
    <row r="289" spans="1:46" ht="16.5" x14ac:dyDescent="0.4">
      <c r="A289" s="4" t="s">
        <v>1329</v>
      </c>
      <c r="B289" s="4" t="s">
        <v>1314</v>
      </c>
      <c r="C289" s="7" t="s">
        <v>1796</v>
      </c>
      <c r="D289" s="4" t="s">
        <v>1330</v>
      </c>
      <c r="E289" s="4" t="s">
        <v>1331</v>
      </c>
      <c r="F289" s="4" t="s">
        <v>1332</v>
      </c>
      <c r="G289" s="7" t="str">
        <f>VLOOKUP(A289,[1]done!$A:$I,9,0)</f>
        <v>Rodent</v>
      </c>
      <c r="H289" s="7" t="str" cm="1">
        <f t="array" ref="H289">_xlfn.IFS(
OR(ISNUMBER(SEARCH("mouse",E289)),ISNUMBER(SEARCH("rat",E289)),ISNUMBER(SEARCH("mice",E289)),ISNUMBER(SEARCH("rodent",E289))),"Rodent Control",
OR(ISNUMBER(SEARCH("fly",E289)),ISNUMBER(SEARCH("gnat",E289)),ISNUMBER(SEARCH("insect",E289)),ISNUMBER(SEARCH("mosquito",E289))),"Flying Insect Control",
OR(ISNUMBER(SEARCH("roach",E289)),ISNUMBER(SEARCH("ant",E289)),ISNUMBER(SEARCH("spider",E289)),ISNUMBER(SEARCH("cricket",E289)),ISNUMBER(SEARCH("scorpion",E289)),ISNUMBER(SEARCH("centipede",E289)),ISNUMBER(SEARCH("beetle",E289))),"Crawling Insect Control",
OR(ISNUMBER(SEARCH("tree",E289)),ISNUMBER(SEARCH("lantern",E289)),ISNUMBER(SEARCH("garden",E289)),ISNUMBER(SEARCH("plant",E289))),"Garden Pest Control",
OR(ISNUMBER(SEARCH("grass seed",E289)),ISNUMBER(SEARCH("seed mix",E289))),"Grass Seed",
OR(ISNUMBER(SEARCH("lawn food",E289)),ISNUMBER(SEARCH("fertilizer",E289))),"Lawn Fertilizer",
OR(ISNUMBER(SEARCH("patch",E289)),ISNUMBER(SEARCH("repair",E289)),ISNUMBER(SEARCH("thick'r",E289)),ISNUMBER(SEARCH("thick'r lawn",E289)),ISNUMBER(SEARCH("rapid grass",E289))),"Lawn Repair",
OR(ISNUMBER(SEARCH("weed",E289)),ISNUMBER(SEARCH("crabgrass",E289))),"Weed Control",
OR(ISNUMBER(SEARCH("fungicide",E289)),ISNUMBER(SEARCH("moss",E289))),"Disease &amp; Moss Control",
OR(ISNUMBER(SEARCH("plant food",E289)),ISNUMBER(SEARCH("miracid",E289))),"Plant Nutrition",
OR(ISNUMBER(SEARCH("perlite",E289))),"Soil Amendment",
OR(ISNUMBER(SEARCH("spreader",E289)),ISNUMBER(SEARCH("sprayer",E289)),ISNUMBER(SEARCH("mower",E289)),ISNUMBER(SEARCH("sweeper",E289)),ISNUMBER(SEARCH("pruner",E289)),ISNUMBER(SEARCH("trimmer",E289)),ISNUMBER(SEARCH("pole saw",E289))),"Garden Equipment",
TRUE,"Other"
)</f>
        <v>Rodent Control</v>
      </c>
      <c r="I289" s="7" t="str" cm="1">
        <f t="array" ref="I289">_xlfn.IFS(
OR(ISNUMBER(SEARCH("glue trap",E289)),ISNUMBER(SEARCH("glue board",E289))),"Glue Traps",
OR(ISNUMBER(SEARCH("snap trap",E289)),ISNUMBER(SEARCH("power-kill",E289)),ISNUMBER(SEARCH("wide pedal",E289)),ISNUMBER(SEARCH("metal pedal",E289))),"Snap Traps",
OR(ISNUMBER(SEARCH("electronic",E289)),ISNUMBER(SEARCH("zapper",E289))),"Electronic Traps",
OR(ISNUMBER(SEARCH("live catch",E289)),ISNUMBER(SEARCH("multi-catch",E289)),ISNUMBER(SEARCH("catch &amp; hold",E289)),ISNUMBER(SEARCH("tin cat",E289))),"Live Catch Traps",
OR(ISNUMBER(SEARCH("bait",E289)),ISNUMBER(SEARCH("poison",E289))),"Bait &amp; Poison",
ISNUMBER(SEARCH("repellent",E289)),"Repellents",
OR(ISNUMBER(SEARCH("fly trap",E289)),ISNUMBER(SEARCH("fly ribbon",E289)),ISNUMBER(SEARCH("fly stick",E289)),ISNUMBER(SEARCH("window fly",E289)),ISNUMBER(SEARCH("fly magnet",E289))),"Fly Traps",
OR(ISNUMBER(SEARCH("uv",E289)),ISNUMBER(SEARCH("fly light",E289)),ISNUMBER(SEARCH("plug-in",E289))),"UV Fly Traps",
ISNUMBER(SEARCH("roach",E289)),"Roach Traps",
ISNUMBER(SEARCH("ant",E289)),"Ant Traps",
ISNUMBER(SEARCH("spider",E289)),"Spider Traps",
ISNUMBER(SEARCH("mosquito",E289)),"Mosquito Traps",
ISNUMBER(SEARCH("beetle",E289)),"Beetle Traps",
ISNUMBER(SEARCH("lantern",E289)),"Lanternfly Control",
OR(ISNUMBER(SEARCH("tree shield",E289)),ISNUMBER(SEARCH("tree banding",E289)),ISNUMBER(SEARCH("insect barrier",E289))),"Tree Barriers",
OR(ISNUMBER(SEARCH("sun &amp; shade",E289)),ISNUMBER(SEARCH("sun and shade",E289))),"Sun &amp; Shade Mix",
ISNUMBER(SEARCH("tall fescue",E289)),"Tall Fescue",
ISNUMBER(SEARCH("bermudagrass",E289)),"Bermudagrass",
ISNUMBER(SEARCH("kentucky",E289)),"Kentucky Bluegrass",
ISNUMBER(SEARCH("zoysia",E289)),"Zoysia",
ISNUMBER(SEARCH("ryegrass",E289)),"Perennial Ryegrass",
ISNUMBER(SEARCH("centipede",E289)),"Centipede Grass",
ISNUMBER(SEARCH("dense shade",E289)),"Dense Shade Mix",
ISNUMBER(SEARCH("southern gold",E289)),"Southern Gold Mix",
ISNUMBER(SEARCH("heat-tolerant blue",E289)),"Heat-Tolerant Blue Mix",
ISNUMBER(SEARCH("high traffic",E289)),"High Traffic Mix",
ISNUMBER(SEARCH("quick fix",E289)),"Quick Fix Mix",
ISNUMBER(SEARCH("starter",E289)),"Starter Fertilizer",
ISNUMBER(SEARCH("weed &amp; feed",E289)),"Weed &amp; Feed",
ISNUMBER(SEARCH("lawn food",E289)),"Lawn Food",
ISNUMBER(SEARCH("triple action",E289)),"Triple Action Fertilizer",
ISNUMBER(SEARCH("green max",E289)),"Green Max Lawn Food",
ISNUMBER(SEARCH("patchmaster",E289)),"PatchMaster Repair",
ISNUMBER(SEARCH("ez seed",E289)),"EZ Seed Repair",
ISNUMBER(SEARCH("rapid grass",E289)),"Rapid Grass",
ISNUMBER(SEARCH("thick'r lawn",E289)),"Thick'R Lawn",
ISNUMBER(SEARCH("fungicide",E289)),"Fungicide",
ISNUMBER(SEARCH("moss",E289)),"Moss Control",
ISNUMBER(SEARCH("perlite",E289)),"Perlite",
ISNUMBER(SEARCH("plant food",E289)),"Plant Food",
ISNUMBER(SEARCH("spreader",E289)),"Spreader",
ISNUMBER(SEARCH("sprayer",E289)),"Sprayer",
ISNUMBER(SEARCH("mower",E289)),"Lawn Mower",
ISNUMBER(SEARCH("sweeper",E289)),"Lawn Sweeper",
OR(ISNUMBER(SEARCH("pruner",E289)),ISNUMBER(SEARCH("trimmer",E289)),ISNUMBER(SEARCH("pole saw",E289))),"Pruning Tools",
TRUE,"Other"
)</f>
        <v>Electronic Traps</v>
      </c>
      <c r="J289" s="7" t="str">
        <f t="shared" si="70"/>
        <v>Rodent Control - Electronic Traps</v>
      </c>
      <c r="K289" s="4">
        <v>8000</v>
      </c>
      <c r="L289" s="4">
        <v>3.8</v>
      </c>
      <c r="M289" s="4">
        <v>13931</v>
      </c>
      <c r="N289" s="4" t="s">
        <v>1333</v>
      </c>
      <c r="O289" s="4">
        <f>VLOOKUP(A289,[4]Sheet1!$A:$B,2,0)</f>
        <v>7000</v>
      </c>
      <c r="P289" s="4">
        <f>VLOOKUP(A289,[4]Sheet1!$A:$C,3,0)</f>
        <v>3000</v>
      </c>
      <c r="Q289" s="4">
        <f>VLOOKUP(A289,[4]Sheet1!$A:$D,4,0)</f>
        <v>4000</v>
      </c>
      <c r="R289" s="4">
        <f>VLOOKUP(A289,[4]Sheet1!$A:$E,5,0)</f>
        <v>3000</v>
      </c>
      <c r="S289" s="4">
        <f>VLOOKUP(A289,[4]Sheet1!$A:$F,6,0)</f>
        <v>4000</v>
      </c>
      <c r="T289" s="4">
        <f>VLOOKUP(A289,[4]Sheet1!$A:$G,7,0)</f>
        <v>6000</v>
      </c>
      <c r="U289" s="4">
        <f>VLOOKUP(A289,[4]Sheet1!$A:$H,8,0)</f>
        <v>7000</v>
      </c>
      <c r="V289" s="4">
        <f>VLOOKUP(A289,[4]Sheet1!$A:$I,9,0)</f>
        <v>8000</v>
      </c>
      <c r="W289" s="4">
        <f>VLOOKUP(A289,[4]Sheet1!$A:$J,10,0)</f>
        <v>7000</v>
      </c>
      <c r="X289" s="4">
        <f>VLOOKUP(A289,[4]Sheet1!$A:$K,11,0)</f>
        <v>7000</v>
      </c>
      <c r="Y289" s="4">
        <f>VLOOKUP(A289,[4]Sheet1!$A:$L,12,0)</f>
        <v>8000</v>
      </c>
      <c r="Z289" s="4">
        <f>VLOOKUP(A289,[4]Sheet1!$A:$M,13,0)</f>
        <v>9000</v>
      </c>
      <c r="AA289" s="4">
        <f t="shared" si="80"/>
        <v>73000</v>
      </c>
      <c r="AB289" s="7">
        <f t="shared" si="71"/>
        <v>6083</v>
      </c>
      <c r="AC289" s="15">
        <f t="shared" si="81"/>
        <v>6083.333333333333</v>
      </c>
      <c r="AD289" s="16">
        <f t="shared" si="82"/>
        <v>2679100</v>
      </c>
      <c r="AE289" s="16">
        <f t="shared" si="83"/>
        <v>223258.33333333334</v>
      </c>
      <c r="AF289" s="16">
        <v>5.13</v>
      </c>
      <c r="AG289" s="16">
        <v>36.700000000000003</v>
      </c>
      <c r="AH289" s="15">
        <f t="shared" si="84"/>
        <v>0.57000000000000006</v>
      </c>
      <c r="AI289" s="15">
        <f t="shared" si="85"/>
        <v>1.9949999999999999</v>
      </c>
      <c r="AJ289" s="10">
        <v>0.5</v>
      </c>
      <c r="AK289" s="10">
        <v>0.5</v>
      </c>
      <c r="AL289" s="16">
        <v>5.13</v>
      </c>
      <c r="AM289" s="9">
        <f t="shared" si="72"/>
        <v>5.5049999999999999</v>
      </c>
      <c r="AN289" s="9">
        <f t="shared" si="73"/>
        <v>1.101</v>
      </c>
      <c r="AO289" s="9">
        <f t="shared" si="74"/>
        <v>7.3400000000000007</v>
      </c>
      <c r="AP289" s="9">
        <f t="shared" si="75"/>
        <v>0.7340000000000001</v>
      </c>
      <c r="AQ289" s="9">
        <f t="shared" si="76"/>
        <v>7.3400000000000007</v>
      </c>
      <c r="AR289" s="9">
        <f t="shared" si="77"/>
        <v>9.1750000000000007</v>
      </c>
      <c r="AS289" s="11">
        <f t="shared" si="78"/>
        <v>5.7</v>
      </c>
      <c r="AT289" s="12">
        <f t="shared" si="79"/>
        <v>4.4766666666666666</v>
      </c>
    </row>
    <row r="290" spans="1:46" ht="16.5" x14ac:dyDescent="0.4">
      <c r="A290" s="4" t="s">
        <v>1334</v>
      </c>
      <c r="B290" s="4" t="s">
        <v>1314</v>
      </c>
      <c r="C290" s="7" t="s">
        <v>1796</v>
      </c>
      <c r="D290" s="4" t="s">
        <v>1335</v>
      </c>
      <c r="E290" s="4" t="s">
        <v>1336</v>
      </c>
      <c r="F290" s="4" t="s">
        <v>1337</v>
      </c>
      <c r="G290" s="7" t="str">
        <f>VLOOKUP(A290,[1]done!$A:$I,9,0)</f>
        <v>Rodent</v>
      </c>
      <c r="H290" s="7" t="str" cm="1">
        <f t="array" ref="H290">_xlfn.IFS(
OR(ISNUMBER(SEARCH("mouse",E290)),ISNUMBER(SEARCH("rat",E290)),ISNUMBER(SEARCH("mice",E290)),ISNUMBER(SEARCH("rodent",E290))),"Rodent Control",
OR(ISNUMBER(SEARCH("fly",E290)),ISNUMBER(SEARCH("gnat",E290)),ISNUMBER(SEARCH("insect",E290)),ISNUMBER(SEARCH("mosquito",E290))),"Flying Insect Control",
OR(ISNUMBER(SEARCH("roach",E290)),ISNUMBER(SEARCH("ant",E290)),ISNUMBER(SEARCH("spider",E290)),ISNUMBER(SEARCH("cricket",E290)),ISNUMBER(SEARCH("scorpion",E290)),ISNUMBER(SEARCH("centipede",E290)),ISNUMBER(SEARCH("beetle",E290))),"Crawling Insect Control",
OR(ISNUMBER(SEARCH("tree",E290)),ISNUMBER(SEARCH("lantern",E290)),ISNUMBER(SEARCH("garden",E290)),ISNUMBER(SEARCH("plant",E290))),"Garden Pest Control",
OR(ISNUMBER(SEARCH("grass seed",E290)),ISNUMBER(SEARCH("seed mix",E290))),"Grass Seed",
OR(ISNUMBER(SEARCH("lawn food",E290)),ISNUMBER(SEARCH("fertilizer",E290))),"Lawn Fertilizer",
OR(ISNUMBER(SEARCH("patch",E290)),ISNUMBER(SEARCH("repair",E290)),ISNUMBER(SEARCH("thick'r",E290)),ISNUMBER(SEARCH("thick'r lawn",E290)),ISNUMBER(SEARCH("rapid grass",E290))),"Lawn Repair",
OR(ISNUMBER(SEARCH("weed",E290)),ISNUMBER(SEARCH("crabgrass",E290))),"Weed Control",
OR(ISNUMBER(SEARCH("fungicide",E290)),ISNUMBER(SEARCH("moss",E290))),"Disease &amp; Moss Control",
OR(ISNUMBER(SEARCH("plant food",E290)),ISNUMBER(SEARCH("miracid",E290))),"Plant Nutrition",
OR(ISNUMBER(SEARCH("perlite",E290))),"Soil Amendment",
OR(ISNUMBER(SEARCH("spreader",E290)),ISNUMBER(SEARCH("sprayer",E290)),ISNUMBER(SEARCH("mower",E290)),ISNUMBER(SEARCH("sweeper",E290)),ISNUMBER(SEARCH("pruner",E290)),ISNUMBER(SEARCH("trimmer",E290)),ISNUMBER(SEARCH("pole saw",E290))),"Garden Equipment",
TRUE,"Other"
)</f>
        <v>Rodent Control</v>
      </c>
      <c r="I290" s="7" t="str" cm="1">
        <f t="array" ref="I290">_xlfn.IFS(
OR(ISNUMBER(SEARCH("glue trap",E290)),ISNUMBER(SEARCH("glue board",E290))),"Glue Traps",
OR(ISNUMBER(SEARCH("snap trap",E290)),ISNUMBER(SEARCH("power-kill",E290)),ISNUMBER(SEARCH("wide pedal",E290)),ISNUMBER(SEARCH("metal pedal",E290))),"Snap Traps",
OR(ISNUMBER(SEARCH("electronic",E290)),ISNUMBER(SEARCH("zapper",E290))),"Electronic Traps",
OR(ISNUMBER(SEARCH("live catch",E290)),ISNUMBER(SEARCH("multi-catch",E290)),ISNUMBER(SEARCH("catch &amp; hold",E290)),ISNUMBER(SEARCH("tin cat",E290))),"Live Catch Traps",
OR(ISNUMBER(SEARCH("bait",E290)),ISNUMBER(SEARCH("poison",E290))),"Bait &amp; Poison",
ISNUMBER(SEARCH("repellent",E290)),"Repellents",
OR(ISNUMBER(SEARCH("fly trap",E290)),ISNUMBER(SEARCH("fly ribbon",E290)),ISNUMBER(SEARCH("fly stick",E290)),ISNUMBER(SEARCH("window fly",E290)),ISNUMBER(SEARCH("fly magnet",E290))),"Fly Traps",
OR(ISNUMBER(SEARCH("uv",E290)),ISNUMBER(SEARCH("fly light",E290)),ISNUMBER(SEARCH("plug-in",E290))),"UV Fly Traps",
ISNUMBER(SEARCH("roach",E290)),"Roach Traps",
ISNUMBER(SEARCH("ant",E290)),"Ant Traps",
ISNUMBER(SEARCH("spider",E290)),"Spider Traps",
ISNUMBER(SEARCH("mosquito",E290)),"Mosquito Traps",
ISNUMBER(SEARCH("beetle",E290)),"Beetle Traps",
ISNUMBER(SEARCH("lantern",E290)),"Lanternfly Control",
OR(ISNUMBER(SEARCH("tree shield",E290)),ISNUMBER(SEARCH("tree banding",E290)),ISNUMBER(SEARCH("insect barrier",E290))),"Tree Barriers",
OR(ISNUMBER(SEARCH("sun &amp; shade",E290)),ISNUMBER(SEARCH("sun and shade",E290))),"Sun &amp; Shade Mix",
ISNUMBER(SEARCH("tall fescue",E290)),"Tall Fescue",
ISNUMBER(SEARCH("bermudagrass",E290)),"Bermudagrass",
ISNUMBER(SEARCH("kentucky",E290)),"Kentucky Bluegrass",
ISNUMBER(SEARCH("zoysia",E290)),"Zoysia",
ISNUMBER(SEARCH("ryegrass",E290)),"Perennial Ryegrass",
ISNUMBER(SEARCH("centipede",E290)),"Centipede Grass",
ISNUMBER(SEARCH("dense shade",E290)),"Dense Shade Mix",
ISNUMBER(SEARCH("southern gold",E290)),"Southern Gold Mix",
ISNUMBER(SEARCH("heat-tolerant blue",E290)),"Heat-Tolerant Blue Mix",
ISNUMBER(SEARCH("high traffic",E290)),"High Traffic Mix",
ISNUMBER(SEARCH("quick fix",E290)),"Quick Fix Mix",
ISNUMBER(SEARCH("starter",E290)),"Starter Fertilizer",
ISNUMBER(SEARCH("weed &amp; feed",E290)),"Weed &amp; Feed",
ISNUMBER(SEARCH("lawn food",E290)),"Lawn Food",
ISNUMBER(SEARCH("triple action",E290)),"Triple Action Fertilizer",
ISNUMBER(SEARCH("green max",E290)),"Green Max Lawn Food",
ISNUMBER(SEARCH("patchmaster",E290)),"PatchMaster Repair",
ISNUMBER(SEARCH("ez seed",E290)),"EZ Seed Repair",
ISNUMBER(SEARCH("rapid grass",E290)),"Rapid Grass",
ISNUMBER(SEARCH("thick'r lawn",E290)),"Thick'R Lawn",
ISNUMBER(SEARCH("fungicide",E290)),"Fungicide",
ISNUMBER(SEARCH("moss",E290)),"Moss Control",
ISNUMBER(SEARCH("perlite",E290)),"Perlite",
ISNUMBER(SEARCH("plant food",E290)),"Plant Food",
ISNUMBER(SEARCH("spreader",E290)),"Spreader",
ISNUMBER(SEARCH("sprayer",E290)),"Sprayer",
ISNUMBER(SEARCH("mower",E290)),"Lawn Mower",
ISNUMBER(SEARCH("sweeper",E290)),"Lawn Sweeper",
OR(ISNUMBER(SEARCH("pruner",E290)),ISNUMBER(SEARCH("trimmer",E290)),ISNUMBER(SEARCH("pole saw",E290))),"Pruning Tools",
TRUE,"Other"
)</f>
        <v>Snap Traps</v>
      </c>
      <c r="J290" s="7" t="str">
        <f t="shared" si="70"/>
        <v>Rodent Control - Snap Traps</v>
      </c>
      <c r="K290" s="4">
        <v>5000</v>
      </c>
      <c r="L290" s="4">
        <v>4.0999999999999996</v>
      </c>
      <c r="M290" s="4">
        <v>2275</v>
      </c>
      <c r="N290" s="4" t="s">
        <v>1338</v>
      </c>
      <c r="O290" s="4">
        <f>VLOOKUP(A290,[4]Sheet1!$A:$B,2,0)</f>
        <v>2000</v>
      </c>
      <c r="P290" s="4">
        <f>VLOOKUP(A290,[4]Sheet1!$A:$C,3,0)</f>
        <v>1000</v>
      </c>
      <c r="Q290" s="4">
        <f>VLOOKUP(A290,[4]Sheet1!$A:$D,4,0)</f>
        <v>1000</v>
      </c>
      <c r="R290" s="4">
        <f>VLOOKUP(A290,[4]Sheet1!$A:$E,5,0)</f>
        <v>2000</v>
      </c>
      <c r="S290" s="4">
        <f>VLOOKUP(A290,[4]Sheet1!$A:$F,6,0)</f>
        <v>2000</v>
      </c>
      <c r="T290" s="4">
        <f>VLOOKUP(A290,[4]Sheet1!$A:$G,7,0)</f>
        <v>2000</v>
      </c>
      <c r="U290" s="4">
        <f>VLOOKUP(A290,[4]Sheet1!$A:$H,8,0)</f>
        <v>1000</v>
      </c>
      <c r="V290" s="4">
        <f>VLOOKUP(A290,[4]Sheet1!$A:$I,9,0)</f>
        <v>4000</v>
      </c>
      <c r="W290" s="4">
        <f>VLOOKUP(A290,[4]Sheet1!$A:$J,10,0)</f>
        <v>4000</v>
      </c>
      <c r="X290" s="4">
        <f>VLOOKUP(A290,[4]Sheet1!$A:$K,11,0)</f>
        <v>4000</v>
      </c>
      <c r="Y290" s="4">
        <f>VLOOKUP(A290,[4]Sheet1!$A:$L,12,0)</f>
        <v>5000</v>
      </c>
      <c r="Z290" s="4">
        <f>VLOOKUP(A290,[4]Sheet1!$A:$M,13,0)</f>
        <v>5000</v>
      </c>
      <c r="AA290" s="4">
        <f t="shared" si="80"/>
        <v>33000</v>
      </c>
      <c r="AB290" s="7">
        <f t="shared" si="71"/>
        <v>2750</v>
      </c>
      <c r="AC290" s="15">
        <f t="shared" si="81"/>
        <v>2750</v>
      </c>
      <c r="AD290" s="16">
        <f t="shared" si="82"/>
        <v>445500</v>
      </c>
      <c r="AE290" s="16">
        <f t="shared" si="83"/>
        <v>37125</v>
      </c>
      <c r="AF290" s="16">
        <v>4.28</v>
      </c>
      <c r="AG290" s="16">
        <v>13.5</v>
      </c>
      <c r="AH290" s="15">
        <f t="shared" si="84"/>
        <v>7.9999999999999481E-3</v>
      </c>
      <c r="AI290" s="15">
        <f t="shared" si="85"/>
        <v>2.7999999999999813E-2</v>
      </c>
      <c r="AJ290" s="10">
        <v>0.5</v>
      </c>
      <c r="AK290" s="10">
        <v>0.5</v>
      </c>
      <c r="AL290" s="16">
        <v>4.28</v>
      </c>
      <c r="AM290" s="9">
        <f t="shared" si="72"/>
        <v>2.0249999999999999</v>
      </c>
      <c r="AN290" s="9">
        <f t="shared" si="73"/>
        <v>0.40499999999999997</v>
      </c>
      <c r="AO290" s="9">
        <f t="shared" si="74"/>
        <v>2.7</v>
      </c>
      <c r="AP290" s="9">
        <f t="shared" si="75"/>
        <v>0.27</v>
      </c>
      <c r="AQ290" s="9">
        <f t="shared" si="76"/>
        <v>2.7</v>
      </c>
      <c r="AR290" s="9">
        <f t="shared" si="77"/>
        <v>3.375</v>
      </c>
      <c r="AS290" s="11">
        <f t="shared" si="78"/>
        <v>7.9999999999999474E-2</v>
      </c>
      <c r="AT290" s="12">
        <f t="shared" si="79"/>
        <v>-0.37000000000000038</v>
      </c>
    </row>
    <row r="291" spans="1:46" ht="16.5" x14ac:dyDescent="0.4">
      <c r="A291" s="4" t="s">
        <v>1339</v>
      </c>
      <c r="B291" s="4" t="s">
        <v>1314</v>
      </c>
      <c r="C291" s="7" t="s">
        <v>1796</v>
      </c>
      <c r="D291" s="4" t="s">
        <v>1340</v>
      </c>
      <c r="E291" s="4" t="s">
        <v>1341</v>
      </c>
      <c r="F291" s="4" t="s">
        <v>1342</v>
      </c>
      <c r="G291" s="7" t="str">
        <f>VLOOKUP(A291,[1]done!$A:$I,9,0)</f>
        <v>Snake control</v>
      </c>
      <c r="H291" s="7" t="str" cm="1">
        <f t="array" ref="H291">_xlfn.IFS(
OR(ISNUMBER(SEARCH("mouse",E291)),ISNUMBER(SEARCH("rat",E291)),ISNUMBER(SEARCH("mice",E291)),ISNUMBER(SEARCH("rodent",E291))),"Rodent Control",
OR(ISNUMBER(SEARCH("fly",E291)),ISNUMBER(SEARCH("gnat",E291)),ISNUMBER(SEARCH("insect",E291)),ISNUMBER(SEARCH("mosquito",E291))),"Flying Insect Control",
OR(ISNUMBER(SEARCH("roach",E291)),ISNUMBER(SEARCH("ant",E291)),ISNUMBER(SEARCH("spider",E291)),ISNUMBER(SEARCH("cricket",E291)),ISNUMBER(SEARCH("scorpion",E291)),ISNUMBER(SEARCH("centipede",E291)),ISNUMBER(SEARCH("beetle",E291))),"Crawling Insect Control",
OR(ISNUMBER(SEARCH("tree",E291)),ISNUMBER(SEARCH("lantern",E291)),ISNUMBER(SEARCH("garden",E291)),ISNUMBER(SEARCH("plant",E291))),"Garden Pest Control",
OR(ISNUMBER(SEARCH("grass seed",E291)),ISNUMBER(SEARCH("seed mix",E291))),"Grass Seed",
OR(ISNUMBER(SEARCH("lawn food",E291)),ISNUMBER(SEARCH("fertilizer",E291))),"Lawn Fertilizer",
OR(ISNUMBER(SEARCH("patch",E291)),ISNUMBER(SEARCH("repair",E291)),ISNUMBER(SEARCH("thick'r",E291)),ISNUMBER(SEARCH("thick'r lawn",E291)),ISNUMBER(SEARCH("rapid grass",E291))),"Lawn Repair",
OR(ISNUMBER(SEARCH("weed",E291)),ISNUMBER(SEARCH("crabgrass",E291))),"Weed Control",
OR(ISNUMBER(SEARCH("fungicide",E291)),ISNUMBER(SEARCH("moss",E291))),"Disease &amp; Moss Control",
OR(ISNUMBER(SEARCH("plant food",E291)),ISNUMBER(SEARCH("miracid",E291))),"Plant Nutrition",
OR(ISNUMBER(SEARCH("perlite",E291))),"Soil Amendment",
OR(ISNUMBER(SEARCH("spreader",E291)),ISNUMBER(SEARCH("sprayer",E291)),ISNUMBER(SEARCH("mower",E291)),ISNUMBER(SEARCH("sweeper",E291)),ISNUMBER(SEARCH("pruner",E291)),ISNUMBER(SEARCH("trimmer",E291)),ISNUMBER(SEARCH("pole saw",E291))),"Garden Equipment",
TRUE,"Other"
)</f>
        <v>Other</v>
      </c>
      <c r="I291" s="7" t="str" cm="1">
        <f t="array" ref="I291">_xlfn.IFS(
OR(ISNUMBER(SEARCH("glue trap",E291)),ISNUMBER(SEARCH("glue board",E291))),"Glue Traps",
OR(ISNUMBER(SEARCH("snap trap",E291)),ISNUMBER(SEARCH("power-kill",E291)),ISNUMBER(SEARCH("wide pedal",E291)),ISNUMBER(SEARCH("metal pedal",E291))),"Snap Traps",
OR(ISNUMBER(SEARCH("electronic",E291)),ISNUMBER(SEARCH("zapper",E291))),"Electronic Traps",
OR(ISNUMBER(SEARCH("live catch",E291)),ISNUMBER(SEARCH("multi-catch",E291)),ISNUMBER(SEARCH("catch &amp; hold",E291)),ISNUMBER(SEARCH("tin cat",E291))),"Live Catch Traps",
OR(ISNUMBER(SEARCH("bait",E291)),ISNUMBER(SEARCH("poison",E291))),"Bait &amp; Poison",
ISNUMBER(SEARCH("repellent",E291)),"Repellents",
OR(ISNUMBER(SEARCH("fly trap",E291)),ISNUMBER(SEARCH("fly ribbon",E291)),ISNUMBER(SEARCH("fly stick",E291)),ISNUMBER(SEARCH("window fly",E291)),ISNUMBER(SEARCH("fly magnet",E291))),"Fly Traps",
OR(ISNUMBER(SEARCH("uv",E291)),ISNUMBER(SEARCH("fly light",E291)),ISNUMBER(SEARCH("plug-in",E291))),"UV Fly Traps",
ISNUMBER(SEARCH("roach",E291)),"Roach Traps",
ISNUMBER(SEARCH("ant",E291)),"Ant Traps",
ISNUMBER(SEARCH("spider",E291)),"Spider Traps",
ISNUMBER(SEARCH("mosquito",E291)),"Mosquito Traps",
ISNUMBER(SEARCH("beetle",E291)),"Beetle Traps",
ISNUMBER(SEARCH("lantern",E291)),"Lanternfly Control",
OR(ISNUMBER(SEARCH("tree shield",E291)),ISNUMBER(SEARCH("tree banding",E291)),ISNUMBER(SEARCH("insect barrier",E291))),"Tree Barriers",
OR(ISNUMBER(SEARCH("sun &amp; shade",E291)),ISNUMBER(SEARCH("sun and shade",E291))),"Sun &amp; Shade Mix",
ISNUMBER(SEARCH("tall fescue",E291)),"Tall Fescue",
ISNUMBER(SEARCH("bermudagrass",E291)),"Bermudagrass",
ISNUMBER(SEARCH("kentucky",E291)),"Kentucky Bluegrass",
ISNUMBER(SEARCH("zoysia",E291)),"Zoysia",
ISNUMBER(SEARCH("ryegrass",E291)),"Perennial Ryegrass",
ISNUMBER(SEARCH("centipede",E291)),"Centipede Grass",
ISNUMBER(SEARCH("dense shade",E291)),"Dense Shade Mix",
ISNUMBER(SEARCH("southern gold",E291)),"Southern Gold Mix",
ISNUMBER(SEARCH("heat-tolerant blue",E291)),"Heat-Tolerant Blue Mix",
ISNUMBER(SEARCH("high traffic",E291)),"High Traffic Mix",
ISNUMBER(SEARCH("quick fix",E291)),"Quick Fix Mix",
ISNUMBER(SEARCH("starter",E291)),"Starter Fertilizer",
ISNUMBER(SEARCH("weed &amp; feed",E291)),"Weed &amp; Feed",
ISNUMBER(SEARCH("lawn food",E291)),"Lawn Food",
ISNUMBER(SEARCH("triple action",E291)),"Triple Action Fertilizer",
ISNUMBER(SEARCH("green max",E291)),"Green Max Lawn Food",
ISNUMBER(SEARCH("patchmaster",E291)),"PatchMaster Repair",
ISNUMBER(SEARCH("ez seed",E291)),"EZ Seed Repair",
ISNUMBER(SEARCH("rapid grass",E291)),"Rapid Grass",
ISNUMBER(SEARCH("thick'r lawn",E291)),"Thick'R Lawn",
ISNUMBER(SEARCH("fungicide",E291)),"Fungicide",
ISNUMBER(SEARCH("moss",E291)),"Moss Control",
ISNUMBER(SEARCH("perlite",E291)),"Perlite",
ISNUMBER(SEARCH("plant food",E291)),"Plant Food",
ISNUMBER(SEARCH("spreader",E291)),"Spreader",
ISNUMBER(SEARCH("sprayer",E291)),"Sprayer",
ISNUMBER(SEARCH("mower",E291)),"Lawn Mower",
ISNUMBER(SEARCH("sweeper",E291)),"Lawn Sweeper",
OR(ISNUMBER(SEARCH("pruner",E291)),ISNUMBER(SEARCH("trimmer",E291)),ISNUMBER(SEARCH("pole saw",E291))),"Pruning Tools",
TRUE,"Other"
)</f>
        <v>Repellents</v>
      </c>
      <c r="J291" s="7" t="str">
        <f t="shared" si="70"/>
        <v>Other - Repellents</v>
      </c>
      <c r="K291" s="4">
        <v>4000</v>
      </c>
      <c r="L291" s="4">
        <v>4.4000000000000004</v>
      </c>
      <c r="M291" s="4">
        <v>13590</v>
      </c>
      <c r="N291" s="4" t="s">
        <v>1343</v>
      </c>
      <c r="O291" s="4">
        <f>VLOOKUP(A291,[4]Sheet1!$A:$B,2,0)</f>
        <v>400</v>
      </c>
      <c r="P291" s="4">
        <f>VLOOKUP(A291,[4]Sheet1!$A:$C,3,0)</f>
        <v>400</v>
      </c>
      <c r="Q291" s="4">
        <f>VLOOKUP(A291,[4]Sheet1!$A:$D,4,0)</f>
        <v>1000</v>
      </c>
      <c r="R291" s="4">
        <f>VLOOKUP(A291,[4]Sheet1!$A:$E,5,0)</f>
        <v>7000</v>
      </c>
      <c r="S291" s="4">
        <f>VLOOKUP(A291,[4]Sheet1!$A:$F,6,0)</f>
        <v>7000</v>
      </c>
      <c r="T291" s="4">
        <f>VLOOKUP(A291,[4]Sheet1!$A:$G,7,0)</f>
        <v>7000</v>
      </c>
      <c r="U291" s="4">
        <f>VLOOKUP(A291,[4]Sheet1!$A:$H,8,0)</f>
        <v>5000</v>
      </c>
      <c r="V291" s="4">
        <f>VLOOKUP(A291,[4]Sheet1!$A:$I,9,0)</f>
        <v>6000</v>
      </c>
      <c r="W291" s="4">
        <f>VLOOKUP(A291,[4]Sheet1!$A:$J,10,0)</f>
        <v>4000</v>
      </c>
      <c r="X291" s="4">
        <f>VLOOKUP(A291,[4]Sheet1!$A:$K,11,0)</f>
        <v>3000</v>
      </c>
      <c r="Y291" s="4">
        <f>VLOOKUP(A291,[4]Sheet1!$A:$L,12,0)</f>
        <v>1000</v>
      </c>
      <c r="Z291" s="4">
        <f>VLOOKUP(A291,[4]Sheet1!$A:$M,13,0)</f>
        <v>1000</v>
      </c>
      <c r="AA291" s="4">
        <f t="shared" si="80"/>
        <v>42800</v>
      </c>
      <c r="AB291" s="7">
        <f t="shared" si="71"/>
        <v>3567</v>
      </c>
      <c r="AC291" s="15">
        <f t="shared" si="81"/>
        <v>3566.6666666666665</v>
      </c>
      <c r="AD291" s="16">
        <f t="shared" si="82"/>
        <v>1068716</v>
      </c>
      <c r="AE291" s="16">
        <f t="shared" si="83"/>
        <v>89059.666666666657</v>
      </c>
      <c r="AF291" s="16">
        <v>9.6999999999999993</v>
      </c>
      <c r="AG291" s="16">
        <v>24.97</v>
      </c>
      <c r="AH291" s="15">
        <f t="shared" si="84"/>
        <v>-4.7466666666666657E-2</v>
      </c>
      <c r="AI291" s="15">
        <f t="shared" si="85"/>
        <v>-0.16613333333333327</v>
      </c>
      <c r="AJ291" s="10">
        <v>0.5</v>
      </c>
      <c r="AK291" s="10">
        <v>0.5</v>
      </c>
      <c r="AL291" s="16">
        <v>9.6999999999999993</v>
      </c>
      <c r="AM291" s="9">
        <f t="shared" si="72"/>
        <v>3.7454999999999998</v>
      </c>
      <c r="AN291" s="9">
        <f t="shared" si="73"/>
        <v>0.74909999999999999</v>
      </c>
      <c r="AO291" s="9">
        <f t="shared" si="74"/>
        <v>4.9939999999999998</v>
      </c>
      <c r="AP291" s="9">
        <f t="shared" si="75"/>
        <v>0.49940000000000001</v>
      </c>
      <c r="AQ291" s="9">
        <f t="shared" si="76"/>
        <v>4.9939999999999998</v>
      </c>
      <c r="AR291" s="9">
        <f t="shared" si="77"/>
        <v>6.2424999999999997</v>
      </c>
      <c r="AS291" s="11">
        <f t="shared" si="78"/>
        <v>-0.47466666666666651</v>
      </c>
      <c r="AT291" s="12">
        <f t="shared" si="79"/>
        <v>-1.3069999999999997</v>
      </c>
    </row>
    <row r="292" spans="1:46" ht="16.5" x14ac:dyDescent="0.4">
      <c r="A292" s="4" t="s">
        <v>1344</v>
      </c>
      <c r="B292" s="4" t="s">
        <v>1314</v>
      </c>
      <c r="C292" s="7" t="s">
        <v>1796</v>
      </c>
      <c r="D292" s="4" t="s">
        <v>1345</v>
      </c>
      <c r="E292" s="4" t="s">
        <v>1346</v>
      </c>
      <c r="F292" s="4" t="s">
        <v>1347</v>
      </c>
      <c r="G292" s="7" t="str">
        <f>VLOOKUP(A292,[1]done!$A:$I,9,0)</f>
        <v>Rodent</v>
      </c>
      <c r="H292" s="7" t="str" cm="1">
        <f t="array" ref="H292">_xlfn.IFS(
OR(ISNUMBER(SEARCH("mouse",E292)),ISNUMBER(SEARCH("rat",E292)),ISNUMBER(SEARCH("mice",E292)),ISNUMBER(SEARCH("rodent",E292))),"Rodent Control",
OR(ISNUMBER(SEARCH("fly",E292)),ISNUMBER(SEARCH("gnat",E292)),ISNUMBER(SEARCH("insect",E292)),ISNUMBER(SEARCH("mosquito",E292))),"Flying Insect Control",
OR(ISNUMBER(SEARCH("roach",E292)),ISNUMBER(SEARCH("ant",E292)),ISNUMBER(SEARCH("spider",E292)),ISNUMBER(SEARCH("cricket",E292)),ISNUMBER(SEARCH("scorpion",E292)),ISNUMBER(SEARCH("centipede",E292)),ISNUMBER(SEARCH("beetle",E292))),"Crawling Insect Control",
OR(ISNUMBER(SEARCH("tree",E292)),ISNUMBER(SEARCH("lantern",E292)),ISNUMBER(SEARCH("garden",E292)),ISNUMBER(SEARCH("plant",E292))),"Garden Pest Control",
OR(ISNUMBER(SEARCH("grass seed",E292)),ISNUMBER(SEARCH("seed mix",E292))),"Grass Seed",
OR(ISNUMBER(SEARCH("lawn food",E292)),ISNUMBER(SEARCH("fertilizer",E292))),"Lawn Fertilizer",
OR(ISNUMBER(SEARCH("patch",E292)),ISNUMBER(SEARCH("repair",E292)),ISNUMBER(SEARCH("thick'r",E292)),ISNUMBER(SEARCH("thick'r lawn",E292)),ISNUMBER(SEARCH("rapid grass",E292))),"Lawn Repair",
OR(ISNUMBER(SEARCH("weed",E292)),ISNUMBER(SEARCH("crabgrass",E292))),"Weed Control",
OR(ISNUMBER(SEARCH("fungicide",E292)),ISNUMBER(SEARCH("moss",E292))),"Disease &amp; Moss Control",
OR(ISNUMBER(SEARCH("plant food",E292)),ISNUMBER(SEARCH("miracid",E292))),"Plant Nutrition",
OR(ISNUMBER(SEARCH("perlite",E292))),"Soil Amendment",
OR(ISNUMBER(SEARCH("spreader",E292)),ISNUMBER(SEARCH("sprayer",E292)),ISNUMBER(SEARCH("mower",E292)),ISNUMBER(SEARCH("sweeper",E292)),ISNUMBER(SEARCH("pruner",E292)),ISNUMBER(SEARCH("trimmer",E292)),ISNUMBER(SEARCH("pole saw",E292))),"Garden Equipment",
TRUE,"Other"
)</f>
        <v>Rodent Control</v>
      </c>
      <c r="I292" s="7" t="str" cm="1">
        <f t="array" ref="I292">_xlfn.IFS(
OR(ISNUMBER(SEARCH("glue trap",E292)),ISNUMBER(SEARCH("glue board",E292))),"Glue Traps",
OR(ISNUMBER(SEARCH("snap trap",E292)),ISNUMBER(SEARCH("power-kill",E292)),ISNUMBER(SEARCH("wide pedal",E292)),ISNUMBER(SEARCH("metal pedal",E292))),"Snap Traps",
OR(ISNUMBER(SEARCH("electronic",E292)),ISNUMBER(SEARCH("zapper",E292))),"Electronic Traps",
OR(ISNUMBER(SEARCH("live catch",E292)),ISNUMBER(SEARCH("multi-catch",E292)),ISNUMBER(SEARCH("catch &amp; hold",E292)),ISNUMBER(SEARCH("tin cat",E292))),"Live Catch Traps",
OR(ISNUMBER(SEARCH("bait",E292)),ISNUMBER(SEARCH("poison",E292))),"Bait &amp; Poison",
ISNUMBER(SEARCH("repellent",E292)),"Repellents",
OR(ISNUMBER(SEARCH("fly trap",E292)),ISNUMBER(SEARCH("fly ribbon",E292)),ISNUMBER(SEARCH("fly stick",E292)),ISNUMBER(SEARCH("window fly",E292)),ISNUMBER(SEARCH("fly magnet",E292))),"Fly Traps",
OR(ISNUMBER(SEARCH("uv",E292)),ISNUMBER(SEARCH("fly light",E292)),ISNUMBER(SEARCH("plug-in",E292))),"UV Fly Traps",
ISNUMBER(SEARCH("roach",E292)),"Roach Traps",
ISNUMBER(SEARCH("ant",E292)),"Ant Traps",
ISNUMBER(SEARCH("spider",E292)),"Spider Traps",
ISNUMBER(SEARCH("mosquito",E292)),"Mosquito Traps",
ISNUMBER(SEARCH("beetle",E292)),"Beetle Traps",
ISNUMBER(SEARCH("lantern",E292)),"Lanternfly Control",
OR(ISNUMBER(SEARCH("tree shield",E292)),ISNUMBER(SEARCH("tree banding",E292)),ISNUMBER(SEARCH("insect barrier",E292))),"Tree Barriers",
OR(ISNUMBER(SEARCH("sun &amp; shade",E292)),ISNUMBER(SEARCH("sun and shade",E292))),"Sun &amp; Shade Mix",
ISNUMBER(SEARCH("tall fescue",E292)),"Tall Fescue",
ISNUMBER(SEARCH("bermudagrass",E292)),"Bermudagrass",
ISNUMBER(SEARCH("kentucky",E292)),"Kentucky Bluegrass",
ISNUMBER(SEARCH("zoysia",E292)),"Zoysia",
ISNUMBER(SEARCH("ryegrass",E292)),"Perennial Ryegrass",
ISNUMBER(SEARCH("centipede",E292)),"Centipede Grass",
ISNUMBER(SEARCH("dense shade",E292)),"Dense Shade Mix",
ISNUMBER(SEARCH("southern gold",E292)),"Southern Gold Mix",
ISNUMBER(SEARCH("heat-tolerant blue",E292)),"Heat-Tolerant Blue Mix",
ISNUMBER(SEARCH("high traffic",E292)),"High Traffic Mix",
ISNUMBER(SEARCH("quick fix",E292)),"Quick Fix Mix",
ISNUMBER(SEARCH("starter",E292)),"Starter Fertilizer",
ISNUMBER(SEARCH("weed &amp; feed",E292)),"Weed &amp; Feed",
ISNUMBER(SEARCH("lawn food",E292)),"Lawn Food",
ISNUMBER(SEARCH("triple action",E292)),"Triple Action Fertilizer",
ISNUMBER(SEARCH("green max",E292)),"Green Max Lawn Food",
ISNUMBER(SEARCH("patchmaster",E292)),"PatchMaster Repair",
ISNUMBER(SEARCH("ez seed",E292)),"EZ Seed Repair",
ISNUMBER(SEARCH("rapid grass",E292)),"Rapid Grass",
ISNUMBER(SEARCH("thick'r lawn",E292)),"Thick'R Lawn",
ISNUMBER(SEARCH("fungicide",E292)),"Fungicide",
ISNUMBER(SEARCH("moss",E292)),"Moss Control",
ISNUMBER(SEARCH("perlite",E292)),"Perlite",
ISNUMBER(SEARCH("plant food",E292)),"Plant Food",
ISNUMBER(SEARCH("spreader",E292)),"Spreader",
ISNUMBER(SEARCH("sprayer",E292)),"Sprayer",
ISNUMBER(SEARCH("mower",E292)),"Lawn Mower",
ISNUMBER(SEARCH("sweeper",E292)),"Lawn Sweeper",
OR(ISNUMBER(SEARCH("pruner",E292)),ISNUMBER(SEARCH("trimmer",E292)),ISNUMBER(SEARCH("pole saw",E292))),"Pruning Tools",
TRUE,"Other"
)</f>
        <v>Snap Traps</v>
      </c>
      <c r="J292" s="7" t="str">
        <f t="shared" si="70"/>
        <v>Rodent Control - Snap Traps</v>
      </c>
      <c r="K292" s="4">
        <v>4000</v>
      </c>
      <c r="L292" s="4">
        <v>3.7</v>
      </c>
      <c r="M292" s="4">
        <v>1559</v>
      </c>
      <c r="N292" s="4" t="s">
        <v>1348</v>
      </c>
      <c r="O292" s="4">
        <f>VLOOKUP(A292,[4]Sheet1!$A:$B,2,0)</f>
        <v>1000</v>
      </c>
      <c r="P292" s="4">
        <f>VLOOKUP(A292,[4]Sheet1!$A:$C,3,0)</f>
        <v>2000</v>
      </c>
      <c r="Q292" s="4">
        <f>VLOOKUP(A292,[4]Sheet1!$A:$D,4,0)</f>
        <v>2000</v>
      </c>
      <c r="R292" s="4">
        <f>VLOOKUP(A292,[4]Sheet1!$A:$E,5,0)</f>
        <v>2000</v>
      </c>
      <c r="S292" s="4">
        <f>VLOOKUP(A292,[4]Sheet1!$A:$F,6,0)</f>
        <v>2000</v>
      </c>
      <c r="T292" s="4">
        <f>VLOOKUP(A292,[4]Sheet1!$A:$G,7,0)</f>
        <v>3000</v>
      </c>
      <c r="U292" s="4">
        <f>VLOOKUP(A292,[4]Sheet1!$A:$H,8,0)</f>
        <v>3000</v>
      </c>
      <c r="V292" s="4">
        <f>VLOOKUP(A292,[4]Sheet1!$A:$I,9,0)</f>
        <v>4000</v>
      </c>
      <c r="W292" s="4">
        <f>VLOOKUP(A292,[4]Sheet1!$A:$J,10,0)</f>
        <v>4000</v>
      </c>
      <c r="X292" s="4">
        <f>VLOOKUP(A292,[4]Sheet1!$A:$K,11,0)</f>
        <v>1000</v>
      </c>
      <c r="Y292" s="4">
        <f>VLOOKUP(A292,[4]Sheet1!$A:$L,12,0)</f>
        <v>2000</v>
      </c>
      <c r="Z292" s="4">
        <f>VLOOKUP(A292,[4]Sheet1!$A:$M,13,0)</f>
        <v>2000</v>
      </c>
      <c r="AA292" s="4">
        <f t="shared" si="80"/>
        <v>28000</v>
      </c>
      <c r="AB292" s="7">
        <f t="shared" si="71"/>
        <v>2333</v>
      </c>
      <c r="AC292" s="15">
        <f t="shared" si="81"/>
        <v>2333.3333333333335</v>
      </c>
      <c r="AD292" s="16">
        <f t="shared" si="82"/>
        <v>574560</v>
      </c>
      <c r="AE292" s="16">
        <f t="shared" si="83"/>
        <v>47880</v>
      </c>
      <c r="AF292" s="16">
        <v>7.38</v>
      </c>
      <c r="AG292" s="16">
        <v>20.52</v>
      </c>
      <c r="AH292" s="15">
        <f t="shared" si="84"/>
        <v>-1.1466666666666708E-2</v>
      </c>
      <c r="AI292" s="15">
        <f t="shared" si="85"/>
        <v>-4.0133333333333472E-2</v>
      </c>
      <c r="AJ292" s="10">
        <v>0.5</v>
      </c>
      <c r="AK292" s="10">
        <v>0.5</v>
      </c>
      <c r="AL292" s="16">
        <v>7.38</v>
      </c>
      <c r="AM292" s="9">
        <f t="shared" si="72"/>
        <v>3.0779999999999998</v>
      </c>
      <c r="AN292" s="9">
        <f t="shared" si="73"/>
        <v>0.61559999999999993</v>
      </c>
      <c r="AO292" s="9">
        <f t="shared" si="74"/>
        <v>4.1040000000000001</v>
      </c>
      <c r="AP292" s="9">
        <f t="shared" si="75"/>
        <v>0.41039999999999999</v>
      </c>
      <c r="AQ292" s="9">
        <f t="shared" si="76"/>
        <v>4.1040000000000001</v>
      </c>
      <c r="AR292" s="9">
        <f t="shared" si="77"/>
        <v>5.13</v>
      </c>
      <c r="AS292" s="11">
        <f t="shared" si="78"/>
        <v>-0.11466666666666707</v>
      </c>
      <c r="AT292" s="12">
        <f t="shared" si="79"/>
        <v>-0.79866666666666697</v>
      </c>
    </row>
    <row r="293" spans="1:46" ht="16.5" x14ac:dyDescent="0.4">
      <c r="A293" s="4" t="s">
        <v>1349</v>
      </c>
      <c r="B293" s="4" t="s">
        <v>1314</v>
      </c>
      <c r="C293" s="7" t="s">
        <v>1796</v>
      </c>
      <c r="D293" s="4" t="s">
        <v>1350</v>
      </c>
      <c r="E293" s="4" t="s">
        <v>1351</v>
      </c>
      <c r="F293" s="4" t="s">
        <v>1352</v>
      </c>
      <c r="G293" s="7" t="str">
        <f>VLOOKUP(A293,[1]done!$A:$I,9,0)</f>
        <v>Mole Repellent</v>
      </c>
      <c r="H293" s="7" t="str" cm="1">
        <f t="array" ref="H293">_xlfn.IFS(
OR(ISNUMBER(SEARCH("mouse",E293)),ISNUMBER(SEARCH("rat",E293)),ISNUMBER(SEARCH("mice",E293)),ISNUMBER(SEARCH("rodent",E293))),"Rodent Control",
OR(ISNUMBER(SEARCH("fly",E293)),ISNUMBER(SEARCH("gnat",E293)),ISNUMBER(SEARCH("insect",E293)),ISNUMBER(SEARCH("mosquito",E293))),"Flying Insect Control",
OR(ISNUMBER(SEARCH("roach",E293)),ISNUMBER(SEARCH("ant",E293)),ISNUMBER(SEARCH("spider",E293)),ISNUMBER(SEARCH("cricket",E293)),ISNUMBER(SEARCH("scorpion",E293)),ISNUMBER(SEARCH("centipede",E293)),ISNUMBER(SEARCH("beetle",E293))),"Crawling Insect Control",
OR(ISNUMBER(SEARCH("tree",E293)),ISNUMBER(SEARCH("lantern",E293)),ISNUMBER(SEARCH("garden",E293)),ISNUMBER(SEARCH("plant",E293))),"Garden Pest Control",
OR(ISNUMBER(SEARCH("grass seed",E293)),ISNUMBER(SEARCH("seed mix",E293))),"Grass Seed",
OR(ISNUMBER(SEARCH("lawn food",E293)),ISNUMBER(SEARCH("fertilizer",E293))),"Lawn Fertilizer",
OR(ISNUMBER(SEARCH("patch",E293)),ISNUMBER(SEARCH("repair",E293)),ISNUMBER(SEARCH("thick'r",E293)),ISNUMBER(SEARCH("thick'r lawn",E293)),ISNUMBER(SEARCH("rapid grass",E293))),"Lawn Repair",
OR(ISNUMBER(SEARCH("weed",E293)),ISNUMBER(SEARCH("crabgrass",E293))),"Weed Control",
OR(ISNUMBER(SEARCH("fungicide",E293)),ISNUMBER(SEARCH("moss",E293))),"Disease &amp; Moss Control",
OR(ISNUMBER(SEARCH("plant food",E293)),ISNUMBER(SEARCH("miracid",E293))),"Plant Nutrition",
OR(ISNUMBER(SEARCH("perlite",E293))),"Soil Amendment",
OR(ISNUMBER(SEARCH("spreader",E293)),ISNUMBER(SEARCH("sprayer",E293)),ISNUMBER(SEARCH("mower",E293)),ISNUMBER(SEARCH("sweeper",E293)),ISNUMBER(SEARCH("pruner",E293)),ISNUMBER(SEARCH("trimmer",E293)),ISNUMBER(SEARCH("pole saw",E293))),"Garden Equipment",
TRUE,"Other"
)</f>
        <v>Other</v>
      </c>
      <c r="I293" s="7" t="str" cm="1">
        <f t="array" ref="I293">_xlfn.IFS(
OR(ISNUMBER(SEARCH("glue trap",E293)),ISNUMBER(SEARCH("glue board",E293))),"Glue Traps",
OR(ISNUMBER(SEARCH("snap trap",E293)),ISNUMBER(SEARCH("power-kill",E293)),ISNUMBER(SEARCH("wide pedal",E293)),ISNUMBER(SEARCH("metal pedal",E293))),"Snap Traps",
OR(ISNUMBER(SEARCH("electronic",E293)),ISNUMBER(SEARCH("zapper",E293))),"Electronic Traps",
OR(ISNUMBER(SEARCH("live catch",E293)),ISNUMBER(SEARCH("multi-catch",E293)),ISNUMBER(SEARCH("catch &amp; hold",E293)),ISNUMBER(SEARCH("tin cat",E293))),"Live Catch Traps",
OR(ISNUMBER(SEARCH("bait",E293)),ISNUMBER(SEARCH("poison",E293))),"Bait &amp; Poison",
ISNUMBER(SEARCH("repellent",E293)),"Repellents",
OR(ISNUMBER(SEARCH("fly trap",E293)),ISNUMBER(SEARCH("fly ribbon",E293)),ISNUMBER(SEARCH("fly stick",E293)),ISNUMBER(SEARCH("window fly",E293)),ISNUMBER(SEARCH("fly magnet",E293))),"Fly Traps",
OR(ISNUMBER(SEARCH("uv",E293)),ISNUMBER(SEARCH("fly light",E293)),ISNUMBER(SEARCH("plug-in",E293))),"UV Fly Traps",
ISNUMBER(SEARCH("roach",E293)),"Roach Traps",
ISNUMBER(SEARCH("ant",E293)),"Ant Traps",
ISNUMBER(SEARCH("spider",E293)),"Spider Traps",
ISNUMBER(SEARCH("mosquito",E293)),"Mosquito Traps",
ISNUMBER(SEARCH("beetle",E293)),"Beetle Traps",
ISNUMBER(SEARCH("lantern",E293)),"Lanternfly Control",
OR(ISNUMBER(SEARCH("tree shield",E293)),ISNUMBER(SEARCH("tree banding",E293)),ISNUMBER(SEARCH("insect barrier",E293))),"Tree Barriers",
OR(ISNUMBER(SEARCH("sun &amp; shade",E293)),ISNUMBER(SEARCH("sun and shade",E293))),"Sun &amp; Shade Mix",
ISNUMBER(SEARCH("tall fescue",E293)),"Tall Fescue",
ISNUMBER(SEARCH("bermudagrass",E293)),"Bermudagrass",
ISNUMBER(SEARCH("kentucky",E293)),"Kentucky Bluegrass",
ISNUMBER(SEARCH("zoysia",E293)),"Zoysia",
ISNUMBER(SEARCH("ryegrass",E293)),"Perennial Ryegrass",
ISNUMBER(SEARCH("centipede",E293)),"Centipede Grass",
ISNUMBER(SEARCH("dense shade",E293)),"Dense Shade Mix",
ISNUMBER(SEARCH("southern gold",E293)),"Southern Gold Mix",
ISNUMBER(SEARCH("heat-tolerant blue",E293)),"Heat-Tolerant Blue Mix",
ISNUMBER(SEARCH("high traffic",E293)),"High Traffic Mix",
ISNUMBER(SEARCH("quick fix",E293)),"Quick Fix Mix",
ISNUMBER(SEARCH("starter",E293)),"Starter Fertilizer",
ISNUMBER(SEARCH("weed &amp; feed",E293)),"Weed &amp; Feed",
ISNUMBER(SEARCH("lawn food",E293)),"Lawn Food",
ISNUMBER(SEARCH("triple action",E293)),"Triple Action Fertilizer",
ISNUMBER(SEARCH("green max",E293)),"Green Max Lawn Food",
ISNUMBER(SEARCH("patchmaster",E293)),"PatchMaster Repair",
ISNUMBER(SEARCH("ez seed",E293)),"EZ Seed Repair",
ISNUMBER(SEARCH("rapid grass",E293)),"Rapid Grass",
ISNUMBER(SEARCH("thick'r lawn",E293)),"Thick'R Lawn",
ISNUMBER(SEARCH("fungicide",E293)),"Fungicide",
ISNUMBER(SEARCH("moss",E293)),"Moss Control",
ISNUMBER(SEARCH("perlite",E293)),"Perlite",
ISNUMBER(SEARCH("plant food",E293)),"Plant Food",
ISNUMBER(SEARCH("spreader",E293)),"Spreader",
ISNUMBER(SEARCH("sprayer",E293)),"Sprayer",
ISNUMBER(SEARCH("mower",E293)),"Lawn Mower",
ISNUMBER(SEARCH("sweeper",E293)),"Lawn Sweeper",
OR(ISNUMBER(SEARCH("pruner",E293)),ISNUMBER(SEARCH("trimmer",E293)),ISNUMBER(SEARCH("pole saw",E293))),"Pruning Tools",
TRUE,"Other"
)</f>
        <v>Bait &amp; Poison</v>
      </c>
      <c r="J293" s="7" t="str">
        <f t="shared" si="70"/>
        <v>Other - Bait &amp; Poison</v>
      </c>
      <c r="K293" s="4">
        <v>4000</v>
      </c>
      <c r="L293" s="4">
        <v>4</v>
      </c>
      <c r="M293" s="4">
        <v>8029</v>
      </c>
      <c r="N293" s="4" t="s">
        <v>1353</v>
      </c>
      <c r="O293" s="4">
        <f>VLOOKUP(A293,[4]Sheet1!$A:$B,2,0)</f>
        <v>2000</v>
      </c>
      <c r="P293" s="4">
        <f>VLOOKUP(A293,[4]Sheet1!$A:$C,3,0)</f>
        <v>2000</v>
      </c>
      <c r="Q293" s="4">
        <f>VLOOKUP(A293,[4]Sheet1!$A:$D,4,0)</f>
        <v>3000</v>
      </c>
      <c r="R293" s="4">
        <f>VLOOKUP(A293,[4]Sheet1!$A:$E,5,0)</f>
        <v>4000</v>
      </c>
      <c r="S293" s="4">
        <f>VLOOKUP(A293,[4]Sheet1!$A:$F,6,0)</f>
        <v>4000</v>
      </c>
      <c r="T293" s="4">
        <f>VLOOKUP(A293,[4]Sheet1!$A:$G,7,0)</f>
        <v>6000</v>
      </c>
      <c r="U293" s="4">
        <f>VLOOKUP(A293,[4]Sheet1!$A:$H,8,0)</f>
        <v>6000</v>
      </c>
      <c r="V293" s="4">
        <f>VLOOKUP(A293,[4]Sheet1!$A:$I,9,0)</f>
        <v>4000</v>
      </c>
      <c r="W293" s="4">
        <f>VLOOKUP(A293,[4]Sheet1!$A:$J,10,0)</f>
        <v>4000</v>
      </c>
      <c r="X293" s="4">
        <f>VLOOKUP(A293,[4]Sheet1!$A:$K,11,0)</f>
        <v>3000</v>
      </c>
      <c r="Y293" s="4">
        <f>VLOOKUP(A293,[4]Sheet1!$A:$L,12,0)</f>
        <v>3000</v>
      </c>
      <c r="Z293" s="4">
        <f>VLOOKUP(A293,[4]Sheet1!$A:$M,13,0)</f>
        <v>2000</v>
      </c>
      <c r="AA293" s="4">
        <f t="shared" si="80"/>
        <v>43000</v>
      </c>
      <c r="AB293" s="7">
        <f t="shared" si="71"/>
        <v>3583</v>
      </c>
      <c r="AC293" s="15">
        <f t="shared" si="81"/>
        <v>3583.3333333333335</v>
      </c>
      <c r="AD293" s="16">
        <f t="shared" si="82"/>
        <v>913750</v>
      </c>
      <c r="AE293" s="16">
        <f t="shared" si="83"/>
        <v>76145.833333333343</v>
      </c>
      <c r="AF293" s="16">
        <v>6.48</v>
      </c>
      <c r="AG293" s="16">
        <v>21.25</v>
      </c>
      <c r="AH293" s="15">
        <f t="shared" si="84"/>
        <v>6.7999999999999977E-2</v>
      </c>
      <c r="AI293" s="15">
        <f t="shared" si="85"/>
        <v>0.23799999999999988</v>
      </c>
      <c r="AJ293" s="10">
        <v>0.5</v>
      </c>
      <c r="AK293" s="10">
        <v>0.5</v>
      </c>
      <c r="AL293" s="16">
        <v>6.48</v>
      </c>
      <c r="AM293" s="9">
        <f t="shared" si="72"/>
        <v>3.1875</v>
      </c>
      <c r="AN293" s="9">
        <f t="shared" si="73"/>
        <v>0.63749999999999996</v>
      </c>
      <c r="AO293" s="9">
        <f t="shared" si="74"/>
        <v>4.25</v>
      </c>
      <c r="AP293" s="9">
        <f t="shared" si="75"/>
        <v>0.42499999999999999</v>
      </c>
      <c r="AQ293" s="9">
        <f t="shared" si="76"/>
        <v>4.25</v>
      </c>
      <c r="AR293" s="9">
        <f t="shared" si="77"/>
        <v>5.3125</v>
      </c>
      <c r="AS293" s="11">
        <f t="shared" si="78"/>
        <v>0.67999999999999972</v>
      </c>
      <c r="AT293" s="12">
        <f t="shared" si="79"/>
        <v>-2.8333333333333616E-2</v>
      </c>
    </row>
    <row r="294" spans="1:46" ht="16.5" x14ac:dyDescent="0.4">
      <c r="A294" s="4" t="s">
        <v>1354</v>
      </c>
      <c r="B294" s="4" t="s">
        <v>1314</v>
      </c>
      <c r="C294" s="7" t="s">
        <v>1796</v>
      </c>
      <c r="D294" s="4" t="s">
        <v>1355</v>
      </c>
      <c r="E294" s="4" t="s">
        <v>1356</v>
      </c>
      <c r="F294" s="4" t="s">
        <v>1357</v>
      </c>
      <c r="G294" s="7" t="str">
        <f>VLOOKUP(A294,[1]done!$A:$I,9,0)</f>
        <v>Rodent</v>
      </c>
      <c r="H294" s="7" t="str" cm="1">
        <f t="array" ref="H294">_xlfn.IFS(
OR(ISNUMBER(SEARCH("mouse",E294)),ISNUMBER(SEARCH("rat",E294)),ISNUMBER(SEARCH("mice",E294)),ISNUMBER(SEARCH("rodent",E294))),"Rodent Control",
OR(ISNUMBER(SEARCH("fly",E294)),ISNUMBER(SEARCH("gnat",E294)),ISNUMBER(SEARCH("insect",E294)),ISNUMBER(SEARCH("mosquito",E294))),"Flying Insect Control",
OR(ISNUMBER(SEARCH("roach",E294)),ISNUMBER(SEARCH("ant",E294)),ISNUMBER(SEARCH("spider",E294)),ISNUMBER(SEARCH("cricket",E294)),ISNUMBER(SEARCH("scorpion",E294)),ISNUMBER(SEARCH("centipede",E294)),ISNUMBER(SEARCH("beetle",E294))),"Crawling Insect Control",
OR(ISNUMBER(SEARCH("tree",E294)),ISNUMBER(SEARCH("lantern",E294)),ISNUMBER(SEARCH("garden",E294)),ISNUMBER(SEARCH("plant",E294))),"Garden Pest Control",
OR(ISNUMBER(SEARCH("grass seed",E294)),ISNUMBER(SEARCH("seed mix",E294))),"Grass Seed",
OR(ISNUMBER(SEARCH("lawn food",E294)),ISNUMBER(SEARCH("fertilizer",E294))),"Lawn Fertilizer",
OR(ISNUMBER(SEARCH("patch",E294)),ISNUMBER(SEARCH("repair",E294)),ISNUMBER(SEARCH("thick'r",E294)),ISNUMBER(SEARCH("thick'r lawn",E294)),ISNUMBER(SEARCH("rapid grass",E294))),"Lawn Repair",
OR(ISNUMBER(SEARCH("weed",E294)),ISNUMBER(SEARCH("crabgrass",E294))),"Weed Control",
OR(ISNUMBER(SEARCH("fungicide",E294)),ISNUMBER(SEARCH("moss",E294))),"Disease &amp; Moss Control",
OR(ISNUMBER(SEARCH("plant food",E294)),ISNUMBER(SEARCH("miracid",E294))),"Plant Nutrition",
OR(ISNUMBER(SEARCH("perlite",E294))),"Soil Amendment",
OR(ISNUMBER(SEARCH("spreader",E294)),ISNUMBER(SEARCH("sprayer",E294)),ISNUMBER(SEARCH("mower",E294)),ISNUMBER(SEARCH("sweeper",E294)),ISNUMBER(SEARCH("pruner",E294)),ISNUMBER(SEARCH("trimmer",E294)),ISNUMBER(SEARCH("pole saw",E294))),"Garden Equipment",
TRUE,"Other"
)</f>
        <v>Rodent Control</v>
      </c>
      <c r="I294" s="7" t="str" cm="1">
        <f t="array" ref="I294">_xlfn.IFS(
OR(ISNUMBER(SEARCH("glue trap",E294)),ISNUMBER(SEARCH("glue board",E294))),"Glue Traps",
OR(ISNUMBER(SEARCH("snap trap",E294)),ISNUMBER(SEARCH("power-kill",E294)),ISNUMBER(SEARCH("wide pedal",E294)),ISNUMBER(SEARCH("metal pedal",E294))),"Snap Traps",
OR(ISNUMBER(SEARCH("electronic",E294)),ISNUMBER(SEARCH("zapper",E294))),"Electronic Traps",
OR(ISNUMBER(SEARCH("live catch",E294)),ISNUMBER(SEARCH("multi-catch",E294)),ISNUMBER(SEARCH("catch &amp; hold",E294)),ISNUMBER(SEARCH("tin cat",E294))),"Live Catch Traps",
OR(ISNUMBER(SEARCH("bait",E294)),ISNUMBER(SEARCH("poison",E294))),"Bait &amp; Poison",
ISNUMBER(SEARCH("repellent",E294)),"Repellents",
OR(ISNUMBER(SEARCH("fly trap",E294)),ISNUMBER(SEARCH("fly ribbon",E294)),ISNUMBER(SEARCH("fly stick",E294)),ISNUMBER(SEARCH("window fly",E294)),ISNUMBER(SEARCH("fly magnet",E294))),"Fly Traps",
OR(ISNUMBER(SEARCH("uv",E294)),ISNUMBER(SEARCH("fly light",E294)),ISNUMBER(SEARCH("plug-in",E294))),"UV Fly Traps",
ISNUMBER(SEARCH("roach",E294)),"Roach Traps",
ISNUMBER(SEARCH("ant",E294)),"Ant Traps",
ISNUMBER(SEARCH("spider",E294)),"Spider Traps",
ISNUMBER(SEARCH("mosquito",E294)),"Mosquito Traps",
ISNUMBER(SEARCH("beetle",E294)),"Beetle Traps",
ISNUMBER(SEARCH("lantern",E294)),"Lanternfly Control",
OR(ISNUMBER(SEARCH("tree shield",E294)),ISNUMBER(SEARCH("tree banding",E294)),ISNUMBER(SEARCH("insect barrier",E294))),"Tree Barriers",
OR(ISNUMBER(SEARCH("sun &amp; shade",E294)),ISNUMBER(SEARCH("sun and shade",E294))),"Sun &amp; Shade Mix",
ISNUMBER(SEARCH("tall fescue",E294)),"Tall Fescue",
ISNUMBER(SEARCH("bermudagrass",E294)),"Bermudagrass",
ISNUMBER(SEARCH("kentucky",E294)),"Kentucky Bluegrass",
ISNUMBER(SEARCH("zoysia",E294)),"Zoysia",
ISNUMBER(SEARCH("ryegrass",E294)),"Perennial Ryegrass",
ISNUMBER(SEARCH("centipede",E294)),"Centipede Grass",
ISNUMBER(SEARCH("dense shade",E294)),"Dense Shade Mix",
ISNUMBER(SEARCH("southern gold",E294)),"Southern Gold Mix",
ISNUMBER(SEARCH("heat-tolerant blue",E294)),"Heat-Tolerant Blue Mix",
ISNUMBER(SEARCH("high traffic",E294)),"High Traffic Mix",
ISNUMBER(SEARCH("quick fix",E294)),"Quick Fix Mix",
ISNUMBER(SEARCH("starter",E294)),"Starter Fertilizer",
ISNUMBER(SEARCH("weed &amp; feed",E294)),"Weed &amp; Feed",
ISNUMBER(SEARCH("lawn food",E294)),"Lawn Food",
ISNUMBER(SEARCH("triple action",E294)),"Triple Action Fertilizer",
ISNUMBER(SEARCH("green max",E294)),"Green Max Lawn Food",
ISNUMBER(SEARCH("patchmaster",E294)),"PatchMaster Repair",
ISNUMBER(SEARCH("ez seed",E294)),"EZ Seed Repair",
ISNUMBER(SEARCH("rapid grass",E294)),"Rapid Grass",
ISNUMBER(SEARCH("thick'r lawn",E294)),"Thick'R Lawn",
ISNUMBER(SEARCH("fungicide",E294)),"Fungicide",
ISNUMBER(SEARCH("moss",E294)),"Moss Control",
ISNUMBER(SEARCH("perlite",E294)),"Perlite",
ISNUMBER(SEARCH("plant food",E294)),"Plant Food",
ISNUMBER(SEARCH("spreader",E294)),"Spreader",
ISNUMBER(SEARCH("sprayer",E294)),"Sprayer",
ISNUMBER(SEARCH("mower",E294)),"Lawn Mower",
ISNUMBER(SEARCH("sweeper",E294)),"Lawn Sweeper",
OR(ISNUMBER(SEARCH("pruner",E294)),ISNUMBER(SEARCH("trimmer",E294)),ISNUMBER(SEARCH("pole saw",E294))),"Pruning Tools",
TRUE,"Other"
)</f>
        <v>Snap Traps</v>
      </c>
      <c r="J294" s="7" t="str">
        <f t="shared" si="70"/>
        <v>Rodent Control - Snap Traps</v>
      </c>
      <c r="K294" s="4">
        <v>3000</v>
      </c>
      <c r="L294" s="4">
        <v>4.2</v>
      </c>
      <c r="M294" s="4">
        <v>25912</v>
      </c>
      <c r="N294" s="4" t="s">
        <v>1358</v>
      </c>
      <c r="O294" s="4">
        <f>VLOOKUP(A294,[4]Sheet1!$A:$B,2,0)</f>
        <v>4000</v>
      </c>
      <c r="P294" s="4">
        <f>VLOOKUP(A294,[4]Sheet1!$A:$C,3,0)</f>
        <v>3000</v>
      </c>
      <c r="Q294" s="4">
        <f>VLOOKUP(A294,[4]Sheet1!$A:$D,4,0)</f>
        <v>2000</v>
      </c>
      <c r="R294" s="4">
        <f>VLOOKUP(A294,[4]Sheet1!$A:$E,5,0)</f>
        <v>1000</v>
      </c>
      <c r="S294" s="4">
        <f>VLOOKUP(A294,[4]Sheet1!$A:$F,6,0)</f>
        <v>1000</v>
      </c>
      <c r="T294" s="4">
        <f>VLOOKUP(A294,[4]Sheet1!$A:$G,7,0)</f>
        <v>1000</v>
      </c>
      <c r="U294" s="4">
        <f>VLOOKUP(A294,[4]Sheet1!$A:$H,8,0)</f>
        <v>1000</v>
      </c>
      <c r="V294" s="4">
        <f>VLOOKUP(A294,[4]Sheet1!$A:$I,9,0)</f>
        <v>4000</v>
      </c>
      <c r="W294" s="4">
        <f>VLOOKUP(A294,[4]Sheet1!$A:$J,10,0)</f>
        <v>3000</v>
      </c>
      <c r="X294" s="4">
        <f>VLOOKUP(A294,[4]Sheet1!$A:$K,11,0)</f>
        <v>2000</v>
      </c>
      <c r="Y294" s="4">
        <f>VLOOKUP(A294,[4]Sheet1!$A:$L,12,0)</f>
        <v>3000</v>
      </c>
      <c r="Z294" s="4">
        <f>VLOOKUP(A294,[4]Sheet1!$A:$M,13,0)</f>
        <v>3000</v>
      </c>
      <c r="AA294" s="4">
        <f t="shared" si="80"/>
        <v>28000</v>
      </c>
      <c r="AB294" s="7">
        <f t="shared" si="71"/>
        <v>2333</v>
      </c>
      <c r="AC294" s="15">
        <f t="shared" si="81"/>
        <v>2333.3333333333335</v>
      </c>
      <c r="AD294" s="16">
        <f t="shared" si="82"/>
        <v>529200</v>
      </c>
      <c r="AE294" s="16">
        <f t="shared" si="83"/>
        <v>44100</v>
      </c>
      <c r="AF294" s="16">
        <v>5.22</v>
      </c>
      <c r="AG294" s="16">
        <v>18.899999999999999</v>
      </c>
      <c r="AH294" s="15">
        <f t="shared" si="84"/>
        <v>8.9333333333333237E-2</v>
      </c>
      <c r="AI294" s="15">
        <f t="shared" si="85"/>
        <v>0.31266666666666632</v>
      </c>
      <c r="AJ294" s="10">
        <v>0.5</v>
      </c>
      <c r="AK294" s="10">
        <v>0.5</v>
      </c>
      <c r="AL294" s="16">
        <v>5.22</v>
      </c>
      <c r="AM294" s="9">
        <f t="shared" si="72"/>
        <v>2.8349999999999995</v>
      </c>
      <c r="AN294" s="9">
        <f t="shared" si="73"/>
        <v>0.56699999999999995</v>
      </c>
      <c r="AO294" s="9">
        <f t="shared" si="74"/>
        <v>3.78</v>
      </c>
      <c r="AP294" s="9">
        <f t="shared" si="75"/>
        <v>0.378</v>
      </c>
      <c r="AQ294" s="9">
        <f t="shared" si="76"/>
        <v>3.78</v>
      </c>
      <c r="AR294" s="9">
        <f t="shared" si="77"/>
        <v>4.7249999999999996</v>
      </c>
      <c r="AS294" s="11">
        <f t="shared" si="78"/>
        <v>0.89333333333333231</v>
      </c>
      <c r="AT294" s="12">
        <f t="shared" si="79"/>
        <v>0.26333333333333248</v>
      </c>
    </row>
    <row r="295" spans="1:46" ht="16.5" x14ac:dyDescent="0.4">
      <c r="A295" s="4" t="s">
        <v>1359</v>
      </c>
      <c r="B295" s="4" t="s">
        <v>1314</v>
      </c>
      <c r="C295" s="7" t="s">
        <v>1796</v>
      </c>
      <c r="D295" s="4" t="s">
        <v>1360</v>
      </c>
      <c r="E295" s="4" t="s">
        <v>1361</v>
      </c>
      <c r="F295" s="4" t="s">
        <v>1362</v>
      </c>
      <c r="G295" s="7" t="str">
        <f>VLOOKUP(A295,[1]done!$A:$I,9,0)</f>
        <v>Rodent</v>
      </c>
      <c r="H295" s="7" t="str" cm="1">
        <f t="array" ref="H295">_xlfn.IFS(
OR(ISNUMBER(SEARCH("mouse",E295)),ISNUMBER(SEARCH("rat",E295)),ISNUMBER(SEARCH("mice",E295)),ISNUMBER(SEARCH("rodent",E295))),"Rodent Control",
OR(ISNUMBER(SEARCH("fly",E295)),ISNUMBER(SEARCH("gnat",E295)),ISNUMBER(SEARCH("insect",E295)),ISNUMBER(SEARCH("mosquito",E295))),"Flying Insect Control",
OR(ISNUMBER(SEARCH("roach",E295)),ISNUMBER(SEARCH("ant",E295)),ISNUMBER(SEARCH("spider",E295)),ISNUMBER(SEARCH("cricket",E295)),ISNUMBER(SEARCH("scorpion",E295)),ISNUMBER(SEARCH("centipede",E295)),ISNUMBER(SEARCH("beetle",E295))),"Crawling Insect Control",
OR(ISNUMBER(SEARCH("tree",E295)),ISNUMBER(SEARCH("lantern",E295)),ISNUMBER(SEARCH("garden",E295)),ISNUMBER(SEARCH("plant",E295))),"Garden Pest Control",
OR(ISNUMBER(SEARCH("grass seed",E295)),ISNUMBER(SEARCH("seed mix",E295))),"Grass Seed",
OR(ISNUMBER(SEARCH("lawn food",E295)),ISNUMBER(SEARCH("fertilizer",E295))),"Lawn Fertilizer",
OR(ISNUMBER(SEARCH("patch",E295)),ISNUMBER(SEARCH("repair",E295)),ISNUMBER(SEARCH("thick'r",E295)),ISNUMBER(SEARCH("thick'r lawn",E295)),ISNUMBER(SEARCH("rapid grass",E295))),"Lawn Repair",
OR(ISNUMBER(SEARCH("weed",E295)),ISNUMBER(SEARCH("crabgrass",E295))),"Weed Control",
OR(ISNUMBER(SEARCH("fungicide",E295)),ISNUMBER(SEARCH("moss",E295))),"Disease &amp; Moss Control",
OR(ISNUMBER(SEARCH("plant food",E295)),ISNUMBER(SEARCH("miracid",E295))),"Plant Nutrition",
OR(ISNUMBER(SEARCH("perlite",E295))),"Soil Amendment",
OR(ISNUMBER(SEARCH("spreader",E295)),ISNUMBER(SEARCH("sprayer",E295)),ISNUMBER(SEARCH("mower",E295)),ISNUMBER(SEARCH("sweeper",E295)),ISNUMBER(SEARCH("pruner",E295)),ISNUMBER(SEARCH("trimmer",E295)),ISNUMBER(SEARCH("pole saw",E295))),"Garden Equipment",
TRUE,"Other"
)</f>
        <v>Rodent Control</v>
      </c>
      <c r="I295" s="7" t="str" cm="1">
        <f t="array" ref="I295">_xlfn.IFS(
OR(ISNUMBER(SEARCH("glue trap",E295)),ISNUMBER(SEARCH("glue board",E295))),"Glue Traps",
OR(ISNUMBER(SEARCH("snap trap",E295)),ISNUMBER(SEARCH("power-kill",E295)),ISNUMBER(SEARCH("wide pedal",E295)),ISNUMBER(SEARCH("metal pedal",E295))),"Snap Traps",
OR(ISNUMBER(SEARCH("electronic",E295)),ISNUMBER(SEARCH("zapper",E295))),"Electronic Traps",
OR(ISNUMBER(SEARCH("live catch",E295)),ISNUMBER(SEARCH("multi-catch",E295)),ISNUMBER(SEARCH("catch &amp; hold",E295)),ISNUMBER(SEARCH("tin cat",E295))),"Live Catch Traps",
OR(ISNUMBER(SEARCH("bait",E295)),ISNUMBER(SEARCH("poison",E295))),"Bait &amp; Poison",
ISNUMBER(SEARCH("repellent",E295)),"Repellents",
OR(ISNUMBER(SEARCH("fly trap",E295)),ISNUMBER(SEARCH("fly ribbon",E295)),ISNUMBER(SEARCH("fly stick",E295)),ISNUMBER(SEARCH("window fly",E295)),ISNUMBER(SEARCH("fly magnet",E295))),"Fly Traps",
OR(ISNUMBER(SEARCH("uv",E295)),ISNUMBER(SEARCH("fly light",E295)),ISNUMBER(SEARCH("plug-in",E295))),"UV Fly Traps",
ISNUMBER(SEARCH("roach",E295)),"Roach Traps",
ISNUMBER(SEARCH("ant",E295)),"Ant Traps",
ISNUMBER(SEARCH("spider",E295)),"Spider Traps",
ISNUMBER(SEARCH("mosquito",E295)),"Mosquito Traps",
ISNUMBER(SEARCH("beetle",E295)),"Beetle Traps",
ISNUMBER(SEARCH("lantern",E295)),"Lanternfly Control",
OR(ISNUMBER(SEARCH("tree shield",E295)),ISNUMBER(SEARCH("tree banding",E295)),ISNUMBER(SEARCH("insect barrier",E295))),"Tree Barriers",
OR(ISNUMBER(SEARCH("sun &amp; shade",E295)),ISNUMBER(SEARCH("sun and shade",E295))),"Sun &amp; Shade Mix",
ISNUMBER(SEARCH("tall fescue",E295)),"Tall Fescue",
ISNUMBER(SEARCH("bermudagrass",E295)),"Bermudagrass",
ISNUMBER(SEARCH("kentucky",E295)),"Kentucky Bluegrass",
ISNUMBER(SEARCH("zoysia",E295)),"Zoysia",
ISNUMBER(SEARCH("ryegrass",E295)),"Perennial Ryegrass",
ISNUMBER(SEARCH("centipede",E295)),"Centipede Grass",
ISNUMBER(SEARCH("dense shade",E295)),"Dense Shade Mix",
ISNUMBER(SEARCH("southern gold",E295)),"Southern Gold Mix",
ISNUMBER(SEARCH("heat-tolerant blue",E295)),"Heat-Tolerant Blue Mix",
ISNUMBER(SEARCH("high traffic",E295)),"High Traffic Mix",
ISNUMBER(SEARCH("quick fix",E295)),"Quick Fix Mix",
ISNUMBER(SEARCH("starter",E295)),"Starter Fertilizer",
ISNUMBER(SEARCH("weed &amp; feed",E295)),"Weed &amp; Feed",
ISNUMBER(SEARCH("lawn food",E295)),"Lawn Food",
ISNUMBER(SEARCH("triple action",E295)),"Triple Action Fertilizer",
ISNUMBER(SEARCH("green max",E295)),"Green Max Lawn Food",
ISNUMBER(SEARCH("patchmaster",E295)),"PatchMaster Repair",
ISNUMBER(SEARCH("ez seed",E295)),"EZ Seed Repair",
ISNUMBER(SEARCH("rapid grass",E295)),"Rapid Grass",
ISNUMBER(SEARCH("thick'r lawn",E295)),"Thick'R Lawn",
ISNUMBER(SEARCH("fungicide",E295)),"Fungicide",
ISNUMBER(SEARCH("moss",E295)),"Moss Control",
ISNUMBER(SEARCH("perlite",E295)),"Perlite",
ISNUMBER(SEARCH("plant food",E295)),"Plant Food",
ISNUMBER(SEARCH("spreader",E295)),"Spreader",
ISNUMBER(SEARCH("sprayer",E295)),"Sprayer",
ISNUMBER(SEARCH("mower",E295)),"Lawn Mower",
ISNUMBER(SEARCH("sweeper",E295)),"Lawn Sweeper",
OR(ISNUMBER(SEARCH("pruner",E295)),ISNUMBER(SEARCH("trimmer",E295)),ISNUMBER(SEARCH("pole saw",E295))),"Pruning Tools",
TRUE,"Other"
)</f>
        <v>Electronic Traps</v>
      </c>
      <c r="J295" s="7" t="str">
        <f t="shared" si="70"/>
        <v>Rodent Control - Electronic Traps</v>
      </c>
      <c r="K295" s="4">
        <v>3000</v>
      </c>
      <c r="L295" s="4">
        <v>3.8</v>
      </c>
      <c r="M295" s="4">
        <v>13931</v>
      </c>
      <c r="N295" s="4" t="s">
        <v>1363</v>
      </c>
      <c r="O295" s="4">
        <f>VLOOKUP(A295,[4]Sheet1!$A:$B,2,0)</f>
        <v>2000</v>
      </c>
      <c r="P295" s="4">
        <f>VLOOKUP(A295,[4]Sheet1!$A:$C,3,0)</f>
        <v>1000</v>
      </c>
      <c r="Q295" s="4">
        <f>VLOOKUP(A295,[4]Sheet1!$A:$D,4,0)</f>
        <v>1000</v>
      </c>
      <c r="R295" s="4">
        <f>VLOOKUP(A295,[4]Sheet1!$A:$E,5,0)</f>
        <v>1000</v>
      </c>
      <c r="S295" s="4">
        <f>VLOOKUP(A295,[4]Sheet1!$A:$F,6,0)</f>
        <v>1000</v>
      </c>
      <c r="T295" s="4">
        <f>VLOOKUP(A295,[4]Sheet1!$A:$G,7,0)</f>
        <v>2000</v>
      </c>
      <c r="U295" s="4">
        <f>VLOOKUP(A295,[4]Sheet1!$A:$H,8,0)</f>
        <v>1000</v>
      </c>
      <c r="V295" s="4">
        <f>VLOOKUP(A295,[4]Sheet1!$A:$I,9,0)</f>
        <v>3000</v>
      </c>
      <c r="W295" s="4">
        <f>VLOOKUP(A295,[4]Sheet1!$A:$J,10,0)</f>
        <v>3000</v>
      </c>
      <c r="X295" s="4">
        <f>VLOOKUP(A295,[4]Sheet1!$A:$K,11,0)</f>
        <v>1000</v>
      </c>
      <c r="Y295" s="4">
        <f>VLOOKUP(A295,[4]Sheet1!$A:$L,12,0)</f>
        <v>2000</v>
      </c>
      <c r="Z295" s="4">
        <f>VLOOKUP(A295,[4]Sheet1!$A:$M,13,0)</f>
        <v>1000</v>
      </c>
      <c r="AA295" s="4">
        <f t="shared" si="80"/>
        <v>19000</v>
      </c>
      <c r="AB295" s="7">
        <f t="shared" si="71"/>
        <v>1583</v>
      </c>
      <c r="AC295" s="15">
        <f t="shared" si="81"/>
        <v>1583.3333333333333</v>
      </c>
      <c r="AD295" s="16">
        <f t="shared" si="82"/>
        <v>341620</v>
      </c>
      <c r="AE295" s="16">
        <f t="shared" si="83"/>
        <v>28468.333333333332</v>
      </c>
      <c r="AF295" s="16">
        <v>4.28</v>
      </c>
      <c r="AG295" s="16">
        <v>17.98</v>
      </c>
      <c r="AH295" s="15">
        <f t="shared" si="84"/>
        <v>0.12746666666666667</v>
      </c>
      <c r="AI295" s="15">
        <f t="shared" si="85"/>
        <v>0.44613333333333327</v>
      </c>
      <c r="AJ295" s="10">
        <v>0.5</v>
      </c>
      <c r="AK295" s="10">
        <v>0.5</v>
      </c>
      <c r="AL295" s="16">
        <v>4.28</v>
      </c>
      <c r="AM295" s="9">
        <f t="shared" si="72"/>
        <v>2.6970000000000001</v>
      </c>
      <c r="AN295" s="9">
        <f t="shared" si="73"/>
        <v>0.53939999999999999</v>
      </c>
      <c r="AO295" s="9">
        <f t="shared" si="74"/>
        <v>3.5960000000000001</v>
      </c>
      <c r="AP295" s="9">
        <f t="shared" si="75"/>
        <v>0.35960000000000003</v>
      </c>
      <c r="AQ295" s="9">
        <f t="shared" si="76"/>
        <v>3.5960000000000001</v>
      </c>
      <c r="AR295" s="9">
        <f t="shared" si="77"/>
        <v>4.4950000000000001</v>
      </c>
      <c r="AS295" s="11">
        <f t="shared" si="78"/>
        <v>1.2746666666666666</v>
      </c>
      <c r="AT295" s="12">
        <f t="shared" si="79"/>
        <v>0.67533333333333323</v>
      </c>
    </row>
    <row r="296" spans="1:46" ht="16.5" x14ac:dyDescent="0.4">
      <c r="A296" s="4" t="s">
        <v>1364</v>
      </c>
      <c r="B296" s="4" t="s">
        <v>1314</v>
      </c>
      <c r="C296" s="7" t="s">
        <v>1796</v>
      </c>
      <c r="D296" s="4" t="s">
        <v>1365</v>
      </c>
      <c r="E296" s="4" t="s">
        <v>1366</v>
      </c>
      <c r="F296" s="4" t="s">
        <v>1367</v>
      </c>
      <c r="G296" s="7" t="str">
        <f>VLOOKUP(A296,[1]done!$A:$I,9,0)</f>
        <v>Rodent</v>
      </c>
      <c r="H296" s="7" t="str" cm="1">
        <f t="array" ref="H296">_xlfn.IFS(
OR(ISNUMBER(SEARCH("mouse",E296)),ISNUMBER(SEARCH("rat",E296)),ISNUMBER(SEARCH("mice",E296)),ISNUMBER(SEARCH("rodent",E296))),"Rodent Control",
OR(ISNUMBER(SEARCH("fly",E296)),ISNUMBER(SEARCH("gnat",E296)),ISNUMBER(SEARCH("insect",E296)),ISNUMBER(SEARCH("mosquito",E296))),"Flying Insect Control",
OR(ISNUMBER(SEARCH("roach",E296)),ISNUMBER(SEARCH("ant",E296)),ISNUMBER(SEARCH("spider",E296)),ISNUMBER(SEARCH("cricket",E296)),ISNUMBER(SEARCH("scorpion",E296)),ISNUMBER(SEARCH("centipede",E296)),ISNUMBER(SEARCH("beetle",E296))),"Crawling Insect Control",
OR(ISNUMBER(SEARCH("tree",E296)),ISNUMBER(SEARCH("lantern",E296)),ISNUMBER(SEARCH("garden",E296)),ISNUMBER(SEARCH("plant",E296))),"Garden Pest Control",
OR(ISNUMBER(SEARCH("grass seed",E296)),ISNUMBER(SEARCH("seed mix",E296))),"Grass Seed",
OR(ISNUMBER(SEARCH("lawn food",E296)),ISNUMBER(SEARCH("fertilizer",E296))),"Lawn Fertilizer",
OR(ISNUMBER(SEARCH("patch",E296)),ISNUMBER(SEARCH("repair",E296)),ISNUMBER(SEARCH("thick'r",E296)),ISNUMBER(SEARCH("thick'r lawn",E296)),ISNUMBER(SEARCH("rapid grass",E296))),"Lawn Repair",
OR(ISNUMBER(SEARCH("weed",E296)),ISNUMBER(SEARCH("crabgrass",E296))),"Weed Control",
OR(ISNUMBER(SEARCH("fungicide",E296)),ISNUMBER(SEARCH("moss",E296))),"Disease &amp; Moss Control",
OR(ISNUMBER(SEARCH("plant food",E296)),ISNUMBER(SEARCH("miracid",E296))),"Plant Nutrition",
OR(ISNUMBER(SEARCH("perlite",E296))),"Soil Amendment",
OR(ISNUMBER(SEARCH("spreader",E296)),ISNUMBER(SEARCH("sprayer",E296)),ISNUMBER(SEARCH("mower",E296)),ISNUMBER(SEARCH("sweeper",E296)),ISNUMBER(SEARCH("pruner",E296)),ISNUMBER(SEARCH("trimmer",E296)),ISNUMBER(SEARCH("pole saw",E296))),"Garden Equipment",
TRUE,"Other"
)</f>
        <v>Rodent Control</v>
      </c>
      <c r="I296" s="7" t="str" cm="1">
        <f t="array" ref="I296">_xlfn.IFS(
OR(ISNUMBER(SEARCH("glue trap",E296)),ISNUMBER(SEARCH("glue board",E296))),"Glue Traps",
OR(ISNUMBER(SEARCH("snap trap",E296)),ISNUMBER(SEARCH("power-kill",E296)),ISNUMBER(SEARCH("wide pedal",E296)),ISNUMBER(SEARCH("metal pedal",E296))),"Snap Traps",
OR(ISNUMBER(SEARCH("electronic",E296)),ISNUMBER(SEARCH("zapper",E296))),"Electronic Traps",
OR(ISNUMBER(SEARCH("live catch",E296)),ISNUMBER(SEARCH("multi-catch",E296)),ISNUMBER(SEARCH("catch &amp; hold",E296)),ISNUMBER(SEARCH("tin cat",E296))),"Live Catch Traps",
OR(ISNUMBER(SEARCH("bait",E296)),ISNUMBER(SEARCH("poison",E296))),"Bait &amp; Poison",
ISNUMBER(SEARCH("repellent",E296)),"Repellents",
OR(ISNUMBER(SEARCH("fly trap",E296)),ISNUMBER(SEARCH("fly ribbon",E296)),ISNUMBER(SEARCH("fly stick",E296)),ISNUMBER(SEARCH("window fly",E296)),ISNUMBER(SEARCH("fly magnet",E296))),"Fly Traps",
OR(ISNUMBER(SEARCH("uv",E296)),ISNUMBER(SEARCH("fly light",E296)),ISNUMBER(SEARCH("plug-in",E296))),"UV Fly Traps",
ISNUMBER(SEARCH("roach",E296)),"Roach Traps",
ISNUMBER(SEARCH("ant",E296)),"Ant Traps",
ISNUMBER(SEARCH("spider",E296)),"Spider Traps",
ISNUMBER(SEARCH("mosquito",E296)),"Mosquito Traps",
ISNUMBER(SEARCH("beetle",E296)),"Beetle Traps",
ISNUMBER(SEARCH("lantern",E296)),"Lanternfly Control",
OR(ISNUMBER(SEARCH("tree shield",E296)),ISNUMBER(SEARCH("tree banding",E296)),ISNUMBER(SEARCH("insect barrier",E296))),"Tree Barriers",
OR(ISNUMBER(SEARCH("sun &amp; shade",E296)),ISNUMBER(SEARCH("sun and shade",E296))),"Sun &amp; Shade Mix",
ISNUMBER(SEARCH("tall fescue",E296)),"Tall Fescue",
ISNUMBER(SEARCH("bermudagrass",E296)),"Bermudagrass",
ISNUMBER(SEARCH("kentucky",E296)),"Kentucky Bluegrass",
ISNUMBER(SEARCH("zoysia",E296)),"Zoysia",
ISNUMBER(SEARCH("ryegrass",E296)),"Perennial Ryegrass",
ISNUMBER(SEARCH("centipede",E296)),"Centipede Grass",
ISNUMBER(SEARCH("dense shade",E296)),"Dense Shade Mix",
ISNUMBER(SEARCH("southern gold",E296)),"Southern Gold Mix",
ISNUMBER(SEARCH("heat-tolerant blue",E296)),"Heat-Tolerant Blue Mix",
ISNUMBER(SEARCH("high traffic",E296)),"High Traffic Mix",
ISNUMBER(SEARCH("quick fix",E296)),"Quick Fix Mix",
ISNUMBER(SEARCH("starter",E296)),"Starter Fertilizer",
ISNUMBER(SEARCH("weed &amp; feed",E296)),"Weed &amp; Feed",
ISNUMBER(SEARCH("lawn food",E296)),"Lawn Food",
ISNUMBER(SEARCH("triple action",E296)),"Triple Action Fertilizer",
ISNUMBER(SEARCH("green max",E296)),"Green Max Lawn Food",
ISNUMBER(SEARCH("patchmaster",E296)),"PatchMaster Repair",
ISNUMBER(SEARCH("ez seed",E296)),"EZ Seed Repair",
ISNUMBER(SEARCH("rapid grass",E296)),"Rapid Grass",
ISNUMBER(SEARCH("thick'r lawn",E296)),"Thick'R Lawn",
ISNUMBER(SEARCH("fungicide",E296)),"Fungicide",
ISNUMBER(SEARCH("moss",E296)),"Moss Control",
ISNUMBER(SEARCH("perlite",E296)),"Perlite",
ISNUMBER(SEARCH("plant food",E296)),"Plant Food",
ISNUMBER(SEARCH("spreader",E296)),"Spreader",
ISNUMBER(SEARCH("sprayer",E296)),"Sprayer",
ISNUMBER(SEARCH("mower",E296)),"Lawn Mower",
ISNUMBER(SEARCH("sweeper",E296)),"Lawn Sweeper",
OR(ISNUMBER(SEARCH("pruner",E296)),ISNUMBER(SEARCH("trimmer",E296)),ISNUMBER(SEARCH("pole saw",E296))),"Pruning Tools",
TRUE,"Other"
)</f>
        <v>Other</v>
      </c>
      <c r="J296" s="7" t="str">
        <f t="shared" si="70"/>
        <v>Rodent Control - Other</v>
      </c>
      <c r="K296" s="4">
        <v>3000</v>
      </c>
      <c r="L296" s="4">
        <v>4.0999999999999996</v>
      </c>
      <c r="M296" s="4">
        <v>2719</v>
      </c>
      <c r="N296" s="4" t="s">
        <v>1338</v>
      </c>
      <c r="O296" s="4">
        <f>VLOOKUP(A296,[4]Sheet1!$A:$B,2,0)</f>
        <v>3000</v>
      </c>
      <c r="P296" s="4">
        <f>VLOOKUP(A296,[4]Sheet1!$A:$C,3,0)</f>
        <v>3000</v>
      </c>
      <c r="Q296" s="4">
        <f>VLOOKUP(A296,[4]Sheet1!$A:$D,4,0)</f>
        <v>2000</v>
      </c>
      <c r="R296" s="4">
        <f>VLOOKUP(A296,[4]Sheet1!$A:$E,5,0)</f>
        <v>2000</v>
      </c>
      <c r="S296" s="4">
        <f>VLOOKUP(A296,[4]Sheet1!$A:$F,6,0)</f>
        <v>2000</v>
      </c>
      <c r="T296" s="4">
        <f>VLOOKUP(A296,[4]Sheet1!$A:$G,7,0)</f>
        <v>2000</v>
      </c>
      <c r="U296" s="4">
        <f>VLOOKUP(A296,[4]Sheet1!$A:$H,8,0)</f>
        <v>2000</v>
      </c>
      <c r="V296" s="4">
        <f>VLOOKUP(A296,[4]Sheet1!$A:$I,9,0)</f>
        <v>2000</v>
      </c>
      <c r="W296" s="4">
        <f>VLOOKUP(A296,[4]Sheet1!$A:$J,10,0)</f>
        <v>2000</v>
      </c>
      <c r="X296" s="4">
        <f>VLOOKUP(A296,[4]Sheet1!$A:$K,11,0)</f>
        <v>3000</v>
      </c>
      <c r="Y296" s="4">
        <f>VLOOKUP(A296,[4]Sheet1!$A:$L,12,0)</f>
        <v>3000</v>
      </c>
      <c r="Z296" s="4">
        <f>VLOOKUP(A296,[4]Sheet1!$A:$M,13,0)</f>
        <v>3000</v>
      </c>
      <c r="AA296" s="4">
        <f t="shared" si="80"/>
        <v>29000</v>
      </c>
      <c r="AB296" s="7">
        <f t="shared" si="71"/>
        <v>2417</v>
      </c>
      <c r="AC296" s="15">
        <f t="shared" si="81"/>
        <v>2416.6666666666665</v>
      </c>
      <c r="AD296" s="16">
        <f t="shared" si="82"/>
        <v>383670</v>
      </c>
      <c r="AE296" s="16">
        <f t="shared" si="83"/>
        <v>31972.5</v>
      </c>
      <c r="AF296" s="16">
        <v>4.68</v>
      </c>
      <c r="AG296" s="16">
        <v>13.23</v>
      </c>
      <c r="AH296" s="15">
        <f t="shared" si="84"/>
        <v>-2.5866666666666691E-2</v>
      </c>
      <c r="AI296" s="15">
        <f t="shared" si="85"/>
        <v>-9.0533333333333396E-2</v>
      </c>
      <c r="AJ296" s="10">
        <v>0.5</v>
      </c>
      <c r="AK296" s="10">
        <v>0.5</v>
      </c>
      <c r="AL296" s="16">
        <v>4.68</v>
      </c>
      <c r="AM296" s="9">
        <f t="shared" si="72"/>
        <v>1.9844999999999999</v>
      </c>
      <c r="AN296" s="9">
        <f t="shared" si="73"/>
        <v>0.39689999999999998</v>
      </c>
      <c r="AO296" s="9">
        <f t="shared" si="74"/>
        <v>2.6460000000000004</v>
      </c>
      <c r="AP296" s="9">
        <f t="shared" si="75"/>
        <v>0.2646</v>
      </c>
      <c r="AQ296" s="9">
        <f t="shared" si="76"/>
        <v>2.6460000000000004</v>
      </c>
      <c r="AR296" s="9">
        <f t="shared" si="77"/>
        <v>3.3075000000000001</v>
      </c>
      <c r="AS296" s="11">
        <f t="shared" si="78"/>
        <v>-0.25866666666666688</v>
      </c>
      <c r="AT296" s="12">
        <f t="shared" si="79"/>
        <v>-0.69966666666666677</v>
      </c>
    </row>
    <row r="297" spans="1:46" ht="16.5" x14ac:dyDescent="0.4">
      <c r="A297" s="4" t="s">
        <v>1368</v>
      </c>
      <c r="B297" s="4" t="s">
        <v>1314</v>
      </c>
      <c r="C297" s="7" t="s">
        <v>1796</v>
      </c>
      <c r="D297" s="4" t="s">
        <v>1369</v>
      </c>
      <c r="E297" s="4" t="s">
        <v>1370</v>
      </c>
      <c r="F297" s="4" t="s">
        <v>1371</v>
      </c>
      <c r="G297" s="7" t="str">
        <f>VLOOKUP(A297,[1]done!$A:$I,9,0)</f>
        <v>Rodent</v>
      </c>
      <c r="H297" s="7" t="str" cm="1">
        <f t="array" ref="H297">_xlfn.IFS(
OR(ISNUMBER(SEARCH("mouse",E297)),ISNUMBER(SEARCH("rat",E297)),ISNUMBER(SEARCH("mice",E297)),ISNUMBER(SEARCH("rodent",E297))),"Rodent Control",
OR(ISNUMBER(SEARCH("fly",E297)),ISNUMBER(SEARCH("gnat",E297)),ISNUMBER(SEARCH("insect",E297)),ISNUMBER(SEARCH("mosquito",E297))),"Flying Insect Control",
OR(ISNUMBER(SEARCH("roach",E297)),ISNUMBER(SEARCH("ant",E297)),ISNUMBER(SEARCH("spider",E297)),ISNUMBER(SEARCH("cricket",E297)),ISNUMBER(SEARCH("scorpion",E297)),ISNUMBER(SEARCH("centipede",E297)),ISNUMBER(SEARCH("beetle",E297))),"Crawling Insect Control",
OR(ISNUMBER(SEARCH("tree",E297)),ISNUMBER(SEARCH("lantern",E297)),ISNUMBER(SEARCH("garden",E297)),ISNUMBER(SEARCH("plant",E297))),"Garden Pest Control",
OR(ISNUMBER(SEARCH("grass seed",E297)),ISNUMBER(SEARCH("seed mix",E297))),"Grass Seed",
OR(ISNUMBER(SEARCH("lawn food",E297)),ISNUMBER(SEARCH("fertilizer",E297))),"Lawn Fertilizer",
OR(ISNUMBER(SEARCH("patch",E297)),ISNUMBER(SEARCH("repair",E297)),ISNUMBER(SEARCH("thick'r",E297)),ISNUMBER(SEARCH("thick'r lawn",E297)),ISNUMBER(SEARCH("rapid grass",E297))),"Lawn Repair",
OR(ISNUMBER(SEARCH("weed",E297)),ISNUMBER(SEARCH("crabgrass",E297))),"Weed Control",
OR(ISNUMBER(SEARCH("fungicide",E297)),ISNUMBER(SEARCH("moss",E297))),"Disease &amp; Moss Control",
OR(ISNUMBER(SEARCH("plant food",E297)),ISNUMBER(SEARCH("miracid",E297))),"Plant Nutrition",
OR(ISNUMBER(SEARCH("perlite",E297))),"Soil Amendment",
OR(ISNUMBER(SEARCH("spreader",E297)),ISNUMBER(SEARCH("sprayer",E297)),ISNUMBER(SEARCH("mower",E297)),ISNUMBER(SEARCH("sweeper",E297)),ISNUMBER(SEARCH("pruner",E297)),ISNUMBER(SEARCH("trimmer",E297)),ISNUMBER(SEARCH("pole saw",E297))),"Garden Equipment",
TRUE,"Other"
)</f>
        <v>Rodent Control</v>
      </c>
      <c r="I297" s="7" t="str" cm="1">
        <f t="array" ref="I297">_xlfn.IFS(
OR(ISNUMBER(SEARCH("glue trap",E297)),ISNUMBER(SEARCH("glue board",E297))),"Glue Traps",
OR(ISNUMBER(SEARCH("snap trap",E297)),ISNUMBER(SEARCH("power-kill",E297)),ISNUMBER(SEARCH("wide pedal",E297)),ISNUMBER(SEARCH("metal pedal",E297))),"Snap Traps",
OR(ISNUMBER(SEARCH("electronic",E297)),ISNUMBER(SEARCH("zapper",E297))),"Electronic Traps",
OR(ISNUMBER(SEARCH("live catch",E297)),ISNUMBER(SEARCH("multi-catch",E297)),ISNUMBER(SEARCH("catch &amp; hold",E297)),ISNUMBER(SEARCH("tin cat",E297))),"Live Catch Traps",
OR(ISNUMBER(SEARCH("bait",E297)),ISNUMBER(SEARCH("poison",E297))),"Bait &amp; Poison",
ISNUMBER(SEARCH("repellent",E297)),"Repellents",
OR(ISNUMBER(SEARCH("fly trap",E297)),ISNUMBER(SEARCH("fly ribbon",E297)),ISNUMBER(SEARCH("fly stick",E297)),ISNUMBER(SEARCH("window fly",E297)),ISNUMBER(SEARCH("fly magnet",E297))),"Fly Traps",
OR(ISNUMBER(SEARCH("uv",E297)),ISNUMBER(SEARCH("fly light",E297)),ISNUMBER(SEARCH("plug-in",E297))),"UV Fly Traps",
ISNUMBER(SEARCH("roach",E297)),"Roach Traps",
ISNUMBER(SEARCH("ant",E297)),"Ant Traps",
ISNUMBER(SEARCH("spider",E297)),"Spider Traps",
ISNUMBER(SEARCH("mosquito",E297)),"Mosquito Traps",
ISNUMBER(SEARCH("beetle",E297)),"Beetle Traps",
ISNUMBER(SEARCH("lantern",E297)),"Lanternfly Control",
OR(ISNUMBER(SEARCH("tree shield",E297)),ISNUMBER(SEARCH("tree banding",E297)),ISNUMBER(SEARCH("insect barrier",E297))),"Tree Barriers",
OR(ISNUMBER(SEARCH("sun &amp; shade",E297)),ISNUMBER(SEARCH("sun and shade",E297))),"Sun &amp; Shade Mix",
ISNUMBER(SEARCH("tall fescue",E297)),"Tall Fescue",
ISNUMBER(SEARCH("bermudagrass",E297)),"Bermudagrass",
ISNUMBER(SEARCH("kentucky",E297)),"Kentucky Bluegrass",
ISNUMBER(SEARCH("zoysia",E297)),"Zoysia",
ISNUMBER(SEARCH("ryegrass",E297)),"Perennial Ryegrass",
ISNUMBER(SEARCH("centipede",E297)),"Centipede Grass",
ISNUMBER(SEARCH("dense shade",E297)),"Dense Shade Mix",
ISNUMBER(SEARCH("southern gold",E297)),"Southern Gold Mix",
ISNUMBER(SEARCH("heat-tolerant blue",E297)),"Heat-Tolerant Blue Mix",
ISNUMBER(SEARCH("high traffic",E297)),"High Traffic Mix",
ISNUMBER(SEARCH("quick fix",E297)),"Quick Fix Mix",
ISNUMBER(SEARCH("starter",E297)),"Starter Fertilizer",
ISNUMBER(SEARCH("weed &amp; feed",E297)),"Weed &amp; Feed",
ISNUMBER(SEARCH("lawn food",E297)),"Lawn Food",
ISNUMBER(SEARCH("triple action",E297)),"Triple Action Fertilizer",
ISNUMBER(SEARCH("green max",E297)),"Green Max Lawn Food",
ISNUMBER(SEARCH("patchmaster",E297)),"PatchMaster Repair",
ISNUMBER(SEARCH("ez seed",E297)),"EZ Seed Repair",
ISNUMBER(SEARCH("rapid grass",E297)),"Rapid Grass",
ISNUMBER(SEARCH("thick'r lawn",E297)),"Thick'R Lawn",
ISNUMBER(SEARCH("fungicide",E297)),"Fungicide",
ISNUMBER(SEARCH("moss",E297)),"Moss Control",
ISNUMBER(SEARCH("perlite",E297)),"Perlite",
ISNUMBER(SEARCH("plant food",E297)),"Plant Food",
ISNUMBER(SEARCH("spreader",E297)),"Spreader",
ISNUMBER(SEARCH("sprayer",E297)),"Sprayer",
ISNUMBER(SEARCH("mower",E297)),"Lawn Mower",
ISNUMBER(SEARCH("sweeper",E297)),"Lawn Sweeper",
OR(ISNUMBER(SEARCH("pruner",E297)),ISNUMBER(SEARCH("trimmer",E297)),ISNUMBER(SEARCH("pole saw",E297))),"Pruning Tools",
TRUE,"Other"
)</f>
        <v>Bait &amp; Poison</v>
      </c>
      <c r="J297" s="7" t="str">
        <f t="shared" si="70"/>
        <v>Rodent Control - Bait &amp; Poison</v>
      </c>
      <c r="K297" s="4">
        <v>3000</v>
      </c>
      <c r="L297" s="4">
        <v>4.2</v>
      </c>
      <c r="M297" s="4">
        <v>179</v>
      </c>
      <c r="O297" s="4">
        <f>VLOOKUP(A297,[4]Sheet1!$A:$B,2,0)</f>
        <v>0</v>
      </c>
      <c r="P297" s="4">
        <f>VLOOKUP(A297,[4]Sheet1!$A:$C,3,0)</f>
        <v>0</v>
      </c>
      <c r="Q297" s="4">
        <f>VLOOKUP(A297,[4]Sheet1!$A:$D,4,0)</f>
        <v>0</v>
      </c>
      <c r="R297" s="4">
        <f>VLOOKUP(A297,[4]Sheet1!$A:$E,5,0)</f>
        <v>0</v>
      </c>
      <c r="S297" s="4">
        <f>VLOOKUP(A297,[4]Sheet1!$A:$F,6,0)</f>
        <v>600</v>
      </c>
      <c r="T297" s="4">
        <f>VLOOKUP(A297,[4]Sheet1!$A:$G,7,0)</f>
        <v>2000</v>
      </c>
      <c r="U297" s="4">
        <f>VLOOKUP(A297,[4]Sheet1!$A:$H,8,0)</f>
        <v>2000</v>
      </c>
      <c r="V297" s="4">
        <f>VLOOKUP(A297,[4]Sheet1!$A:$I,9,0)</f>
        <v>2000</v>
      </c>
      <c r="W297" s="4">
        <f>VLOOKUP(A297,[4]Sheet1!$A:$J,10,0)</f>
        <v>3000</v>
      </c>
      <c r="X297" s="4">
        <f>VLOOKUP(A297,[4]Sheet1!$A:$K,11,0)</f>
        <v>0</v>
      </c>
      <c r="Y297" s="4">
        <f>VLOOKUP(A297,[4]Sheet1!$A:$L,12,0)</f>
        <v>0</v>
      </c>
      <c r="Z297" s="4">
        <f>VLOOKUP(A297,[4]Sheet1!$A:$M,13,0)</f>
        <v>0</v>
      </c>
      <c r="AA297" s="4">
        <f t="shared" si="80"/>
        <v>9600</v>
      </c>
      <c r="AB297" s="7">
        <f t="shared" si="71"/>
        <v>800</v>
      </c>
      <c r="AC297" s="15">
        <f t="shared" si="81"/>
        <v>800</v>
      </c>
      <c r="AD297" s="16">
        <f t="shared" si="82"/>
        <v>287712</v>
      </c>
      <c r="AE297" s="16">
        <f t="shared" si="83"/>
        <v>23976</v>
      </c>
      <c r="AF297" s="16">
        <v>7.79</v>
      </c>
      <c r="AG297" s="16">
        <v>29.97</v>
      </c>
      <c r="AH297" s="15">
        <f t="shared" si="84"/>
        <v>0.21320000000000003</v>
      </c>
      <c r="AI297" s="15">
        <f t="shared" si="85"/>
        <v>0.74619999999999997</v>
      </c>
      <c r="AJ297" s="10">
        <v>0.5</v>
      </c>
      <c r="AK297" s="10">
        <v>0.5</v>
      </c>
      <c r="AL297" s="16">
        <v>7.79</v>
      </c>
      <c r="AM297" s="9">
        <f t="shared" si="72"/>
        <v>4.4954999999999998</v>
      </c>
      <c r="AN297" s="9">
        <f t="shared" si="73"/>
        <v>0.8990999999999999</v>
      </c>
      <c r="AO297" s="9">
        <f t="shared" si="74"/>
        <v>5.9939999999999998</v>
      </c>
      <c r="AP297" s="9">
        <f t="shared" si="75"/>
        <v>0.59940000000000004</v>
      </c>
      <c r="AQ297" s="9">
        <f t="shared" si="76"/>
        <v>5.9939999999999998</v>
      </c>
      <c r="AR297" s="9">
        <f t="shared" si="77"/>
        <v>7.4924999999999997</v>
      </c>
      <c r="AS297" s="11">
        <f t="shared" si="78"/>
        <v>2.1320000000000001</v>
      </c>
      <c r="AT297" s="12">
        <f t="shared" si="79"/>
        <v>1.1330000000000002</v>
      </c>
    </row>
    <row r="298" spans="1:46" ht="16.5" x14ac:dyDescent="0.4">
      <c r="A298" s="4" t="s">
        <v>1372</v>
      </c>
      <c r="B298" s="4" t="s">
        <v>1314</v>
      </c>
      <c r="C298" s="7" t="s">
        <v>1796</v>
      </c>
      <c r="D298" s="4" t="s">
        <v>1373</v>
      </c>
      <c r="E298" s="4" t="s">
        <v>1374</v>
      </c>
      <c r="F298" s="4" t="s">
        <v>1375</v>
      </c>
      <c r="G298" s="7" t="str">
        <f>VLOOKUP(A298,[1]done!$A:$I,9,0)</f>
        <v>Snake control</v>
      </c>
      <c r="H298" s="7" t="str" cm="1">
        <f t="array" ref="H298">_xlfn.IFS(
OR(ISNUMBER(SEARCH("mouse",E298)),ISNUMBER(SEARCH("rat",E298)),ISNUMBER(SEARCH("mice",E298)),ISNUMBER(SEARCH("rodent",E298))),"Rodent Control",
OR(ISNUMBER(SEARCH("fly",E298)),ISNUMBER(SEARCH("gnat",E298)),ISNUMBER(SEARCH("insect",E298)),ISNUMBER(SEARCH("mosquito",E298))),"Flying Insect Control",
OR(ISNUMBER(SEARCH("roach",E298)),ISNUMBER(SEARCH("ant",E298)),ISNUMBER(SEARCH("spider",E298)),ISNUMBER(SEARCH("cricket",E298)),ISNUMBER(SEARCH("scorpion",E298)),ISNUMBER(SEARCH("centipede",E298)),ISNUMBER(SEARCH("beetle",E298))),"Crawling Insect Control",
OR(ISNUMBER(SEARCH("tree",E298)),ISNUMBER(SEARCH("lantern",E298)),ISNUMBER(SEARCH("garden",E298)),ISNUMBER(SEARCH("plant",E298))),"Garden Pest Control",
OR(ISNUMBER(SEARCH("grass seed",E298)),ISNUMBER(SEARCH("seed mix",E298))),"Grass Seed",
OR(ISNUMBER(SEARCH("lawn food",E298)),ISNUMBER(SEARCH("fertilizer",E298))),"Lawn Fertilizer",
OR(ISNUMBER(SEARCH("patch",E298)),ISNUMBER(SEARCH("repair",E298)),ISNUMBER(SEARCH("thick'r",E298)),ISNUMBER(SEARCH("thick'r lawn",E298)),ISNUMBER(SEARCH("rapid grass",E298))),"Lawn Repair",
OR(ISNUMBER(SEARCH("weed",E298)),ISNUMBER(SEARCH("crabgrass",E298))),"Weed Control",
OR(ISNUMBER(SEARCH("fungicide",E298)),ISNUMBER(SEARCH("moss",E298))),"Disease &amp; Moss Control",
OR(ISNUMBER(SEARCH("plant food",E298)),ISNUMBER(SEARCH("miracid",E298))),"Plant Nutrition",
OR(ISNUMBER(SEARCH("perlite",E298))),"Soil Amendment",
OR(ISNUMBER(SEARCH("spreader",E298)),ISNUMBER(SEARCH("sprayer",E298)),ISNUMBER(SEARCH("mower",E298)),ISNUMBER(SEARCH("sweeper",E298)),ISNUMBER(SEARCH("pruner",E298)),ISNUMBER(SEARCH("trimmer",E298)),ISNUMBER(SEARCH("pole saw",E298))),"Garden Equipment",
TRUE,"Other"
)</f>
        <v>Other</v>
      </c>
      <c r="I298" s="7" t="str" cm="1">
        <f t="array" ref="I298">_xlfn.IFS(
OR(ISNUMBER(SEARCH("glue trap",E298)),ISNUMBER(SEARCH("glue board",E298))),"Glue Traps",
OR(ISNUMBER(SEARCH("snap trap",E298)),ISNUMBER(SEARCH("power-kill",E298)),ISNUMBER(SEARCH("wide pedal",E298)),ISNUMBER(SEARCH("metal pedal",E298))),"Snap Traps",
OR(ISNUMBER(SEARCH("electronic",E298)),ISNUMBER(SEARCH("zapper",E298))),"Electronic Traps",
OR(ISNUMBER(SEARCH("live catch",E298)),ISNUMBER(SEARCH("multi-catch",E298)),ISNUMBER(SEARCH("catch &amp; hold",E298)),ISNUMBER(SEARCH("tin cat",E298))),"Live Catch Traps",
OR(ISNUMBER(SEARCH("bait",E298)),ISNUMBER(SEARCH("poison",E298))),"Bait &amp; Poison",
ISNUMBER(SEARCH("repellent",E298)),"Repellents",
OR(ISNUMBER(SEARCH("fly trap",E298)),ISNUMBER(SEARCH("fly ribbon",E298)),ISNUMBER(SEARCH("fly stick",E298)),ISNUMBER(SEARCH("window fly",E298)),ISNUMBER(SEARCH("fly magnet",E298))),"Fly Traps",
OR(ISNUMBER(SEARCH("uv",E298)),ISNUMBER(SEARCH("fly light",E298)),ISNUMBER(SEARCH("plug-in",E298))),"UV Fly Traps",
ISNUMBER(SEARCH("roach",E298)),"Roach Traps",
ISNUMBER(SEARCH("ant",E298)),"Ant Traps",
ISNUMBER(SEARCH("spider",E298)),"Spider Traps",
ISNUMBER(SEARCH("mosquito",E298)),"Mosquito Traps",
ISNUMBER(SEARCH("beetle",E298)),"Beetle Traps",
ISNUMBER(SEARCH("lantern",E298)),"Lanternfly Control",
OR(ISNUMBER(SEARCH("tree shield",E298)),ISNUMBER(SEARCH("tree banding",E298)),ISNUMBER(SEARCH("insect barrier",E298))),"Tree Barriers",
OR(ISNUMBER(SEARCH("sun &amp; shade",E298)),ISNUMBER(SEARCH("sun and shade",E298))),"Sun &amp; Shade Mix",
ISNUMBER(SEARCH("tall fescue",E298)),"Tall Fescue",
ISNUMBER(SEARCH("bermudagrass",E298)),"Bermudagrass",
ISNUMBER(SEARCH("kentucky",E298)),"Kentucky Bluegrass",
ISNUMBER(SEARCH("zoysia",E298)),"Zoysia",
ISNUMBER(SEARCH("ryegrass",E298)),"Perennial Ryegrass",
ISNUMBER(SEARCH("centipede",E298)),"Centipede Grass",
ISNUMBER(SEARCH("dense shade",E298)),"Dense Shade Mix",
ISNUMBER(SEARCH("southern gold",E298)),"Southern Gold Mix",
ISNUMBER(SEARCH("heat-tolerant blue",E298)),"Heat-Tolerant Blue Mix",
ISNUMBER(SEARCH("high traffic",E298)),"High Traffic Mix",
ISNUMBER(SEARCH("quick fix",E298)),"Quick Fix Mix",
ISNUMBER(SEARCH("starter",E298)),"Starter Fertilizer",
ISNUMBER(SEARCH("weed &amp; feed",E298)),"Weed &amp; Feed",
ISNUMBER(SEARCH("lawn food",E298)),"Lawn Food",
ISNUMBER(SEARCH("triple action",E298)),"Triple Action Fertilizer",
ISNUMBER(SEARCH("green max",E298)),"Green Max Lawn Food",
ISNUMBER(SEARCH("patchmaster",E298)),"PatchMaster Repair",
ISNUMBER(SEARCH("ez seed",E298)),"EZ Seed Repair",
ISNUMBER(SEARCH("rapid grass",E298)),"Rapid Grass",
ISNUMBER(SEARCH("thick'r lawn",E298)),"Thick'R Lawn",
ISNUMBER(SEARCH("fungicide",E298)),"Fungicide",
ISNUMBER(SEARCH("moss",E298)),"Moss Control",
ISNUMBER(SEARCH("perlite",E298)),"Perlite",
ISNUMBER(SEARCH("plant food",E298)),"Plant Food",
ISNUMBER(SEARCH("spreader",E298)),"Spreader",
ISNUMBER(SEARCH("sprayer",E298)),"Sprayer",
ISNUMBER(SEARCH("mower",E298)),"Lawn Mower",
ISNUMBER(SEARCH("sweeper",E298)),"Lawn Sweeper",
OR(ISNUMBER(SEARCH("pruner",E298)),ISNUMBER(SEARCH("trimmer",E298)),ISNUMBER(SEARCH("pole saw",E298))),"Pruning Tools",
TRUE,"Other"
)</f>
        <v>Repellents</v>
      </c>
      <c r="J298" s="7" t="str">
        <f t="shared" si="70"/>
        <v>Other - Repellents</v>
      </c>
      <c r="K298" s="4">
        <v>2000</v>
      </c>
      <c r="L298" s="4">
        <v>4.4000000000000004</v>
      </c>
      <c r="M298" s="4">
        <v>13590</v>
      </c>
      <c r="N298" s="4" t="s">
        <v>1376</v>
      </c>
      <c r="O298" s="4">
        <f>VLOOKUP(A298,[4]Sheet1!$A:$B,2,0)</f>
        <v>200</v>
      </c>
      <c r="P298" s="4">
        <f>VLOOKUP(A298,[4]Sheet1!$A:$C,3,0)</f>
        <v>200</v>
      </c>
      <c r="Q298" s="4">
        <f>VLOOKUP(A298,[4]Sheet1!$A:$D,4,0)</f>
        <v>1000</v>
      </c>
      <c r="R298" s="4">
        <f>VLOOKUP(A298,[4]Sheet1!$A:$E,5,0)</f>
        <v>2000</v>
      </c>
      <c r="S298" s="4">
        <f>VLOOKUP(A298,[4]Sheet1!$A:$F,6,0)</f>
        <v>3000</v>
      </c>
      <c r="T298" s="4">
        <f>VLOOKUP(A298,[4]Sheet1!$A:$G,7,0)</f>
        <v>3000</v>
      </c>
      <c r="U298" s="4">
        <f>VLOOKUP(A298,[4]Sheet1!$A:$H,8,0)</f>
        <v>2000</v>
      </c>
      <c r="V298" s="4">
        <f>VLOOKUP(A298,[4]Sheet1!$A:$I,9,0)</f>
        <v>2000</v>
      </c>
      <c r="W298" s="4">
        <f>VLOOKUP(A298,[4]Sheet1!$A:$J,10,0)</f>
        <v>2000</v>
      </c>
      <c r="X298" s="4">
        <f>VLOOKUP(A298,[4]Sheet1!$A:$K,11,0)</f>
        <v>1000</v>
      </c>
      <c r="Y298" s="4">
        <f>VLOOKUP(A298,[4]Sheet1!$A:$L,12,0)</f>
        <v>1000</v>
      </c>
      <c r="Z298" s="4">
        <f>VLOOKUP(A298,[4]Sheet1!$A:$M,13,0)</f>
        <v>400</v>
      </c>
      <c r="AA298" s="4">
        <f t="shared" si="80"/>
        <v>17800</v>
      </c>
      <c r="AB298" s="7">
        <f t="shared" si="71"/>
        <v>1483</v>
      </c>
      <c r="AC298" s="15">
        <f t="shared" si="81"/>
        <v>1483.3333333333333</v>
      </c>
      <c r="AD298" s="16">
        <f t="shared" si="82"/>
        <v>157530</v>
      </c>
      <c r="AE298" s="16">
        <f t="shared" si="83"/>
        <v>13127.499999999998</v>
      </c>
      <c r="AF298" s="16">
        <v>6.86</v>
      </c>
      <c r="AG298" s="16">
        <v>8.85</v>
      </c>
      <c r="AH298" s="15">
        <f t="shared" si="84"/>
        <v>-0.28800000000000003</v>
      </c>
      <c r="AI298" s="15">
        <f t="shared" si="85"/>
        <v>-1.008</v>
      </c>
      <c r="AJ298" s="10">
        <v>0.5</v>
      </c>
      <c r="AK298" s="10">
        <v>0.5</v>
      </c>
      <c r="AL298" s="16">
        <v>6.86</v>
      </c>
      <c r="AM298" s="9">
        <f t="shared" si="72"/>
        <v>1.3274999999999999</v>
      </c>
      <c r="AN298" s="9">
        <f t="shared" si="73"/>
        <v>0.26549999999999996</v>
      </c>
      <c r="AO298" s="9">
        <f t="shared" si="74"/>
        <v>1.77</v>
      </c>
      <c r="AP298" s="9">
        <f t="shared" si="75"/>
        <v>0.17699999999999999</v>
      </c>
      <c r="AQ298" s="9">
        <f t="shared" si="76"/>
        <v>1.77</v>
      </c>
      <c r="AR298" s="9">
        <f t="shared" si="77"/>
        <v>2.2124999999999999</v>
      </c>
      <c r="AS298" s="11">
        <f t="shared" si="78"/>
        <v>-2.8800000000000003</v>
      </c>
      <c r="AT298" s="12">
        <f t="shared" si="79"/>
        <v>-3.1750000000000007</v>
      </c>
    </row>
    <row r="299" spans="1:46" ht="16.5" x14ac:dyDescent="0.4">
      <c r="A299" s="4" t="s">
        <v>1377</v>
      </c>
      <c r="B299" s="4" t="s">
        <v>1314</v>
      </c>
      <c r="C299" s="7" t="s">
        <v>1797</v>
      </c>
      <c r="D299" s="4" t="s">
        <v>1378</v>
      </c>
      <c r="E299" s="4" t="s">
        <v>1379</v>
      </c>
      <c r="F299" s="4" t="s">
        <v>1380</v>
      </c>
      <c r="G299" s="7" t="str">
        <f>VLOOKUP(A299,[1]done!$A:$I,9,0)</f>
        <v>Rodent</v>
      </c>
      <c r="H299" s="7" t="str" cm="1">
        <f t="array" ref="H299">_xlfn.IFS(
OR(ISNUMBER(SEARCH("mouse",E299)),ISNUMBER(SEARCH("rat",E299)),ISNUMBER(SEARCH("mice",E299)),ISNUMBER(SEARCH("rodent",E299))),"Rodent Control",
OR(ISNUMBER(SEARCH("fly",E299)),ISNUMBER(SEARCH("gnat",E299)),ISNUMBER(SEARCH("insect",E299)),ISNUMBER(SEARCH("mosquito",E299))),"Flying Insect Control",
OR(ISNUMBER(SEARCH("roach",E299)),ISNUMBER(SEARCH("ant",E299)),ISNUMBER(SEARCH("spider",E299)),ISNUMBER(SEARCH("cricket",E299)),ISNUMBER(SEARCH("scorpion",E299)),ISNUMBER(SEARCH("centipede",E299)),ISNUMBER(SEARCH("beetle",E299))),"Crawling Insect Control",
OR(ISNUMBER(SEARCH("tree",E299)),ISNUMBER(SEARCH("lantern",E299)),ISNUMBER(SEARCH("garden",E299)),ISNUMBER(SEARCH("plant",E299))),"Garden Pest Control",
OR(ISNUMBER(SEARCH("grass seed",E299)),ISNUMBER(SEARCH("seed mix",E299))),"Grass Seed",
OR(ISNUMBER(SEARCH("lawn food",E299)),ISNUMBER(SEARCH("fertilizer",E299))),"Lawn Fertilizer",
OR(ISNUMBER(SEARCH("patch",E299)),ISNUMBER(SEARCH("repair",E299)),ISNUMBER(SEARCH("thick'r",E299)),ISNUMBER(SEARCH("thick'r lawn",E299)),ISNUMBER(SEARCH("rapid grass",E299))),"Lawn Repair",
OR(ISNUMBER(SEARCH("weed",E299)),ISNUMBER(SEARCH("crabgrass",E299))),"Weed Control",
OR(ISNUMBER(SEARCH("fungicide",E299)),ISNUMBER(SEARCH("moss",E299))),"Disease &amp; Moss Control",
OR(ISNUMBER(SEARCH("plant food",E299)),ISNUMBER(SEARCH("miracid",E299))),"Plant Nutrition",
OR(ISNUMBER(SEARCH("perlite",E299))),"Soil Amendment",
OR(ISNUMBER(SEARCH("spreader",E299)),ISNUMBER(SEARCH("sprayer",E299)),ISNUMBER(SEARCH("mower",E299)),ISNUMBER(SEARCH("sweeper",E299)),ISNUMBER(SEARCH("pruner",E299)),ISNUMBER(SEARCH("trimmer",E299)),ISNUMBER(SEARCH("pole saw",E299))),"Garden Equipment",
TRUE,"Other"
)</f>
        <v>Rodent Control</v>
      </c>
      <c r="I299" s="7" t="str" cm="1">
        <f t="array" ref="I299">_xlfn.IFS(
OR(ISNUMBER(SEARCH("glue trap",E299)),ISNUMBER(SEARCH("glue board",E299))),"Glue Traps",
OR(ISNUMBER(SEARCH("snap trap",E299)),ISNUMBER(SEARCH("power-kill",E299)),ISNUMBER(SEARCH("wide pedal",E299)),ISNUMBER(SEARCH("metal pedal",E299))),"Snap Traps",
OR(ISNUMBER(SEARCH("electronic",E299)),ISNUMBER(SEARCH("zapper",E299))),"Electronic Traps",
OR(ISNUMBER(SEARCH("live catch",E299)),ISNUMBER(SEARCH("multi-catch",E299)),ISNUMBER(SEARCH("catch &amp; hold",E299)),ISNUMBER(SEARCH("tin cat",E299))),"Live Catch Traps",
OR(ISNUMBER(SEARCH("bait",E299)),ISNUMBER(SEARCH("poison",E299))),"Bait &amp; Poison",
ISNUMBER(SEARCH("repellent",E299)),"Repellents",
OR(ISNUMBER(SEARCH("fly trap",E299)),ISNUMBER(SEARCH("fly ribbon",E299)),ISNUMBER(SEARCH("fly stick",E299)),ISNUMBER(SEARCH("window fly",E299)),ISNUMBER(SEARCH("fly magnet",E299))),"Fly Traps",
OR(ISNUMBER(SEARCH("uv",E299)),ISNUMBER(SEARCH("fly light",E299)),ISNUMBER(SEARCH("plug-in",E299))),"UV Fly Traps",
ISNUMBER(SEARCH("roach",E299)),"Roach Traps",
ISNUMBER(SEARCH("ant",E299)),"Ant Traps",
ISNUMBER(SEARCH("spider",E299)),"Spider Traps",
ISNUMBER(SEARCH("mosquito",E299)),"Mosquito Traps",
ISNUMBER(SEARCH("beetle",E299)),"Beetle Traps",
ISNUMBER(SEARCH("lantern",E299)),"Lanternfly Control",
OR(ISNUMBER(SEARCH("tree shield",E299)),ISNUMBER(SEARCH("tree banding",E299)),ISNUMBER(SEARCH("insect barrier",E299))),"Tree Barriers",
OR(ISNUMBER(SEARCH("sun &amp; shade",E299)),ISNUMBER(SEARCH("sun and shade",E299))),"Sun &amp; Shade Mix",
ISNUMBER(SEARCH("tall fescue",E299)),"Tall Fescue",
ISNUMBER(SEARCH("bermudagrass",E299)),"Bermudagrass",
ISNUMBER(SEARCH("kentucky",E299)),"Kentucky Bluegrass",
ISNUMBER(SEARCH("zoysia",E299)),"Zoysia",
ISNUMBER(SEARCH("ryegrass",E299)),"Perennial Ryegrass",
ISNUMBER(SEARCH("centipede",E299)),"Centipede Grass",
ISNUMBER(SEARCH("dense shade",E299)),"Dense Shade Mix",
ISNUMBER(SEARCH("southern gold",E299)),"Southern Gold Mix",
ISNUMBER(SEARCH("heat-tolerant blue",E299)),"Heat-Tolerant Blue Mix",
ISNUMBER(SEARCH("high traffic",E299)),"High Traffic Mix",
ISNUMBER(SEARCH("quick fix",E299)),"Quick Fix Mix",
ISNUMBER(SEARCH("starter",E299)),"Starter Fertilizer",
ISNUMBER(SEARCH("weed &amp; feed",E299)),"Weed &amp; Feed",
ISNUMBER(SEARCH("lawn food",E299)),"Lawn Food",
ISNUMBER(SEARCH("triple action",E299)),"Triple Action Fertilizer",
ISNUMBER(SEARCH("green max",E299)),"Green Max Lawn Food",
ISNUMBER(SEARCH("patchmaster",E299)),"PatchMaster Repair",
ISNUMBER(SEARCH("ez seed",E299)),"EZ Seed Repair",
ISNUMBER(SEARCH("rapid grass",E299)),"Rapid Grass",
ISNUMBER(SEARCH("thick'r lawn",E299)),"Thick'R Lawn",
ISNUMBER(SEARCH("fungicide",E299)),"Fungicide",
ISNUMBER(SEARCH("moss",E299)),"Moss Control",
ISNUMBER(SEARCH("perlite",E299)),"Perlite",
ISNUMBER(SEARCH("plant food",E299)),"Plant Food",
ISNUMBER(SEARCH("spreader",E299)),"Spreader",
ISNUMBER(SEARCH("sprayer",E299)),"Sprayer",
ISNUMBER(SEARCH("mower",E299)),"Lawn Mower",
ISNUMBER(SEARCH("sweeper",E299)),"Lawn Sweeper",
OR(ISNUMBER(SEARCH("pruner",E299)),ISNUMBER(SEARCH("trimmer",E299)),ISNUMBER(SEARCH("pole saw",E299))),"Pruning Tools",
TRUE,"Other"
)</f>
        <v>Snap Traps</v>
      </c>
      <c r="J299" s="7" t="str">
        <f t="shared" si="70"/>
        <v>Rodent Control - Snap Traps</v>
      </c>
      <c r="K299" s="4">
        <v>1000</v>
      </c>
      <c r="L299" s="4">
        <v>3.7</v>
      </c>
      <c r="M299" s="4">
        <v>1559</v>
      </c>
      <c r="N299" s="4" t="s">
        <v>1381</v>
      </c>
      <c r="O299" s="4">
        <f>VLOOKUP(A299,[4]Sheet1!$A:$B,2,0)</f>
        <v>0</v>
      </c>
      <c r="P299" s="4">
        <f>VLOOKUP(A299,[4]Sheet1!$A:$C,3,0)</f>
        <v>0</v>
      </c>
      <c r="Q299" s="4">
        <f>VLOOKUP(A299,[4]Sheet1!$A:$D,4,0)</f>
        <v>700</v>
      </c>
      <c r="R299" s="4">
        <f>VLOOKUP(A299,[4]Sheet1!$A:$E,5,0)</f>
        <v>800</v>
      </c>
      <c r="S299" s="4">
        <f>VLOOKUP(A299,[4]Sheet1!$A:$F,6,0)</f>
        <v>1000</v>
      </c>
      <c r="T299" s="4">
        <f>VLOOKUP(A299,[4]Sheet1!$A:$G,7,0)</f>
        <v>1000</v>
      </c>
      <c r="U299" s="4">
        <f>VLOOKUP(A299,[4]Sheet1!$A:$H,8,0)</f>
        <v>1000</v>
      </c>
      <c r="V299" s="4">
        <f>VLOOKUP(A299,[4]Sheet1!$A:$I,9,0)</f>
        <v>1000</v>
      </c>
      <c r="W299" s="4">
        <f>VLOOKUP(A299,[4]Sheet1!$A:$J,10,0)</f>
        <v>1000</v>
      </c>
      <c r="X299" s="4">
        <f>VLOOKUP(A299,[4]Sheet1!$A:$K,11,0)</f>
        <v>0</v>
      </c>
      <c r="Y299" s="4">
        <f>VLOOKUP(A299,[4]Sheet1!$A:$L,12,0)</f>
        <v>0</v>
      </c>
      <c r="Z299" s="4">
        <f>VLOOKUP(A299,[4]Sheet1!$A:$M,13,0)</f>
        <v>0</v>
      </c>
      <c r="AA299" s="4">
        <f t="shared" si="80"/>
        <v>6500</v>
      </c>
      <c r="AB299" s="7">
        <f t="shared" si="71"/>
        <v>542</v>
      </c>
      <c r="AC299" s="15">
        <f t="shared" si="81"/>
        <v>541.66666666666663</v>
      </c>
      <c r="AD299" s="16">
        <f t="shared" si="82"/>
        <v>177840</v>
      </c>
      <c r="AE299" s="16">
        <f t="shared" si="83"/>
        <v>14819.999999999998</v>
      </c>
      <c r="AF299" s="16">
        <v>7.56</v>
      </c>
      <c r="AG299" s="16">
        <v>27.36</v>
      </c>
      <c r="AH299" s="15">
        <f t="shared" si="84"/>
        <v>0.15893333333333337</v>
      </c>
      <c r="AI299" s="15">
        <f t="shared" si="85"/>
        <v>0.55626666666666669</v>
      </c>
      <c r="AJ299" s="10">
        <v>0.5</v>
      </c>
      <c r="AK299" s="10">
        <v>0.5</v>
      </c>
      <c r="AL299" s="16">
        <v>7.56</v>
      </c>
      <c r="AM299" s="9">
        <f t="shared" si="72"/>
        <v>4.1040000000000001</v>
      </c>
      <c r="AN299" s="9">
        <f t="shared" si="73"/>
        <v>0.82079999999999997</v>
      </c>
      <c r="AO299" s="9">
        <f t="shared" si="74"/>
        <v>5.4720000000000004</v>
      </c>
      <c r="AP299" s="9">
        <f t="shared" si="75"/>
        <v>0.54720000000000002</v>
      </c>
      <c r="AQ299" s="9">
        <f t="shared" si="76"/>
        <v>5.4720000000000004</v>
      </c>
      <c r="AR299" s="9">
        <f t="shared" si="77"/>
        <v>6.84</v>
      </c>
      <c r="AS299" s="11">
        <f t="shared" si="78"/>
        <v>1.5893333333333335</v>
      </c>
      <c r="AT299" s="12">
        <f t="shared" si="79"/>
        <v>0.6773333333333339</v>
      </c>
    </row>
    <row r="300" spans="1:46" ht="16.5" x14ac:dyDescent="0.4">
      <c r="A300" s="4" t="s">
        <v>1382</v>
      </c>
      <c r="B300" s="4" t="s">
        <v>1314</v>
      </c>
      <c r="C300" s="7" t="s">
        <v>1796</v>
      </c>
      <c r="D300" s="4" t="s">
        <v>1383</v>
      </c>
      <c r="E300" s="4" t="s">
        <v>1384</v>
      </c>
      <c r="F300" s="4" t="s">
        <v>1385</v>
      </c>
      <c r="G300" s="7" t="str">
        <f>VLOOKUP(A300,[1]done!$A:$I,9,0)</f>
        <v>Rodent</v>
      </c>
      <c r="H300" s="7" t="str" cm="1">
        <f t="array" ref="H300">_xlfn.IFS(
OR(ISNUMBER(SEARCH("mouse",E300)),ISNUMBER(SEARCH("rat",E300)),ISNUMBER(SEARCH("mice",E300)),ISNUMBER(SEARCH("rodent",E300))),"Rodent Control",
OR(ISNUMBER(SEARCH("fly",E300)),ISNUMBER(SEARCH("gnat",E300)),ISNUMBER(SEARCH("insect",E300)),ISNUMBER(SEARCH("mosquito",E300))),"Flying Insect Control",
OR(ISNUMBER(SEARCH("roach",E300)),ISNUMBER(SEARCH("ant",E300)),ISNUMBER(SEARCH("spider",E300)),ISNUMBER(SEARCH("cricket",E300)),ISNUMBER(SEARCH("scorpion",E300)),ISNUMBER(SEARCH("centipede",E300)),ISNUMBER(SEARCH("beetle",E300))),"Crawling Insect Control",
OR(ISNUMBER(SEARCH("tree",E300)),ISNUMBER(SEARCH("lantern",E300)),ISNUMBER(SEARCH("garden",E300)),ISNUMBER(SEARCH("plant",E300))),"Garden Pest Control",
OR(ISNUMBER(SEARCH("grass seed",E300)),ISNUMBER(SEARCH("seed mix",E300))),"Grass Seed",
OR(ISNUMBER(SEARCH("lawn food",E300)),ISNUMBER(SEARCH("fertilizer",E300))),"Lawn Fertilizer",
OR(ISNUMBER(SEARCH("patch",E300)),ISNUMBER(SEARCH("repair",E300)),ISNUMBER(SEARCH("thick'r",E300)),ISNUMBER(SEARCH("thick'r lawn",E300)),ISNUMBER(SEARCH("rapid grass",E300))),"Lawn Repair",
OR(ISNUMBER(SEARCH("weed",E300)),ISNUMBER(SEARCH("crabgrass",E300))),"Weed Control",
OR(ISNUMBER(SEARCH("fungicide",E300)),ISNUMBER(SEARCH("moss",E300))),"Disease &amp; Moss Control",
OR(ISNUMBER(SEARCH("plant food",E300)),ISNUMBER(SEARCH("miracid",E300))),"Plant Nutrition",
OR(ISNUMBER(SEARCH("perlite",E300))),"Soil Amendment",
OR(ISNUMBER(SEARCH("spreader",E300)),ISNUMBER(SEARCH("sprayer",E300)),ISNUMBER(SEARCH("mower",E300)),ISNUMBER(SEARCH("sweeper",E300)),ISNUMBER(SEARCH("pruner",E300)),ISNUMBER(SEARCH("trimmer",E300)),ISNUMBER(SEARCH("pole saw",E300))),"Garden Equipment",
TRUE,"Other"
)</f>
        <v>Rodent Control</v>
      </c>
      <c r="I300" s="7" t="str" cm="1">
        <f t="array" ref="I300">_xlfn.IFS(
OR(ISNUMBER(SEARCH("glue trap",E300)),ISNUMBER(SEARCH("glue board",E300))),"Glue Traps",
OR(ISNUMBER(SEARCH("snap trap",E300)),ISNUMBER(SEARCH("power-kill",E300)),ISNUMBER(SEARCH("wide pedal",E300)),ISNUMBER(SEARCH("metal pedal",E300))),"Snap Traps",
OR(ISNUMBER(SEARCH("electronic",E300)),ISNUMBER(SEARCH("zapper",E300))),"Electronic Traps",
OR(ISNUMBER(SEARCH("live catch",E300)),ISNUMBER(SEARCH("multi-catch",E300)),ISNUMBER(SEARCH("catch &amp; hold",E300)),ISNUMBER(SEARCH("tin cat",E300))),"Live Catch Traps",
OR(ISNUMBER(SEARCH("bait",E300)),ISNUMBER(SEARCH("poison",E300))),"Bait &amp; Poison",
ISNUMBER(SEARCH("repellent",E300)),"Repellents",
OR(ISNUMBER(SEARCH("fly trap",E300)),ISNUMBER(SEARCH("fly ribbon",E300)),ISNUMBER(SEARCH("fly stick",E300)),ISNUMBER(SEARCH("window fly",E300)),ISNUMBER(SEARCH("fly magnet",E300))),"Fly Traps",
OR(ISNUMBER(SEARCH("uv",E300)),ISNUMBER(SEARCH("fly light",E300)),ISNUMBER(SEARCH("plug-in",E300))),"UV Fly Traps",
ISNUMBER(SEARCH("roach",E300)),"Roach Traps",
ISNUMBER(SEARCH("ant",E300)),"Ant Traps",
ISNUMBER(SEARCH("spider",E300)),"Spider Traps",
ISNUMBER(SEARCH("mosquito",E300)),"Mosquito Traps",
ISNUMBER(SEARCH("beetle",E300)),"Beetle Traps",
ISNUMBER(SEARCH("lantern",E300)),"Lanternfly Control",
OR(ISNUMBER(SEARCH("tree shield",E300)),ISNUMBER(SEARCH("tree banding",E300)),ISNUMBER(SEARCH("insect barrier",E300))),"Tree Barriers",
OR(ISNUMBER(SEARCH("sun &amp; shade",E300)),ISNUMBER(SEARCH("sun and shade",E300))),"Sun &amp; Shade Mix",
ISNUMBER(SEARCH("tall fescue",E300)),"Tall Fescue",
ISNUMBER(SEARCH("bermudagrass",E300)),"Bermudagrass",
ISNUMBER(SEARCH("kentucky",E300)),"Kentucky Bluegrass",
ISNUMBER(SEARCH("zoysia",E300)),"Zoysia",
ISNUMBER(SEARCH("ryegrass",E300)),"Perennial Ryegrass",
ISNUMBER(SEARCH("centipede",E300)),"Centipede Grass",
ISNUMBER(SEARCH("dense shade",E300)),"Dense Shade Mix",
ISNUMBER(SEARCH("southern gold",E300)),"Southern Gold Mix",
ISNUMBER(SEARCH("heat-tolerant blue",E300)),"Heat-Tolerant Blue Mix",
ISNUMBER(SEARCH("high traffic",E300)),"High Traffic Mix",
ISNUMBER(SEARCH("quick fix",E300)),"Quick Fix Mix",
ISNUMBER(SEARCH("starter",E300)),"Starter Fertilizer",
ISNUMBER(SEARCH("weed &amp; feed",E300)),"Weed &amp; Feed",
ISNUMBER(SEARCH("lawn food",E300)),"Lawn Food",
ISNUMBER(SEARCH("triple action",E300)),"Triple Action Fertilizer",
ISNUMBER(SEARCH("green max",E300)),"Green Max Lawn Food",
ISNUMBER(SEARCH("patchmaster",E300)),"PatchMaster Repair",
ISNUMBER(SEARCH("ez seed",E300)),"EZ Seed Repair",
ISNUMBER(SEARCH("rapid grass",E300)),"Rapid Grass",
ISNUMBER(SEARCH("thick'r lawn",E300)),"Thick'R Lawn",
ISNUMBER(SEARCH("fungicide",E300)),"Fungicide",
ISNUMBER(SEARCH("moss",E300)),"Moss Control",
ISNUMBER(SEARCH("perlite",E300)),"Perlite",
ISNUMBER(SEARCH("plant food",E300)),"Plant Food",
ISNUMBER(SEARCH("spreader",E300)),"Spreader",
ISNUMBER(SEARCH("sprayer",E300)),"Sprayer",
ISNUMBER(SEARCH("mower",E300)),"Lawn Mower",
ISNUMBER(SEARCH("sweeper",E300)),"Lawn Sweeper",
OR(ISNUMBER(SEARCH("pruner",E300)),ISNUMBER(SEARCH("trimmer",E300)),ISNUMBER(SEARCH("pole saw",E300))),"Pruning Tools",
TRUE,"Other"
)</f>
        <v>Other</v>
      </c>
      <c r="J300" s="7" t="str">
        <f t="shared" si="70"/>
        <v>Rodent Control - Other</v>
      </c>
      <c r="K300" s="4">
        <v>1000</v>
      </c>
      <c r="L300" s="4">
        <v>3.9</v>
      </c>
      <c r="M300" s="4">
        <v>1458</v>
      </c>
      <c r="N300" s="4" t="s">
        <v>1333</v>
      </c>
      <c r="O300" s="4">
        <f>VLOOKUP(A300,[4]Sheet1!$A:$B,2,0)</f>
        <v>1000</v>
      </c>
      <c r="P300" s="4">
        <f>VLOOKUP(A300,[4]Sheet1!$A:$C,3,0)</f>
        <v>1000</v>
      </c>
      <c r="Q300" s="4">
        <f>VLOOKUP(A300,[4]Sheet1!$A:$D,4,0)</f>
        <v>1000</v>
      </c>
      <c r="R300" s="4">
        <f>VLOOKUP(A300,[4]Sheet1!$A:$E,5,0)</f>
        <v>1000</v>
      </c>
      <c r="S300" s="4">
        <f>VLOOKUP(A300,[4]Sheet1!$A:$F,6,0)</f>
        <v>1000</v>
      </c>
      <c r="T300" s="4">
        <f>VLOOKUP(A300,[4]Sheet1!$A:$G,7,0)</f>
        <v>1000</v>
      </c>
      <c r="U300" s="4">
        <f>VLOOKUP(A300,[4]Sheet1!$A:$H,8,0)</f>
        <v>2000</v>
      </c>
      <c r="V300" s="4">
        <f>VLOOKUP(A300,[4]Sheet1!$A:$I,9,0)</f>
        <v>2000</v>
      </c>
      <c r="W300" s="4">
        <f>VLOOKUP(A300,[4]Sheet1!$A:$J,10,0)</f>
        <v>2000</v>
      </c>
      <c r="X300" s="4">
        <f>VLOOKUP(A300,[4]Sheet1!$A:$K,11,0)</f>
        <v>1000</v>
      </c>
      <c r="Y300" s="4">
        <f>VLOOKUP(A300,[4]Sheet1!$A:$L,12,0)</f>
        <v>1000</v>
      </c>
      <c r="Z300" s="4">
        <f>VLOOKUP(A300,[4]Sheet1!$A:$M,13,0)</f>
        <v>900</v>
      </c>
      <c r="AA300" s="4">
        <f t="shared" si="80"/>
        <v>14900</v>
      </c>
      <c r="AB300" s="7">
        <f t="shared" si="71"/>
        <v>1242</v>
      </c>
      <c r="AC300" s="15">
        <f t="shared" si="81"/>
        <v>1241.6666666666667</v>
      </c>
      <c r="AD300" s="16">
        <f t="shared" si="82"/>
        <v>111452</v>
      </c>
      <c r="AE300" s="16">
        <f t="shared" si="83"/>
        <v>9287.6666666666679</v>
      </c>
      <c r="AF300" s="16">
        <v>3.5</v>
      </c>
      <c r="AG300" s="16">
        <v>7.48</v>
      </c>
      <c r="AH300" s="15">
        <f t="shared" si="84"/>
        <v>-0.10053333333333332</v>
      </c>
      <c r="AI300" s="15">
        <f t="shared" si="85"/>
        <v>-0.35186666666666661</v>
      </c>
      <c r="AJ300" s="10">
        <v>0.5</v>
      </c>
      <c r="AK300" s="10">
        <v>0.5</v>
      </c>
      <c r="AL300" s="16">
        <v>3.5</v>
      </c>
      <c r="AM300" s="9">
        <f t="shared" si="72"/>
        <v>1.1220000000000001</v>
      </c>
      <c r="AN300" s="9">
        <f t="shared" si="73"/>
        <v>0.22440000000000002</v>
      </c>
      <c r="AO300" s="9">
        <f t="shared" si="74"/>
        <v>1.4960000000000002</v>
      </c>
      <c r="AP300" s="9">
        <f t="shared" si="75"/>
        <v>0.14960000000000001</v>
      </c>
      <c r="AQ300" s="9">
        <f t="shared" si="76"/>
        <v>1.4960000000000002</v>
      </c>
      <c r="AR300" s="9">
        <f t="shared" si="77"/>
        <v>1.87</v>
      </c>
      <c r="AS300" s="11">
        <f t="shared" si="78"/>
        <v>-1.0053333333333332</v>
      </c>
      <c r="AT300" s="12">
        <f t="shared" si="79"/>
        <v>-1.2546666666666664</v>
      </c>
    </row>
    <row r="301" spans="1:46" ht="16.5" x14ac:dyDescent="0.4">
      <c r="A301" s="4" t="s">
        <v>1386</v>
      </c>
      <c r="B301" s="4" t="s">
        <v>1314</v>
      </c>
      <c r="C301" s="7" t="s">
        <v>1796</v>
      </c>
      <c r="D301" s="4" t="s">
        <v>1387</v>
      </c>
      <c r="E301" s="4" t="s">
        <v>1388</v>
      </c>
      <c r="F301" s="4" t="s">
        <v>1389</v>
      </c>
      <c r="G301" s="7" t="str">
        <f>VLOOKUP(A301,[1]done!$A:$I,9,0)</f>
        <v>Rodent</v>
      </c>
      <c r="H301" s="7" t="str" cm="1">
        <f t="array" ref="H301">_xlfn.IFS(
OR(ISNUMBER(SEARCH("mouse",E301)),ISNUMBER(SEARCH("rat",E301)),ISNUMBER(SEARCH("mice",E301)),ISNUMBER(SEARCH("rodent",E301))),"Rodent Control",
OR(ISNUMBER(SEARCH("fly",E301)),ISNUMBER(SEARCH("gnat",E301)),ISNUMBER(SEARCH("insect",E301)),ISNUMBER(SEARCH("mosquito",E301))),"Flying Insect Control",
OR(ISNUMBER(SEARCH("roach",E301)),ISNUMBER(SEARCH("ant",E301)),ISNUMBER(SEARCH("spider",E301)),ISNUMBER(SEARCH("cricket",E301)),ISNUMBER(SEARCH("scorpion",E301)),ISNUMBER(SEARCH("centipede",E301)),ISNUMBER(SEARCH("beetle",E301))),"Crawling Insect Control",
OR(ISNUMBER(SEARCH("tree",E301)),ISNUMBER(SEARCH("lantern",E301)),ISNUMBER(SEARCH("garden",E301)),ISNUMBER(SEARCH("plant",E301))),"Garden Pest Control",
OR(ISNUMBER(SEARCH("grass seed",E301)),ISNUMBER(SEARCH("seed mix",E301))),"Grass Seed",
OR(ISNUMBER(SEARCH("lawn food",E301)),ISNUMBER(SEARCH("fertilizer",E301))),"Lawn Fertilizer",
OR(ISNUMBER(SEARCH("patch",E301)),ISNUMBER(SEARCH("repair",E301)),ISNUMBER(SEARCH("thick'r",E301)),ISNUMBER(SEARCH("thick'r lawn",E301)),ISNUMBER(SEARCH("rapid grass",E301))),"Lawn Repair",
OR(ISNUMBER(SEARCH("weed",E301)),ISNUMBER(SEARCH("crabgrass",E301))),"Weed Control",
OR(ISNUMBER(SEARCH("fungicide",E301)),ISNUMBER(SEARCH("moss",E301))),"Disease &amp; Moss Control",
OR(ISNUMBER(SEARCH("plant food",E301)),ISNUMBER(SEARCH("miracid",E301))),"Plant Nutrition",
OR(ISNUMBER(SEARCH("perlite",E301))),"Soil Amendment",
OR(ISNUMBER(SEARCH("spreader",E301)),ISNUMBER(SEARCH("sprayer",E301)),ISNUMBER(SEARCH("mower",E301)),ISNUMBER(SEARCH("sweeper",E301)),ISNUMBER(SEARCH("pruner",E301)),ISNUMBER(SEARCH("trimmer",E301)),ISNUMBER(SEARCH("pole saw",E301))),"Garden Equipment",
TRUE,"Other"
)</f>
        <v>Rodent Control</v>
      </c>
      <c r="I301" s="7" t="str" cm="1">
        <f t="array" ref="I301">_xlfn.IFS(
OR(ISNUMBER(SEARCH("glue trap",E301)),ISNUMBER(SEARCH("glue board",E301))),"Glue Traps",
OR(ISNUMBER(SEARCH("snap trap",E301)),ISNUMBER(SEARCH("power-kill",E301)),ISNUMBER(SEARCH("wide pedal",E301)),ISNUMBER(SEARCH("metal pedal",E301))),"Snap Traps",
OR(ISNUMBER(SEARCH("electronic",E301)),ISNUMBER(SEARCH("zapper",E301))),"Electronic Traps",
OR(ISNUMBER(SEARCH("live catch",E301)),ISNUMBER(SEARCH("multi-catch",E301)),ISNUMBER(SEARCH("catch &amp; hold",E301)),ISNUMBER(SEARCH("tin cat",E301))),"Live Catch Traps",
OR(ISNUMBER(SEARCH("bait",E301)),ISNUMBER(SEARCH("poison",E301))),"Bait &amp; Poison",
ISNUMBER(SEARCH("repellent",E301)),"Repellents",
OR(ISNUMBER(SEARCH("fly trap",E301)),ISNUMBER(SEARCH("fly ribbon",E301)),ISNUMBER(SEARCH("fly stick",E301)),ISNUMBER(SEARCH("window fly",E301)),ISNUMBER(SEARCH("fly magnet",E301))),"Fly Traps",
OR(ISNUMBER(SEARCH("uv",E301)),ISNUMBER(SEARCH("fly light",E301)),ISNUMBER(SEARCH("plug-in",E301))),"UV Fly Traps",
ISNUMBER(SEARCH("roach",E301)),"Roach Traps",
ISNUMBER(SEARCH("ant",E301)),"Ant Traps",
ISNUMBER(SEARCH("spider",E301)),"Spider Traps",
ISNUMBER(SEARCH("mosquito",E301)),"Mosquito Traps",
ISNUMBER(SEARCH("beetle",E301)),"Beetle Traps",
ISNUMBER(SEARCH("lantern",E301)),"Lanternfly Control",
OR(ISNUMBER(SEARCH("tree shield",E301)),ISNUMBER(SEARCH("tree banding",E301)),ISNUMBER(SEARCH("insect barrier",E301))),"Tree Barriers",
OR(ISNUMBER(SEARCH("sun &amp; shade",E301)),ISNUMBER(SEARCH("sun and shade",E301))),"Sun &amp; Shade Mix",
ISNUMBER(SEARCH("tall fescue",E301)),"Tall Fescue",
ISNUMBER(SEARCH("bermudagrass",E301)),"Bermudagrass",
ISNUMBER(SEARCH("kentucky",E301)),"Kentucky Bluegrass",
ISNUMBER(SEARCH("zoysia",E301)),"Zoysia",
ISNUMBER(SEARCH("ryegrass",E301)),"Perennial Ryegrass",
ISNUMBER(SEARCH("centipede",E301)),"Centipede Grass",
ISNUMBER(SEARCH("dense shade",E301)),"Dense Shade Mix",
ISNUMBER(SEARCH("southern gold",E301)),"Southern Gold Mix",
ISNUMBER(SEARCH("heat-tolerant blue",E301)),"Heat-Tolerant Blue Mix",
ISNUMBER(SEARCH("high traffic",E301)),"High Traffic Mix",
ISNUMBER(SEARCH("quick fix",E301)),"Quick Fix Mix",
ISNUMBER(SEARCH("starter",E301)),"Starter Fertilizer",
ISNUMBER(SEARCH("weed &amp; feed",E301)),"Weed &amp; Feed",
ISNUMBER(SEARCH("lawn food",E301)),"Lawn Food",
ISNUMBER(SEARCH("triple action",E301)),"Triple Action Fertilizer",
ISNUMBER(SEARCH("green max",E301)),"Green Max Lawn Food",
ISNUMBER(SEARCH("patchmaster",E301)),"PatchMaster Repair",
ISNUMBER(SEARCH("ez seed",E301)),"EZ Seed Repair",
ISNUMBER(SEARCH("rapid grass",E301)),"Rapid Grass",
ISNUMBER(SEARCH("thick'r lawn",E301)),"Thick'R Lawn",
ISNUMBER(SEARCH("fungicide",E301)),"Fungicide",
ISNUMBER(SEARCH("moss",E301)),"Moss Control",
ISNUMBER(SEARCH("perlite",E301)),"Perlite",
ISNUMBER(SEARCH("plant food",E301)),"Plant Food",
ISNUMBER(SEARCH("spreader",E301)),"Spreader",
ISNUMBER(SEARCH("sprayer",E301)),"Sprayer",
ISNUMBER(SEARCH("mower",E301)),"Lawn Mower",
ISNUMBER(SEARCH("sweeper",E301)),"Lawn Sweeper",
OR(ISNUMBER(SEARCH("pruner",E301)),ISNUMBER(SEARCH("trimmer",E301)),ISNUMBER(SEARCH("pole saw",E301))),"Pruning Tools",
TRUE,"Other"
)</f>
        <v>Electronic Traps</v>
      </c>
      <c r="J301" s="7" t="str">
        <f t="shared" si="70"/>
        <v>Rodent Control - Electronic Traps</v>
      </c>
      <c r="K301" s="4">
        <v>1000</v>
      </c>
      <c r="L301" s="4">
        <v>3.7</v>
      </c>
      <c r="M301" s="4">
        <v>957</v>
      </c>
      <c r="N301" s="4" t="s">
        <v>1390</v>
      </c>
      <c r="O301" s="4">
        <f>VLOOKUP(A301,[4]Sheet1!$A:$B,2,0)</f>
        <v>800</v>
      </c>
      <c r="P301" s="4">
        <f>VLOOKUP(A301,[4]Sheet1!$A:$C,3,0)</f>
        <v>700</v>
      </c>
      <c r="Q301" s="4">
        <f>VLOOKUP(A301,[4]Sheet1!$A:$D,4,0)</f>
        <v>700</v>
      </c>
      <c r="R301" s="4">
        <f>VLOOKUP(A301,[4]Sheet1!$A:$E,5,0)</f>
        <v>1000</v>
      </c>
      <c r="S301" s="4">
        <f>VLOOKUP(A301,[4]Sheet1!$A:$F,6,0)</f>
        <v>1000</v>
      </c>
      <c r="T301" s="4">
        <f>VLOOKUP(A301,[4]Sheet1!$A:$G,7,0)</f>
        <v>1000</v>
      </c>
      <c r="U301" s="4">
        <f>VLOOKUP(A301,[4]Sheet1!$A:$H,8,0)</f>
        <v>1000</v>
      </c>
      <c r="V301" s="4">
        <f>VLOOKUP(A301,[4]Sheet1!$A:$I,9,0)</f>
        <v>2000</v>
      </c>
      <c r="W301" s="4">
        <f>VLOOKUP(A301,[4]Sheet1!$A:$J,10,0)</f>
        <v>1000</v>
      </c>
      <c r="X301" s="4">
        <f>VLOOKUP(A301,[4]Sheet1!$A:$K,11,0)</f>
        <v>1000</v>
      </c>
      <c r="Y301" s="4">
        <f>VLOOKUP(A301,[4]Sheet1!$A:$L,12,0)</f>
        <v>1000</v>
      </c>
      <c r="Z301" s="4">
        <f>VLOOKUP(A301,[4]Sheet1!$A:$M,13,0)</f>
        <v>1000</v>
      </c>
      <c r="AA301" s="4">
        <f t="shared" si="80"/>
        <v>12200</v>
      </c>
      <c r="AB301" s="7">
        <f t="shared" si="71"/>
        <v>1017</v>
      </c>
      <c r="AC301" s="15">
        <f t="shared" si="81"/>
        <v>1016.6666666666666</v>
      </c>
      <c r="AD301" s="16">
        <f t="shared" si="82"/>
        <v>418094.00000000006</v>
      </c>
      <c r="AE301" s="16">
        <f t="shared" si="83"/>
        <v>34841.166666666672</v>
      </c>
      <c r="AF301" s="16">
        <v>5.61</v>
      </c>
      <c r="AG301" s="16">
        <v>34.270000000000003</v>
      </c>
      <c r="AH301" s="15">
        <f t="shared" si="84"/>
        <v>0.47320000000000007</v>
      </c>
      <c r="AI301" s="15">
        <f t="shared" si="85"/>
        <v>1.6561999999999999</v>
      </c>
      <c r="AJ301" s="10">
        <v>0.5</v>
      </c>
      <c r="AK301" s="10">
        <v>0.5</v>
      </c>
      <c r="AL301" s="16">
        <v>5.61</v>
      </c>
      <c r="AM301" s="9">
        <f t="shared" si="72"/>
        <v>5.1405000000000003</v>
      </c>
      <c r="AN301" s="9">
        <f t="shared" si="73"/>
        <v>1.0281</v>
      </c>
      <c r="AO301" s="9">
        <f t="shared" si="74"/>
        <v>6.854000000000001</v>
      </c>
      <c r="AP301" s="9">
        <f t="shared" si="75"/>
        <v>0.68540000000000012</v>
      </c>
      <c r="AQ301" s="9">
        <f t="shared" si="76"/>
        <v>6.854000000000001</v>
      </c>
      <c r="AR301" s="9">
        <f t="shared" si="77"/>
        <v>8.5675000000000008</v>
      </c>
      <c r="AS301" s="11">
        <f t="shared" si="78"/>
        <v>4.7320000000000002</v>
      </c>
      <c r="AT301" s="12">
        <f t="shared" si="79"/>
        <v>3.5896666666666674</v>
      </c>
    </row>
    <row r="302" spans="1:46" ht="16.5" x14ac:dyDescent="0.4">
      <c r="A302" s="4" t="s">
        <v>1391</v>
      </c>
      <c r="B302" s="4" t="s">
        <v>1314</v>
      </c>
      <c r="C302" s="7" t="s">
        <v>1796</v>
      </c>
      <c r="D302" s="4" t="s">
        <v>1392</v>
      </c>
      <c r="E302" s="4" t="s">
        <v>1393</v>
      </c>
      <c r="F302" s="4" t="s">
        <v>1394</v>
      </c>
      <c r="G302" s="7" t="str">
        <f>VLOOKUP(A302,[1]done!$A:$I,9,0)</f>
        <v>Rodent</v>
      </c>
      <c r="H302" s="7" t="str" cm="1">
        <f t="array" ref="H302">_xlfn.IFS(
OR(ISNUMBER(SEARCH("mouse",E302)),ISNUMBER(SEARCH("rat",E302)),ISNUMBER(SEARCH("mice",E302)),ISNUMBER(SEARCH("rodent",E302))),"Rodent Control",
OR(ISNUMBER(SEARCH("fly",E302)),ISNUMBER(SEARCH("gnat",E302)),ISNUMBER(SEARCH("insect",E302)),ISNUMBER(SEARCH("mosquito",E302))),"Flying Insect Control",
OR(ISNUMBER(SEARCH("roach",E302)),ISNUMBER(SEARCH("ant",E302)),ISNUMBER(SEARCH("spider",E302)),ISNUMBER(SEARCH("cricket",E302)),ISNUMBER(SEARCH("scorpion",E302)),ISNUMBER(SEARCH("centipede",E302)),ISNUMBER(SEARCH("beetle",E302))),"Crawling Insect Control",
OR(ISNUMBER(SEARCH("tree",E302)),ISNUMBER(SEARCH("lantern",E302)),ISNUMBER(SEARCH("garden",E302)),ISNUMBER(SEARCH("plant",E302))),"Garden Pest Control",
OR(ISNUMBER(SEARCH("grass seed",E302)),ISNUMBER(SEARCH("seed mix",E302))),"Grass Seed",
OR(ISNUMBER(SEARCH("lawn food",E302)),ISNUMBER(SEARCH("fertilizer",E302))),"Lawn Fertilizer",
OR(ISNUMBER(SEARCH("patch",E302)),ISNUMBER(SEARCH("repair",E302)),ISNUMBER(SEARCH("thick'r",E302)),ISNUMBER(SEARCH("thick'r lawn",E302)),ISNUMBER(SEARCH("rapid grass",E302))),"Lawn Repair",
OR(ISNUMBER(SEARCH("weed",E302)),ISNUMBER(SEARCH("crabgrass",E302))),"Weed Control",
OR(ISNUMBER(SEARCH("fungicide",E302)),ISNUMBER(SEARCH("moss",E302))),"Disease &amp; Moss Control",
OR(ISNUMBER(SEARCH("plant food",E302)),ISNUMBER(SEARCH("miracid",E302))),"Plant Nutrition",
OR(ISNUMBER(SEARCH("perlite",E302))),"Soil Amendment",
OR(ISNUMBER(SEARCH("spreader",E302)),ISNUMBER(SEARCH("sprayer",E302)),ISNUMBER(SEARCH("mower",E302)),ISNUMBER(SEARCH("sweeper",E302)),ISNUMBER(SEARCH("pruner",E302)),ISNUMBER(SEARCH("trimmer",E302)),ISNUMBER(SEARCH("pole saw",E302))),"Garden Equipment",
TRUE,"Other"
)</f>
        <v>Rodent Control</v>
      </c>
      <c r="I302" s="7" t="str" cm="1">
        <f t="array" ref="I302">_xlfn.IFS(
OR(ISNUMBER(SEARCH("glue trap",E302)),ISNUMBER(SEARCH("glue board",E302))),"Glue Traps",
OR(ISNUMBER(SEARCH("snap trap",E302)),ISNUMBER(SEARCH("power-kill",E302)),ISNUMBER(SEARCH("wide pedal",E302)),ISNUMBER(SEARCH("metal pedal",E302))),"Snap Traps",
OR(ISNUMBER(SEARCH("electronic",E302)),ISNUMBER(SEARCH("zapper",E302))),"Electronic Traps",
OR(ISNUMBER(SEARCH("live catch",E302)),ISNUMBER(SEARCH("multi-catch",E302)),ISNUMBER(SEARCH("catch &amp; hold",E302)),ISNUMBER(SEARCH("tin cat",E302))),"Live Catch Traps",
OR(ISNUMBER(SEARCH("bait",E302)),ISNUMBER(SEARCH("poison",E302))),"Bait &amp; Poison",
ISNUMBER(SEARCH("repellent",E302)),"Repellents",
OR(ISNUMBER(SEARCH("fly trap",E302)),ISNUMBER(SEARCH("fly ribbon",E302)),ISNUMBER(SEARCH("fly stick",E302)),ISNUMBER(SEARCH("window fly",E302)),ISNUMBER(SEARCH("fly magnet",E302))),"Fly Traps",
OR(ISNUMBER(SEARCH("uv",E302)),ISNUMBER(SEARCH("fly light",E302)),ISNUMBER(SEARCH("plug-in",E302))),"UV Fly Traps",
ISNUMBER(SEARCH("roach",E302)),"Roach Traps",
ISNUMBER(SEARCH("ant",E302)),"Ant Traps",
ISNUMBER(SEARCH("spider",E302)),"Spider Traps",
ISNUMBER(SEARCH("mosquito",E302)),"Mosquito Traps",
ISNUMBER(SEARCH("beetle",E302)),"Beetle Traps",
ISNUMBER(SEARCH("lantern",E302)),"Lanternfly Control",
OR(ISNUMBER(SEARCH("tree shield",E302)),ISNUMBER(SEARCH("tree banding",E302)),ISNUMBER(SEARCH("insect barrier",E302))),"Tree Barriers",
OR(ISNUMBER(SEARCH("sun &amp; shade",E302)),ISNUMBER(SEARCH("sun and shade",E302))),"Sun &amp; Shade Mix",
ISNUMBER(SEARCH("tall fescue",E302)),"Tall Fescue",
ISNUMBER(SEARCH("bermudagrass",E302)),"Bermudagrass",
ISNUMBER(SEARCH("kentucky",E302)),"Kentucky Bluegrass",
ISNUMBER(SEARCH("zoysia",E302)),"Zoysia",
ISNUMBER(SEARCH("ryegrass",E302)),"Perennial Ryegrass",
ISNUMBER(SEARCH("centipede",E302)),"Centipede Grass",
ISNUMBER(SEARCH("dense shade",E302)),"Dense Shade Mix",
ISNUMBER(SEARCH("southern gold",E302)),"Southern Gold Mix",
ISNUMBER(SEARCH("heat-tolerant blue",E302)),"Heat-Tolerant Blue Mix",
ISNUMBER(SEARCH("high traffic",E302)),"High Traffic Mix",
ISNUMBER(SEARCH("quick fix",E302)),"Quick Fix Mix",
ISNUMBER(SEARCH("starter",E302)),"Starter Fertilizer",
ISNUMBER(SEARCH("weed &amp; feed",E302)),"Weed &amp; Feed",
ISNUMBER(SEARCH("lawn food",E302)),"Lawn Food",
ISNUMBER(SEARCH("triple action",E302)),"Triple Action Fertilizer",
ISNUMBER(SEARCH("green max",E302)),"Green Max Lawn Food",
ISNUMBER(SEARCH("patchmaster",E302)),"PatchMaster Repair",
ISNUMBER(SEARCH("ez seed",E302)),"EZ Seed Repair",
ISNUMBER(SEARCH("rapid grass",E302)),"Rapid Grass",
ISNUMBER(SEARCH("thick'r lawn",E302)),"Thick'R Lawn",
ISNUMBER(SEARCH("fungicide",E302)),"Fungicide",
ISNUMBER(SEARCH("moss",E302)),"Moss Control",
ISNUMBER(SEARCH("perlite",E302)),"Perlite",
ISNUMBER(SEARCH("plant food",E302)),"Plant Food",
ISNUMBER(SEARCH("spreader",E302)),"Spreader",
ISNUMBER(SEARCH("sprayer",E302)),"Sprayer",
ISNUMBER(SEARCH("mower",E302)),"Lawn Mower",
ISNUMBER(SEARCH("sweeper",E302)),"Lawn Sweeper",
OR(ISNUMBER(SEARCH("pruner",E302)),ISNUMBER(SEARCH("trimmer",E302)),ISNUMBER(SEARCH("pole saw",E302))),"Pruning Tools",
TRUE,"Other"
)</f>
        <v>Repellents</v>
      </c>
      <c r="J302" s="7" t="str">
        <f t="shared" si="70"/>
        <v>Rodent Control - Repellents</v>
      </c>
      <c r="K302" s="4">
        <v>1000</v>
      </c>
      <c r="L302" s="4">
        <v>4.0999999999999996</v>
      </c>
      <c r="M302" s="4">
        <v>474</v>
      </c>
      <c r="N302" s="4" t="s">
        <v>1395</v>
      </c>
      <c r="O302" s="4">
        <f>VLOOKUP(A302,[4]Sheet1!$A:$B,2,0)</f>
        <v>700</v>
      </c>
      <c r="P302" s="4">
        <f>VLOOKUP(A302,[4]Sheet1!$A:$C,3,0)</f>
        <v>100</v>
      </c>
      <c r="Q302" s="4">
        <f>VLOOKUP(A302,[4]Sheet1!$A:$D,4,0)</f>
        <v>100</v>
      </c>
      <c r="R302" s="4">
        <f>VLOOKUP(A302,[4]Sheet1!$A:$E,5,0)</f>
        <v>600</v>
      </c>
      <c r="S302" s="4">
        <f>VLOOKUP(A302,[4]Sheet1!$A:$F,6,0)</f>
        <v>600</v>
      </c>
      <c r="T302" s="4">
        <f>VLOOKUP(A302,[4]Sheet1!$A:$G,7,0)</f>
        <v>1000</v>
      </c>
      <c r="U302" s="4">
        <f>VLOOKUP(A302,[4]Sheet1!$A:$H,8,0)</f>
        <v>2000</v>
      </c>
      <c r="V302" s="4">
        <f>VLOOKUP(A302,[4]Sheet1!$A:$I,9,0)</f>
        <v>1000</v>
      </c>
      <c r="W302" s="4">
        <f>VLOOKUP(A302,[4]Sheet1!$A:$J,10,0)</f>
        <v>1000</v>
      </c>
      <c r="X302" s="4">
        <f>VLOOKUP(A302,[4]Sheet1!$A:$K,11,0)</f>
        <v>1000</v>
      </c>
      <c r="Y302" s="4">
        <f>VLOOKUP(A302,[4]Sheet1!$A:$L,12,0)</f>
        <v>1000</v>
      </c>
      <c r="Z302" s="4">
        <f>VLOOKUP(A302,[4]Sheet1!$A:$M,13,0)</f>
        <v>1000</v>
      </c>
      <c r="AA302" s="4">
        <f t="shared" si="80"/>
        <v>10100</v>
      </c>
      <c r="AB302" s="7">
        <f t="shared" si="71"/>
        <v>842</v>
      </c>
      <c r="AC302" s="15">
        <f t="shared" si="81"/>
        <v>841.66666666666663</v>
      </c>
      <c r="AD302" s="16">
        <f t="shared" si="82"/>
        <v>176648.99999999997</v>
      </c>
      <c r="AE302" s="16">
        <f t="shared" si="83"/>
        <v>14720.749999999998</v>
      </c>
      <c r="AF302" s="16">
        <v>5.22</v>
      </c>
      <c r="AG302" s="16">
        <v>17.489999999999998</v>
      </c>
      <c r="AH302" s="15">
        <f t="shared" si="84"/>
        <v>5.1733333333333235E-2</v>
      </c>
      <c r="AI302" s="15">
        <f t="shared" si="85"/>
        <v>0.18106666666666629</v>
      </c>
      <c r="AJ302" s="10">
        <v>0.5</v>
      </c>
      <c r="AK302" s="10">
        <v>0.5</v>
      </c>
      <c r="AL302" s="16">
        <v>5.22</v>
      </c>
      <c r="AM302" s="9">
        <f t="shared" si="72"/>
        <v>2.6234999999999995</v>
      </c>
      <c r="AN302" s="9">
        <f t="shared" si="73"/>
        <v>0.52469999999999994</v>
      </c>
      <c r="AO302" s="9">
        <f t="shared" si="74"/>
        <v>3.4979999999999998</v>
      </c>
      <c r="AP302" s="9">
        <f t="shared" si="75"/>
        <v>0.3498</v>
      </c>
      <c r="AQ302" s="9">
        <f t="shared" si="76"/>
        <v>3.4979999999999998</v>
      </c>
      <c r="AR302" s="9">
        <f t="shared" si="77"/>
        <v>4.3724999999999996</v>
      </c>
      <c r="AS302" s="11">
        <f t="shared" si="78"/>
        <v>0.51733333333333231</v>
      </c>
      <c r="AT302" s="12">
        <f t="shared" si="79"/>
        <v>-6.5666666666667581E-2</v>
      </c>
    </row>
    <row r="303" spans="1:46" ht="16.5" x14ac:dyDescent="0.4">
      <c r="A303" s="4" t="s">
        <v>1396</v>
      </c>
      <c r="B303" s="4" t="s">
        <v>1314</v>
      </c>
      <c r="C303" s="7" t="s">
        <v>1796</v>
      </c>
      <c r="D303" s="4" t="s">
        <v>1397</v>
      </c>
      <c r="E303" s="4" t="s">
        <v>1398</v>
      </c>
      <c r="F303" s="4" t="s">
        <v>1399</v>
      </c>
      <c r="G303" s="7" t="str">
        <f>VLOOKUP(A303,[1]done!$A:$I,9,0)</f>
        <v>All Other products</v>
      </c>
      <c r="H303" s="7" t="str" cm="1">
        <f t="array" ref="H303">_xlfn.IFS(
OR(ISNUMBER(SEARCH("mouse",E303)),ISNUMBER(SEARCH("rat",E303)),ISNUMBER(SEARCH("mice",E303)),ISNUMBER(SEARCH("rodent",E303))),"Rodent Control",
OR(ISNUMBER(SEARCH("fly",E303)),ISNUMBER(SEARCH("gnat",E303)),ISNUMBER(SEARCH("insect",E303)),ISNUMBER(SEARCH("mosquito",E303))),"Flying Insect Control",
OR(ISNUMBER(SEARCH("roach",E303)),ISNUMBER(SEARCH("ant",E303)),ISNUMBER(SEARCH("spider",E303)),ISNUMBER(SEARCH("cricket",E303)),ISNUMBER(SEARCH("scorpion",E303)),ISNUMBER(SEARCH("centipede",E303)),ISNUMBER(SEARCH("beetle",E303))),"Crawling Insect Control",
OR(ISNUMBER(SEARCH("tree",E303)),ISNUMBER(SEARCH("lantern",E303)),ISNUMBER(SEARCH("garden",E303)),ISNUMBER(SEARCH("plant",E303))),"Garden Pest Control",
OR(ISNUMBER(SEARCH("grass seed",E303)),ISNUMBER(SEARCH("seed mix",E303))),"Grass Seed",
OR(ISNUMBER(SEARCH("lawn food",E303)),ISNUMBER(SEARCH("fertilizer",E303))),"Lawn Fertilizer",
OR(ISNUMBER(SEARCH("patch",E303)),ISNUMBER(SEARCH("repair",E303)),ISNUMBER(SEARCH("thick'r",E303)),ISNUMBER(SEARCH("thick'r lawn",E303)),ISNUMBER(SEARCH("rapid grass",E303))),"Lawn Repair",
OR(ISNUMBER(SEARCH("weed",E303)),ISNUMBER(SEARCH("crabgrass",E303))),"Weed Control",
OR(ISNUMBER(SEARCH("fungicide",E303)),ISNUMBER(SEARCH("moss",E303))),"Disease &amp; Moss Control",
OR(ISNUMBER(SEARCH("plant food",E303)),ISNUMBER(SEARCH("miracid",E303))),"Plant Nutrition",
OR(ISNUMBER(SEARCH("perlite",E303))),"Soil Amendment",
OR(ISNUMBER(SEARCH("spreader",E303)),ISNUMBER(SEARCH("sprayer",E303)),ISNUMBER(SEARCH("mower",E303)),ISNUMBER(SEARCH("sweeper",E303)),ISNUMBER(SEARCH("pruner",E303)),ISNUMBER(SEARCH("trimmer",E303)),ISNUMBER(SEARCH("pole saw",E303))),"Garden Equipment",
TRUE,"Other"
)</f>
        <v>Other</v>
      </c>
      <c r="I303" s="7" t="str" cm="1">
        <f t="array" ref="I303">_xlfn.IFS(
OR(ISNUMBER(SEARCH("glue trap",E303)),ISNUMBER(SEARCH("glue board",E303))),"Glue Traps",
OR(ISNUMBER(SEARCH("snap trap",E303)),ISNUMBER(SEARCH("power-kill",E303)),ISNUMBER(SEARCH("wide pedal",E303)),ISNUMBER(SEARCH("metal pedal",E303))),"Snap Traps",
OR(ISNUMBER(SEARCH("electronic",E303)),ISNUMBER(SEARCH("zapper",E303))),"Electronic Traps",
OR(ISNUMBER(SEARCH("live catch",E303)),ISNUMBER(SEARCH("multi-catch",E303)),ISNUMBER(SEARCH("catch &amp; hold",E303)),ISNUMBER(SEARCH("tin cat",E303))),"Live Catch Traps",
OR(ISNUMBER(SEARCH("bait",E303)),ISNUMBER(SEARCH("poison",E303))),"Bait &amp; Poison",
ISNUMBER(SEARCH("repellent",E303)),"Repellents",
OR(ISNUMBER(SEARCH("fly trap",E303)),ISNUMBER(SEARCH("fly ribbon",E303)),ISNUMBER(SEARCH("fly stick",E303)),ISNUMBER(SEARCH("window fly",E303)),ISNUMBER(SEARCH("fly magnet",E303))),"Fly Traps",
OR(ISNUMBER(SEARCH("uv",E303)),ISNUMBER(SEARCH("fly light",E303)),ISNUMBER(SEARCH("plug-in",E303))),"UV Fly Traps",
ISNUMBER(SEARCH("roach",E303)),"Roach Traps",
ISNUMBER(SEARCH("ant",E303)),"Ant Traps",
ISNUMBER(SEARCH("spider",E303)),"Spider Traps",
ISNUMBER(SEARCH("mosquito",E303)),"Mosquito Traps",
ISNUMBER(SEARCH("beetle",E303)),"Beetle Traps",
ISNUMBER(SEARCH("lantern",E303)),"Lanternfly Control",
OR(ISNUMBER(SEARCH("tree shield",E303)),ISNUMBER(SEARCH("tree banding",E303)),ISNUMBER(SEARCH("insect barrier",E303))),"Tree Barriers",
OR(ISNUMBER(SEARCH("sun &amp; shade",E303)),ISNUMBER(SEARCH("sun and shade",E303))),"Sun &amp; Shade Mix",
ISNUMBER(SEARCH("tall fescue",E303)),"Tall Fescue",
ISNUMBER(SEARCH("bermudagrass",E303)),"Bermudagrass",
ISNUMBER(SEARCH("kentucky",E303)),"Kentucky Bluegrass",
ISNUMBER(SEARCH("zoysia",E303)),"Zoysia",
ISNUMBER(SEARCH("ryegrass",E303)),"Perennial Ryegrass",
ISNUMBER(SEARCH("centipede",E303)),"Centipede Grass",
ISNUMBER(SEARCH("dense shade",E303)),"Dense Shade Mix",
ISNUMBER(SEARCH("southern gold",E303)),"Southern Gold Mix",
ISNUMBER(SEARCH("heat-tolerant blue",E303)),"Heat-Tolerant Blue Mix",
ISNUMBER(SEARCH("high traffic",E303)),"High Traffic Mix",
ISNUMBER(SEARCH("quick fix",E303)),"Quick Fix Mix",
ISNUMBER(SEARCH("starter",E303)),"Starter Fertilizer",
ISNUMBER(SEARCH("weed &amp; feed",E303)),"Weed &amp; Feed",
ISNUMBER(SEARCH("lawn food",E303)),"Lawn Food",
ISNUMBER(SEARCH("triple action",E303)),"Triple Action Fertilizer",
ISNUMBER(SEARCH("green max",E303)),"Green Max Lawn Food",
ISNUMBER(SEARCH("patchmaster",E303)),"PatchMaster Repair",
ISNUMBER(SEARCH("ez seed",E303)),"EZ Seed Repair",
ISNUMBER(SEARCH("rapid grass",E303)),"Rapid Grass",
ISNUMBER(SEARCH("thick'r lawn",E303)),"Thick'R Lawn",
ISNUMBER(SEARCH("fungicide",E303)),"Fungicide",
ISNUMBER(SEARCH("moss",E303)),"Moss Control",
ISNUMBER(SEARCH("perlite",E303)),"Perlite",
ISNUMBER(SEARCH("plant food",E303)),"Plant Food",
ISNUMBER(SEARCH("spreader",E303)),"Spreader",
ISNUMBER(SEARCH("sprayer",E303)),"Sprayer",
ISNUMBER(SEARCH("mower",E303)),"Lawn Mower",
ISNUMBER(SEARCH("sweeper",E303)),"Lawn Sweeper",
OR(ISNUMBER(SEARCH("pruner",E303)),ISNUMBER(SEARCH("trimmer",E303)),ISNUMBER(SEARCH("pole saw",E303))),"Pruning Tools",
TRUE,"Other"
)</f>
        <v>Bait &amp; Poison</v>
      </c>
      <c r="J303" s="7" t="str">
        <f t="shared" si="70"/>
        <v>Other - Bait &amp; Poison</v>
      </c>
      <c r="K303" s="4">
        <v>1000</v>
      </c>
      <c r="L303" s="4">
        <v>4</v>
      </c>
      <c r="M303" s="4">
        <v>1426</v>
      </c>
      <c r="N303" s="4" t="s">
        <v>1400</v>
      </c>
      <c r="O303" s="4">
        <f>VLOOKUP(A303,[4]Sheet1!$A:$B,2,0)</f>
        <v>400</v>
      </c>
      <c r="P303" s="4">
        <f>VLOOKUP(A303,[4]Sheet1!$A:$C,3,0)</f>
        <v>200</v>
      </c>
      <c r="Q303" s="4">
        <f>VLOOKUP(A303,[4]Sheet1!$A:$D,4,0)</f>
        <v>500</v>
      </c>
      <c r="R303" s="4">
        <f>VLOOKUP(A303,[4]Sheet1!$A:$E,5,0)</f>
        <v>1000</v>
      </c>
      <c r="S303" s="4">
        <f>VLOOKUP(A303,[4]Sheet1!$A:$F,6,0)</f>
        <v>2000</v>
      </c>
      <c r="T303" s="4">
        <f>VLOOKUP(A303,[4]Sheet1!$A:$G,7,0)</f>
        <v>2000</v>
      </c>
      <c r="U303" s="4">
        <f>VLOOKUP(A303,[4]Sheet1!$A:$H,8,0)</f>
        <v>2000</v>
      </c>
      <c r="V303" s="4">
        <f>VLOOKUP(A303,[4]Sheet1!$A:$I,9,0)</f>
        <v>1000</v>
      </c>
      <c r="W303" s="4">
        <f>VLOOKUP(A303,[4]Sheet1!$A:$J,10,0)</f>
        <v>1000</v>
      </c>
      <c r="X303" s="4">
        <f>VLOOKUP(A303,[4]Sheet1!$A:$K,11,0)</f>
        <v>900</v>
      </c>
      <c r="Y303" s="4">
        <f>VLOOKUP(A303,[4]Sheet1!$A:$L,12,0)</f>
        <v>700</v>
      </c>
      <c r="Z303" s="4">
        <f>VLOOKUP(A303,[4]Sheet1!$A:$M,13,0)</f>
        <v>300</v>
      </c>
      <c r="AA303" s="4">
        <f t="shared" si="80"/>
        <v>12000</v>
      </c>
      <c r="AB303" s="7">
        <f t="shared" si="71"/>
        <v>1000</v>
      </c>
      <c r="AC303" s="15">
        <f t="shared" si="81"/>
        <v>1000</v>
      </c>
      <c r="AD303" s="16">
        <f t="shared" si="82"/>
        <v>238799.99999999997</v>
      </c>
      <c r="AE303" s="16">
        <f t="shared" si="83"/>
        <v>19900</v>
      </c>
      <c r="AF303" s="16">
        <v>5.61</v>
      </c>
      <c r="AG303" s="16">
        <v>19.899999999999999</v>
      </c>
      <c r="AH303" s="15">
        <f t="shared" si="84"/>
        <v>8.9999999999999955E-2</v>
      </c>
      <c r="AI303" s="15">
        <f t="shared" si="85"/>
        <v>0.31499999999999978</v>
      </c>
      <c r="AJ303" s="10">
        <v>0.5</v>
      </c>
      <c r="AK303" s="10">
        <v>0.5</v>
      </c>
      <c r="AL303" s="16">
        <v>5.61</v>
      </c>
      <c r="AM303" s="9">
        <f t="shared" si="72"/>
        <v>2.9849999999999999</v>
      </c>
      <c r="AN303" s="9">
        <f t="shared" si="73"/>
        <v>0.59699999999999998</v>
      </c>
      <c r="AO303" s="9">
        <f t="shared" si="74"/>
        <v>3.98</v>
      </c>
      <c r="AP303" s="9">
        <f t="shared" si="75"/>
        <v>0.39799999999999996</v>
      </c>
      <c r="AQ303" s="9">
        <f t="shared" si="76"/>
        <v>3.98</v>
      </c>
      <c r="AR303" s="9">
        <f t="shared" si="77"/>
        <v>4.9749999999999996</v>
      </c>
      <c r="AS303" s="11">
        <f t="shared" si="78"/>
        <v>0.89999999999999947</v>
      </c>
      <c r="AT303" s="12">
        <f t="shared" si="79"/>
        <v>0.23666666666666636</v>
      </c>
    </row>
    <row r="304" spans="1:46" ht="16.5" x14ac:dyDescent="0.4">
      <c r="A304" s="4" t="s">
        <v>1401</v>
      </c>
      <c r="B304" s="4" t="s">
        <v>1314</v>
      </c>
      <c r="C304" s="7" t="s">
        <v>1796</v>
      </c>
      <c r="D304" s="4" t="s">
        <v>1402</v>
      </c>
      <c r="E304" s="4" t="s">
        <v>1403</v>
      </c>
      <c r="F304" s="4" t="s">
        <v>1404</v>
      </c>
      <c r="G304" s="7" t="str">
        <f>VLOOKUP(A304,[1]done!$A:$I,9,0)</f>
        <v>Rodent</v>
      </c>
      <c r="H304" s="7" t="str" cm="1">
        <f t="array" ref="H304">_xlfn.IFS(
OR(ISNUMBER(SEARCH("mouse",E304)),ISNUMBER(SEARCH("rat",E304)),ISNUMBER(SEARCH("mice",E304)),ISNUMBER(SEARCH("rodent",E304))),"Rodent Control",
OR(ISNUMBER(SEARCH("fly",E304)),ISNUMBER(SEARCH("gnat",E304)),ISNUMBER(SEARCH("insect",E304)),ISNUMBER(SEARCH("mosquito",E304))),"Flying Insect Control",
OR(ISNUMBER(SEARCH("roach",E304)),ISNUMBER(SEARCH("ant",E304)),ISNUMBER(SEARCH("spider",E304)),ISNUMBER(SEARCH("cricket",E304)),ISNUMBER(SEARCH("scorpion",E304)),ISNUMBER(SEARCH("centipede",E304)),ISNUMBER(SEARCH("beetle",E304))),"Crawling Insect Control",
OR(ISNUMBER(SEARCH("tree",E304)),ISNUMBER(SEARCH("lantern",E304)),ISNUMBER(SEARCH("garden",E304)),ISNUMBER(SEARCH("plant",E304))),"Garden Pest Control",
OR(ISNUMBER(SEARCH("grass seed",E304)),ISNUMBER(SEARCH("seed mix",E304))),"Grass Seed",
OR(ISNUMBER(SEARCH("lawn food",E304)),ISNUMBER(SEARCH("fertilizer",E304))),"Lawn Fertilizer",
OR(ISNUMBER(SEARCH("patch",E304)),ISNUMBER(SEARCH("repair",E304)),ISNUMBER(SEARCH("thick'r",E304)),ISNUMBER(SEARCH("thick'r lawn",E304)),ISNUMBER(SEARCH("rapid grass",E304))),"Lawn Repair",
OR(ISNUMBER(SEARCH("weed",E304)),ISNUMBER(SEARCH("crabgrass",E304))),"Weed Control",
OR(ISNUMBER(SEARCH("fungicide",E304)),ISNUMBER(SEARCH("moss",E304))),"Disease &amp; Moss Control",
OR(ISNUMBER(SEARCH("plant food",E304)),ISNUMBER(SEARCH("miracid",E304))),"Plant Nutrition",
OR(ISNUMBER(SEARCH("perlite",E304))),"Soil Amendment",
OR(ISNUMBER(SEARCH("spreader",E304)),ISNUMBER(SEARCH("sprayer",E304)),ISNUMBER(SEARCH("mower",E304)),ISNUMBER(SEARCH("sweeper",E304)),ISNUMBER(SEARCH("pruner",E304)),ISNUMBER(SEARCH("trimmer",E304)),ISNUMBER(SEARCH("pole saw",E304))),"Garden Equipment",
TRUE,"Other"
)</f>
        <v>Rodent Control</v>
      </c>
      <c r="I304" s="7" t="str" cm="1">
        <f t="array" ref="I304">_xlfn.IFS(
OR(ISNUMBER(SEARCH("glue trap",E304)),ISNUMBER(SEARCH("glue board",E304))),"Glue Traps",
OR(ISNUMBER(SEARCH("snap trap",E304)),ISNUMBER(SEARCH("power-kill",E304)),ISNUMBER(SEARCH("wide pedal",E304)),ISNUMBER(SEARCH("metal pedal",E304))),"Snap Traps",
OR(ISNUMBER(SEARCH("electronic",E304)),ISNUMBER(SEARCH("zapper",E304))),"Electronic Traps",
OR(ISNUMBER(SEARCH("live catch",E304)),ISNUMBER(SEARCH("multi-catch",E304)),ISNUMBER(SEARCH("catch &amp; hold",E304)),ISNUMBER(SEARCH("tin cat",E304))),"Live Catch Traps",
OR(ISNUMBER(SEARCH("bait",E304)),ISNUMBER(SEARCH("poison",E304))),"Bait &amp; Poison",
ISNUMBER(SEARCH("repellent",E304)),"Repellents",
OR(ISNUMBER(SEARCH("fly trap",E304)),ISNUMBER(SEARCH("fly ribbon",E304)),ISNUMBER(SEARCH("fly stick",E304)),ISNUMBER(SEARCH("window fly",E304)),ISNUMBER(SEARCH("fly magnet",E304))),"Fly Traps",
OR(ISNUMBER(SEARCH("uv",E304)),ISNUMBER(SEARCH("fly light",E304)),ISNUMBER(SEARCH("plug-in",E304))),"UV Fly Traps",
ISNUMBER(SEARCH("roach",E304)),"Roach Traps",
ISNUMBER(SEARCH("ant",E304)),"Ant Traps",
ISNUMBER(SEARCH("spider",E304)),"Spider Traps",
ISNUMBER(SEARCH("mosquito",E304)),"Mosquito Traps",
ISNUMBER(SEARCH("beetle",E304)),"Beetle Traps",
ISNUMBER(SEARCH("lantern",E304)),"Lanternfly Control",
OR(ISNUMBER(SEARCH("tree shield",E304)),ISNUMBER(SEARCH("tree banding",E304)),ISNUMBER(SEARCH("insect barrier",E304))),"Tree Barriers",
OR(ISNUMBER(SEARCH("sun &amp; shade",E304)),ISNUMBER(SEARCH("sun and shade",E304))),"Sun &amp; Shade Mix",
ISNUMBER(SEARCH("tall fescue",E304)),"Tall Fescue",
ISNUMBER(SEARCH("bermudagrass",E304)),"Bermudagrass",
ISNUMBER(SEARCH("kentucky",E304)),"Kentucky Bluegrass",
ISNUMBER(SEARCH("zoysia",E304)),"Zoysia",
ISNUMBER(SEARCH("ryegrass",E304)),"Perennial Ryegrass",
ISNUMBER(SEARCH("centipede",E304)),"Centipede Grass",
ISNUMBER(SEARCH("dense shade",E304)),"Dense Shade Mix",
ISNUMBER(SEARCH("southern gold",E304)),"Southern Gold Mix",
ISNUMBER(SEARCH("heat-tolerant blue",E304)),"Heat-Tolerant Blue Mix",
ISNUMBER(SEARCH("high traffic",E304)),"High Traffic Mix",
ISNUMBER(SEARCH("quick fix",E304)),"Quick Fix Mix",
ISNUMBER(SEARCH("starter",E304)),"Starter Fertilizer",
ISNUMBER(SEARCH("weed &amp; feed",E304)),"Weed &amp; Feed",
ISNUMBER(SEARCH("lawn food",E304)),"Lawn Food",
ISNUMBER(SEARCH("triple action",E304)),"Triple Action Fertilizer",
ISNUMBER(SEARCH("green max",E304)),"Green Max Lawn Food",
ISNUMBER(SEARCH("patchmaster",E304)),"PatchMaster Repair",
ISNUMBER(SEARCH("ez seed",E304)),"EZ Seed Repair",
ISNUMBER(SEARCH("rapid grass",E304)),"Rapid Grass",
ISNUMBER(SEARCH("thick'r lawn",E304)),"Thick'R Lawn",
ISNUMBER(SEARCH("fungicide",E304)),"Fungicide",
ISNUMBER(SEARCH("moss",E304)),"Moss Control",
ISNUMBER(SEARCH("perlite",E304)),"Perlite",
ISNUMBER(SEARCH("plant food",E304)),"Plant Food",
ISNUMBER(SEARCH("spreader",E304)),"Spreader",
ISNUMBER(SEARCH("sprayer",E304)),"Sprayer",
ISNUMBER(SEARCH("mower",E304)),"Lawn Mower",
ISNUMBER(SEARCH("sweeper",E304)),"Lawn Sweeper",
OR(ISNUMBER(SEARCH("pruner",E304)),ISNUMBER(SEARCH("trimmer",E304)),ISNUMBER(SEARCH("pole saw",E304))),"Pruning Tools",
TRUE,"Other"
)</f>
        <v>Glue Traps</v>
      </c>
      <c r="J304" s="7" t="str">
        <f t="shared" si="70"/>
        <v>Rodent Control - Glue Traps</v>
      </c>
      <c r="K304" s="4">
        <v>1000</v>
      </c>
      <c r="L304" s="4">
        <v>4.5</v>
      </c>
      <c r="M304" s="4">
        <v>2887</v>
      </c>
      <c r="O304" s="4">
        <f>VLOOKUP(A304,[4]Sheet1!$A:$B,2,0)</f>
        <v>500</v>
      </c>
      <c r="P304" s="4">
        <f>VLOOKUP(A304,[4]Sheet1!$A:$C,3,0)</f>
        <v>700</v>
      </c>
      <c r="Q304" s="4">
        <f>VLOOKUP(A304,[4]Sheet1!$A:$D,4,0)</f>
        <v>800</v>
      </c>
      <c r="R304" s="4">
        <f>VLOOKUP(A304,[4]Sheet1!$A:$E,5,0)</f>
        <v>800</v>
      </c>
      <c r="S304" s="4">
        <f>VLOOKUP(A304,[4]Sheet1!$A:$F,6,0)</f>
        <v>900</v>
      </c>
      <c r="T304" s="4">
        <f>VLOOKUP(A304,[4]Sheet1!$A:$G,7,0)</f>
        <v>1000</v>
      </c>
      <c r="U304" s="4">
        <f>VLOOKUP(A304,[4]Sheet1!$A:$H,8,0)</f>
        <v>1000</v>
      </c>
      <c r="V304" s="4">
        <f>VLOOKUP(A304,[4]Sheet1!$A:$I,9,0)</f>
        <v>1000</v>
      </c>
      <c r="W304" s="4">
        <f>VLOOKUP(A304,[4]Sheet1!$A:$J,10,0)</f>
        <v>1000</v>
      </c>
      <c r="X304" s="4">
        <f>VLOOKUP(A304,[4]Sheet1!$A:$K,11,0)</f>
        <v>900</v>
      </c>
      <c r="Y304" s="4">
        <f>VLOOKUP(A304,[4]Sheet1!$A:$L,12,0)</f>
        <v>1000</v>
      </c>
      <c r="Z304" s="4">
        <f>VLOOKUP(A304,[4]Sheet1!$A:$M,13,0)</f>
        <v>600</v>
      </c>
      <c r="AA304" s="4">
        <f t="shared" si="80"/>
        <v>10200</v>
      </c>
      <c r="AB304" s="7">
        <f t="shared" si="71"/>
        <v>850</v>
      </c>
      <c r="AC304" s="15">
        <f t="shared" si="81"/>
        <v>850</v>
      </c>
      <c r="AD304" s="16">
        <f t="shared" si="82"/>
        <v>300798</v>
      </c>
      <c r="AE304" s="16">
        <f t="shared" si="83"/>
        <v>25066.5</v>
      </c>
      <c r="AF304" s="16">
        <v>7.07</v>
      </c>
      <c r="AG304" s="16">
        <v>29.49</v>
      </c>
      <c r="AH304" s="15">
        <f t="shared" si="84"/>
        <v>0.24839999999999995</v>
      </c>
      <c r="AI304" s="15">
        <f t="shared" si="85"/>
        <v>0.86939999999999984</v>
      </c>
      <c r="AJ304" s="10">
        <v>0.5</v>
      </c>
      <c r="AK304" s="10">
        <v>0.5</v>
      </c>
      <c r="AL304" s="16">
        <v>7.07</v>
      </c>
      <c r="AM304" s="9">
        <f t="shared" si="72"/>
        <v>4.4234999999999998</v>
      </c>
      <c r="AN304" s="9">
        <f t="shared" si="73"/>
        <v>0.88469999999999993</v>
      </c>
      <c r="AO304" s="9">
        <f t="shared" si="74"/>
        <v>5.8979999999999997</v>
      </c>
      <c r="AP304" s="9">
        <f t="shared" si="75"/>
        <v>0.58979999999999999</v>
      </c>
      <c r="AQ304" s="9">
        <f t="shared" si="76"/>
        <v>5.8979999999999997</v>
      </c>
      <c r="AR304" s="9">
        <f t="shared" si="77"/>
        <v>7.3724999999999996</v>
      </c>
      <c r="AS304" s="11">
        <f t="shared" si="78"/>
        <v>2.4839999999999995</v>
      </c>
      <c r="AT304" s="12">
        <f t="shared" si="79"/>
        <v>1.5009999999999994</v>
      </c>
    </row>
    <row r="305" spans="1:46" ht="16.5" x14ac:dyDescent="0.4">
      <c r="A305" s="4" t="s">
        <v>1405</v>
      </c>
      <c r="B305" s="4" t="s">
        <v>1314</v>
      </c>
      <c r="C305" s="7" t="s">
        <v>1796</v>
      </c>
      <c r="D305" s="4" t="s">
        <v>1406</v>
      </c>
      <c r="E305" s="4" t="s">
        <v>1407</v>
      </c>
      <c r="F305" s="4" t="s">
        <v>1408</v>
      </c>
      <c r="G305" s="7" t="str">
        <f>VLOOKUP(A305,[1]done!$A:$I,9,0)</f>
        <v>Rodent</v>
      </c>
      <c r="H305" s="7" t="str" cm="1">
        <f t="array" ref="H305">_xlfn.IFS(
OR(ISNUMBER(SEARCH("mouse",E305)),ISNUMBER(SEARCH("rat",E305)),ISNUMBER(SEARCH("mice",E305)),ISNUMBER(SEARCH("rodent",E305))),"Rodent Control",
OR(ISNUMBER(SEARCH("fly",E305)),ISNUMBER(SEARCH("gnat",E305)),ISNUMBER(SEARCH("insect",E305)),ISNUMBER(SEARCH("mosquito",E305))),"Flying Insect Control",
OR(ISNUMBER(SEARCH("roach",E305)),ISNUMBER(SEARCH("ant",E305)),ISNUMBER(SEARCH("spider",E305)),ISNUMBER(SEARCH("cricket",E305)),ISNUMBER(SEARCH("scorpion",E305)),ISNUMBER(SEARCH("centipede",E305)),ISNUMBER(SEARCH("beetle",E305))),"Crawling Insect Control",
OR(ISNUMBER(SEARCH("tree",E305)),ISNUMBER(SEARCH("lantern",E305)),ISNUMBER(SEARCH("garden",E305)),ISNUMBER(SEARCH("plant",E305))),"Garden Pest Control",
OR(ISNUMBER(SEARCH("grass seed",E305)),ISNUMBER(SEARCH("seed mix",E305))),"Grass Seed",
OR(ISNUMBER(SEARCH("lawn food",E305)),ISNUMBER(SEARCH("fertilizer",E305))),"Lawn Fertilizer",
OR(ISNUMBER(SEARCH("patch",E305)),ISNUMBER(SEARCH("repair",E305)),ISNUMBER(SEARCH("thick'r",E305)),ISNUMBER(SEARCH("thick'r lawn",E305)),ISNUMBER(SEARCH("rapid grass",E305))),"Lawn Repair",
OR(ISNUMBER(SEARCH("weed",E305)),ISNUMBER(SEARCH("crabgrass",E305))),"Weed Control",
OR(ISNUMBER(SEARCH("fungicide",E305)),ISNUMBER(SEARCH("moss",E305))),"Disease &amp; Moss Control",
OR(ISNUMBER(SEARCH("plant food",E305)),ISNUMBER(SEARCH("miracid",E305))),"Plant Nutrition",
OR(ISNUMBER(SEARCH("perlite",E305))),"Soil Amendment",
OR(ISNUMBER(SEARCH("spreader",E305)),ISNUMBER(SEARCH("sprayer",E305)),ISNUMBER(SEARCH("mower",E305)),ISNUMBER(SEARCH("sweeper",E305)),ISNUMBER(SEARCH("pruner",E305)),ISNUMBER(SEARCH("trimmer",E305)),ISNUMBER(SEARCH("pole saw",E305))),"Garden Equipment",
TRUE,"Other"
)</f>
        <v>Rodent Control</v>
      </c>
      <c r="I305" s="7" t="str" cm="1">
        <f t="array" ref="I305">_xlfn.IFS(
OR(ISNUMBER(SEARCH("glue trap",E305)),ISNUMBER(SEARCH("glue board",E305))),"Glue Traps",
OR(ISNUMBER(SEARCH("snap trap",E305)),ISNUMBER(SEARCH("power-kill",E305)),ISNUMBER(SEARCH("wide pedal",E305)),ISNUMBER(SEARCH("metal pedal",E305))),"Snap Traps",
OR(ISNUMBER(SEARCH("electronic",E305)),ISNUMBER(SEARCH("zapper",E305))),"Electronic Traps",
OR(ISNUMBER(SEARCH("live catch",E305)),ISNUMBER(SEARCH("multi-catch",E305)),ISNUMBER(SEARCH("catch &amp; hold",E305)),ISNUMBER(SEARCH("tin cat",E305))),"Live Catch Traps",
OR(ISNUMBER(SEARCH("bait",E305)),ISNUMBER(SEARCH("poison",E305))),"Bait &amp; Poison",
ISNUMBER(SEARCH("repellent",E305)),"Repellents",
OR(ISNUMBER(SEARCH("fly trap",E305)),ISNUMBER(SEARCH("fly ribbon",E305)),ISNUMBER(SEARCH("fly stick",E305)),ISNUMBER(SEARCH("window fly",E305)),ISNUMBER(SEARCH("fly magnet",E305))),"Fly Traps",
OR(ISNUMBER(SEARCH("uv",E305)),ISNUMBER(SEARCH("fly light",E305)),ISNUMBER(SEARCH("plug-in",E305))),"UV Fly Traps",
ISNUMBER(SEARCH("roach",E305)),"Roach Traps",
ISNUMBER(SEARCH("ant",E305)),"Ant Traps",
ISNUMBER(SEARCH("spider",E305)),"Spider Traps",
ISNUMBER(SEARCH("mosquito",E305)),"Mosquito Traps",
ISNUMBER(SEARCH("beetle",E305)),"Beetle Traps",
ISNUMBER(SEARCH("lantern",E305)),"Lanternfly Control",
OR(ISNUMBER(SEARCH("tree shield",E305)),ISNUMBER(SEARCH("tree banding",E305)),ISNUMBER(SEARCH("insect barrier",E305))),"Tree Barriers",
OR(ISNUMBER(SEARCH("sun &amp; shade",E305)),ISNUMBER(SEARCH("sun and shade",E305))),"Sun &amp; Shade Mix",
ISNUMBER(SEARCH("tall fescue",E305)),"Tall Fescue",
ISNUMBER(SEARCH("bermudagrass",E305)),"Bermudagrass",
ISNUMBER(SEARCH("kentucky",E305)),"Kentucky Bluegrass",
ISNUMBER(SEARCH("zoysia",E305)),"Zoysia",
ISNUMBER(SEARCH("ryegrass",E305)),"Perennial Ryegrass",
ISNUMBER(SEARCH("centipede",E305)),"Centipede Grass",
ISNUMBER(SEARCH("dense shade",E305)),"Dense Shade Mix",
ISNUMBER(SEARCH("southern gold",E305)),"Southern Gold Mix",
ISNUMBER(SEARCH("heat-tolerant blue",E305)),"Heat-Tolerant Blue Mix",
ISNUMBER(SEARCH("high traffic",E305)),"High Traffic Mix",
ISNUMBER(SEARCH("quick fix",E305)),"Quick Fix Mix",
ISNUMBER(SEARCH("starter",E305)),"Starter Fertilizer",
ISNUMBER(SEARCH("weed &amp; feed",E305)),"Weed &amp; Feed",
ISNUMBER(SEARCH("lawn food",E305)),"Lawn Food",
ISNUMBER(SEARCH("triple action",E305)),"Triple Action Fertilizer",
ISNUMBER(SEARCH("green max",E305)),"Green Max Lawn Food",
ISNUMBER(SEARCH("patchmaster",E305)),"PatchMaster Repair",
ISNUMBER(SEARCH("ez seed",E305)),"EZ Seed Repair",
ISNUMBER(SEARCH("rapid grass",E305)),"Rapid Grass",
ISNUMBER(SEARCH("thick'r lawn",E305)),"Thick'R Lawn",
ISNUMBER(SEARCH("fungicide",E305)),"Fungicide",
ISNUMBER(SEARCH("moss",E305)),"Moss Control",
ISNUMBER(SEARCH("perlite",E305)),"Perlite",
ISNUMBER(SEARCH("plant food",E305)),"Plant Food",
ISNUMBER(SEARCH("spreader",E305)),"Spreader",
ISNUMBER(SEARCH("sprayer",E305)),"Sprayer",
ISNUMBER(SEARCH("mower",E305)),"Lawn Mower",
ISNUMBER(SEARCH("sweeper",E305)),"Lawn Sweeper",
OR(ISNUMBER(SEARCH("pruner",E305)),ISNUMBER(SEARCH("trimmer",E305)),ISNUMBER(SEARCH("pole saw",E305))),"Pruning Tools",
TRUE,"Other"
)</f>
        <v>Bait &amp; Poison</v>
      </c>
      <c r="J305" s="7" t="str">
        <f t="shared" si="70"/>
        <v>Rodent Control - Bait &amp; Poison</v>
      </c>
      <c r="K305" s="4">
        <v>900</v>
      </c>
      <c r="L305" s="4">
        <v>4.3</v>
      </c>
      <c r="M305" s="4">
        <v>146</v>
      </c>
      <c r="N305" s="4" t="s">
        <v>1390</v>
      </c>
      <c r="O305" s="4">
        <f>VLOOKUP(A305,[4]Sheet1!$A:$B,2,0)</f>
        <v>100</v>
      </c>
      <c r="P305" s="4">
        <f>VLOOKUP(A305,[4]Sheet1!$A:$C,3,0)</f>
        <v>100</v>
      </c>
      <c r="Q305" s="4">
        <f>VLOOKUP(A305,[4]Sheet1!$A:$D,4,0)</f>
        <v>200</v>
      </c>
      <c r="R305" s="4">
        <f>VLOOKUP(A305,[4]Sheet1!$A:$E,5,0)</f>
        <v>300</v>
      </c>
      <c r="S305" s="4">
        <f>VLOOKUP(A305,[4]Sheet1!$A:$F,6,0)</f>
        <v>400</v>
      </c>
      <c r="T305" s="4">
        <f>VLOOKUP(A305,[4]Sheet1!$A:$G,7,0)</f>
        <v>500</v>
      </c>
      <c r="U305" s="4">
        <f>VLOOKUP(A305,[4]Sheet1!$A:$H,8,0)</f>
        <v>500</v>
      </c>
      <c r="V305" s="4">
        <f>VLOOKUP(A305,[4]Sheet1!$A:$I,9,0)</f>
        <v>600</v>
      </c>
      <c r="W305" s="4">
        <f>VLOOKUP(A305,[4]Sheet1!$A:$J,10,0)</f>
        <v>900</v>
      </c>
      <c r="X305" s="4">
        <f>VLOOKUP(A305,[4]Sheet1!$A:$K,11,0)</f>
        <v>200</v>
      </c>
      <c r="Y305" s="4">
        <f>VLOOKUP(A305,[4]Sheet1!$A:$L,12,0)</f>
        <v>300</v>
      </c>
      <c r="Z305" s="4">
        <f>VLOOKUP(A305,[4]Sheet1!$A:$M,13,0)</f>
        <v>200</v>
      </c>
      <c r="AA305" s="4">
        <f t="shared" si="80"/>
        <v>4300</v>
      </c>
      <c r="AB305" s="7">
        <f t="shared" si="71"/>
        <v>358</v>
      </c>
      <c r="AC305" s="15">
        <f t="shared" si="81"/>
        <v>358.33333333333331</v>
      </c>
      <c r="AD305" s="16">
        <f t="shared" si="82"/>
        <v>85871</v>
      </c>
      <c r="AE305" s="16">
        <f t="shared" si="83"/>
        <v>7155.9166666666661</v>
      </c>
      <c r="AF305" s="16">
        <v>7.38</v>
      </c>
      <c r="AG305" s="16">
        <v>19.97</v>
      </c>
      <c r="AH305" s="15">
        <f t="shared" si="84"/>
        <v>-2.6133333333333359E-2</v>
      </c>
      <c r="AI305" s="15">
        <f t="shared" si="85"/>
        <v>-9.1466666666666752E-2</v>
      </c>
      <c r="AJ305" s="10">
        <v>0.5</v>
      </c>
      <c r="AK305" s="10">
        <v>0.5</v>
      </c>
      <c r="AL305" s="16">
        <v>7.38</v>
      </c>
      <c r="AM305" s="9">
        <f t="shared" si="72"/>
        <v>2.9954999999999998</v>
      </c>
      <c r="AN305" s="9">
        <f t="shared" si="73"/>
        <v>0.59909999999999997</v>
      </c>
      <c r="AO305" s="9">
        <f t="shared" si="74"/>
        <v>3.9939999999999998</v>
      </c>
      <c r="AP305" s="9">
        <f t="shared" si="75"/>
        <v>0.39939999999999998</v>
      </c>
      <c r="AQ305" s="9">
        <f t="shared" si="76"/>
        <v>3.9939999999999998</v>
      </c>
      <c r="AR305" s="9">
        <f t="shared" si="77"/>
        <v>4.9924999999999997</v>
      </c>
      <c r="AS305" s="11">
        <f t="shared" si="78"/>
        <v>-0.26133333333333358</v>
      </c>
      <c r="AT305" s="12">
        <f t="shared" si="79"/>
        <v>-0.92700000000000016</v>
      </c>
    </row>
    <row r="306" spans="1:46" ht="16.5" x14ac:dyDescent="0.4">
      <c r="A306" s="4" t="s">
        <v>1409</v>
      </c>
      <c r="B306" s="4" t="s">
        <v>1314</v>
      </c>
      <c r="C306" s="7" t="s">
        <v>1796</v>
      </c>
      <c r="D306" s="4" t="s">
        <v>1410</v>
      </c>
      <c r="E306" s="4" t="s">
        <v>1411</v>
      </c>
      <c r="F306" s="4" t="s">
        <v>1412</v>
      </c>
      <c r="G306" s="7" t="str">
        <f>VLOOKUP(A306,[1]done!$A:$I,9,0)</f>
        <v>Mole Repellent</v>
      </c>
      <c r="H306" s="7" t="str" cm="1">
        <f t="array" ref="H306">_xlfn.IFS(
OR(ISNUMBER(SEARCH("mouse",E306)),ISNUMBER(SEARCH("rat",E306)),ISNUMBER(SEARCH("mice",E306)),ISNUMBER(SEARCH("rodent",E306))),"Rodent Control",
OR(ISNUMBER(SEARCH("fly",E306)),ISNUMBER(SEARCH("gnat",E306)),ISNUMBER(SEARCH("insect",E306)),ISNUMBER(SEARCH("mosquito",E306))),"Flying Insect Control",
OR(ISNUMBER(SEARCH("roach",E306)),ISNUMBER(SEARCH("ant",E306)),ISNUMBER(SEARCH("spider",E306)),ISNUMBER(SEARCH("cricket",E306)),ISNUMBER(SEARCH("scorpion",E306)),ISNUMBER(SEARCH("centipede",E306)),ISNUMBER(SEARCH("beetle",E306))),"Crawling Insect Control",
OR(ISNUMBER(SEARCH("tree",E306)),ISNUMBER(SEARCH("lantern",E306)),ISNUMBER(SEARCH("garden",E306)),ISNUMBER(SEARCH("plant",E306))),"Garden Pest Control",
OR(ISNUMBER(SEARCH("grass seed",E306)),ISNUMBER(SEARCH("seed mix",E306))),"Grass Seed",
OR(ISNUMBER(SEARCH("lawn food",E306)),ISNUMBER(SEARCH("fertilizer",E306))),"Lawn Fertilizer",
OR(ISNUMBER(SEARCH("patch",E306)),ISNUMBER(SEARCH("repair",E306)),ISNUMBER(SEARCH("thick'r",E306)),ISNUMBER(SEARCH("thick'r lawn",E306)),ISNUMBER(SEARCH("rapid grass",E306))),"Lawn Repair",
OR(ISNUMBER(SEARCH("weed",E306)),ISNUMBER(SEARCH("crabgrass",E306))),"Weed Control",
OR(ISNUMBER(SEARCH("fungicide",E306)),ISNUMBER(SEARCH("moss",E306))),"Disease &amp; Moss Control",
OR(ISNUMBER(SEARCH("plant food",E306)),ISNUMBER(SEARCH("miracid",E306))),"Plant Nutrition",
OR(ISNUMBER(SEARCH("perlite",E306))),"Soil Amendment",
OR(ISNUMBER(SEARCH("spreader",E306)),ISNUMBER(SEARCH("sprayer",E306)),ISNUMBER(SEARCH("mower",E306)),ISNUMBER(SEARCH("sweeper",E306)),ISNUMBER(SEARCH("pruner",E306)),ISNUMBER(SEARCH("trimmer",E306)),ISNUMBER(SEARCH("pole saw",E306))),"Garden Equipment",
TRUE,"Other"
)</f>
        <v>Other</v>
      </c>
      <c r="I306" s="7" t="str" cm="1">
        <f t="array" ref="I306">_xlfn.IFS(
OR(ISNUMBER(SEARCH("glue trap",E306)),ISNUMBER(SEARCH("glue board",E306))),"Glue Traps",
OR(ISNUMBER(SEARCH("snap trap",E306)),ISNUMBER(SEARCH("power-kill",E306)),ISNUMBER(SEARCH("wide pedal",E306)),ISNUMBER(SEARCH("metal pedal",E306))),"Snap Traps",
OR(ISNUMBER(SEARCH("electronic",E306)),ISNUMBER(SEARCH("zapper",E306))),"Electronic Traps",
OR(ISNUMBER(SEARCH("live catch",E306)),ISNUMBER(SEARCH("multi-catch",E306)),ISNUMBER(SEARCH("catch &amp; hold",E306)),ISNUMBER(SEARCH("tin cat",E306))),"Live Catch Traps",
OR(ISNUMBER(SEARCH("bait",E306)),ISNUMBER(SEARCH("poison",E306))),"Bait &amp; Poison",
ISNUMBER(SEARCH("repellent",E306)),"Repellents",
OR(ISNUMBER(SEARCH("fly trap",E306)),ISNUMBER(SEARCH("fly ribbon",E306)),ISNUMBER(SEARCH("fly stick",E306)),ISNUMBER(SEARCH("window fly",E306)),ISNUMBER(SEARCH("fly magnet",E306))),"Fly Traps",
OR(ISNUMBER(SEARCH("uv",E306)),ISNUMBER(SEARCH("fly light",E306)),ISNUMBER(SEARCH("plug-in",E306))),"UV Fly Traps",
ISNUMBER(SEARCH("roach",E306)),"Roach Traps",
ISNUMBER(SEARCH("ant",E306)),"Ant Traps",
ISNUMBER(SEARCH("spider",E306)),"Spider Traps",
ISNUMBER(SEARCH("mosquito",E306)),"Mosquito Traps",
ISNUMBER(SEARCH("beetle",E306)),"Beetle Traps",
ISNUMBER(SEARCH("lantern",E306)),"Lanternfly Control",
OR(ISNUMBER(SEARCH("tree shield",E306)),ISNUMBER(SEARCH("tree banding",E306)),ISNUMBER(SEARCH("insect barrier",E306))),"Tree Barriers",
OR(ISNUMBER(SEARCH("sun &amp; shade",E306)),ISNUMBER(SEARCH("sun and shade",E306))),"Sun &amp; Shade Mix",
ISNUMBER(SEARCH("tall fescue",E306)),"Tall Fescue",
ISNUMBER(SEARCH("bermudagrass",E306)),"Bermudagrass",
ISNUMBER(SEARCH("kentucky",E306)),"Kentucky Bluegrass",
ISNUMBER(SEARCH("zoysia",E306)),"Zoysia",
ISNUMBER(SEARCH("ryegrass",E306)),"Perennial Ryegrass",
ISNUMBER(SEARCH("centipede",E306)),"Centipede Grass",
ISNUMBER(SEARCH("dense shade",E306)),"Dense Shade Mix",
ISNUMBER(SEARCH("southern gold",E306)),"Southern Gold Mix",
ISNUMBER(SEARCH("heat-tolerant blue",E306)),"Heat-Tolerant Blue Mix",
ISNUMBER(SEARCH("high traffic",E306)),"High Traffic Mix",
ISNUMBER(SEARCH("quick fix",E306)),"Quick Fix Mix",
ISNUMBER(SEARCH("starter",E306)),"Starter Fertilizer",
ISNUMBER(SEARCH("weed &amp; feed",E306)),"Weed &amp; Feed",
ISNUMBER(SEARCH("lawn food",E306)),"Lawn Food",
ISNUMBER(SEARCH("triple action",E306)),"Triple Action Fertilizer",
ISNUMBER(SEARCH("green max",E306)),"Green Max Lawn Food",
ISNUMBER(SEARCH("patchmaster",E306)),"PatchMaster Repair",
ISNUMBER(SEARCH("ez seed",E306)),"EZ Seed Repair",
ISNUMBER(SEARCH("rapid grass",E306)),"Rapid Grass",
ISNUMBER(SEARCH("thick'r lawn",E306)),"Thick'R Lawn",
ISNUMBER(SEARCH("fungicide",E306)),"Fungicide",
ISNUMBER(SEARCH("moss",E306)),"Moss Control",
ISNUMBER(SEARCH("perlite",E306)),"Perlite",
ISNUMBER(SEARCH("plant food",E306)),"Plant Food",
ISNUMBER(SEARCH("spreader",E306)),"Spreader",
ISNUMBER(SEARCH("sprayer",E306)),"Sprayer",
ISNUMBER(SEARCH("mower",E306)),"Lawn Mower",
ISNUMBER(SEARCH("sweeper",E306)),"Lawn Sweeper",
OR(ISNUMBER(SEARCH("pruner",E306)),ISNUMBER(SEARCH("trimmer",E306)),ISNUMBER(SEARCH("pole saw",E306))),"Pruning Tools",
TRUE,"Other"
)</f>
        <v>Other</v>
      </c>
      <c r="J306" s="7" t="str">
        <f t="shared" si="70"/>
        <v>Other - Other</v>
      </c>
      <c r="K306" s="4">
        <v>800</v>
      </c>
      <c r="L306" s="4">
        <v>3.4</v>
      </c>
      <c r="M306" s="4">
        <v>3719</v>
      </c>
      <c r="N306" s="4" t="s">
        <v>1390</v>
      </c>
      <c r="O306" s="4">
        <f>VLOOKUP(A306,[4]Sheet1!$A:$B,2,0)</f>
        <v>400</v>
      </c>
      <c r="P306" s="4">
        <f>VLOOKUP(A306,[4]Sheet1!$A:$C,3,0)</f>
        <v>300</v>
      </c>
      <c r="Q306" s="4">
        <f>VLOOKUP(A306,[4]Sheet1!$A:$D,4,0)</f>
        <v>600</v>
      </c>
      <c r="R306" s="4">
        <f>VLOOKUP(A306,[4]Sheet1!$A:$E,5,0)</f>
        <v>700</v>
      </c>
      <c r="S306" s="4">
        <f>VLOOKUP(A306,[4]Sheet1!$A:$F,6,0)</f>
        <v>500</v>
      </c>
      <c r="T306" s="4">
        <f>VLOOKUP(A306,[4]Sheet1!$A:$G,7,0)</f>
        <v>800</v>
      </c>
      <c r="U306" s="4">
        <f>VLOOKUP(A306,[4]Sheet1!$A:$H,8,0)</f>
        <v>800</v>
      </c>
      <c r="V306" s="4">
        <f>VLOOKUP(A306,[4]Sheet1!$A:$I,9,0)</f>
        <v>500</v>
      </c>
      <c r="W306" s="4">
        <f>VLOOKUP(A306,[4]Sheet1!$A:$J,10,0)</f>
        <v>500</v>
      </c>
      <c r="X306" s="4">
        <f>VLOOKUP(A306,[4]Sheet1!$A:$K,11,0)</f>
        <v>700</v>
      </c>
      <c r="Y306" s="4">
        <f>VLOOKUP(A306,[4]Sheet1!$A:$L,12,0)</f>
        <v>600</v>
      </c>
      <c r="Z306" s="4">
        <f>VLOOKUP(A306,[4]Sheet1!$A:$M,13,0)</f>
        <v>300</v>
      </c>
      <c r="AA306" s="4">
        <f t="shared" si="80"/>
        <v>6700</v>
      </c>
      <c r="AB306" s="7">
        <f t="shared" si="71"/>
        <v>558</v>
      </c>
      <c r="AC306" s="15">
        <f t="shared" si="81"/>
        <v>558.33333333333337</v>
      </c>
      <c r="AD306" s="16">
        <f t="shared" si="82"/>
        <v>180766</v>
      </c>
      <c r="AE306" s="16">
        <f t="shared" si="83"/>
        <v>15063.833333333334</v>
      </c>
      <c r="AF306" s="16">
        <v>7.3</v>
      </c>
      <c r="AG306" s="16">
        <v>26.98</v>
      </c>
      <c r="AH306" s="15">
        <f t="shared" si="84"/>
        <v>0.16613333333333324</v>
      </c>
      <c r="AI306" s="15">
        <f t="shared" si="85"/>
        <v>0.58146666666666624</v>
      </c>
      <c r="AJ306" s="10">
        <v>0.5</v>
      </c>
      <c r="AK306" s="10">
        <v>0.5</v>
      </c>
      <c r="AL306" s="16">
        <v>7.3</v>
      </c>
      <c r="AM306" s="9">
        <f t="shared" si="72"/>
        <v>4.0469999999999997</v>
      </c>
      <c r="AN306" s="9">
        <f t="shared" si="73"/>
        <v>0.80940000000000001</v>
      </c>
      <c r="AO306" s="9">
        <f t="shared" si="74"/>
        <v>5.3960000000000008</v>
      </c>
      <c r="AP306" s="9">
        <f t="shared" si="75"/>
        <v>0.53959999999999997</v>
      </c>
      <c r="AQ306" s="9">
        <f t="shared" si="76"/>
        <v>5.3960000000000008</v>
      </c>
      <c r="AR306" s="9">
        <f t="shared" si="77"/>
        <v>6.7450000000000001</v>
      </c>
      <c r="AS306" s="11">
        <f t="shared" si="78"/>
        <v>1.6613333333333322</v>
      </c>
      <c r="AT306" s="12">
        <f t="shared" si="79"/>
        <v>0.76199999999999923</v>
      </c>
    </row>
    <row r="307" spans="1:46" ht="16.5" x14ac:dyDescent="0.4">
      <c r="A307" s="4" t="s">
        <v>1413</v>
      </c>
      <c r="B307" s="4" t="s">
        <v>1314</v>
      </c>
      <c r="C307" s="7" t="s">
        <v>1796</v>
      </c>
      <c r="D307" s="4" t="s">
        <v>1414</v>
      </c>
      <c r="E307" s="4" t="s">
        <v>1415</v>
      </c>
      <c r="F307" s="4" t="s">
        <v>1416</v>
      </c>
      <c r="G307" s="7" t="str">
        <f>VLOOKUP(A307,[1]done!$A:$I,9,0)</f>
        <v>Rodent</v>
      </c>
      <c r="H307" s="7" t="str" cm="1">
        <f t="array" ref="H307">_xlfn.IFS(
OR(ISNUMBER(SEARCH("mouse",E307)),ISNUMBER(SEARCH("rat",E307)),ISNUMBER(SEARCH("mice",E307)),ISNUMBER(SEARCH("rodent",E307))),"Rodent Control",
OR(ISNUMBER(SEARCH("fly",E307)),ISNUMBER(SEARCH("gnat",E307)),ISNUMBER(SEARCH("insect",E307)),ISNUMBER(SEARCH("mosquito",E307))),"Flying Insect Control",
OR(ISNUMBER(SEARCH("roach",E307)),ISNUMBER(SEARCH("ant",E307)),ISNUMBER(SEARCH("spider",E307)),ISNUMBER(SEARCH("cricket",E307)),ISNUMBER(SEARCH("scorpion",E307)),ISNUMBER(SEARCH("centipede",E307)),ISNUMBER(SEARCH("beetle",E307))),"Crawling Insect Control",
OR(ISNUMBER(SEARCH("tree",E307)),ISNUMBER(SEARCH("lantern",E307)),ISNUMBER(SEARCH("garden",E307)),ISNUMBER(SEARCH("plant",E307))),"Garden Pest Control",
OR(ISNUMBER(SEARCH("grass seed",E307)),ISNUMBER(SEARCH("seed mix",E307))),"Grass Seed",
OR(ISNUMBER(SEARCH("lawn food",E307)),ISNUMBER(SEARCH("fertilizer",E307))),"Lawn Fertilizer",
OR(ISNUMBER(SEARCH("patch",E307)),ISNUMBER(SEARCH("repair",E307)),ISNUMBER(SEARCH("thick'r",E307)),ISNUMBER(SEARCH("thick'r lawn",E307)),ISNUMBER(SEARCH("rapid grass",E307))),"Lawn Repair",
OR(ISNUMBER(SEARCH("weed",E307)),ISNUMBER(SEARCH("crabgrass",E307))),"Weed Control",
OR(ISNUMBER(SEARCH("fungicide",E307)),ISNUMBER(SEARCH("moss",E307))),"Disease &amp; Moss Control",
OR(ISNUMBER(SEARCH("plant food",E307)),ISNUMBER(SEARCH("miracid",E307))),"Plant Nutrition",
OR(ISNUMBER(SEARCH("perlite",E307))),"Soil Amendment",
OR(ISNUMBER(SEARCH("spreader",E307)),ISNUMBER(SEARCH("sprayer",E307)),ISNUMBER(SEARCH("mower",E307)),ISNUMBER(SEARCH("sweeper",E307)),ISNUMBER(SEARCH("pruner",E307)),ISNUMBER(SEARCH("trimmer",E307)),ISNUMBER(SEARCH("pole saw",E307))),"Garden Equipment",
TRUE,"Other"
)</f>
        <v>Rodent Control</v>
      </c>
      <c r="I307" s="7" t="str" cm="1">
        <f t="array" ref="I307">_xlfn.IFS(
OR(ISNUMBER(SEARCH("glue trap",E307)),ISNUMBER(SEARCH("glue board",E307))),"Glue Traps",
OR(ISNUMBER(SEARCH("snap trap",E307)),ISNUMBER(SEARCH("power-kill",E307)),ISNUMBER(SEARCH("wide pedal",E307)),ISNUMBER(SEARCH("metal pedal",E307))),"Snap Traps",
OR(ISNUMBER(SEARCH("electronic",E307)),ISNUMBER(SEARCH("zapper",E307))),"Electronic Traps",
OR(ISNUMBER(SEARCH("live catch",E307)),ISNUMBER(SEARCH("multi-catch",E307)),ISNUMBER(SEARCH("catch &amp; hold",E307)),ISNUMBER(SEARCH("tin cat",E307))),"Live Catch Traps",
OR(ISNUMBER(SEARCH("bait",E307)),ISNUMBER(SEARCH("poison",E307))),"Bait &amp; Poison",
ISNUMBER(SEARCH("repellent",E307)),"Repellents",
OR(ISNUMBER(SEARCH("fly trap",E307)),ISNUMBER(SEARCH("fly ribbon",E307)),ISNUMBER(SEARCH("fly stick",E307)),ISNUMBER(SEARCH("window fly",E307)),ISNUMBER(SEARCH("fly magnet",E307))),"Fly Traps",
OR(ISNUMBER(SEARCH("uv",E307)),ISNUMBER(SEARCH("fly light",E307)),ISNUMBER(SEARCH("plug-in",E307))),"UV Fly Traps",
ISNUMBER(SEARCH("roach",E307)),"Roach Traps",
ISNUMBER(SEARCH("ant",E307)),"Ant Traps",
ISNUMBER(SEARCH("spider",E307)),"Spider Traps",
ISNUMBER(SEARCH("mosquito",E307)),"Mosquito Traps",
ISNUMBER(SEARCH("beetle",E307)),"Beetle Traps",
ISNUMBER(SEARCH("lantern",E307)),"Lanternfly Control",
OR(ISNUMBER(SEARCH("tree shield",E307)),ISNUMBER(SEARCH("tree banding",E307)),ISNUMBER(SEARCH("insect barrier",E307))),"Tree Barriers",
OR(ISNUMBER(SEARCH("sun &amp; shade",E307)),ISNUMBER(SEARCH("sun and shade",E307))),"Sun &amp; Shade Mix",
ISNUMBER(SEARCH("tall fescue",E307)),"Tall Fescue",
ISNUMBER(SEARCH("bermudagrass",E307)),"Bermudagrass",
ISNUMBER(SEARCH("kentucky",E307)),"Kentucky Bluegrass",
ISNUMBER(SEARCH("zoysia",E307)),"Zoysia",
ISNUMBER(SEARCH("ryegrass",E307)),"Perennial Ryegrass",
ISNUMBER(SEARCH("centipede",E307)),"Centipede Grass",
ISNUMBER(SEARCH("dense shade",E307)),"Dense Shade Mix",
ISNUMBER(SEARCH("southern gold",E307)),"Southern Gold Mix",
ISNUMBER(SEARCH("heat-tolerant blue",E307)),"Heat-Tolerant Blue Mix",
ISNUMBER(SEARCH("high traffic",E307)),"High Traffic Mix",
ISNUMBER(SEARCH("quick fix",E307)),"Quick Fix Mix",
ISNUMBER(SEARCH("starter",E307)),"Starter Fertilizer",
ISNUMBER(SEARCH("weed &amp; feed",E307)),"Weed &amp; Feed",
ISNUMBER(SEARCH("lawn food",E307)),"Lawn Food",
ISNUMBER(SEARCH("triple action",E307)),"Triple Action Fertilizer",
ISNUMBER(SEARCH("green max",E307)),"Green Max Lawn Food",
ISNUMBER(SEARCH("patchmaster",E307)),"PatchMaster Repair",
ISNUMBER(SEARCH("ez seed",E307)),"EZ Seed Repair",
ISNUMBER(SEARCH("rapid grass",E307)),"Rapid Grass",
ISNUMBER(SEARCH("thick'r lawn",E307)),"Thick'R Lawn",
ISNUMBER(SEARCH("fungicide",E307)),"Fungicide",
ISNUMBER(SEARCH("moss",E307)),"Moss Control",
ISNUMBER(SEARCH("perlite",E307)),"Perlite",
ISNUMBER(SEARCH("plant food",E307)),"Plant Food",
ISNUMBER(SEARCH("spreader",E307)),"Spreader",
ISNUMBER(SEARCH("sprayer",E307)),"Sprayer",
ISNUMBER(SEARCH("mower",E307)),"Lawn Mower",
ISNUMBER(SEARCH("sweeper",E307)),"Lawn Sweeper",
OR(ISNUMBER(SEARCH("pruner",E307)),ISNUMBER(SEARCH("trimmer",E307)),ISNUMBER(SEARCH("pole saw",E307))),"Pruning Tools",
TRUE,"Other"
)</f>
        <v>Repellents</v>
      </c>
      <c r="J307" s="7" t="str">
        <f t="shared" si="70"/>
        <v>Rodent Control - Repellents</v>
      </c>
      <c r="K307" s="4">
        <v>700</v>
      </c>
      <c r="L307" s="4">
        <v>3.9</v>
      </c>
      <c r="M307" s="4">
        <v>3212</v>
      </c>
      <c r="N307" s="4" t="s">
        <v>114</v>
      </c>
      <c r="O307" s="4">
        <f>VLOOKUP(A307,[4]Sheet1!$A:$B,2,0)</f>
        <v>500</v>
      </c>
      <c r="P307" s="4">
        <f>VLOOKUP(A307,[4]Sheet1!$A:$C,3,0)</f>
        <v>400</v>
      </c>
      <c r="Q307" s="4">
        <f>VLOOKUP(A307,[4]Sheet1!$A:$D,4,0)</f>
        <v>100</v>
      </c>
      <c r="R307" s="4">
        <f>VLOOKUP(A307,[4]Sheet1!$A:$E,5,0)</f>
        <v>300</v>
      </c>
      <c r="S307" s="4">
        <f>VLOOKUP(A307,[4]Sheet1!$A:$F,6,0)</f>
        <v>500</v>
      </c>
      <c r="T307" s="4">
        <f>VLOOKUP(A307,[4]Sheet1!$A:$G,7,0)</f>
        <v>500</v>
      </c>
      <c r="U307" s="4">
        <f>VLOOKUP(A307,[4]Sheet1!$A:$H,8,0)</f>
        <v>400</v>
      </c>
      <c r="V307" s="4">
        <f>VLOOKUP(A307,[4]Sheet1!$A:$I,9,0)</f>
        <v>500</v>
      </c>
      <c r="W307" s="4">
        <f>VLOOKUP(A307,[4]Sheet1!$A:$J,10,0)</f>
        <v>600</v>
      </c>
      <c r="X307" s="4">
        <f>VLOOKUP(A307,[4]Sheet1!$A:$K,11,0)</f>
        <v>400</v>
      </c>
      <c r="Y307" s="4">
        <f>VLOOKUP(A307,[4]Sheet1!$A:$L,12,0)</f>
        <v>600</v>
      </c>
      <c r="Z307" s="4">
        <f>VLOOKUP(A307,[4]Sheet1!$A:$M,13,0)</f>
        <v>300</v>
      </c>
      <c r="AA307" s="4">
        <f t="shared" si="80"/>
        <v>5100</v>
      </c>
      <c r="AB307" s="7">
        <f t="shared" si="71"/>
        <v>425</v>
      </c>
      <c r="AC307" s="15">
        <f t="shared" si="81"/>
        <v>425</v>
      </c>
      <c r="AD307" s="16">
        <f t="shared" si="82"/>
        <v>197574</v>
      </c>
      <c r="AE307" s="16">
        <f t="shared" si="83"/>
        <v>16464.5</v>
      </c>
      <c r="AF307" s="16">
        <v>4.3499999999999996</v>
      </c>
      <c r="AG307" s="16">
        <v>38.74</v>
      </c>
      <c r="AH307" s="15">
        <f t="shared" si="84"/>
        <v>0.67639999999999989</v>
      </c>
      <c r="AI307" s="15">
        <f t="shared" si="85"/>
        <v>2.3673999999999995</v>
      </c>
      <c r="AJ307" s="10">
        <v>0.5</v>
      </c>
      <c r="AK307" s="10">
        <v>0.5</v>
      </c>
      <c r="AL307" s="16">
        <v>4.3499999999999996</v>
      </c>
      <c r="AM307" s="9">
        <f t="shared" si="72"/>
        <v>5.8109999999999999</v>
      </c>
      <c r="AN307" s="9">
        <f t="shared" si="73"/>
        <v>1.1622000000000001</v>
      </c>
      <c r="AO307" s="9">
        <f t="shared" si="74"/>
        <v>7.7480000000000011</v>
      </c>
      <c r="AP307" s="9">
        <f t="shared" si="75"/>
        <v>0.77480000000000004</v>
      </c>
      <c r="AQ307" s="9">
        <f t="shared" si="76"/>
        <v>7.7480000000000011</v>
      </c>
      <c r="AR307" s="9">
        <f t="shared" si="77"/>
        <v>9.6850000000000005</v>
      </c>
      <c r="AS307" s="11">
        <f t="shared" si="78"/>
        <v>6.7639999999999985</v>
      </c>
      <c r="AT307" s="12">
        <f t="shared" si="79"/>
        <v>5.4726666666666652</v>
      </c>
    </row>
    <row r="308" spans="1:46" ht="16.5" x14ac:dyDescent="0.4">
      <c r="A308" s="4" t="s">
        <v>1417</v>
      </c>
      <c r="B308" s="4" t="s">
        <v>1314</v>
      </c>
      <c r="C308" s="7" t="s">
        <v>1314</v>
      </c>
      <c r="D308" s="4" t="s">
        <v>1418</v>
      </c>
      <c r="E308" s="4" t="s">
        <v>1419</v>
      </c>
      <c r="F308" s="4" t="s">
        <v>1420</v>
      </c>
      <c r="G308" s="7" t="str">
        <f>VLOOKUP(A308,[1]done!$A:$I,9,0)</f>
        <v>Rodent</v>
      </c>
      <c r="H308" s="7" t="str" cm="1">
        <f t="array" ref="H308">_xlfn.IFS(
OR(ISNUMBER(SEARCH("mouse",E308)),ISNUMBER(SEARCH("rat",E308)),ISNUMBER(SEARCH("mice",E308)),ISNUMBER(SEARCH("rodent",E308))),"Rodent Control",
OR(ISNUMBER(SEARCH("fly",E308)),ISNUMBER(SEARCH("gnat",E308)),ISNUMBER(SEARCH("insect",E308)),ISNUMBER(SEARCH("mosquito",E308))),"Flying Insect Control",
OR(ISNUMBER(SEARCH("roach",E308)),ISNUMBER(SEARCH("ant",E308)),ISNUMBER(SEARCH("spider",E308)),ISNUMBER(SEARCH("cricket",E308)),ISNUMBER(SEARCH("scorpion",E308)),ISNUMBER(SEARCH("centipede",E308)),ISNUMBER(SEARCH("beetle",E308))),"Crawling Insect Control",
OR(ISNUMBER(SEARCH("tree",E308)),ISNUMBER(SEARCH("lantern",E308)),ISNUMBER(SEARCH("garden",E308)),ISNUMBER(SEARCH("plant",E308))),"Garden Pest Control",
OR(ISNUMBER(SEARCH("grass seed",E308)),ISNUMBER(SEARCH("seed mix",E308))),"Grass Seed",
OR(ISNUMBER(SEARCH("lawn food",E308)),ISNUMBER(SEARCH("fertilizer",E308))),"Lawn Fertilizer",
OR(ISNUMBER(SEARCH("patch",E308)),ISNUMBER(SEARCH("repair",E308)),ISNUMBER(SEARCH("thick'r",E308)),ISNUMBER(SEARCH("thick'r lawn",E308)),ISNUMBER(SEARCH("rapid grass",E308))),"Lawn Repair",
OR(ISNUMBER(SEARCH("weed",E308)),ISNUMBER(SEARCH("crabgrass",E308))),"Weed Control",
OR(ISNUMBER(SEARCH("fungicide",E308)),ISNUMBER(SEARCH("moss",E308))),"Disease &amp; Moss Control",
OR(ISNUMBER(SEARCH("plant food",E308)),ISNUMBER(SEARCH("miracid",E308))),"Plant Nutrition",
OR(ISNUMBER(SEARCH("perlite",E308))),"Soil Amendment",
OR(ISNUMBER(SEARCH("spreader",E308)),ISNUMBER(SEARCH("sprayer",E308)),ISNUMBER(SEARCH("mower",E308)),ISNUMBER(SEARCH("sweeper",E308)),ISNUMBER(SEARCH("pruner",E308)),ISNUMBER(SEARCH("trimmer",E308)),ISNUMBER(SEARCH("pole saw",E308))),"Garden Equipment",
TRUE,"Other"
)</f>
        <v>Rodent Control</v>
      </c>
      <c r="I308" s="7" t="str" cm="1">
        <f t="array" ref="I308">_xlfn.IFS(
OR(ISNUMBER(SEARCH("glue trap",E308)),ISNUMBER(SEARCH("glue board",E308))),"Glue Traps",
OR(ISNUMBER(SEARCH("snap trap",E308)),ISNUMBER(SEARCH("power-kill",E308)),ISNUMBER(SEARCH("wide pedal",E308)),ISNUMBER(SEARCH("metal pedal",E308))),"Snap Traps",
OR(ISNUMBER(SEARCH("electronic",E308)),ISNUMBER(SEARCH("zapper",E308))),"Electronic Traps",
OR(ISNUMBER(SEARCH("live catch",E308)),ISNUMBER(SEARCH("multi-catch",E308)),ISNUMBER(SEARCH("catch &amp; hold",E308)),ISNUMBER(SEARCH("tin cat",E308))),"Live Catch Traps",
OR(ISNUMBER(SEARCH("bait",E308)),ISNUMBER(SEARCH("poison",E308))),"Bait &amp; Poison",
ISNUMBER(SEARCH("repellent",E308)),"Repellents",
OR(ISNUMBER(SEARCH("fly trap",E308)),ISNUMBER(SEARCH("fly ribbon",E308)),ISNUMBER(SEARCH("fly stick",E308)),ISNUMBER(SEARCH("window fly",E308)),ISNUMBER(SEARCH("fly magnet",E308))),"Fly Traps",
OR(ISNUMBER(SEARCH("uv",E308)),ISNUMBER(SEARCH("fly light",E308)),ISNUMBER(SEARCH("plug-in",E308))),"UV Fly Traps",
ISNUMBER(SEARCH("roach",E308)),"Roach Traps",
ISNUMBER(SEARCH("ant",E308)),"Ant Traps",
ISNUMBER(SEARCH("spider",E308)),"Spider Traps",
ISNUMBER(SEARCH("mosquito",E308)),"Mosquito Traps",
ISNUMBER(SEARCH("beetle",E308)),"Beetle Traps",
ISNUMBER(SEARCH("lantern",E308)),"Lanternfly Control",
OR(ISNUMBER(SEARCH("tree shield",E308)),ISNUMBER(SEARCH("tree banding",E308)),ISNUMBER(SEARCH("insect barrier",E308))),"Tree Barriers",
OR(ISNUMBER(SEARCH("sun &amp; shade",E308)),ISNUMBER(SEARCH("sun and shade",E308))),"Sun &amp; Shade Mix",
ISNUMBER(SEARCH("tall fescue",E308)),"Tall Fescue",
ISNUMBER(SEARCH("bermudagrass",E308)),"Bermudagrass",
ISNUMBER(SEARCH("kentucky",E308)),"Kentucky Bluegrass",
ISNUMBER(SEARCH("zoysia",E308)),"Zoysia",
ISNUMBER(SEARCH("ryegrass",E308)),"Perennial Ryegrass",
ISNUMBER(SEARCH("centipede",E308)),"Centipede Grass",
ISNUMBER(SEARCH("dense shade",E308)),"Dense Shade Mix",
ISNUMBER(SEARCH("southern gold",E308)),"Southern Gold Mix",
ISNUMBER(SEARCH("heat-tolerant blue",E308)),"Heat-Tolerant Blue Mix",
ISNUMBER(SEARCH("high traffic",E308)),"High Traffic Mix",
ISNUMBER(SEARCH("quick fix",E308)),"Quick Fix Mix",
ISNUMBER(SEARCH("starter",E308)),"Starter Fertilizer",
ISNUMBER(SEARCH("weed &amp; feed",E308)),"Weed &amp; Feed",
ISNUMBER(SEARCH("lawn food",E308)),"Lawn Food",
ISNUMBER(SEARCH("triple action",E308)),"Triple Action Fertilizer",
ISNUMBER(SEARCH("green max",E308)),"Green Max Lawn Food",
ISNUMBER(SEARCH("patchmaster",E308)),"PatchMaster Repair",
ISNUMBER(SEARCH("ez seed",E308)),"EZ Seed Repair",
ISNUMBER(SEARCH("rapid grass",E308)),"Rapid Grass",
ISNUMBER(SEARCH("thick'r lawn",E308)),"Thick'R Lawn",
ISNUMBER(SEARCH("fungicide",E308)),"Fungicide",
ISNUMBER(SEARCH("moss",E308)),"Moss Control",
ISNUMBER(SEARCH("perlite",E308)),"Perlite",
ISNUMBER(SEARCH("plant food",E308)),"Plant Food",
ISNUMBER(SEARCH("spreader",E308)),"Spreader",
ISNUMBER(SEARCH("sprayer",E308)),"Sprayer",
ISNUMBER(SEARCH("mower",E308)),"Lawn Mower",
ISNUMBER(SEARCH("sweeper",E308)),"Lawn Sweeper",
OR(ISNUMBER(SEARCH("pruner",E308)),ISNUMBER(SEARCH("trimmer",E308)),ISNUMBER(SEARCH("pole saw",E308))),"Pruning Tools",
TRUE,"Other"
)</f>
        <v>Ant Traps</v>
      </c>
      <c r="J308" s="7" t="str">
        <f t="shared" si="70"/>
        <v>Rodent Control - Ant Traps</v>
      </c>
      <c r="K308" s="4">
        <v>600</v>
      </c>
      <c r="L308" s="4">
        <v>3.9</v>
      </c>
      <c r="M308" s="4">
        <v>2934</v>
      </c>
      <c r="N308" s="4" t="s">
        <v>1202</v>
      </c>
      <c r="O308" s="4">
        <f>VLOOKUP(A308,[4]Sheet1!$A:$B,2,0)</f>
        <v>500</v>
      </c>
      <c r="P308" s="4">
        <f>VLOOKUP(A308,[4]Sheet1!$A:$C,3,0)</f>
        <v>500</v>
      </c>
      <c r="Q308" s="4">
        <f>VLOOKUP(A308,[4]Sheet1!$A:$D,4,0)</f>
        <v>500</v>
      </c>
      <c r="R308" s="4">
        <f>VLOOKUP(A308,[4]Sheet1!$A:$E,5,0)</f>
        <v>800</v>
      </c>
      <c r="S308" s="4">
        <f>VLOOKUP(A308,[4]Sheet1!$A:$F,6,0)</f>
        <v>1000</v>
      </c>
      <c r="T308" s="4">
        <f>VLOOKUP(A308,[4]Sheet1!$A:$G,7,0)</f>
        <v>900</v>
      </c>
      <c r="U308" s="4">
        <f>VLOOKUP(A308,[4]Sheet1!$A:$H,8,0)</f>
        <v>800</v>
      </c>
      <c r="V308" s="4">
        <f>VLOOKUP(A308,[4]Sheet1!$A:$I,9,0)</f>
        <v>800</v>
      </c>
      <c r="W308" s="4">
        <f>VLOOKUP(A308,[4]Sheet1!$A:$J,10,0)</f>
        <v>700</v>
      </c>
      <c r="X308" s="4">
        <f>VLOOKUP(A308,[4]Sheet1!$A:$K,11,0)</f>
        <v>600</v>
      </c>
      <c r="Y308" s="4">
        <f>VLOOKUP(A308,[4]Sheet1!$A:$L,12,0)</f>
        <v>700</v>
      </c>
      <c r="Z308" s="4">
        <f>VLOOKUP(A308,[4]Sheet1!$A:$M,13,0)</f>
        <v>500</v>
      </c>
      <c r="AA308" s="4">
        <f t="shared" si="80"/>
        <v>8300</v>
      </c>
      <c r="AB308" s="7">
        <f t="shared" si="71"/>
        <v>692</v>
      </c>
      <c r="AC308" s="15">
        <f t="shared" si="81"/>
        <v>691.66666666666663</v>
      </c>
      <c r="AD308" s="16">
        <f t="shared" si="82"/>
        <v>123670</v>
      </c>
      <c r="AE308" s="16">
        <f t="shared" si="83"/>
        <v>10305.833333333332</v>
      </c>
      <c r="AF308" s="16">
        <v>4.3499999999999996</v>
      </c>
      <c r="AG308" s="16">
        <v>14.9</v>
      </c>
      <c r="AH308" s="15">
        <f t="shared" si="84"/>
        <v>4.0666666666666629E-2</v>
      </c>
      <c r="AI308" s="15">
        <f t="shared" si="85"/>
        <v>0.1423333333333332</v>
      </c>
      <c r="AJ308" s="10">
        <v>0.5</v>
      </c>
      <c r="AK308" s="10">
        <v>0.5</v>
      </c>
      <c r="AL308" s="16">
        <v>4.3499999999999996</v>
      </c>
      <c r="AM308" s="9">
        <f t="shared" si="72"/>
        <v>2.2349999999999999</v>
      </c>
      <c r="AN308" s="9">
        <f t="shared" si="73"/>
        <v>0.44700000000000001</v>
      </c>
      <c r="AO308" s="9">
        <f t="shared" si="74"/>
        <v>2.9800000000000004</v>
      </c>
      <c r="AP308" s="9">
        <f t="shared" si="75"/>
        <v>0.29799999999999999</v>
      </c>
      <c r="AQ308" s="9">
        <f t="shared" si="76"/>
        <v>2.9800000000000004</v>
      </c>
      <c r="AR308" s="9">
        <f t="shared" si="77"/>
        <v>3.7250000000000001</v>
      </c>
      <c r="AS308" s="11">
        <f t="shared" si="78"/>
        <v>0.40666666666666629</v>
      </c>
      <c r="AT308" s="12">
        <f t="shared" si="79"/>
        <v>-9.0000000000000149E-2</v>
      </c>
    </row>
    <row r="309" spans="1:46" ht="16.5" x14ac:dyDescent="0.4">
      <c r="A309" s="4" t="s">
        <v>1421</v>
      </c>
      <c r="B309" s="4" t="s">
        <v>1314</v>
      </c>
      <c r="C309" s="7" t="s">
        <v>1796</v>
      </c>
      <c r="D309" s="4" t="s">
        <v>1422</v>
      </c>
      <c r="E309" s="4" t="s">
        <v>1423</v>
      </c>
      <c r="F309" s="4" t="s">
        <v>1424</v>
      </c>
      <c r="G309" s="7" t="str">
        <f>VLOOKUP(A309,[1]done!$A:$I,9,0)</f>
        <v>Rodent</v>
      </c>
      <c r="H309" s="7" t="str" cm="1">
        <f t="array" ref="H309">_xlfn.IFS(
OR(ISNUMBER(SEARCH("mouse",E309)),ISNUMBER(SEARCH("rat",E309)),ISNUMBER(SEARCH("mice",E309)),ISNUMBER(SEARCH("rodent",E309))),"Rodent Control",
OR(ISNUMBER(SEARCH("fly",E309)),ISNUMBER(SEARCH("gnat",E309)),ISNUMBER(SEARCH("insect",E309)),ISNUMBER(SEARCH("mosquito",E309))),"Flying Insect Control",
OR(ISNUMBER(SEARCH("roach",E309)),ISNUMBER(SEARCH("ant",E309)),ISNUMBER(SEARCH("spider",E309)),ISNUMBER(SEARCH("cricket",E309)),ISNUMBER(SEARCH("scorpion",E309)),ISNUMBER(SEARCH("centipede",E309)),ISNUMBER(SEARCH("beetle",E309))),"Crawling Insect Control",
OR(ISNUMBER(SEARCH("tree",E309)),ISNUMBER(SEARCH("lantern",E309)),ISNUMBER(SEARCH("garden",E309)),ISNUMBER(SEARCH("plant",E309))),"Garden Pest Control",
OR(ISNUMBER(SEARCH("grass seed",E309)),ISNUMBER(SEARCH("seed mix",E309))),"Grass Seed",
OR(ISNUMBER(SEARCH("lawn food",E309)),ISNUMBER(SEARCH("fertilizer",E309))),"Lawn Fertilizer",
OR(ISNUMBER(SEARCH("patch",E309)),ISNUMBER(SEARCH("repair",E309)),ISNUMBER(SEARCH("thick'r",E309)),ISNUMBER(SEARCH("thick'r lawn",E309)),ISNUMBER(SEARCH("rapid grass",E309))),"Lawn Repair",
OR(ISNUMBER(SEARCH("weed",E309)),ISNUMBER(SEARCH("crabgrass",E309))),"Weed Control",
OR(ISNUMBER(SEARCH("fungicide",E309)),ISNUMBER(SEARCH("moss",E309))),"Disease &amp; Moss Control",
OR(ISNUMBER(SEARCH("plant food",E309)),ISNUMBER(SEARCH("miracid",E309))),"Plant Nutrition",
OR(ISNUMBER(SEARCH("perlite",E309))),"Soil Amendment",
OR(ISNUMBER(SEARCH("spreader",E309)),ISNUMBER(SEARCH("sprayer",E309)),ISNUMBER(SEARCH("mower",E309)),ISNUMBER(SEARCH("sweeper",E309)),ISNUMBER(SEARCH("pruner",E309)),ISNUMBER(SEARCH("trimmer",E309)),ISNUMBER(SEARCH("pole saw",E309))),"Garden Equipment",
TRUE,"Other"
)</f>
        <v>Rodent Control</v>
      </c>
      <c r="I309" s="7" t="str" cm="1">
        <f t="array" ref="I309">_xlfn.IFS(
OR(ISNUMBER(SEARCH("glue trap",E309)),ISNUMBER(SEARCH("glue board",E309))),"Glue Traps",
OR(ISNUMBER(SEARCH("snap trap",E309)),ISNUMBER(SEARCH("power-kill",E309)),ISNUMBER(SEARCH("wide pedal",E309)),ISNUMBER(SEARCH("metal pedal",E309))),"Snap Traps",
OR(ISNUMBER(SEARCH("electronic",E309)),ISNUMBER(SEARCH("zapper",E309))),"Electronic Traps",
OR(ISNUMBER(SEARCH("live catch",E309)),ISNUMBER(SEARCH("multi-catch",E309)),ISNUMBER(SEARCH("catch &amp; hold",E309)),ISNUMBER(SEARCH("tin cat",E309))),"Live Catch Traps",
OR(ISNUMBER(SEARCH("bait",E309)),ISNUMBER(SEARCH("poison",E309))),"Bait &amp; Poison",
ISNUMBER(SEARCH("repellent",E309)),"Repellents",
OR(ISNUMBER(SEARCH("fly trap",E309)),ISNUMBER(SEARCH("fly ribbon",E309)),ISNUMBER(SEARCH("fly stick",E309)),ISNUMBER(SEARCH("window fly",E309)),ISNUMBER(SEARCH("fly magnet",E309))),"Fly Traps",
OR(ISNUMBER(SEARCH("uv",E309)),ISNUMBER(SEARCH("fly light",E309)),ISNUMBER(SEARCH("plug-in",E309))),"UV Fly Traps",
ISNUMBER(SEARCH("roach",E309)),"Roach Traps",
ISNUMBER(SEARCH("ant",E309)),"Ant Traps",
ISNUMBER(SEARCH("spider",E309)),"Spider Traps",
ISNUMBER(SEARCH("mosquito",E309)),"Mosquito Traps",
ISNUMBER(SEARCH("beetle",E309)),"Beetle Traps",
ISNUMBER(SEARCH("lantern",E309)),"Lanternfly Control",
OR(ISNUMBER(SEARCH("tree shield",E309)),ISNUMBER(SEARCH("tree banding",E309)),ISNUMBER(SEARCH("insect barrier",E309))),"Tree Barriers",
OR(ISNUMBER(SEARCH("sun &amp; shade",E309)),ISNUMBER(SEARCH("sun and shade",E309))),"Sun &amp; Shade Mix",
ISNUMBER(SEARCH("tall fescue",E309)),"Tall Fescue",
ISNUMBER(SEARCH("bermudagrass",E309)),"Bermudagrass",
ISNUMBER(SEARCH("kentucky",E309)),"Kentucky Bluegrass",
ISNUMBER(SEARCH("zoysia",E309)),"Zoysia",
ISNUMBER(SEARCH("ryegrass",E309)),"Perennial Ryegrass",
ISNUMBER(SEARCH("centipede",E309)),"Centipede Grass",
ISNUMBER(SEARCH("dense shade",E309)),"Dense Shade Mix",
ISNUMBER(SEARCH("southern gold",E309)),"Southern Gold Mix",
ISNUMBER(SEARCH("heat-tolerant blue",E309)),"Heat-Tolerant Blue Mix",
ISNUMBER(SEARCH("high traffic",E309)),"High Traffic Mix",
ISNUMBER(SEARCH("quick fix",E309)),"Quick Fix Mix",
ISNUMBER(SEARCH("starter",E309)),"Starter Fertilizer",
ISNUMBER(SEARCH("weed &amp; feed",E309)),"Weed &amp; Feed",
ISNUMBER(SEARCH("lawn food",E309)),"Lawn Food",
ISNUMBER(SEARCH("triple action",E309)),"Triple Action Fertilizer",
ISNUMBER(SEARCH("green max",E309)),"Green Max Lawn Food",
ISNUMBER(SEARCH("patchmaster",E309)),"PatchMaster Repair",
ISNUMBER(SEARCH("ez seed",E309)),"EZ Seed Repair",
ISNUMBER(SEARCH("rapid grass",E309)),"Rapid Grass",
ISNUMBER(SEARCH("thick'r lawn",E309)),"Thick'R Lawn",
ISNUMBER(SEARCH("fungicide",E309)),"Fungicide",
ISNUMBER(SEARCH("moss",E309)),"Moss Control",
ISNUMBER(SEARCH("perlite",E309)),"Perlite",
ISNUMBER(SEARCH("plant food",E309)),"Plant Food",
ISNUMBER(SEARCH("spreader",E309)),"Spreader",
ISNUMBER(SEARCH("sprayer",E309)),"Sprayer",
ISNUMBER(SEARCH("mower",E309)),"Lawn Mower",
ISNUMBER(SEARCH("sweeper",E309)),"Lawn Sweeper",
OR(ISNUMBER(SEARCH("pruner",E309)),ISNUMBER(SEARCH("trimmer",E309)),ISNUMBER(SEARCH("pole saw",E309))),"Pruning Tools",
TRUE,"Other"
)</f>
        <v>Electronic Traps</v>
      </c>
      <c r="J309" s="7" t="str">
        <f t="shared" si="70"/>
        <v>Rodent Control - Electronic Traps</v>
      </c>
      <c r="K309" s="4">
        <v>500</v>
      </c>
      <c r="L309" s="4">
        <v>3.8</v>
      </c>
      <c r="M309" s="4">
        <v>11588</v>
      </c>
      <c r="N309" s="4" t="s">
        <v>193</v>
      </c>
      <c r="O309" s="4">
        <f>VLOOKUP(A309,[4]Sheet1!$A:$B,2,0)</f>
        <v>0</v>
      </c>
      <c r="P309" s="4">
        <f>VLOOKUP(A309,[4]Sheet1!$A:$C,3,0)</f>
        <v>0</v>
      </c>
      <c r="Q309" s="4">
        <f>VLOOKUP(A309,[4]Sheet1!$A:$D,4,0)</f>
        <v>300</v>
      </c>
      <c r="R309" s="4">
        <f>VLOOKUP(A309,[4]Sheet1!$A:$E,5,0)</f>
        <v>400</v>
      </c>
      <c r="S309" s="4">
        <f>VLOOKUP(A309,[4]Sheet1!$A:$F,6,0)</f>
        <v>500</v>
      </c>
      <c r="T309" s="4">
        <f>VLOOKUP(A309,[4]Sheet1!$A:$G,7,0)</f>
        <v>600</v>
      </c>
      <c r="U309" s="4">
        <f>VLOOKUP(A309,[4]Sheet1!$A:$H,8,0)</f>
        <v>600</v>
      </c>
      <c r="V309" s="4">
        <f>VLOOKUP(A309,[4]Sheet1!$A:$I,9,0)</f>
        <v>600</v>
      </c>
      <c r="W309" s="4">
        <f>VLOOKUP(A309,[4]Sheet1!$A:$J,10,0)</f>
        <v>500</v>
      </c>
      <c r="X309" s="4">
        <f>VLOOKUP(A309,[4]Sheet1!$A:$K,11,0)</f>
        <v>0</v>
      </c>
      <c r="Y309" s="4">
        <f>VLOOKUP(A309,[4]Sheet1!$A:$L,12,0)</f>
        <v>0</v>
      </c>
      <c r="Z309" s="4">
        <f>VLOOKUP(A309,[4]Sheet1!$A:$M,13,0)</f>
        <v>0</v>
      </c>
      <c r="AA309" s="4">
        <f t="shared" si="80"/>
        <v>3500</v>
      </c>
      <c r="AB309" s="7">
        <f t="shared" si="71"/>
        <v>292</v>
      </c>
      <c r="AC309" s="15">
        <f t="shared" si="81"/>
        <v>291.66666666666669</v>
      </c>
      <c r="AD309" s="16">
        <f t="shared" si="82"/>
        <v>192815</v>
      </c>
      <c r="AE309" s="16">
        <f t="shared" si="83"/>
        <v>16067.916666666668</v>
      </c>
      <c r="AF309" s="16">
        <v>6.03</v>
      </c>
      <c r="AG309" s="16">
        <v>55.09</v>
      </c>
      <c r="AH309" s="15">
        <f t="shared" si="84"/>
        <v>1.0004</v>
      </c>
      <c r="AI309" s="15">
        <f t="shared" si="85"/>
        <v>3.5013999999999994</v>
      </c>
      <c r="AJ309" s="10">
        <v>0.5</v>
      </c>
      <c r="AK309" s="10">
        <v>0.5</v>
      </c>
      <c r="AL309" s="16">
        <v>6.03</v>
      </c>
      <c r="AM309" s="9">
        <f t="shared" si="72"/>
        <v>8.2635000000000005</v>
      </c>
      <c r="AN309" s="9">
        <f t="shared" si="73"/>
        <v>1.6527000000000001</v>
      </c>
      <c r="AO309" s="9">
        <f t="shared" si="74"/>
        <v>11.018000000000001</v>
      </c>
      <c r="AP309" s="9">
        <f t="shared" si="75"/>
        <v>1.1018000000000001</v>
      </c>
      <c r="AQ309" s="9">
        <f t="shared" si="76"/>
        <v>11.018000000000001</v>
      </c>
      <c r="AR309" s="9">
        <f t="shared" si="77"/>
        <v>13.772500000000001</v>
      </c>
      <c r="AS309" s="11">
        <f t="shared" si="78"/>
        <v>10.004</v>
      </c>
      <c r="AT309" s="12">
        <f t="shared" si="79"/>
        <v>8.1676666666666673</v>
      </c>
    </row>
    <row r="310" spans="1:46" ht="16.5" x14ac:dyDescent="0.4">
      <c r="A310" s="4" t="s">
        <v>1425</v>
      </c>
      <c r="B310" s="4" t="s">
        <v>1314</v>
      </c>
      <c r="C310" s="7" t="s">
        <v>1796</v>
      </c>
      <c r="D310" s="4" t="s">
        <v>1426</v>
      </c>
      <c r="E310" s="4" t="s">
        <v>1427</v>
      </c>
      <c r="F310" s="4" t="s">
        <v>1428</v>
      </c>
      <c r="G310" s="7" t="str">
        <f>VLOOKUP(A310,[1]done!$A:$I,9,0)</f>
        <v>Mole Repellent</v>
      </c>
      <c r="H310" s="7" t="str" cm="1">
        <f t="array" ref="H310">_xlfn.IFS(
OR(ISNUMBER(SEARCH("mouse",E310)),ISNUMBER(SEARCH("rat",E310)),ISNUMBER(SEARCH("mice",E310)),ISNUMBER(SEARCH("rodent",E310))),"Rodent Control",
OR(ISNUMBER(SEARCH("fly",E310)),ISNUMBER(SEARCH("gnat",E310)),ISNUMBER(SEARCH("insect",E310)),ISNUMBER(SEARCH("mosquito",E310))),"Flying Insect Control",
OR(ISNUMBER(SEARCH("roach",E310)),ISNUMBER(SEARCH("ant",E310)),ISNUMBER(SEARCH("spider",E310)),ISNUMBER(SEARCH("cricket",E310)),ISNUMBER(SEARCH("scorpion",E310)),ISNUMBER(SEARCH("centipede",E310)),ISNUMBER(SEARCH("beetle",E310))),"Crawling Insect Control",
OR(ISNUMBER(SEARCH("tree",E310)),ISNUMBER(SEARCH("lantern",E310)),ISNUMBER(SEARCH("garden",E310)),ISNUMBER(SEARCH("plant",E310))),"Garden Pest Control",
OR(ISNUMBER(SEARCH("grass seed",E310)),ISNUMBER(SEARCH("seed mix",E310))),"Grass Seed",
OR(ISNUMBER(SEARCH("lawn food",E310)),ISNUMBER(SEARCH("fertilizer",E310))),"Lawn Fertilizer",
OR(ISNUMBER(SEARCH("patch",E310)),ISNUMBER(SEARCH("repair",E310)),ISNUMBER(SEARCH("thick'r",E310)),ISNUMBER(SEARCH("thick'r lawn",E310)),ISNUMBER(SEARCH("rapid grass",E310))),"Lawn Repair",
OR(ISNUMBER(SEARCH("weed",E310)),ISNUMBER(SEARCH("crabgrass",E310))),"Weed Control",
OR(ISNUMBER(SEARCH("fungicide",E310)),ISNUMBER(SEARCH("moss",E310))),"Disease &amp; Moss Control",
OR(ISNUMBER(SEARCH("plant food",E310)),ISNUMBER(SEARCH("miracid",E310))),"Plant Nutrition",
OR(ISNUMBER(SEARCH("perlite",E310))),"Soil Amendment",
OR(ISNUMBER(SEARCH("spreader",E310)),ISNUMBER(SEARCH("sprayer",E310)),ISNUMBER(SEARCH("mower",E310)),ISNUMBER(SEARCH("sweeper",E310)),ISNUMBER(SEARCH("pruner",E310)),ISNUMBER(SEARCH("trimmer",E310)),ISNUMBER(SEARCH("pole saw",E310))),"Garden Equipment",
TRUE,"Other"
)</f>
        <v>Other</v>
      </c>
      <c r="I310" s="7" t="str" cm="1">
        <f t="array" ref="I310">_xlfn.IFS(
OR(ISNUMBER(SEARCH("glue trap",E310)),ISNUMBER(SEARCH("glue board",E310))),"Glue Traps",
OR(ISNUMBER(SEARCH("snap trap",E310)),ISNUMBER(SEARCH("power-kill",E310)),ISNUMBER(SEARCH("wide pedal",E310)),ISNUMBER(SEARCH("metal pedal",E310))),"Snap Traps",
OR(ISNUMBER(SEARCH("electronic",E310)),ISNUMBER(SEARCH("zapper",E310))),"Electronic Traps",
OR(ISNUMBER(SEARCH("live catch",E310)),ISNUMBER(SEARCH("multi-catch",E310)),ISNUMBER(SEARCH("catch &amp; hold",E310)),ISNUMBER(SEARCH("tin cat",E310))),"Live Catch Traps",
OR(ISNUMBER(SEARCH("bait",E310)),ISNUMBER(SEARCH("poison",E310))),"Bait &amp; Poison",
ISNUMBER(SEARCH("repellent",E310)),"Repellents",
OR(ISNUMBER(SEARCH("fly trap",E310)),ISNUMBER(SEARCH("fly ribbon",E310)),ISNUMBER(SEARCH("fly stick",E310)),ISNUMBER(SEARCH("window fly",E310)),ISNUMBER(SEARCH("fly magnet",E310))),"Fly Traps",
OR(ISNUMBER(SEARCH("uv",E310)),ISNUMBER(SEARCH("fly light",E310)),ISNUMBER(SEARCH("plug-in",E310))),"UV Fly Traps",
ISNUMBER(SEARCH("roach",E310)),"Roach Traps",
ISNUMBER(SEARCH("ant",E310)),"Ant Traps",
ISNUMBER(SEARCH("spider",E310)),"Spider Traps",
ISNUMBER(SEARCH("mosquito",E310)),"Mosquito Traps",
ISNUMBER(SEARCH("beetle",E310)),"Beetle Traps",
ISNUMBER(SEARCH("lantern",E310)),"Lanternfly Control",
OR(ISNUMBER(SEARCH("tree shield",E310)),ISNUMBER(SEARCH("tree banding",E310)),ISNUMBER(SEARCH("insect barrier",E310))),"Tree Barriers",
OR(ISNUMBER(SEARCH("sun &amp; shade",E310)),ISNUMBER(SEARCH("sun and shade",E310))),"Sun &amp; Shade Mix",
ISNUMBER(SEARCH("tall fescue",E310)),"Tall Fescue",
ISNUMBER(SEARCH("bermudagrass",E310)),"Bermudagrass",
ISNUMBER(SEARCH("kentucky",E310)),"Kentucky Bluegrass",
ISNUMBER(SEARCH("zoysia",E310)),"Zoysia",
ISNUMBER(SEARCH("ryegrass",E310)),"Perennial Ryegrass",
ISNUMBER(SEARCH("centipede",E310)),"Centipede Grass",
ISNUMBER(SEARCH("dense shade",E310)),"Dense Shade Mix",
ISNUMBER(SEARCH("southern gold",E310)),"Southern Gold Mix",
ISNUMBER(SEARCH("heat-tolerant blue",E310)),"Heat-Tolerant Blue Mix",
ISNUMBER(SEARCH("high traffic",E310)),"High Traffic Mix",
ISNUMBER(SEARCH("quick fix",E310)),"Quick Fix Mix",
ISNUMBER(SEARCH("starter",E310)),"Starter Fertilizer",
ISNUMBER(SEARCH("weed &amp; feed",E310)),"Weed &amp; Feed",
ISNUMBER(SEARCH("lawn food",E310)),"Lawn Food",
ISNUMBER(SEARCH("triple action",E310)),"Triple Action Fertilizer",
ISNUMBER(SEARCH("green max",E310)),"Green Max Lawn Food",
ISNUMBER(SEARCH("patchmaster",E310)),"PatchMaster Repair",
ISNUMBER(SEARCH("ez seed",E310)),"EZ Seed Repair",
ISNUMBER(SEARCH("rapid grass",E310)),"Rapid Grass",
ISNUMBER(SEARCH("thick'r lawn",E310)),"Thick'R Lawn",
ISNUMBER(SEARCH("fungicide",E310)),"Fungicide",
ISNUMBER(SEARCH("moss",E310)),"Moss Control",
ISNUMBER(SEARCH("perlite",E310)),"Perlite",
ISNUMBER(SEARCH("plant food",E310)),"Plant Food",
ISNUMBER(SEARCH("spreader",E310)),"Spreader",
ISNUMBER(SEARCH("sprayer",E310)),"Sprayer",
ISNUMBER(SEARCH("mower",E310)),"Lawn Mower",
ISNUMBER(SEARCH("sweeper",E310)),"Lawn Sweeper",
OR(ISNUMBER(SEARCH("pruner",E310)),ISNUMBER(SEARCH("trimmer",E310)),ISNUMBER(SEARCH("pole saw",E310))),"Pruning Tools",
TRUE,"Other"
)</f>
        <v>Repellents</v>
      </c>
      <c r="J310" s="7" t="str">
        <f t="shared" si="70"/>
        <v>Other - Repellents</v>
      </c>
      <c r="K310" s="4">
        <v>500</v>
      </c>
      <c r="L310" s="4">
        <v>3.7</v>
      </c>
      <c r="M310" s="4">
        <v>1499</v>
      </c>
      <c r="N310" s="4" t="s">
        <v>1429</v>
      </c>
      <c r="O310" s="4">
        <f>VLOOKUP(A310,[4]Sheet1!$A:$B,2,0)</f>
        <v>200</v>
      </c>
      <c r="P310" s="4">
        <f>VLOOKUP(A310,[4]Sheet1!$A:$C,3,0)</f>
        <v>200</v>
      </c>
      <c r="Q310" s="4">
        <f>VLOOKUP(A310,[4]Sheet1!$A:$D,4,0)</f>
        <v>400</v>
      </c>
      <c r="R310" s="4">
        <f>VLOOKUP(A310,[4]Sheet1!$A:$E,5,0)</f>
        <v>400</v>
      </c>
      <c r="S310" s="4">
        <f>VLOOKUP(A310,[4]Sheet1!$A:$F,6,0)</f>
        <v>500</v>
      </c>
      <c r="T310" s="4">
        <f>VLOOKUP(A310,[4]Sheet1!$A:$G,7,0)</f>
        <v>400</v>
      </c>
      <c r="U310" s="4">
        <f>VLOOKUP(A310,[4]Sheet1!$A:$H,8,0)</f>
        <v>300</v>
      </c>
      <c r="V310" s="4">
        <f>VLOOKUP(A310,[4]Sheet1!$A:$I,9,0)</f>
        <v>400</v>
      </c>
      <c r="W310" s="4">
        <f>VLOOKUP(A310,[4]Sheet1!$A:$J,10,0)</f>
        <v>400</v>
      </c>
      <c r="X310" s="4">
        <f>VLOOKUP(A310,[4]Sheet1!$A:$K,11,0)</f>
        <v>600</v>
      </c>
      <c r="Y310" s="4">
        <f>VLOOKUP(A310,[4]Sheet1!$A:$L,12,0)</f>
        <v>500</v>
      </c>
      <c r="Z310" s="4">
        <f>VLOOKUP(A310,[4]Sheet1!$A:$M,13,0)</f>
        <v>300</v>
      </c>
      <c r="AA310" s="4">
        <f t="shared" si="80"/>
        <v>4600</v>
      </c>
      <c r="AB310" s="7">
        <f t="shared" si="71"/>
        <v>383</v>
      </c>
      <c r="AC310" s="15">
        <f t="shared" si="81"/>
        <v>383.33333333333331</v>
      </c>
      <c r="AD310" s="16">
        <f t="shared" si="82"/>
        <v>108008</v>
      </c>
      <c r="AE310" s="16">
        <f t="shared" si="83"/>
        <v>9000.6666666666661</v>
      </c>
      <c r="AF310" s="16">
        <v>9.6199999999999992</v>
      </c>
      <c r="AG310" s="16">
        <v>23.48</v>
      </c>
      <c r="AH310" s="15">
        <f t="shared" si="84"/>
        <v>-8.1866666666666713E-2</v>
      </c>
      <c r="AI310" s="15">
        <f t="shared" si="85"/>
        <v>-0.28653333333333347</v>
      </c>
      <c r="AJ310" s="10">
        <v>0.5</v>
      </c>
      <c r="AK310" s="10">
        <v>0.5</v>
      </c>
      <c r="AL310" s="16">
        <v>9.6199999999999992</v>
      </c>
      <c r="AM310" s="9">
        <f t="shared" si="72"/>
        <v>3.5219999999999998</v>
      </c>
      <c r="AN310" s="9">
        <f t="shared" si="73"/>
        <v>0.70440000000000003</v>
      </c>
      <c r="AO310" s="9">
        <f t="shared" si="74"/>
        <v>4.6960000000000006</v>
      </c>
      <c r="AP310" s="9">
        <f t="shared" si="75"/>
        <v>0.46960000000000002</v>
      </c>
      <c r="AQ310" s="9">
        <f t="shared" si="76"/>
        <v>4.6960000000000006</v>
      </c>
      <c r="AR310" s="9">
        <f t="shared" si="77"/>
        <v>5.87</v>
      </c>
      <c r="AS310" s="11">
        <f t="shared" si="78"/>
        <v>-0.8186666666666671</v>
      </c>
      <c r="AT310" s="12">
        <f t="shared" si="79"/>
        <v>-1.6013333333333335</v>
      </c>
    </row>
    <row r="311" spans="1:46" ht="16.5" x14ac:dyDescent="0.4">
      <c r="A311" s="4" t="s">
        <v>1430</v>
      </c>
      <c r="B311" s="4" t="s">
        <v>1314</v>
      </c>
      <c r="C311" s="7" t="s">
        <v>1796</v>
      </c>
      <c r="D311" s="4" t="s">
        <v>1431</v>
      </c>
      <c r="E311" s="4" t="s">
        <v>1432</v>
      </c>
      <c r="F311" s="4" t="s">
        <v>1433</v>
      </c>
      <c r="G311" s="7" t="str">
        <f>VLOOKUP(A311,[1]done!$A:$I,9,0)</f>
        <v>Rodent</v>
      </c>
      <c r="H311" s="7" t="str" cm="1">
        <f t="array" ref="H311">_xlfn.IFS(
OR(ISNUMBER(SEARCH("mouse",E311)),ISNUMBER(SEARCH("rat",E311)),ISNUMBER(SEARCH("mice",E311)),ISNUMBER(SEARCH("rodent",E311))),"Rodent Control",
OR(ISNUMBER(SEARCH("fly",E311)),ISNUMBER(SEARCH("gnat",E311)),ISNUMBER(SEARCH("insect",E311)),ISNUMBER(SEARCH("mosquito",E311))),"Flying Insect Control",
OR(ISNUMBER(SEARCH("roach",E311)),ISNUMBER(SEARCH("ant",E311)),ISNUMBER(SEARCH("spider",E311)),ISNUMBER(SEARCH("cricket",E311)),ISNUMBER(SEARCH("scorpion",E311)),ISNUMBER(SEARCH("centipede",E311)),ISNUMBER(SEARCH("beetle",E311))),"Crawling Insect Control",
OR(ISNUMBER(SEARCH("tree",E311)),ISNUMBER(SEARCH("lantern",E311)),ISNUMBER(SEARCH("garden",E311)),ISNUMBER(SEARCH("plant",E311))),"Garden Pest Control",
OR(ISNUMBER(SEARCH("grass seed",E311)),ISNUMBER(SEARCH("seed mix",E311))),"Grass Seed",
OR(ISNUMBER(SEARCH("lawn food",E311)),ISNUMBER(SEARCH("fertilizer",E311))),"Lawn Fertilizer",
OR(ISNUMBER(SEARCH("patch",E311)),ISNUMBER(SEARCH("repair",E311)),ISNUMBER(SEARCH("thick'r",E311)),ISNUMBER(SEARCH("thick'r lawn",E311)),ISNUMBER(SEARCH("rapid grass",E311))),"Lawn Repair",
OR(ISNUMBER(SEARCH("weed",E311)),ISNUMBER(SEARCH("crabgrass",E311))),"Weed Control",
OR(ISNUMBER(SEARCH("fungicide",E311)),ISNUMBER(SEARCH("moss",E311))),"Disease &amp; Moss Control",
OR(ISNUMBER(SEARCH("plant food",E311)),ISNUMBER(SEARCH("miracid",E311))),"Plant Nutrition",
OR(ISNUMBER(SEARCH("perlite",E311))),"Soil Amendment",
OR(ISNUMBER(SEARCH("spreader",E311)),ISNUMBER(SEARCH("sprayer",E311)),ISNUMBER(SEARCH("mower",E311)),ISNUMBER(SEARCH("sweeper",E311)),ISNUMBER(SEARCH("pruner",E311)),ISNUMBER(SEARCH("trimmer",E311)),ISNUMBER(SEARCH("pole saw",E311))),"Garden Equipment",
TRUE,"Other"
)</f>
        <v>Rodent Control</v>
      </c>
      <c r="I311" s="7" t="str" cm="1">
        <f t="array" ref="I311">_xlfn.IFS(
OR(ISNUMBER(SEARCH("glue trap",E311)),ISNUMBER(SEARCH("glue board",E311))),"Glue Traps",
OR(ISNUMBER(SEARCH("snap trap",E311)),ISNUMBER(SEARCH("power-kill",E311)),ISNUMBER(SEARCH("wide pedal",E311)),ISNUMBER(SEARCH("metal pedal",E311))),"Snap Traps",
OR(ISNUMBER(SEARCH("electronic",E311)),ISNUMBER(SEARCH("zapper",E311))),"Electronic Traps",
OR(ISNUMBER(SEARCH("live catch",E311)),ISNUMBER(SEARCH("multi-catch",E311)),ISNUMBER(SEARCH("catch &amp; hold",E311)),ISNUMBER(SEARCH("tin cat",E311))),"Live Catch Traps",
OR(ISNUMBER(SEARCH("bait",E311)),ISNUMBER(SEARCH("poison",E311))),"Bait &amp; Poison",
ISNUMBER(SEARCH("repellent",E311)),"Repellents",
OR(ISNUMBER(SEARCH("fly trap",E311)),ISNUMBER(SEARCH("fly ribbon",E311)),ISNUMBER(SEARCH("fly stick",E311)),ISNUMBER(SEARCH("window fly",E311)),ISNUMBER(SEARCH("fly magnet",E311))),"Fly Traps",
OR(ISNUMBER(SEARCH("uv",E311)),ISNUMBER(SEARCH("fly light",E311)),ISNUMBER(SEARCH("plug-in",E311))),"UV Fly Traps",
ISNUMBER(SEARCH("roach",E311)),"Roach Traps",
ISNUMBER(SEARCH("ant",E311)),"Ant Traps",
ISNUMBER(SEARCH("spider",E311)),"Spider Traps",
ISNUMBER(SEARCH("mosquito",E311)),"Mosquito Traps",
ISNUMBER(SEARCH("beetle",E311)),"Beetle Traps",
ISNUMBER(SEARCH("lantern",E311)),"Lanternfly Control",
OR(ISNUMBER(SEARCH("tree shield",E311)),ISNUMBER(SEARCH("tree banding",E311)),ISNUMBER(SEARCH("insect barrier",E311))),"Tree Barriers",
OR(ISNUMBER(SEARCH("sun &amp; shade",E311)),ISNUMBER(SEARCH("sun and shade",E311))),"Sun &amp; Shade Mix",
ISNUMBER(SEARCH("tall fescue",E311)),"Tall Fescue",
ISNUMBER(SEARCH("bermudagrass",E311)),"Bermudagrass",
ISNUMBER(SEARCH("kentucky",E311)),"Kentucky Bluegrass",
ISNUMBER(SEARCH("zoysia",E311)),"Zoysia",
ISNUMBER(SEARCH("ryegrass",E311)),"Perennial Ryegrass",
ISNUMBER(SEARCH("centipede",E311)),"Centipede Grass",
ISNUMBER(SEARCH("dense shade",E311)),"Dense Shade Mix",
ISNUMBER(SEARCH("southern gold",E311)),"Southern Gold Mix",
ISNUMBER(SEARCH("heat-tolerant blue",E311)),"Heat-Tolerant Blue Mix",
ISNUMBER(SEARCH("high traffic",E311)),"High Traffic Mix",
ISNUMBER(SEARCH("quick fix",E311)),"Quick Fix Mix",
ISNUMBER(SEARCH("starter",E311)),"Starter Fertilizer",
ISNUMBER(SEARCH("weed &amp; feed",E311)),"Weed &amp; Feed",
ISNUMBER(SEARCH("lawn food",E311)),"Lawn Food",
ISNUMBER(SEARCH("triple action",E311)),"Triple Action Fertilizer",
ISNUMBER(SEARCH("green max",E311)),"Green Max Lawn Food",
ISNUMBER(SEARCH("patchmaster",E311)),"PatchMaster Repair",
ISNUMBER(SEARCH("ez seed",E311)),"EZ Seed Repair",
ISNUMBER(SEARCH("rapid grass",E311)),"Rapid Grass",
ISNUMBER(SEARCH("thick'r lawn",E311)),"Thick'R Lawn",
ISNUMBER(SEARCH("fungicide",E311)),"Fungicide",
ISNUMBER(SEARCH("moss",E311)),"Moss Control",
ISNUMBER(SEARCH("perlite",E311)),"Perlite",
ISNUMBER(SEARCH("plant food",E311)),"Plant Food",
ISNUMBER(SEARCH("spreader",E311)),"Spreader",
ISNUMBER(SEARCH("sprayer",E311)),"Sprayer",
ISNUMBER(SEARCH("mower",E311)),"Lawn Mower",
ISNUMBER(SEARCH("sweeper",E311)),"Lawn Sweeper",
OR(ISNUMBER(SEARCH("pruner",E311)),ISNUMBER(SEARCH("trimmer",E311)),ISNUMBER(SEARCH("pole saw",E311))),"Pruning Tools",
TRUE,"Other"
)</f>
        <v>Live Catch Traps</v>
      </c>
      <c r="J311" s="7" t="str">
        <f t="shared" si="70"/>
        <v>Rodent Control - Live Catch Traps</v>
      </c>
      <c r="K311" s="4">
        <v>500</v>
      </c>
      <c r="L311" s="4">
        <v>4.0999999999999996</v>
      </c>
      <c r="M311" s="4">
        <v>1909</v>
      </c>
      <c r="N311" s="4" t="s">
        <v>1333</v>
      </c>
      <c r="O311" s="4">
        <f>VLOOKUP(A311,[4]Sheet1!$A:$B,2,0)</f>
        <v>500</v>
      </c>
      <c r="P311" s="4">
        <f>VLOOKUP(A311,[4]Sheet1!$A:$C,3,0)</f>
        <v>400</v>
      </c>
      <c r="Q311" s="4">
        <f>VLOOKUP(A311,[4]Sheet1!$A:$D,4,0)</f>
        <v>500</v>
      </c>
      <c r="R311" s="4">
        <f>VLOOKUP(A311,[4]Sheet1!$A:$E,5,0)</f>
        <v>400</v>
      </c>
      <c r="S311" s="4">
        <f>VLOOKUP(A311,[4]Sheet1!$A:$F,6,0)</f>
        <v>400</v>
      </c>
      <c r="T311" s="4">
        <f>VLOOKUP(A311,[4]Sheet1!$A:$G,7,0)</f>
        <v>400</v>
      </c>
      <c r="U311" s="4">
        <f>VLOOKUP(A311,[4]Sheet1!$A:$H,8,0)</f>
        <v>400</v>
      </c>
      <c r="V311" s="4">
        <f>VLOOKUP(A311,[4]Sheet1!$A:$I,9,0)</f>
        <v>500</v>
      </c>
      <c r="W311" s="4">
        <f>VLOOKUP(A311,[4]Sheet1!$A:$J,10,0)</f>
        <v>600</v>
      </c>
      <c r="X311" s="4">
        <f>VLOOKUP(A311,[4]Sheet1!$A:$K,11,0)</f>
        <v>700</v>
      </c>
      <c r="Y311" s="4">
        <f>VLOOKUP(A311,[4]Sheet1!$A:$L,12,0)</f>
        <v>1000</v>
      </c>
      <c r="Z311" s="4">
        <f>VLOOKUP(A311,[4]Sheet1!$A:$M,13,0)</f>
        <v>600</v>
      </c>
      <c r="AA311" s="4">
        <f t="shared" si="80"/>
        <v>6400</v>
      </c>
      <c r="AB311" s="7">
        <f t="shared" si="71"/>
        <v>533</v>
      </c>
      <c r="AC311" s="15">
        <f t="shared" si="81"/>
        <v>533.33333333333337</v>
      </c>
      <c r="AD311" s="16">
        <f t="shared" si="82"/>
        <v>198400</v>
      </c>
      <c r="AE311" s="16">
        <f t="shared" si="83"/>
        <v>16533.333333333336</v>
      </c>
      <c r="AF311" s="16">
        <v>7.07</v>
      </c>
      <c r="AG311" s="16">
        <v>31</v>
      </c>
      <c r="AH311" s="15">
        <f t="shared" si="84"/>
        <v>0.28866666666666652</v>
      </c>
      <c r="AI311" s="15">
        <f t="shared" si="85"/>
        <v>1.0103333333333326</v>
      </c>
      <c r="AJ311" s="10">
        <v>0.5</v>
      </c>
      <c r="AK311" s="10">
        <v>0.5</v>
      </c>
      <c r="AL311" s="16">
        <v>7.07</v>
      </c>
      <c r="AM311" s="9">
        <f t="shared" si="72"/>
        <v>4.6499999999999995</v>
      </c>
      <c r="AN311" s="9">
        <f t="shared" si="73"/>
        <v>0.92999999999999994</v>
      </c>
      <c r="AO311" s="9">
        <f t="shared" si="74"/>
        <v>6.2</v>
      </c>
      <c r="AP311" s="9">
        <f t="shared" si="75"/>
        <v>0.62</v>
      </c>
      <c r="AQ311" s="9">
        <f t="shared" si="76"/>
        <v>6.2</v>
      </c>
      <c r="AR311" s="9">
        <f t="shared" si="77"/>
        <v>7.75</v>
      </c>
      <c r="AS311" s="11">
        <f t="shared" si="78"/>
        <v>2.8866666666666649</v>
      </c>
      <c r="AT311" s="12">
        <f t="shared" si="79"/>
        <v>1.8533333333333317</v>
      </c>
    </row>
    <row r="312" spans="1:46" ht="16.5" x14ac:dyDescent="0.4">
      <c r="A312" s="4" t="s">
        <v>1434</v>
      </c>
      <c r="B312" s="4" t="s">
        <v>1314</v>
      </c>
      <c r="C312" s="7" t="s">
        <v>1796</v>
      </c>
      <c r="D312" s="4" t="s">
        <v>1435</v>
      </c>
      <c r="E312" s="4" t="s">
        <v>1436</v>
      </c>
      <c r="F312" s="4" t="s">
        <v>1437</v>
      </c>
      <c r="G312" s="7" t="str">
        <f>VLOOKUP(A312,[1]done!$A:$I,9,0)</f>
        <v>Mole Repellent</v>
      </c>
      <c r="H312" s="7" t="str" cm="1">
        <f t="array" ref="H312">_xlfn.IFS(
OR(ISNUMBER(SEARCH("mouse",E312)),ISNUMBER(SEARCH("rat",E312)),ISNUMBER(SEARCH("mice",E312)),ISNUMBER(SEARCH("rodent",E312))),"Rodent Control",
OR(ISNUMBER(SEARCH("fly",E312)),ISNUMBER(SEARCH("gnat",E312)),ISNUMBER(SEARCH("insect",E312)),ISNUMBER(SEARCH("mosquito",E312))),"Flying Insect Control",
OR(ISNUMBER(SEARCH("roach",E312)),ISNUMBER(SEARCH("ant",E312)),ISNUMBER(SEARCH("spider",E312)),ISNUMBER(SEARCH("cricket",E312)),ISNUMBER(SEARCH("scorpion",E312)),ISNUMBER(SEARCH("centipede",E312)),ISNUMBER(SEARCH("beetle",E312))),"Crawling Insect Control",
OR(ISNUMBER(SEARCH("tree",E312)),ISNUMBER(SEARCH("lantern",E312)),ISNUMBER(SEARCH("garden",E312)),ISNUMBER(SEARCH("plant",E312))),"Garden Pest Control",
OR(ISNUMBER(SEARCH("grass seed",E312)),ISNUMBER(SEARCH("seed mix",E312))),"Grass Seed",
OR(ISNUMBER(SEARCH("lawn food",E312)),ISNUMBER(SEARCH("fertilizer",E312))),"Lawn Fertilizer",
OR(ISNUMBER(SEARCH("patch",E312)),ISNUMBER(SEARCH("repair",E312)),ISNUMBER(SEARCH("thick'r",E312)),ISNUMBER(SEARCH("thick'r lawn",E312)),ISNUMBER(SEARCH("rapid grass",E312))),"Lawn Repair",
OR(ISNUMBER(SEARCH("weed",E312)),ISNUMBER(SEARCH("crabgrass",E312))),"Weed Control",
OR(ISNUMBER(SEARCH("fungicide",E312)),ISNUMBER(SEARCH("moss",E312))),"Disease &amp; Moss Control",
OR(ISNUMBER(SEARCH("plant food",E312)),ISNUMBER(SEARCH("miracid",E312))),"Plant Nutrition",
OR(ISNUMBER(SEARCH("perlite",E312))),"Soil Amendment",
OR(ISNUMBER(SEARCH("spreader",E312)),ISNUMBER(SEARCH("sprayer",E312)),ISNUMBER(SEARCH("mower",E312)),ISNUMBER(SEARCH("sweeper",E312)),ISNUMBER(SEARCH("pruner",E312)),ISNUMBER(SEARCH("trimmer",E312)),ISNUMBER(SEARCH("pole saw",E312))),"Garden Equipment",
TRUE,"Other"
)</f>
        <v>Other</v>
      </c>
      <c r="I312" s="7" t="str" cm="1">
        <f t="array" ref="I312">_xlfn.IFS(
OR(ISNUMBER(SEARCH("glue trap",E312)),ISNUMBER(SEARCH("glue board",E312))),"Glue Traps",
OR(ISNUMBER(SEARCH("snap trap",E312)),ISNUMBER(SEARCH("power-kill",E312)),ISNUMBER(SEARCH("wide pedal",E312)),ISNUMBER(SEARCH("metal pedal",E312))),"Snap Traps",
OR(ISNUMBER(SEARCH("electronic",E312)),ISNUMBER(SEARCH("zapper",E312))),"Electronic Traps",
OR(ISNUMBER(SEARCH("live catch",E312)),ISNUMBER(SEARCH("multi-catch",E312)),ISNUMBER(SEARCH("catch &amp; hold",E312)),ISNUMBER(SEARCH("tin cat",E312))),"Live Catch Traps",
OR(ISNUMBER(SEARCH("bait",E312)),ISNUMBER(SEARCH("poison",E312))),"Bait &amp; Poison",
ISNUMBER(SEARCH("repellent",E312)),"Repellents",
OR(ISNUMBER(SEARCH("fly trap",E312)),ISNUMBER(SEARCH("fly ribbon",E312)),ISNUMBER(SEARCH("fly stick",E312)),ISNUMBER(SEARCH("window fly",E312)),ISNUMBER(SEARCH("fly magnet",E312))),"Fly Traps",
OR(ISNUMBER(SEARCH("uv",E312)),ISNUMBER(SEARCH("fly light",E312)),ISNUMBER(SEARCH("plug-in",E312))),"UV Fly Traps",
ISNUMBER(SEARCH("roach",E312)),"Roach Traps",
ISNUMBER(SEARCH("ant",E312)),"Ant Traps",
ISNUMBER(SEARCH("spider",E312)),"Spider Traps",
ISNUMBER(SEARCH("mosquito",E312)),"Mosquito Traps",
ISNUMBER(SEARCH("beetle",E312)),"Beetle Traps",
ISNUMBER(SEARCH("lantern",E312)),"Lanternfly Control",
OR(ISNUMBER(SEARCH("tree shield",E312)),ISNUMBER(SEARCH("tree banding",E312)),ISNUMBER(SEARCH("insect barrier",E312))),"Tree Barriers",
OR(ISNUMBER(SEARCH("sun &amp; shade",E312)),ISNUMBER(SEARCH("sun and shade",E312))),"Sun &amp; Shade Mix",
ISNUMBER(SEARCH("tall fescue",E312)),"Tall Fescue",
ISNUMBER(SEARCH("bermudagrass",E312)),"Bermudagrass",
ISNUMBER(SEARCH("kentucky",E312)),"Kentucky Bluegrass",
ISNUMBER(SEARCH("zoysia",E312)),"Zoysia",
ISNUMBER(SEARCH("ryegrass",E312)),"Perennial Ryegrass",
ISNUMBER(SEARCH("centipede",E312)),"Centipede Grass",
ISNUMBER(SEARCH("dense shade",E312)),"Dense Shade Mix",
ISNUMBER(SEARCH("southern gold",E312)),"Southern Gold Mix",
ISNUMBER(SEARCH("heat-tolerant blue",E312)),"Heat-Tolerant Blue Mix",
ISNUMBER(SEARCH("high traffic",E312)),"High Traffic Mix",
ISNUMBER(SEARCH("quick fix",E312)),"Quick Fix Mix",
ISNUMBER(SEARCH("starter",E312)),"Starter Fertilizer",
ISNUMBER(SEARCH("weed &amp; feed",E312)),"Weed &amp; Feed",
ISNUMBER(SEARCH("lawn food",E312)),"Lawn Food",
ISNUMBER(SEARCH("triple action",E312)),"Triple Action Fertilizer",
ISNUMBER(SEARCH("green max",E312)),"Green Max Lawn Food",
ISNUMBER(SEARCH("patchmaster",E312)),"PatchMaster Repair",
ISNUMBER(SEARCH("ez seed",E312)),"EZ Seed Repair",
ISNUMBER(SEARCH("rapid grass",E312)),"Rapid Grass",
ISNUMBER(SEARCH("thick'r lawn",E312)),"Thick'R Lawn",
ISNUMBER(SEARCH("fungicide",E312)),"Fungicide",
ISNUMBER(SEARCH("moss",E312)),"Moss Control",
ISNUMBER(SEARCH("perlite",E312)),"Perlite",
ISNUMBER(SEARCH("plant food",E312)),"Plant Food",
ISNUMBER(SEARCH("spreader",E312)),"Spreader",
ISNUMBER(SEARCH("sprayer",E312)),"Sprayer",
ISNUMBER(SEARCH("mower",E312)),"Lawn Mower",
ISNUMBER(SEARCH("sweeper",E312)),"Lawn Sweeper",
OR(ISNUMBER(SEARCH("pruner",E312)),ISNUMBER(SEARCH("trimmer",E312)),ISNUMBER(SEARCH("pole saw",E312))),"Pruning Tools",
TRUE,"Other"
)</f>
        <v>Other</v>
      </c>
      <c r="J312" s="7" t="str">
        <f t="shared" si="70"/>
        <v>Other - Other</v>
      </c>
      <c r="K312" s="4">
        <v>500</v>
      </c>
      <c r="L312" s="4">
        <v>3.7</v>
      </c>
      <c r="M312" s="4">
        <v>2775</v>
      </c>
      <c r="N312" s="4" t="s">
        <v>1438</v>
      </c>
      <c r="O312" s="4">
        <f>VLOOKUP(A312,[4]Sheet1!$A:$B,2,0)</f>
        <v>200</v>
      </c>
      <c r="P312" s="4">
        <f>VLOOKUP(A312,[4]Sheet1!$A:$C,3,0)</f>
        <v>100</v>
      </c>
      <c r="Q312" s="4">
        <f>VLOOKUP(A312,[4]Sheet1!$A:$D,4,0)</f>
        <v>200</v>
      </c>
      <c r="R312" s="4">
        <f>VLOOKUP(A312,[4]Sheet1!$A:$E,5,0)</f>
        <v>700</v>
      </c>
      <c r="S312" s="4">
        <f>VLOOKUP(A312,[4]Sheet1!$A:$F,6,0)</f>
        <v>800</v>
      </c>
      <c r="T312" s="4">
        <f>VLOOKUP(A312,[4]Sheet1!$A:$G,7,0)</f>
        <v>900</v>
      </c>
      <c r="U312" s="4">
        <f>VLOOKUP(A312,[4]Sheet1!$A:$H,8,0)</f>
        <v>900</v>
      </c>
      <c r="V312" s="4">
        <f>VLOOKUP(A312,[4]Sheet1!$A:$I,9,0)</f>
        <v>400</v>
      </c>
      <c r="W312" s="4">
        <f>VLOOKUP(A312,[4]Sheet1!$A:$J,10,0)</f>
        <v>400</v>
      </c>
      <c r="X312" s="4">
        <f>VLOOKUP(A312,[4]Sheet1!$A:$K,11,0)</f>
        <v>50</v>
      </c>
      <c r="Y312" s="4">
        <f>VLOOKUP(A312,[4]Sheet1!$A:$L,12,0)</f>
        <v>50</v>
      </c>
      <c r="Z312" s="4">
        <f>VLOOKUP(A312,[4]Sheet1!$A:$M,13,0)</f>
        <v>100</v>
      </c>
      <c r="AA312" s="4">
        <f t="shared" si="80"/>
        <v>4800</v>
      </c>
      <c r="AB312" s="7">
        <f t="shared" si="71"/>
        <v>400</v>
      </c>
      <c r="AC312" s="15">
        <f t="shared" si="81"/>
        <v>400</v>
      </c>
      <c r="AD312" s="16">
        <f t="shared" si="82"/>
        <v>153984</v>
      </c>
      <c r="AE312" s="16">
        <f t="shared" si="83"/>
        <v>12832</v>
      </c>
      <c r="AF312" s="16">
        <v>5.61</v>
      </c>
      <c r="AG312" s="16">
        <v>32.08</v>
      </c>
      <c r="AH312" s="15">
        <f t="shared" si="84"/>
        <v>0.41479999999999989</v>
      </c>
      <c r="AI312" s="15">
        <f t="shared" si="85"/>
        <v>1.4517999999999995</v>
      </c>
      <c r="AJ312" s="10">
        <v>0.5</v>
      </c>
      <c r="AK312" s="10">
        <v>0.5</v>
      </c>
      <c r="AL312" s="16">
        <v>5.61</v>
      </c>
      <c r="AM312" s="9">
        <f t="shared" si="72"/>
        <v>4.8119999999999994</v>
      </c>
      <c r="AN312" s="9">
        <f t="shared" si="73"/>
        <v>0.96239999999999992</v>
      </c>
      <c r="AO312" s="9">
        <f t="shared" si="74"/>
        <v>6.4160000000000004</v>
      </c>
      <c r="AP312" s="9">
        <f t="shared" si="75"/>
        <v>0.64159999999999995</v>
      </c>
      <c r="AQ312" s="9">
        <f t="shared" si="76"/>
        <v>6.4160000000000004</v>
      </c>
      <c r="AR312" s="9">
        <f t="shared" si="77"/>
        <v>8.02</v>
      </c>
      <c r="AS312" s="11">
        <f t="shared" si="78"/>
        <v>4.1479999999999988</v>
      </c>
      <c r="AT312" s="12">
        <f t="shared" si="79"/>
        <v>3.0786666666666656</v>
      </c>
    </row>
    <row r="313" spans="1:46" ht="16.5" x14ac:dyDescent="0.4">
      <c r="A313" s="4" t="s">
        <v>1439</v>
      </c>
      <c r="B313" s="4" t="s">
        <v>1314</v>
      </c>
      <c r="C313" s="7" t="s">
        <v>1796</v>
      </c>
      <c r="D313" s="4" t="s">
        <v>1440</v>
      </c>
      <c r="E313" s="4" t="s">
        <v>1441</v>
      </c>
      <c r="F313" s="4" t="s">
        <v>1442</v>
      </c>
      <c r="G313" s="7" t="str">
        <f>VLOOKUP(A313,[1]done!$A:$I,9,0)</f>
        <v>Rodent</v>
      </c>
      <c r="H313" s="7" t="str" cm="1">
        <f t="array" ref="H313">_xlfn.IFS(
OR(ISNUMBER(SEARCH("mouse",E313)),ISNUMBER(SEARCH("rat",E313)),ISNUMBER(SEARCH("mice",E313)),ISNUMBER(SEARCH("rodent",E313))),"Rodent Control",
OR(ISNUMBER(SEARCH("fly",E313)),ISNUMBER(SEARCH("gnat",E313)),ISNUMBER(SEARCH("insect",E313)),ISNUMBER(SEARCH("mosquito",E313))),"Flying Insect Control",
OR(ISNUMBER(SEARCH("roach",E313)),ISNUMBER(SEARCH("ant",E313)),ISNUMBER(SEARCH("spider",E313)),ISNUMBER(SEARCH("cricket",E313)),ISNUMBER(SEARCH("scorpion",E313)),ISNUMBER(SEARCH("centipede",E313)),ISNUMBER(SEARCH("beetle",E313))),"Crawling Insect Control",
OR(ISNUMBER(SEARCH("tree",E313)),ISNUMBER(SEARCH("lantern",E313)),ISNUMBER(SEARCH("garden",E313)),ISNUMBER(SEARCH("plant",E313))),"Garden Pest Control",
OR(ISNUMBER(SEARCH("grass seed",E313)),ISNUMBER(SEARCH("seed mix",E313))),"Grass Seed",
OR(ISNUMBER(SEARCH("lawn food",E313)),ISNUMBER(SEARCH("fertilizer",E313))),"Lawn Fertilizer",
OR(ISNUMBER(SEARCH("patch",E313)),ISNUMBER(SEARCH("repair",E313)),ISNUMBER(SEARCH("thick'r",E313)),ISNUMBER(SEARCH("thick'r lawn",E313)),ISNUMBER(SEARCH("rapid grass",E313))),"Lawn Repair",
OR(ISNUMBER(SEARCH("weed",E313)),ISNUMBER(SEARCH("crabgrass",E313))),"Weed Control",
OR(ISNUMBER(SEARCH("fungicide",E313)),ISNUMBER(SEARCH("moss",E313))),"Disease &amp; Moss Control",
OR(ISNUMBER(SEARCH("plant food",E313)),ISNUMBER(SEARCH("miracid",E313))),"Plant Nutrition",
OR(ISNUMBER(SEARCH("perlite",E313))),"Soil Amendment",
OR(ISNUMBER(SEARCH("spreader",E313)),ISNUMBER(SEARCH("sprayer",E313)),ISNUMBER(SEARCH("mower",E313)),ISNUMBER(SEARCH("sweeper",E313)),ISNUMBER(SEARCH("pruner",E313)),ISNUMBER(SEARCH("trimmer",E313)),ISNUMBER(SEARCH("pole saw",E313))),"Garden Equipment",
TRUE,"Other"
)</f>
        <v>Rodent Control</v>
      </c>
      <c r="I313" s="7" t="str" cm="1">
        <f t="array" ref="I313">_xlfn.IFS(
OR(ISNUMBER(SEARCH("glue trap",E313)),ISNUMBER(SEARCH("glue board",E313))),"Glue Traps",
OR(ISNUMBER(SEARCH("snap trap",E313)),ISNUMBER(SEARCH("power-kill",E313)),ISNUMBER(SEARCH("wide pedal",E313)),ISNUMBER(SEARCH("metal pedal",E313))),"Snap Traps",
OR(ISNUMBER(SEARCH("electronic",E313)),ISNUMBER(SEARCH("zapper",E313))),"Electronic Traps",
OR(ISNUMBER(SEARCH("live catch",E313)),ISNUMBER(SEARCH("multi-catch",E313)),ISNUMBER(SEARCH("catch &amp; hold",E313)),ISNUMBER(SEARCH("tin cat",E313))),"Live Catch Traps",
OR(ISNUMBER(SEARCH("bait",E313)),ISNUMBER(SEARCH("poison",E313))),"Bait &amp; Poison",
ISNUMBER(SEARCH("repellent",E313)),"Repellents",
OR(ISNUMBER(SEARCH("fly trap",E313)),ISNUMBER(SEARCH("fly ribbon",E313)),ISNUMBER(SEARCH("fly stick",E313)),ISNUMBER(SEARCH("window fly",E313)),ISNUMBER(SEARCH("fly magnet",E313))),"Fly Traps",
OR(ISNUMBER(SEARCH("uv",E313)),ISNUMBER(SEARCH("fly light",E313)),ISNUMBER(SEARCH("plug-in",E313))),"UV Fly Traps",
ISNUMBER(SEARCH("roach",E313)),"Roach Traps",
ISNUMBER(SEARCH("ant",E313)),"Ant Traps",
ISNUMBER(SEARCH("spider",E313)),"Spider Traps",
ISNUMBER(SEARCH("mosquito",E313)),"Mosquito Traps",
ISNUMBER(SEARCH("beetle",E313)),"Beetle Traps",
ISNUMBER(SEARCH("lantern",E313)),"Lanternfly Control",
OR(ISNUMBER(SEARCH("tree shield",E313)),ISNUMBER(SEARCH("tree banding",E313)),ISNUMBER(SEARCH("insect barrier",E313))),"Tree Barriers",
OR(ISNUMBER(SEARCH("sun &amp; shade",E313)),ISNUMBER(SEARCH("sun and shade",E313))),"Sun &amp; Shade Mix",
ISNUMBER(SEARCH("tall fescue",E313)),"Tall Fescue",
ISNUMBER(SEARCH("bermudagrass",E313)),"Bermudagrass",
ISNUMBER(SEARCH("kentucky",E313)),"Kentucky Bluegrass",
ISNUMBER(SEARCH("zoysia",E313)),"Zoysia",
ISNUMBER(SEARCH("ryegrass",E313)),"Perennial Ryegrass",
ISNUMBER(SEARCH("centipede",E313)),"Centipede Grass",
ISNUMBER(SEARCH("dense shade",E313)),"Dense Shade Mix",
ISNUMBER(SEARCH("southern gold",E313)),"Southern Gold Mix",
ISNUMBER(SEARCH("heat-tolerant blue",E313)),"Heat-Tolerant Blue Mix",
ISNUMBER(SEARCH("high traffic",E313)),"High Traffic Mix",
ISNUMBER(SEARCH("quick fix",E313)),"Quick Fix Mix",
ISNUMBER(SEARCH("starter",E313)),"Starter Fertilizer",
ISNUMBER(SEARCH("weed &amp; feed",E313)),"Weed &amp; Feed",
ISNUMBER(SEARCH("lawn food",E313)),"Lawn Food",
ISNUMBER(SEARCH("triple action",E313)),"Triple Action Fertilizer",
ISNUMBER(SEARCH("green max",E313)),"Green Max Lawn Food",
ISNUMBER(SEARCH("patchmaster",E313)),"PatchMaster Repair",
ISNUMBER(SEARCH("ez seed",E313)),"EZ Seed Repair",
ISNUMBER(SEARCH("rapid grass",E313)),"Rapid Grass",
ISNUMBER(SEARCH("thick'r lawn",E313)),"Thick'R Lawn",
ISNUMBER(SEARCH("fungicide",E313)),"Fungicide",
ISNUMBER(SEARCH("moss",E313)),"Moss Control",
ISNUMBER(SEARCH("perlite",E313)),"Perlite",
ISNUMBER(SEARCH("plant food",E313)),"Plant Food",
ISNUMBER(SEARCH("spreader",E313)),"Spreader",
ISNUMBER(SEARCH("sprayer",E313)),"Sprayer",
ISNUMBER(SEARCH("mower",E313)),"Lawn Mower",
ISNUMBER(SEARCH("sweeper",E313)),"Lawn Sweeper",
OR(ISNUMBER(SEARCH("pruner",E313)),ISNUMBER(SEARCH("trimmer",E313)),ISNUMBER(SEARCH("pole saw",E313))),"Pruning Tools",
TRUE,"Other"
)</f>
        <v>Electronic Traps</v>
      </c>
      <c r="J313" s="7" t="str">
        <f t="shared" si="70"/>
        <v>Rodent Control - Electronic Traps</v>
      </c>
      <c r="K313" s="4">
        <v>400</v>
      </c>
      <c r="L313" s="4">
        <v>3.8</v>
      </c>
      <c r="M313" s="4">
        <v>13931</v>
      </c>
      <c r="N313" s="4" t="s">
        <v>1443</v>
      </c>
      <c r="O313" s="4">
        <f>VLOOKUP(A313,[4]Sheet1!$A:$B,2,0)</f>
        <v>800</v>
      </c>
      <c r="P313" s="4">
        <f>VLOOKUP(A313,[4]Sheet1!$A:$C,3,0)</f>
        <v>700</v>
      </c>
      <c r="Q313" s="4">
        <f>VLOOKUP(A313,[4]Sheet1!$A:$D,4,0)</f>
        <v>600</v>
      </c>
      <c r="R313" s="4">
        <f>VLOOKUP(A313,[4]Sheet1!$A:$E,5,0)</f>
        <v>500</v>
      </c>
      <c r="S313" s="4">
        <f>VLOOKUP(A313,[4]Sheet1!$A:$F,6,0)</f>
        <v>700</v>
      </c>
      <c r="T313" s="4">
        <f>VLOOKUP(A313,[4]Sheet1!$A:$G,7,0)</f>
        <v>700</v>
      </c>
      <c r="U313" s="4">
        <f>VLOOKUP(A313,[4]Sheet1!$A:$H,8,0)</f>
        <v>700</v>
      </c>
      <c r="V313" s="4">
        <f>VLOOKUP(A313,[4]Sheet1!$A:$I,9,0)</f>
        <v>1000</v>
      </c>
      <c r="W313" s="4">
        <f>VLOOKUP(A313,[4]Sheet1!$A:$J,10,0)</f>
        <v>900</v>
      </c>
      <c r="X313" s="4">
        <f>VLOOKUP(A313,[4]Sheet1!$A:$K,11,0)</f>
        <v>700</v>
      </c>
      <c r="Y313" s="4">
        <f>VLOOKUP(A313,[4]Sheet1!$A:$L,12,0)</f>
        <v>900</v>
      </c>
      <c r="Z313" s="4">
        <f>VLOOKUP(A313,[4]Sheet1!$A:$M,13,0)</f>
        <v>900</v>
      </c>
      <c r="AA313" s="4">
        <f t="shared" si="80"/>
        <v>9100</v>
      </c>
      <c r="AB313" s="7">
        <f t="shared" si="71"/>
        <v>758</v>
      </c>
      <c r="AC313" s="15">
        <f t="shared" si="81"/>
        <v>758.33333333333337</v>
      </c>
      <c r="AD313" s="16">
        <f t="shared" si="82"/>
        <v>780689</v>
      </c>
      <c r="AE313" s="16">
        <f t="shared" si="83"/>
        <v>65057.416666666672</v>
      </c>
      <c r="AF313" s="16">
        <v>5.93</v>
      </c>
      <c r="AG313" s="16">
        <v>85.79</v>
      </c>
      <c r="AH313" s="15">
        <f t="shared" si="84"/>
        <v>1.8257333333333337</v>
      </c>
      <c r="AI313" s="15">
        <f t="shared" si="85"/>
        <v>6.3900666666666668</v>
      </c>
      <c r="AJ313" s="10">
        <v>0.5</v>
      </c>
      <c r="AK313" s="10">
        <v>0.5</v>
      </c>
      <c r="AL313" s="16">
        <v>5.93</v>
      </c>
      <c r="AM313" s="9">
        <f t="shared" si="72"/>
        <v>12.868500000000001</v>
      </c>
      <c r="AN313" s="9">
        <f t="shared" si="73"/>
        <v>2.5737000000000001</v>
      </c>
      <c r="AO313" s="9">
        <f t="shared" si="74"/>
        <v>17.158000000000001</v>
      </c>
      <c r="AP313" s="9">
        <f t="shared" si="75"/>
        <v>1.7158000000000002</v>
      </c>
      <c r="AQ313" s="9">
        <f t="shared" si="76"/>
        <v>17.158000000000001</v>
      </c>
      <c r="AR313" s="9">
        <f t="shared" si="77"/>
        <v>21.447500000000002</v>
      </c>
      <c r="AS313" s="11">
        <f t="shared" si="78"/>
        <v>18.257333333333335</v>
      </c>
      <c r="AT313" s="12">
        <f t="shared" si="79"/>
        <v>15.397666666666668</v>
      </c>
    </row>
    <row r="314" spans="1:46" ht="16.5" x14ac:dyDescent="0.4">
      <c r="A314" s="4" t="s">
        <v>1444</v>
      </c>
      <c r="B314" s="4" t="s">
        <v>1314</v>
      </c>
      <c r="C314" s="7" t="s">
        <v>1796</v>
      </c>
      <c r="D314" s="4" t="s">
        <v>1445</v>
      </c>
      <c r="E314" s="4" t="s">
        <v>1446</v>
      </c>
      <c r="F314" s="4" t="s">
        <v>1447</v>
      </c>
      <c r="G314" s="7" t="str">
        <f>VLOOKUP(A314,[1]done!$A:$I,9,0)</f>
        <v>Mole Repellent</v>
      </c>
      <c r="H314" s="7" t="str" cm="1">
        <f t="array" ref="H314">_xlfn.IFS(
OR(ISNUMBER(SEARCH("mouse",E314)),ISNUMBER(SEARCH("rat",E314)),ISNUMBER(SEARCH("mice",E314)),ISNUMBER(SEARCH("rodent",E314))),"Rodent Control",
OR(ISNUMBER(SEARCH("fly",E314)),ISNUMBER(SEARCH("gnat",E314)),ISNUMBER(SEARCH("insect",E314)),ISNUMBER(SEARCH("mosquito",E314))),"Flying Insect Control",
OR(ISNUMBER(SEARCH("roach",E314)),ISNUMBER(SEARCH("ant",E314)),ISNUMBER(SEARCH("spider",E314)),ISNUMBER(SEARCH("cricket",E314)),ISNUMBER(SEARCH("scorpion",E314)),ISNUMBER(SEARCH("centipede",E314)),ISNUMBER(SEARCH("beetle",E314))),"Crawling Insect Control",
OR(ISNUMBER(SEARCH("tree",E314)),ISNUMBER(SEARCH("lantern",E314)),ISNUMBER(SEARCH("garden",E314)),ISNUMBER(SEARCH("plant",E314))),"Garden Pest Control",
OR(ISNUMBER(SEARCH("grass seed",E314)),ISNUMBER(SEARCH("seed mix",E314))),"Grass Seed",
OR(ISNUMBER(SEARCH("lawn food",E314)),ISNUMBER(SEARCH("fertilizer",E314))),"Lawn Fertilizer",
OR(ISNUMBER(SEARCH("patch",E314)),ISNUMBER(SEARCH("repair",E314)),ISNUMBER(SEARCH("thick'r",E314)),ISNUMBER(SEARCH("thick'r lawn",E314)),ISNUMBER(SEARCH("rapid grass",E314))),"Lawn Repair",
OR(ISNUMBER(SEARCH("weed",E314)),ISNUMBER(SEARCH("crabgrass",E314))),"Weed Control",
OR(ISNUMBER(SEARCH("fungicide",E314)),ISNUMBER(SEARCH("moss",E314))),"Disease &amp; Moss Control",
OR(ISNUMBER(SEARCH("plant food",E314)),ISNUMBER(SEARCH("miracid",E314))),"Plant Nutrition",
OR(ISNUMBER(SEARCH("perlite",E314))),"Soil Amendment",
OR(ISNUMBER(SEARCH("spreader",E314)),ISNUMBER(SEARCH("sprayer",E314)),ISNUMBER(SEARCH("mower",E314)),ISNUMBER(SEARCH("sweeper",E314)),ISNUMBER(SEARCH("pruner",E314)),ISNUMBER(SEARCH("trimmer",E314)),ISNUMBER(SEARCH("pole saw",E314))),"Garden Equipment",
TRUE,"Other"
)</f>
        <v>Garden Pest Control</v>
      </c>
      <c r="I314" s="7" t="str" cm="1">
        <f t="array" ref="I314">_xlfn.IFS(
OR(ISNUMBER(SEARCH("glue trap",E314)),ISNUMBER(SEARCH("glue board",E314))),"Glue Traps",
OR(ISNUMBER(SEARCH("snap trap",E314)),ISNUMBER(SEARCH("power-kill",E314)),ISNUMBER(SEARCH("wide pedal",E314)),ISNUMBER(SEARCH("metal pedal",E314))),"Snap Traps",
OR(ISNUMBER(SEARCH("electronic",E314)),ISNUMBER(SEARCH("zapper",E314))),"Electronic Traps",
OR(ISNUMBER(SEARCH("live catch",E314)),ISNUMBER(SEARCH("multi-catch",E314)),ISNUMBER(SEARCH("catch &amp; hold",E314)),ISNUMBER(SEARCH("tin cat",E314))),"Live Catch Traps",
OR(ISNUMBER(SEARCH("bait",E314)),ISNUMBER(SEARCH("poison",E314))),"Bait &amp; Poison",
ISNUMBER(SEARCH("repellent",E314)),"Repellents",
OR(ISNUMBER(SEARCH("fly trap",E314)),ISNUMBER(SEARCH("fly ribbon",E314)),ISNUMBER(SEARCH("fly stick",E314)),ISNUMBER(SEARCH("window fly",E314)),ISNUMBER(SEARCH("fly magnet",E314))),"Fly Traps",
OR(ISNUMBER(SEARCH("uv",E314)),ISNUMBER(SEARCH("fly light",E314)),ISNUMBER(SEARCH("plug-in",E314))),"UV Fly Traps",
ISNUMBER(SEARCH("roach",E314)),"Roach Traps",
ISNUMBER(SEARCH("ant",E314)),"Ant Traps",
ISNUMBER(SEARCH("spider",E314)),"Spider Traps",
ISNUMBER(SEARCH("mosquito",E314)),"Mosquito Traps",
ISNUMBER(SEARCH("beetle",E314)),"Beetle Traps",
ISNUMBER(SEARCH("lantern",E314)),"Lanternfly Control",
OR(ISNUMBER(SEARCH("tree shield",E314)),ISNUMBER(SEARCH("tree banding",E314)),ISNUMBER(SEARCH("insect barrier",E314))),"Tree Barriers",
OR(ISNUMBER(SEARCH("sun &amp; shade",E314)),ISNUMBER(SEARCH("sun and shade",E314))),"Sun &amp; Shade Mix",
ISNUMBER(SEARCH("tall fescue",E314)),"Tall Fescue",
ISNUMBER(SEARCH("bermudagrass",E314)),"Bermudagrass",
ISNUMBER(SEARCH("kentucky",E314)),"Kentucky Bluegrass",
ISNUMBER(SEARCH("zoysia",E314)),"Zoysia",
ISNUMBER(SEARCH("ryegrass",E314)),"Perennial Ryegrass",
ISNUMBER(SEARCH("centipede",E314)),"Centipede Grass",
ISNUMBER(SEARCH("dense shade",E314)),"Dense Shade Mix",
ISNUMBER(SEARCH("southern gold",E314)),"Southern Gold Mix",
ISNUMBER(SEARCH("heat-tolerant blue",E314)),"Heat-Tolerant Blue Mix",
ISNUMBER(SEARCH("high traffic",E314)),"High Traffic Mix",
ISNUMBER(SEARCH("quick fix",E314)),"Quick Fix Mix",
ISNUMBER(SEARCH("starter",E314)),"Starter Fertilizer",
ISNUMBER(SEARCH("weed &amp; feed",E314)),"Weed &amp; Feed",
ISNUMBER(SEARCH("lawn food",E314)),"Lawn Food",
ISNUMBER(SEARCH("triple action",E314)),"Triple Action Fertilizer",
ISNUMBER(SEARCH("green max",E314)),"Green Max Lawn Food",
ISNUMBER(SEARCH("patchmaster",E314)),"PatchMaster Repair",
ISNUMBER(SEARCH("ez seed",E314)),"EZ Seed Repair",
ISNUMBER(SEARCH("rapid grass",E314)),"Rapid Grass",
ISNUMBER(SEARCH("thick'r lawn",E314)),"Thick'R Lawn",
ISNUMBER(SEARCH("fungicide",E314)),"Fungicide",
ISNUMBER(SEARCH("moss",E314)),"Moss Control",
ISNUMBER(SEARCH("perlite",E314)),"Perlite",
ISNUMBER(SEARCH("plant food",E314)),"Plant Food",
ISNUMBER(SEARCH("spreader",E314)),"Spreader",
ISNUMBER(SEARCH("sprayer",E314)),"Sprayer",
ISNUMBER(SEARCH("mower",E314)),"Lawn Mower",
ISNUMBER(SEARCH("sweeper",E314)),"Lawn Sweeper",
OR(ISNUMBER(SEARCH("pruner",E314)),ISNUMBER(SEARCH("trimmer",E314)),ISNUMBER(SEARCH("pole saw",E314))),"Pruning Tools",
TRUE,"Other"
)</f>
        <v>Other</v>
      </c>
      <c r="J314" s="7" t="str">
        <f t="shared" si="70"/>
        <v>Garden Pest Control - Other</v>
      </c>
      <c r="K314" s="4">
        <v>400</v>
      </c>
      <c r="L314" s="4">
        <v>3.7</v>
      </c>
      <c r="M314" s="4">
        <v>61</v>
      </c>
      <c r="N314" s="4" t="s">
        <v>1094</v>
      </c>
      <c r="O314" s="4">
        <f>VLOOKUP(A314,[4]Sheet1!$A:$B,2,0)</f>
        <v>0</v>
      </c>
      <c r="P314" s="4">
        <f>VLOOKUP(A314,[4]Sheet1!$A:$C,3,0)</f>
        <v>50</v>
      </c>
      <c r="Q314" s="4">
        <f>VLOOKUP(A314,[4]Sheet1!$A:$D,4,0)</f>
        <v>300</v>
      </c>
      <c r="R314" s="4">
        <f>VLOOKUP(A314,[4]Sheet1!$A:$E,5,0)</f>
        <v>200</v>
      </c>
      <c r="S314" s="4">
        <f>VLOOKUP(A314,[4]Sheet1!$A:$F,6,0)</f>
        <v>300</v>
      </c>
      <c r="T314" s="4">
        <f>VLOOKUP(A314,[4]Sheet1!$A:$G,7,0)</f>
        <v>400</v>
      </c>
      <c r="U314" s="4">
        <f>VLOOKUP(A314,[4]Sheet1!$A:$H,8,0)</f>
        <v>900</v>
      </c>
      <c r="V314" s="4">
        <f>VLOOKUP(A314,[4]Sheet1!$A:$I,9,0)</f>
        <v>600</v>
      </c>
      <c r="W314" s="4">
        <f>VLOOKUP(A314,[4]Sheet1!$A:$J,10,0)</f>
        <v>500</v>
      </c>
      <c r="X314" s="4">
        <f>VLOOKUP(A314,[4]Sheet1!$A:$K,11,0)</f>
        <v>0</v>
      </c>
      <c r="Y314" s="4">
        <f>VLOOKUP(A314,[4]Sheet1!$A:$L,12,0)</f>
        <v>0</v>
      </c>
      <c r="Z314" s="4">
        <f>VLOOKUP(A314,[4]Sheet1!$A:$M,13,0)</f>
        <v>0</v>
      </c>
      <c r="AA314" s="4">
        <f t="shared" si="80"/>
        <v>3250</v>
      </c>
      <c r="AB314" s="7">
        <f t="shared" si="71"/>
        <v>271</v>
      </c>
      <c r="AC314" s="15">
        <f t="shared" si="81"/>
        <v>270.83333333333331</v>
      </c>
      <c r="AD314" s="16">
        <f t="shared" si="82"/>
        <v>56420</v>
      </c>
      <c r="AE314" s="16">
        <f t="shared" si="83"/>
        <v>4701.6666666666661</v>
      </c>
      <c r="AF314" s="16">
        <v>5.61</v>
      </c>
      <c r="AG314" s="16">
        <v>17.36</v>
      </c>
      <c r="AH314" s="15">
        <f t="shared" si="84"/>
        <v>2.2266666666666556E-2</v>
      </c>
      <c r="AI314" s="15">
        <f t="shared" si="85"/>
        <v>7.7933333333332938E-2</v>
      </c>
      <c r="AJ314" s="10">
        <v>0.5</v>
      </c>
      <c r="AK314" s="10">
        <v>0.5</v>
      </c>
      <c r="AL314" s="16">
        <v>5.61</v>
      </c>
      <c r="AM314" s="9">
        <f t="shared" si="72"/>
        <v>2.6039999999999996</v>
      </c>
      <c r="AN314" s="9">
        <f t="shared" si="73"/>
        <v>0.52079999999999993</v>
      </c>
      <c r="AO314" s="9">
        <f t="shared" si="74"/>
        <v>3.472</v>
      </c>
      <c r="AP314" s="9">
        <f t="shared" si="75"/>
        <v>0.34720000000000001</v>
      </c>
      <c r="AQ314" s="9">
        <f t="shared" si="76"/>
        <v>3.472</v>
      </c>
      <c r="AR314" s="9">
        <f t="shared" si="77"/>
        <v>4.34</v>
      </c>
      <c r="AS314" s="11">
        <f t="shared" si="78"/>
        <v>0.22266666666666554</v>
      </c>
      <c r="AT314" s="12">
        <f t="shared" si="79"/>
        <v>-0.35600000000000104</v>
      </c>
    </row>
    <row r="315" spans="1:46" ht="16.5" x14ac:dyDescent="0.4">
      <c r="A315" s="4" t="s">
        <v>1448</v>
      </c>
      <c r="B315" s="4" t="s">
        <v>1314</v>
      </c>
      <c r="C315" s="7" t="s">
        <v>1796</v>
      </c>
      <c r="D315" s="4" t="s">
        <v>1449</v>
      </c>
      <c r="E315" s="4" t="s">
        <v>1450</v>
      </c>
      <c r="F315" s="4" t="s">
        <v>1451</v>
      </c>
      <c r="G315" s="7" t="str">
        <f>VLOOKUP(A315,[1]done!$A:$I,9,0)</f>
        <v>Snake control</v>
      </c>
      <c r="H315" s="7" t="str" cm="1">
        <f t="array" ref="H315">_xlfn.IFS(
OR(ISNUMBER(SEARCH("mouse",E315)),ISNUMBER(SEARCH("rat",E315)),ISNUMBER(SEARCH("mice",E315)),ISNUMBER(SEARCH("rodent",E315))),"Rodent Control",
OR(ISNUMBER(SEARCH("fly",E315)),ISNUMBER(SEARCH("gnat",E315)),ISNUMBER(SEARCH("insect",E315)),ISNUMBER(SEARCH("mosquito",E315))),"Flying Insect Control",
OR(ISNUMBER(SEARCH("roach",E315)),ISNUMBER(SEARCH("ant",E315)),ISNUMBER(SEARCH("spider",E315)),ISNUMBER(SEARCH("cricket",E315)),ISNUMBER(SEARCH("scorpion",E315)),ISNUMBER(SEARCH("centipede",E315)),ISNUMBER(SEARCH("beetle",E315))),"Crawling Insect Control",
OR(ISNUMBER(SEARCH("tree",E315)),ISNUMBER(SEARCH("lantern",E315)),ISNUMBER(SEARCH("garden",E315)),ISNUMBER(SEARCH("plant",E315))),"Garden Pest Control",
OR(ISNUMBER(SEARCH("grass seed",E315)),ISNUMBER(SEARCH("seed mix",E315))),"Grass Seed",
OR(ISNUMBER(SEARCH("lawn food",E315)),ISNUMBER(SEARCH("fertilizer",E315))),"Lawn Fertilizer",
OR(ISNUMBER(SEARCH("patch",E315)),ISNUMBER(SEARCH("repair",E315)),ISNUMBER(SEARCH("thick'r",E315)),ISNUMBER(SEARCH("thick'r lawn",E315)),ISNUMBER(SEARCH("rapid grass",E315))),"Lawn Repair",
OR(ISNUMBER(SEARCH("weed",E315)),ISNUMBER(SEARCH("crabgrass",E315))),"Weed Control",
OR(ISNUMBER(SEARCH("fungicide",E315)),ISNUMBER(SEARCH("moss",E315))),"Disease &amp; Moss Control",
OR(ISNUMBER(SEARCH("plant food",E315)),ISNUMBER(SEARCH("miracid",E315))),"Plant Nutrition",
OR(ISNUMBER(SEARCH("perlite",E315))),"Soil Amendment",
OR(ISNUMBER(SEARCH("spreader",E315)),ISNUMBER(SEARCH("sprayer",E315)),ISNUMBER(SEARCH("mower",E315)),ISNUMBER(SEARCH("sweeper",E315)),ISNUMBER(SEARCH("pruner",E315)),ISNUMBER(SEARCH("trimmer",E315)),ISNUMBER(SEARCH("pole saw",E315))),"Garden Equipment",
TRUE,"Other"
)</f>
        <v>Other</v>
      </c>
      <c r="I315" s="7" t="str" cm="1">
        <f t="array" ref="I315">_xlfn.IFS(
OR(ISNUMBER(SEARCH("glue trap",E315)),ISNUMBER(SEARCH("glue board",E315))),"Glue Traps",
OR(ISNUMBER(SEARCH("snap trap",E315)),ISNUMBER(SEARCH("power-kill",E315)),ISNUMBER(SEARCH("wide pedal",E315)),ISNUMBER(SEARCH("metal pedal",E315))),"Snap Traps",
OR(ISNUMBER(SEARCH("electronic",E315)),ISNUMBER(SEARCH("zapper",E315))),"Electronic Traps",
OR(ISNUMBER(SEARCH("live catch",E315)),ISNUMBER(SEARCH("multi-catch",E315)),ISNUMBER(SEARCH("catch &amp; hold",E315)),ISNUMBER(SEARCH("tin cat",E315))),"Live Catch Traps",
OR(ISNUMBER(SEARCH("bait",E315)),ISNUMBER(SEARCH("poison",E315))),"Bait &amp; Poison",
ISNUMBER(SEARCH("repellent",E315)),"Repellents",
OR(ISNUMBER(SEARCH("fly trap",E315)),ISNUMBER(SEARCH("fly ribbon",E315)),ISNUMBER(SEARCH("fly stick",E315)),ISNUMBER(SEARCH("window fly",E315)),ISNUMBER(SEARCH("fly magnet",E315))),"Fly Traps",
OR(ISNUMBER(SEARCH("uv",E315)),ISNUMBER(SEARCH("fly light",E315)),ISNUMBER(SEARCH("plug-in",E315))),"UV Fly Traps",
ISNUMBER(SEARCH("roach",E315)),"Roach Traps",
ISNUMBER(SEARCH("ant",E315)),"Ant Traps",
ISNUMBER(SEARCH("spider",E315)),"Spider Traps",
ISNUMBER(SEARCH("mosquito",E315)),"Mosquito Traps",
ISNUMBER(SEARCH("beetle",E315)),"Beetle Traps",
ISNUMBER(SEARCH("lantern",E315)),"Lanternfly Control",
OR(ISNUMBER(SEARCH("tree shield",E315)),ISNUMBER(SEARCH("tree banding",E315)),ISNUMBER(SEARCH("insect barrier",E315))),"Tree Barriers",
OR(ISNUMBER(SEARCH("sun &amp; shade",E315)),ISNUMBER(SEARCH("sun and shade",E315))),"Sun &amp; Shade Mix",
ISNUMBER(SEARCH("tall fescue",E315)),"Tall Fescue",
ISNUMBER(SEARCH("bermudagrass",E315)),"Bermudagrass",
ISNUMBER(SEARCH("kentucky",E315)),"Kentucky Bluegrass",
ISNUMBER(SEARCH("zoysia",E315)),"Zoysia",
ISNUMBER(SEARCH("ryegrass",E315)),"Perennial Ryegrass",
ISNUMBER(SEARCH("centipede",E315)),"Centipede Grass",
ISNUMBER(SEARCH("dense shade",E315)),"Dense Shade Mix",
ISNUMBER(SEARCH("southern gold",E315)),"Southern Gold Mix",
ISNUMBER(SEARCH("heat-tolerant blue",E315)),"Heat-Tolerant Blue Mix",
ISNUMBER(SEARCH("high traffic",E315)),"High Traffic Mix",
ISNUMBER(SEARCH("quick fix",E315)),"Quick Fix Mix",
ISNUMBER(SEARCH("starter",E315)),"Starter Fertilizer",
ISNUMBER(SEARCH("weed &amp; feed",E315)),"Weed &amp; Feed",
ISNUMBER(SEARCH("lawn food",E315)),"Lawn Food",
ISNUMBER(SEARCH("triple action",E315)),"Triple Action Fertilizer",
ISNUMBER(SEARCH("green max",E315)),"Green Max Lawn Food",
ISNUMBER(SEARCH("patchmaster",E315)),"PatchMaster Repair",
ISNUMBER(SEARCH("ez seed",E315)),"EZ Seed Repair",
ISNUMBER(SEARCH("rapid grass",E315)),"Rapid Grass",
ISNUMBER(SEARCH("thick'r lawn",E315)),"Thick'R Lawn",
ISNUMBER(SEARCH("fungicide",E315)),"Fungicide",
ISNUMBER(SEARCH("moss",E315)),"Moss Control",
ISNUMBER(SEARCH("perlite",E315)),"Perlite",
ISNUMBER(SEARCH("plant food",E315)),"Plant Food",
ISNUMBER(SEARCH("spreader",E315)),"Spreader",
ISNUMBER(SEARCH("sprayer",E315)),"Sprayer",
ISNUMBER(SEARCH("mower",E315)),"Lawn Mower",
ISNUMBER(SEARCH("sweeper",E315)),"Lawn Sweeper",
OR(ISNUMBER(SEARCH("pruner",E315)),ISNUMBER(SEARCH("trimmer",E315)),ISNUMBER(SEARCH("pole saw",E315))),"Pruning Tools",
TRUE,"Other"
)</f>
        <v>Other</v>
      </c>
      <c r="J315" s="7" t="str">
        <f t="shared" si="70"/>
        <v>Other - Other</v>
      </c>
      <c r="K315" s="4">
        <v>300</v>
      </c>
      <c r="L315" s="4">
        <v>4.4000000000000004</v>
      </c>
      <c r="M315" s="4">
        <v>13590</v>
      </c>
      <c r="N315" s="4" t="s">
        <v>1452</v>
      </c>
      <c r="O315" s="4">
        <f>VLOOKUP(A315,[4]Sheet1!$A:$B,2,0)</f>
        <v>50</v>
      </c>
      <c r="P315" s="4">
        <f>VLOOKUP(A315,[4]Sheet1!$A:$C,3,0)</f>
        <v>50</v>
      </c>
      <c r="Q315" s="4">
        <f>VLOOKUP(A315,[4]Sheet1!$A:$D,4,0)</f>
        <v>700</v>
      </c>
      <c r="R315" s="4">
        <f>VLOOKUP(A315,[4]Sheet1!$A:$E,5,0)</f>
        <v>800</v>
      </c>
      <c r="S315" s="4">
        <f>VLOOKUP(A315,[4]Sheet1!$A:$F,6,0)</f>
        <v>800</v>
      </c>
      <c r="T315" s="4">
        <f>VLOOKUP(A315,[4]Sheet1!$A:$G,7,0)</f>
        <v>800</v>
      </c>
      <c r="U315" s="4">
        <f>VLOOKUP(A315,[4]Sheet1!$A:$H,8,0)</f>
        <v>700</v>
      </c>
      <c r="V315" s="4">
        <f>VLOOKUP(A315,[4]Sheet1!$A:$I,9,0)</f>
        <v>600</v>
      </c>
      <c r="W315" s="4">
        <f>VLOOKUP(A315,[4]Sheet1!$A:$J,10,0)</f>
        <v>600</v>
      </c>
      <c r="X315" s="4">
        <f>VLOOKUP(A315,[4]Sheet1!$A:$K,11,0)</f>
        <v>200</v>
      </c>
      <c r="Y315" s="4">
        <f>VLOOKUP(A315,[4]Sheet1!$A:$L,12,0)</f>
        <v>100</v>
      </c>
      <c r="Z315" s="4">
        <f>VLOOKUP(A315,[4]Sheet1!$A:$M,13,0)</f>
        <v>50</v>
      </c>
      <c r="AA315" s="4">
        <f t="shared" si="80"/>
        <v>5450</v>
      </c>
      <c r="AB315" s="7">
        <f t="shared" si="71"/>
        <v>454</v>
      </c>
      <c r="AC315" s="15">
        <f t="shared" si="81"/>
        <v>454.16666666666669</v>
      </c>
      <c r="AD315" s="16">
        <f t="shared" si="82"/>
        <v>548760.5</v>
      </c>
      <c r="AE315" s="16">
        <f t="shared" si="83"/>
        <v>45730.041666666664</v>
      </c>
      <c r="AF315" s="16">
        <v>22.61</v>
      </c>
      <c r="AG315" s="16">
        <v>100.69</v>
      </c>
      <c r="AH315" s="15">
        <f t="shared" si="84"/>
        <v>1.1110666666666662</v>
      </c>
      <c r="AI315" s="15">
        <f t="shared" si="85"/>
        <v>3.8887333333333314</v>
      </c>
      <c r="AJ315" s="10">
        <v>0.5</v>
      </c>
      <c r="AK315" s="10">
        <v>0.5</v>
      </c>
      <c r="AL315" s="16">
        <v>22.61</v>
      </c>
      <c r="AM315" s="9">
        <f t="shared" si="72"/>
        <v>15.103499999999999</v>
      </c>
      <c r="AN315" s="9">
        <f t="shared" si="73"/>
        <v>3.0206999999999997</v>
      </c>
      <c r="AO315" s="9">
        <f t="shared" si="74"/>
        <v>20.138000000000002</v>
      </c>
      <c r="AP315" s="9">
        <f t="shared" si="75"/>
        <v>2.0137999999999998</v>
      </c>
      <c r="AQ315" s="9">
        <f t="shared" si="76"/>
        <v>20.138000000000002</v>
      </c>
      <c r="AR315" s="9">
        <f t="shared" si="77"/>
        <v>25.172499999999999</v>
      </c>
      <c r="AS315" s="11">
        <f t="shared" si="78"/>
        <v>11.110666666666662</v>
      </c>
      <c r="AT315" s="12">
        <f t="shared" si="79"/>
        <v>7.7543333333333306</v>
      </c>
    </row>
    <row r="316" spans="1:46" ht="16.5" x14ac:dyDescent="0.4">
      <c r="A316" s="4" t="s">
        <v>1453</v>
      </c>
      <c r="B316" s="4" t="s">
        <v>1314</v>
      </c>
      <c r="C316" s="7" t="s">
        <v>1796</v>
      </c>
      <c r="D316" s="4" t="s">
        <v>1454</v>
      </c>
      <c r="E316" s="4" t="s">
        <v>1455</v>
      </c>
      <c r="F316" s="4" t="s">
        <v>1456</v>
      </c>
      <c r="G316" s="7" t="str">
        <f>VLOOKUP(A316,[1]done!$A:$I,9,0)</f>
        <v>Rodent</v>
      </c>
      <c r="H316" s="7" t="str" cm="1">
        <f t="array" ref="H316">_xlfn.IFS(
OR(ISNUMBER(SEARCH("mouse",E316)),ISNUMBER(SEARCH("rat",E316)),ISNUMBER(SEARCH("mice",E316)),ISNUMBER(SEARCH("rodent",E316))),"Rodent Control",
OR(ISNUMBER(SEARCH("fly",E316)),ISNUMBER(SEARCH("gnat",E316)),ISNUMBER(SEARCH("insect",E316)),ISNUMBER(SEARCH("mosquito",E316))),"Flying Insect Control",
OR(ISNUMBER(SEARCH("roach",E316)),ISNUMBER(SEARCH("ant",E316)),ISNUMBER(SEARCH("spider",E316)),ISNUMBER(SEARCH("cricket",E316)),ISNUMBER(SEARCH("scorpion",E316)),ISNUMBER(SEARCH("centipede",E316)),ISNUMBER(SEARCH("beetle",E316))),"Crawling Insect Control",
OR(ISNUMBER(SEARCH("tree",E316)),ISNUMBER(SEARCH("lantern",E316)),ISNUMBER(SEARCH("garden",E316)),ISNUMBER(SEARCH("plant",E316))),"Garden Pest Control",
OR(ISNUMBER(SEARCH("grass seed",E316)),ISNUMBER(SEARCH("seed mix",E316))),"Grass Seed",
OR(ISNUMBER(SEARCH("lawn food",E316)),ISNUMBER(SEARCH("fertilizer",E316))),"Lawn Fertilizer",
OR(ISNUMBER(SEARCH("patch",E316)),ISNUMBER(SEARCH("repair",E316)),ISNUMBER(SEARCH("thick'r",E316)),ISNUMBER(SEARCH("thick'r lawn",E316)),ISNUMBER(SEARCH("rapid grass",E316))),"Lawn Repair",
OR(ISNUMBER(SEARCH("weed",E316)),ISNUMBER(SEARCH("crabgrass",E316))),"Weed Control",
OR(ISNUMBER(SEARCH("fungicide",E316)),ISNUMBER(SEARCH("moss",E316))),"Disease &amp; Moss Control",
OR(ISNUMBER(SEARCH("plant food",E316)),ISNUMBER(SEARCH("miracid",E316))),"Plant Nutrition",
OR(ISNUMBER(SEARCH("perlite",E316))),"Soil Amendment",
OR(ISNUMBER(SEARCH("spreader",E316)),ISNUMBER(SEARCH("sprayer",E316)),ISNUMBER(SEARCH("mower",E316)),ISNUMBER(SEARCH("sweeper",E316)),ISNUMBER(SEARCH("pruner",E316)),ISNUMBER(SEARCH("trimmer",E316)),ISNUMBER(SEARCH("pole saw",E316))),"Garden Equipment",
TRUE,"Other"
)</f>
        <v>Rodent Control</v>
      </c>
      <c r="I316" s="7" t="str" cm="1">
        <f t="array" ref="I316">_xlfn.IFS(
OR(ISNUMBER(SEARCH("glue trap",E316)),ISNUMBER(SEARCH("glue board",E316))),"Glue Traps",
OR(ISNUMBER(SEARCH("snap trap",E316)),ISNUMBER(SEARCH("power-kill",E316)),ISNUMBER(SEARCH("wide pedal",E316)),ISNUMBER(SEARCH("metal pedal",E316))),"Snap Traps",
OR(ISNUMBER(SEARCH("electronic",E316)),ISNUMBER(SEARCH("zapper",E316))),"Electronic Traps",
OR(ISNUMBER(SEARCH("live catch",E316)),ISNUMBER(SEARCH("multi-catch",E316)),ISNUMBER(SEARCH("catch &amp; hold",E316)),ISNUMBER(SEARCH("tin cat",E316))),"Live Catch Traps",
OR(ISNUMBER(SEARCH("bait",E316)),ISNUMBER(SEARCH("poison",E316))),"Bait &amp; Poison",
ISNUMBER(SEARCH("repellent",E316)),"Repellents",
OR(ISNUMBER(SEARCH("fly trap",E316)),ISNUMBER(SEARCH("fly ribbon",E316)),ISNUMBER(SEARCH("fly stick",E316)),ISNUMBER(SEARCH("window fly",E316)),ISNUMBER(SEARCH("fly magnet",E316))),"Fly Traps",
OR(ISNUMBER(SEARCH("uv",E316)),ISNUMBER(SEARCH("fly light",E316)),ISNUMBER(SEARCH("plug-in",E316))),"UV Fly Traps",
ISNUMBER(SEARCH("roach",E316)),"Roach Traps",
ISNUMBER(SEARCH("ant",E316)),"Ant Traps",
ISNUMBER(SEARCH("spider",E316)),"Spider Traps",
ISNUMBER(SEARCH("mosquito",E316)),"Mosquito Traps",
ISNUMBER(SEARCH("beetle",E316)),"Beetle Traps",
ISNUMBER(SEARCH("lantern",E316)),"Lanternfly Control",
OR(ISNUMBER(SEARCH("tree shield",E316)),ISNUMBER(SEARCH("tree banding",E316)),ISNUMBER(SEARCH("insect barrier",E316))),"Tree Barriers",
OR(ISNUMBER(SEARCH("sun &amp; shade",E316)),ISNUMBER(SEARCH("sun and shade",E316))),"Sun &amp; Shade Mix",
ISNUMBER(SEARCH("tall fescue",E316)),"Tall Fescue",
ISNUMBER(SEARCH("bermudagrass",E316)),"Bermudagrass",
ISNUMBER(SEARCH("kentucky",E316)),"Kentucky Bluegrass",
ISNUMBER(SEARCH("zoysia",E316)),"Zoysia",
ISNUMBER(SEARCH("ryegrass",E316)),"Perennial Ryegrass",
ISNUMBER(SEARCH("centipede",E316)),"Centipede Grass",
ISNUMBER(SEARCH("dense shade",E316)),"Dense Shade Mix",
ISNUMBER(SEARCH("southern gold",E316)),"Southern Gold Mix",
ISNUMBER(SEARCH("heat-tolerant blue",E316)),"Heat-Tolerant Blue Mix",
ISNUMBER(SEARCH("high traffic",E316)),"High Traffic Mix",
ISNUMBER(SEARCH("quick fix",E316)),"Quick Fix Mix",
ISNUMBER(SEARCH("starter",E316)),"Starter Fertilizer",
ISNUMBER(SEARCH("weed &amp; feed",E316)),"Weed &amp; Feed",
ISNUMBER(SEARCH("lawn food",E316)),"Lawn Food",
ISNUMBER(SEARCH("triple action",E316)),"Triple Action Fertilizer",
ISNUMBER(SEARCH("green max",E316)),"Green Max Lawn Food",
ISNUMBER(SEARCH("patchmaster",E316)),"PatchMaster Repair",
ISNUMBER(SEARCH("ez seed",E316)),"EZ Seed Repair",
ISNUMBER(SEARCH("rapid grass",E316)),"Rapid Grass",
ISNUMBER(SEARCH("thick'r lawn",E316)),"Thick'R Lawn",
ISNUMBER(SEARCH("fungicide",E316)),"Fungicide",
ISNUMBER(SEARCH("moss",E316)),"Moss Control",
ISNUMBER(SEARCH("perlite",E316)),"Perlite",
ISNUMBER(SEARCH("plant food",E316)),"Plant Food",
ISNUMBER(SEARCH("spreader",E316)),"Spreader",
ISNUMBER(SEARCH("sprayer",E316)),"Sprayer",
ISNUMBER(SEARCH("mower",E316)),"Lawn Mower",
ISNUMBER(SEARCH("sweeper",E316)),"Lawn Sweeper",
OR(ISNUMBER(SEARCH("pruner",E316)),ISNUMBER(SEARCH("trimmer",E316)),ISNUMBER(SEARCH("pole saw",E316))),"Pruning Tools",
TRUE,"Other"
)</f>
        <v>Bait &amp; Poison</v>
      </c>
      <c r="J316" s="7" t="str">
        <f t="shared" si="70"/>
        <v>Rodent Control - Bait &amp; Poison</v>
      </c>
      <c r="K316" s="4">
        <v>300</v>
      </c>
      <c r="L316" s="4">
        <v>3.9</v>
      </c>
      <c r="M316" s="4">
        <v>412</v>
      </c>
      <c r="N316" s="4" t="s">
        <v>1094</v>
      </c>
      <c r="O316" s="4">
        <f>VLOOKUP(A316,[4]Sheet1!$A:$B,2,0)</f>
        <v>100</v>
      </c>
      <c r="P316" s="4">
        <f>VLOOKUP(A316,[4]Sheet1!$A:$C,3,0)</f>
        <v>50</v>
      </c>
      <c r="Q316" s="4">
        <f>VLOOKUP(A316,[4]Sheet1!$A:$D,4,0)</f>
        <v>50</v>
      </c>
      <c r="R316" s="4">
        <f>VLOOKUP(A316,[4]Sheet1!$A:$E,5,0)</f>
        <v>100</v>
      </c>
      <c r="S316" s="4">
        <f>VLOOKUP(A316,[4]Sheet1!$A:$F,6,0)</f>
        <v>100</v>
      </c>
      <c r="T316" s="4">
        <f>VLOOKUP(A316,[4]Sheet1!$A:$G,7,0)</f>
        <v>200</v>
      </c>
      <c r="U316" s="4">
        <f>VLOOKUP(A316,[4]Sheet1!$A:$H,8,0)</f>
        <v>100</v>
      </c>
      <c r="V316" s="4">
        <f>VLOOKUP(A316,[4]Sheet1!$A:$I,9,0)</f>
        <v>100</v>
      </c>
      <c r="W316" s="4">
        <f>VLOOKUP(A316,[4]Sheet1!$A:$J,10,0)</f>
        <v>200</v>
      </c>
      <c r="X316" s="4">
        <f>VLOOKUP(A316,[4]Sheet1!$A:$K,11,0)</f>
        <v>300</v>
      </c>
      <c r="Y316" s="4">
        <f>VLOOKUP(A316,[4]Sheet1!$A:$L,12,0)</f>
        <v>300</v>
      </c>
      <c r="Z316" s="4">
        <f>VLOOKUP(A316,[4]Sheet1!$A:$M,13,0)</f>
        <v>100</v>
      </c>
      <c r="AA316" s="4">
        <f t="shared" si="80"/>
        <v>1700</v>
      </c>
      <c r="AB316" s="7">
        <f t="shared" si="71"/>
        <v>142</v>
      </c>
      <c r="AC316" s="15">
        <f t="shared" si="81"/>
        <v>141.66666666666666</v>
      </c>
      <c r="AD316" s="16">
        <f t="shared" si="82"/>
        <v>21233</v>
      </c>
      <c r="AE316" s="16">
        <f t="shared" si="83"/>
        <v>1769.4166666666665</v>
      </c>
      <c r="AF316" s="16">
        <v>7.38</v>
      </c>
      <c r="AG316" s="16">
        <v>12.49</v>
      </c>
      <c r="AH316" s="15">
        <f t="shared" si="84"/>
        <v>-0.22560000000000002</v>
      </c>
      <c r="AI316" s="15">
        <f t="shared" si="85"/>
        <v>-0.78960000000000008</v>
      </c>
      <c r="AJ316" s="10">
        <v>0.5</v>
      </c>
      <c r="AK316" s="10">
        <v>0.5</v>
      </c>
      <c r="AL316" s="16">
        <v>7.38</v>
      </c>
      <c r="AM316" s="9">
        <f t="shared" si="72"/>
        <v>1.8734999999999999</v>
      </c>
      <c r="AN316" s="9">
        <f t="shared" si="73"/>
        <v>0.37469999999999998</v>
      </c>
      <c r="AO316" s="9">
        <f t="shared" si="74"/>
        <v>2.4980000000000002</v>
      </c>
      <c r="AP316" s="9">
        <f t="shared" si="75"/>
        <v>0.24980000000000002</v>
      </c>
      <c r="AQ316" s="9">
        <f t="shared" si="76"/>
        <v>2.4980000000000002</v>
      </c>
      <c r="AR316" s="9">
        <f t="shared" si="77"/>
        <v>3.1225000000000001</v>
      </c>
      <c r="AS316" s="11">
        <f t="shared" si="78"/>
        <v>-2.2560000000000002</v>
      </c>
      <c r="AT316" s="12">
        <f t="shared" si="79"/>
        <v>-2.672333333333333</v>
      </c>
    </row>
    <row r="317" spans="1:46" ht="16.5" x14ac:dyDescent="0.4">
      <c r="A317" s="4" t="s">
        <v>1457</v>
      </c>
      <c r="B317" s="4" t="s">
        <v>1314</v>
      </c>
      <c r="C317" s="7" t="s">
        <v>1796</v>
      </c>
      <c r="D317" s="4" t="s">
        <v>1458</v>
      </c>
      <c r="E317" s="4" t="s">
        <v>1459</v>
      </c>
      <c r="F317" s="4" t="s">
        <v>1460</v>
      </c>
      <c r="G317" s="7" t="str">
        <f>VLOOKUP(A317,[1]done!$A:$I,9,0)</f>
        <v>Mole Repellent</v>
      </c>
      <c r="H317" s="7" t="str" cm="1">
        <f t="array" ref="H317">_xlfn.IFS(
OR(ISNUMBER(SEARCH("mouse",E317)),ISNUMBER(SEARCH("rat",E317)),ISNUMBER(SEARCH("mice",E317)),ISNUMBER(SEARCH("rodent",E317))),"Rodent Control",
OR(ISNUMBER(SEARCH("fly",E317)),ISNUMBER(SEARCH("gnat",E317)),ISNUMBER(SEARCH("insect",E317)),ISNUMBER(SEARCH("mosquito",E317))),"Flying Insect Control",
OR(ISNUMBER(SEARCH("roach",E317)),ISNUMBER(SEARCH("ant",E317)),ISNUMBER(SEARCH("spider",E317)),ISNUMBER(SEARCH("cricket",E317)),ISNUMBER(SEARCH("scorpion",E317)),ISNUMBER(SEARCH("centipede",E317)),ISNUMBER(SEARCH("beetle",E317))),"Crawling Insect Control",
OR(ISNUMBER(SEARCH("tree",E317)),ISNUMBER(SEARCH("lantern",E317)),ISNUMBER(SEARCH("garden",E317)),ISNUMBER(SEARCH("plant",E317))),"Garden Pest Control",
OR(ISNUMBER(SEARCH("grass seed",E317)),ISNUMBER(SEARCH("seed mix",E317))),"Grass Seed",
OR(ISNUMBER(SEARCH("lawn food",E317)),ISNUMBER(SEARCH("fertilizer",E317))),"Lawn Fertilizer",
OR(ISNUMBER(SEARCH("patch",E317)),ISNUMBER(SEARCH("repair",E317)),ISNUMBER(SEARCH("thick'r",E317)),ISNUMBER(SEARCH("thick'r lawn",E317)),ISNUMBER(SEARCH("rapid grass",E317))),"Lawn Repair",
OR(ISNUMBER(SEARCH("weed",E317)),ISNUMBER(SEARCH("crabgrass",E317))),"Weed Control",
OR(ISNUMBER(SEARCH("fungicide",E317)),ISNUMBER(SEARCH("moss",E317))),"Disease &amp; Moss Control",
OR(ISNUMBER(SEARCH("plant food",E317)),ISNUMBER(SEARCH("miracid",E317))),"Plant Nutrition",
OR(ISNUMBER(SEARCH("perlite",E317))),"Soil Amendment",
OR(ISNUMBER(SEARCH("spreader",E317)),ISNUMBER(SEARCH("sprayer",E317)),ISNUMBER(SEARCH("mower",E317)),ISNUMBER(SEARCH("sweeper",E317)),ISNUMBER(SEARCH("pruner",E317)),ISNUMBER(SEARCH("trimmer",E317)),ISNUMBER(SEARCH("pole saw",E317))),"Garden Equipment",
TRUE,"Other"
)</f>
        <v>Other</v>
      </c>
      <c r="I317" s="7" t="str" cm="1">
        <f t="array" ref="I317">_xlfn.IFS(
OR(ISNUMBER(SEARCH("glue trap",E317)),ISNUMBER(SEARCH("glue board",E317))),"Glue Traps",
OR(ISNUMBER(SEARCH("snap trap",E317)),ISNUMBER(SEARCH("power-kill",E317)),ISNUMBER(SEARCH("wide pedal",E317)),ISNUMBER(SEARCH("metal pedal",E317))),"Snap Traps",
OR(ISNUMBER(SEARCH("electronic",E317)),ISNUMBER(SEARCH("zapper",E317))),"Electronic Traps",
OR(ISNUMBER(SEARCH("live catch",E317)),ISNUMBER(SEARCH("multi-catch",E317)),ISNUMBER(SEARCH("catch &amp; hold",E317)),ISNUMBER(SEARCH("tin cat",E317))),"Live Catch Traps",
OR(ISNUMBER(SEARCH("bait",E317)),ISNUMBER(SEARCH("poison",E317))),"Bait &amp; Poison",
ISNUMBER(SEARCH("repellent",E317)),"Repellents",
OR(ISNUMBER(SEARCH("fly trap",E317)),ISNUMBER(SEARCH("fly ribbon",E317)),ISNUMBER(SEARCH("fly stick",E317)),ISNUMBER(SEARCH("window fly",E317)),ISNUMBER(SEARCH("fly magnet",E317))),"Fly Traps",
OR(ISNUMBER(SEARCH("uv",E317)),ISNUMBER(SEARCH("fly light",E317)),ISNUMBER(SEARCH("plug-in",E317))),"UV Fly Traps",
ISNUMBER(SEARCH("roach",E317)),"Roach Traps",
ISNUMBER(SEARCH("ant",E317)),"Ant Traps",
ISNUMBER(SEARCH("spider",E317)),"Spider Traps",
ISNUMBER(SEARCH("mosquito",E317)),"Mosquito Traps",
ISNUMBER(SEARCH("beetle",E317)),"Beetle Traps",
ISNUMBER(SEARCH("lantern",E317)),"Lanternfly Control",
OR(ISNUMBER(SEARCH("tree shield",E317)),ISNUMBER(SEARCH("tree banding",E317)),ISNUMBER(SEARCH("insect barrier",E317))),"Tree Barriers",
OR(ISNUMBER(SEARCH("sun &amp; shade",E317)),ISNUMBER(SEARCH("sun and shade",E317))),"Sun &amp; Shade Mix",
ISNUMBER(SEARCH("tall fescue",E317)),"Tall Fescue",
ISNUMBER(SEARCH("bermudagrass",E317)),"Bermudagrass",
ISNUMBER(SEARCH("kentucky",E317)),"Kentucky Bluegrass",
ISNUMBER(SEARCH("zoysia",E317)),"Zoysia",
ISNUMBER(SEARCH("ryegrass",E317)),"Perennial Ryegrass",
ISNUMBER(SEARCH("centipede",E317)),"Centipede Grass",
ISNUMBER(SEARCH("dense shade",E317)),"Dense Shade Mix",
ISNUMBER(SEARCH("southern gold",E317)),"Southern Gold Mix",
ISNUMBER(SEARCH("heat-tolerant blue",E317)),"Heat-Tolerant Blue Mix",
ISNUMBER(SEARCH("high traffic",E317)),"High Traffic Mix",
ISNUMBER(SEARCH("quick fix",E317)),"Quick Fix Mix",
ISNUMBER(SEARCH("starter",E317)),"Starter Fertilizer",
ISNUMBER(SEARCH("weed &amp; feed",E317)),"Weed &amp; Feed",
ISNUMBER(SEARCH("lawn food",E317)),"Lawn Food",
ISNUMBER(SEARCH("triple action",E317)),"Triple Action Fertilizer",
ISNUMBER(SEARCH("green max",E317)),"Green Max Lawn Food",
ISNUMBER(SEARCH("patchmaster",E317)),"PatchMaster Repair",
ISNUMBER(SEARCH("ez seed",E317)),"EZ Seed Repair",
ISNUMBER(SEARCH("rapid grass",E317)),"Rapid Grass",
ISNUMBER(SEARCH("thick'r lawn",E317)),"Thick'R Lawn",
ISNUMBER(SEARCH("fungicide",E317)),"Fungicide",
ISNUMBER(SEARCH("moss",E317)),"Moss Control",
ISNUMBER(SEARCH("perlite",E317)),"Perlite",
ISNUMBER(SEARCH("plant food",E317)),"Plant Food",
ISNUMBER(SEARCH("spreader",E317)),"Spreader",
ISNUMBER(SEARCH("sprayer",E317)),"Sprayer",
ISNUMBER(SEARCH("mower",E317)),"Lawn Mower",
ISNUMBER(SEARCH("sweeper",E317)),"Lawn Sweeper",
OR(ISNUMBER(SEARCH("pruner",E317)),ISNUMBER(SEARCH("trimmer",E317)),ISNUMBER(SEARCH("pole saw",E317))),"Pruning Tools",
TRUE,"Other"
)</f>
        <v>Repellents</v>
      </c>
      <c r="J317" s="7" t="str">
        <f t="shared" si="70"/>
        <v>Other - Repellents</v>
      </c>
      <c r="K317" s="4">
        <v>300</v>
      </c>
      <c r="L317" s="4">
        <v>3.4</v>
      </c>
      <c r="M317" s="4">
        <v>621</v>
      </c>
      <c r="N317" s="4" t="s">
        <v>1461</v>
      </c>
      <c r="O317" s="4">
        <f>VLOOKUP(A317,[4]Sheet1!$A:$B,2,0)</f>
        <v>0</v>
      </c>
      <c r="P317" s="4">
        <f>VLOOKUP(A317,[4]Sheet1!$A:$C,3,0)</f>
        <v>0</v>
      </c>
      <c r="Q317" s="4">
        <f>VLOOKUP(A317,[4]Sheet1!$A:$D,4,0)</f>
        <v>50</v>
      </c>
      <c r="R317" s="4">
        <f>VLOOKUP(A317,[4]Sheet1!$A:$E,5,0)</f>
        <v>100</v>
      </c>
      <c r="S317" s="4">
        <f>VLOOKUP(A317,[4]Sheet1!$A:$F,6,0)</f>
        <v>100</v>
      </c>
      <c r="T317" s="4">
        <f>VLOOKUP(A317,[4]Sheet1!$A:$G,7,0)</f>
        <v>100</v>
      </c>
      <c r="U317" s="4">
        <f>VLOOKUP(A317,[4]Sheet1!$A:$H,8,0)</f>
        <v>100</v>
      </c>
      <c r="V317" s="4">
        <f>VLOOKUP(A317,[4]Sheet1!$A:$I,9,0)</f>
        <v>200</v>
      </c>
      <c r="W317" s="4">
        <f>VLOOKUP(A317,[4]Sheet1!$A:$J,10,0)</f>
        <v>200</v>
      </c>
      <c r="X317" s="4">
        <f>VLOOKUP(A317,[4]Sheet1!$A:$K,11,0)</f>
        <v>200</v>
      </c>
      <c r="Y317" s="4">
        <f>VLOOKUP(A317,[4]Sheet1!$A:$L,12,0)</f>
        <v>100</v>
      </c>
      <c r="Z317" s="4">
        <f>VLOOKUP(A317,[4]Sheet1!$A:$M,13,0)</f>
        <v>50</v>
      </c>
      <c r="AA317" s="4">
        <f t="shared" si="80"/>
        <v>1200</v>
      </c>
      <c r="AB317" s="7">
        <f t="shared" si="71"/>
        <v>100</v>
      </c>
      <c r="AC317" s="15">
        <f t="shared" si="81"/>
        <v>100</v>
      </c>
      <c r="AD317" s="16">
        <f t="shared" si="82"/>
        <v>26387.999999999996</v>
      </c>
      <c r="AE317" s="16">
        <f t="shared" si="83"/>
        <v>2199</v>
      </c>
      <c r="AF317" s="16">
        <v>6.31</v>
      </c>
      <c r="AG317" s="16">
        <v>21.99</v>
      </c>
      <c r="AH317" s="15">
        <f t="shared" si="84"/>
        <v>9.906666666666665E-2</v>
      </c>
      <c r="AI317" s="15">
        <f t="shared" si="85"/>
        <v>0.34673333333333323</v>
      </c>
      <c r="AJ317" s="10">
        <v>0.5</v>
      </c>
      <c r="AK317" s="10">
        <v>0.5</v>
      </c>
      <c r="AL317" s="16">
        <v>6.31</v>
      </c>
      <c r="AM317" s="9">
        <f t="shared" si="72"/>
        <v>3.2984999999999998</v>
      </c>
      <c r="AN317" s="9">
        <f t="shared" si="73"/>
        <v>0.65969999999999995</v>
      </c>
      <c r="AO317" s="9">
        <f t="shared" si="74"/>
        <v>4.3979999999999997</v>
      </c>
      <c r="AP317" s="9">
        <f t="shared" si="75"/>
        <v>0.43979999999999997</v>
      </c>
      <c r="AQ317" s="9">
        <f t="shared" si="76"/>
        <v>4.3979999999999997</v>
      </c>
      <c r="AR317" s="9">
        <f t="shared" si="77"/>
        <v>5.4974999999999996</v>
      </c>
      <c r="AS317" s="11">
        <f t="shared" si="78"/>
        <v>0.99066666666666647</v>
      </c>
      <c r="AT317" s="12">
        <f t="shared" si="79"/>
        <v>0.25766666666666654</v>
      </c>
    </row>
    <row r="318" spans="1:46" ht="16.5" x14ac:dyDescent="0.4">
      <c r="A318" s="4" t="s">
        <v>1462</v>
      </c>
      <c r="B318" s="4" t="s">
        <v>1314</v>
      </c>
      <c r="C318" s="7" t="s">
        <v>1796</v>
      </c>
      <c r="D318" s="4" t="s">
        <v>1463</v>
      </c>
      <c r="E318" s="4" t="s">
        <v>1464</v>
      </c>
      <c r="F318" s="4" t="s">
        <v>1465</v>
      </c>
      <c r="G318" s="7" t="str">
        <f>VLOOKUP(A318,[1]done!$A:$I,9,0)</f>
        <v>Snake control</v>
      </c>
      <c r="H318" s="7" t="str" cm="1">
        <f t="array" ref="H318">_xlfn.IFS(
OR(ISNUMBER(SEARCH("mouse",E318)),ISNUMBER(SEARCH("rat",E318)),ISNUMBER(SEARCH("mice",E318)),ISNUMBER(SEARCH("rodent",E318))),"Rodent Control",
OR(ISNUMBER(SEARCH("fly",E318)),ISNUMBER(SEARCH("gnat",E318)),ISNUMBER(SEARCH("insect",E318)),ISNUMBER(SEARCH("mosquito",E318))),"Flying Insect Control",
OR(ISNUMBER(SEARCH("roach",E318)),ISNUMBER(SEARCH("ant",E318)),ISNUMBER(SEARCH("spider",E318)),ISNUMBER(SEARCH("cricket",E318)),ISNUMBER(SEARCH("scorpion",E318)),ISNUMBER(SEARCH("centipede",E318)),ISNUMBER(SEARCH("beetle",E318))),"Crawling Insect Control",
OR(ISNUMBER(SEARCH("tree",E318)),ISNUMBER(SEARCH("lantern",E318)),ISNUMBER(SEARCH("garden",E318)),ISNUMBER(SEARCH("plant",E318))),"Garden Pest Control",
OR(ISNUMBER(SEARCH("grass seed",E318)),ISNUMBER(SEARCH("seed mix",E318))),"Grass Seed",
OR(ISNUMBER(SEARCH("lawn food",E318)),ISNUMBER(SEARCH("fertilizer",E318))),"Lawn Fertilizer",
OR(ISNUMBER(SEARCH("patch",E318)),ISNUMBER(SEARCH("repair",E318)),ISNUMBER(SEARCH("thick'r",E318)),ISNUMBER(SEARCH("thick'r lawn",E318)),ISNUMBER(SEARCH("rapid grass",E318))),"Lawn Repair",
OR(ISNUMBER(SEARCH("weed",E318)),ISNUMBER(SEARCH("crabgrass",E318))),"Weed Control",
OR(ISNUMBER(SEARCH("fungicide",E318)),ISNUMBER(SEARCH("moss",E318))),"Disease &amp; Moss Control",
OR(ISNUMBER(SEARCH("plant food",E318)),ISNUMBER(SEARCH("miracid",E318))),"Plant Nutrition",
OR(ISNUMBER(SEARCH("perlite",E318))),"Soil Amendment",
OR(ISNUMBER(SEARCH("spreader",E318)),ISNUMBER(SEARCH("sprayer",E318)),ISNUMBER(SEARCH("mower",E318)),ISNUMBER(SEARCH("sweeper",E318)),ISNUMBER(SEARCH("pruner",E318)),ISNUMBER(SEARCH("trimmer",E318)),ISNUMBER(SEARCH("pole saw",E318))),"Garden Equipment",
TRUE,"Other"
)</f>
        <v>Other</v>
      </c>
      <c r="I318" s="7" t="str" cm="1">
        <f t="array" ref="I318">_xlfn.IFS(
OR(ISNUMBER(SEARCH("glue trap",E318)),ISNUMBER(SEARCH("glue board",E318))),"Glue Traps",
OR(ISNUMBER(SEARCH("snap trap",E318)),ISNUMBER(SEARCH("power-kill",E318)),ISNUMBER(SEARCH("wide pedal",E318)),ISNUMBER(SEARCH("metal pedal",E318))),"Snap Traps",
OR(ISNUMBER(SEARCH("electronic",E318)),ISNUMBER(SEARCH("zapper",E318))),"Electronic Traps",
OR(ISNUMBER(SEARCH("live catch",E318)),ISNUMBER(SEARCH("multi-catch",E318)),ISNUMBER(SEARCH("catch &amp; hold",E318)),ISNUMBER(SEARCH("tin cat",E318))),"Live Catch Traps",
OR(ISNUMBER(SEARCH("bait",E318)),ISNUMBER(SEARCH("poison",E318))),"Bait &amp; Poison",
ISNUMBER(SEARCH("repellent",E318)),"Repellents",
OR(ISNUMBER(SEARCH("fly trap",E318)),ISNUMBER(SEARCH("fly ribbon",E318)),ISNUMBER(SEARCH("fly stick",E318)),ISNUMBER(SEARCH("window fly",E318)),ISNUMBER(SEARCH("fly magnet",E318))),"Fly Traps",
OR(ISNUMBER(SEARCH("uv",E318)),ISNUMBER(SEARCH("fly light",E318)),ISNUMBER(SEARCH("plug-in",E318))),"UV Fly Traps",
ISNUMBER(SEARCH("roach",E318)),"Roach Traps",
ISNUMBER(SEARCH("ant",E318)),"Ant Traps",
ISNUMBER(SEARCH("spider",E318)),"Spider Traps",
ISNUMBER(SEARCH("mosquito",E318)),"Mosquito Traps",
ISNUMBER(SEARCH("beetle",E318)),"Beetle Traps",
ISNUMBER(SEARCH("lantern",E318)),"Lanternfly Control",
OR(ISNUMBER(SEARCH("tree shield",E318)),ISNUMBER(SEARCH("tree banding",E318)),ISNUMBER(SEARCH("insect barrier",E318))),"Tree Barriers",
OR(ISNUMBER(SEARCH("sun &amp; shade",E318)),ISNUMBER(SEARCH("sun and shade",E318))),"Sun &amp; Shade Mix",
ISNUMBER(SEARCH("tall fescue",E318)),"Tall Fescue",
ISNUMBER(SEARCH("bermudagrass",E318)),"Bermudagrass",
ISNUMBER(SEARCH("kentucky",E318)),"Kentucky Bluegrass",
ISNUMBER(SEARCH("zoysia",E318)),"Zoysia",
ISNUMBER(SEARCH("ryegrass",E318)),"Perennial Ryegrass",
ISNUMBER(SEARCH("centipede",E318)),"Centipede Grass",
ISNUMBER(SEARCH("dense shade",E318)),"Dense Shade Mix",
ISNUMBER(SEARCH("southern gold",E318)),"Southern Gold Mix",
ISNUMBER(SEARCH("heat-tolerant blue",E318)),"Heat-Tolerant Blue Mix",
ISNUMBER(SEARCH("high traffic",E318)),"High Traffic Mix",
ISNUMBER(SEARCH("quick fix",E318)),"Quick Fix Mix",
ISNUMBER(SEARCH("starter",E318)),"Starter Fertilizer",
ISNUMBER(SEARCH("weed &amp; feed",E318)),"Weed &amp; Feed",
ISNUMBER(SEARCH("lawn food",E318)),"Lawn Food",
ISNUMBER(SEARCH("triple action",E318)),"Triple Action Fertilizer",
ISNUMBER(SEARCH("green max",E318)),"Green Max Lawn Food",
ISNUMBER(SEARCH("patchmaster",E318)),"PatchMaster Repair",
ISNUMBER(SEARCH("ez seed",E318)),"EZ Seed Repair",
ISNUMBER(SEARCH("rapid grass",E318)),"Rapid Grass",
ISNUMBER(SEARCH("thick'r lawn",E318)),"Thick'R Lawn",
ISNUMBER(SEARCH("fungicide",E318)),"Fungicide",
ISNUMBER(SEARCH("moss",E318)),"Moss Control",
ISNUMBER(SEARCH("perlite",E318)),"Perlite",
ISNUMBER(SEARCH("plant food",E318)),"Plant Food",
ISNUMBER(SEARCH("spreader",E318)),"Spreader",
ISNUMBER(SEARCH("sprayer",E318)),"Sprayer",
ISNUMBER(SEARCH("mower",E318)),"Lawn Mower",
ISNUMBER(SEARCH("sweeper",E318)),"Lawn Sweeper",
OR(ISNUMBER(SEARCH("pruner",E318)),ISNUMBER(SEARCH("trimmer",E318)),ISNUMBER(SEARCH("pole saw",E318))),"Pruning Tools",
TRUE,"Other"
)</f>
        <v>Other</v>
      </c>
      <c r="J318" s="7" t="str">
        <f t="shared" si="70"/>
        <v>Other - Other</v>
      </c>
      <c r="K318" s="4">
        <v>200</v>
      </c>
      <c r="L318" s="4">
        <v>4.4000000000000004</v>
      </c>
      <c r="M318" s="4">
        <v>13590</v>
      </c>
      <c r="N318" s="4" t="s">
        <v>1466</v>
      </c>
      <c r="O318" s="4">
        <f>VLOOKUP(A318,[4]Sheet1!$A:$B,2,0)</f>
        <v>0</v>
      </c>
      <c r="P318" s="4">
        <f>VLOOKUP(A318,[4]Sheet1!$A:$C,3,0)</f>
        <v>0</v>
      </c>
      <c r="Q318" s="4">
        <f>VLOOKUP(A318,[4]Sheet1!$A:$D,4,0)</f>
        <v>100</v>
      </c>
      <c r="R318" s="4">
        <f>VLOOKUP(A318,[4]Sheet1!$A:$E,5,0)</f>
        <v>300</v>
      </c>
      <c r="S318" s="4">
        <f>VLOOKUP(A318,[4]Sheet1!$A:$F,6,0)</f>
        <v>400</v>
      </c>
      <c r="T318" s="4">
        <f>VLOOKUP(A318,[4]Sheet1!$A:$G,7,0)</f>
        <v>400</v>
      </c>
      <c r="U318" s="4">
        <f>VLOOKUP(A318,[4]Sheet1!$A:$H,8,0)</f>
        <v>400</v>
      </c>
      <c r="V318" s="4">
        <f>VLOOKUP(A318,[4]Sheet1!$A:$I,9,0)</f>
        <v>200</v>
      </c>
      <c r="W318" s="4">
        <f>VLOOKUP(A318,[4]Sheet1!$A:$J,10,0)</f>
        <v>200</v>
      </c>
      <c r="X318" s="4">
        <f>VLOOKUP(A318,[4]Sheet1!$A:$K,11,0)</f>
        <v>500</v>
      </c>
      <c r="Y318" s="4">
        <f>VLOOKUP(A318,[4]Sheet1!$A:$L,12,0)</f>
        <v>50</v>
      </c>
      <c r="Z318" s="4">
        <f>VLOOKUP(A318,[4]Sheet1!$A:$M,13,0)</f>
        <v>50</v>
      </c>
      <c r="AA318" s="4">
        <f t="shared" si="80"/>
        <v>2600</v>
      </c>
      <c r="AB318" s="7">
        <f t="shared" si="71"/>
        <v>217</v>
      </c>
      <c r="AC318" s="15">
        <f t="shared" si="81"/>
        <v>216.66666666666666</v>
      </c>
      <c r="AD318" s="16">
        <f t="shared" si="82"/>
        <v>33774</v>
      </c>
      <c r="AE318" s="16">
        <f t="shared" si="83"/>
        <v>2814.5</v>
      </c>
      <c r="AF318" s="16">
        <v>6.13</v>
      </c>
      <c r="AG318" s="16">
        <v>12.99</v>
      </c>
      <c r="AH318" s="15">
        <f t="shared" si="84"/>
        <v>-0.12893333333333337</v>
      </c>
      <c r="AI318" s="15">
        <f t="shared" si="85"/>
        <v>-0.45126666666666676</v>
      </c>
      <c r="AJ318" s="10">
        <v>0.5</v>
      </c>
      <c r="AK318" s="10">
        <v>0.5</v>
      </c>
      <c r="AL318" s="16">
        <v>6.13</v>
      </c>
      <c r="AM318" s="9">
        <f t="shared" si="72"/>
        <v>1.9484999999999999</v>
      </c>
      <c r="AN318" s="9">
        <f t="shared" si="73"/>
        <v>0.38969999999999999</v>
      </c>
      <c r="AO318" s="9">
        <f t="shared" si="74"/>
        <v>2.5980000000000003</v>
      </c>
      <c r="AP318" s="9">
        <f t="shared" si="75"/>
        <v>0.25980000000000003</v>
      </c>
      <c r="AQ318" s="9">
        <f t="shared" si="76"/>
        <v>2.5980000000000003</v>
      </c>
      <c r="AR318" s="9">
        <f t="shared" si="77"/>
        <v>3.2475000000000001</v>
      </c>
      <c r="AS318" s="11">
        <f t="shared" si="78"/>
        <v>-1.2893333333333337</v>
      </c>
      <c r="AT318" s="12">
        <f t="shared" si="79"/>
        <v>-1.7223333333333335</v>
      </c>
    </row>
    <row r="319" spans="1:46" ht="16.5" x14ac:dyDescent="0.4">
      <c r="A319" s="4" t="s">
        <v>1467</v>
      </c>
      <c r="B319" s="4" t="s">
        <v>1314</v>
      </c>
      <c r="C319" s="7" t="s">
        <v>1796</v>
      </c>
      <c r="D319" s="4" t="s">
        <v>1468</v>
      </c>
      <c r="E319" s="4" t="s">
        <v>1469</v>
      </c>
      <c r="F319" s="4" t="s">
        <v>1470</v>
      </c>
      <c r="G319" s="7" t="str">
        <f>VLOOKUP(A319,[1]done!$A:$I,9,0)</f>
        <v>Rodent</v>
      </c>
      <c r="H319" s="7" t="str" cm="1">
        <f t="array" ref="H319">_xlfn.IFS(
OR(ISNUMBER(SEARCH("mouse",E319)),ISNUMBER(SEARCH("rat",E319)),ISNUMBER(SEARCH("mice",E319)),ISNUMBER(SEARCH("rodent",E319))),"Rodent Control",
OR(ISNUMBER(SEARCH("fly",E319)),ISNUMBER(SEARCH("gnat",E319)),ISNUMBER(SEARCH("insect",E319)),ISNUMBER(SEARCH("mosquito",E319))),"Flying Insect Control",
OR(ISNUMBER(SEARCH("roach",E319)),ISNUMBER(SEARCH("ant",E319)),ISNUMBER(SEARCH("spider",E319)),ISNUMBER(SEARCH("cricket",E319)),ISNUMBER(SEARCH("scorpion",E319)),ISNUMBER(SEARCH("centipede",E319)),ISNUMBER(SEARCH("beetle",E319))),"Crawling Insect Control",
OR(ISNUMBER(SEARCH("tree",E319)),ISNUMBER(SEARCH("lantern",E319)),ISNUMBER(SEARCH("garden",E319)),ISNUMBER(SEARCH("plant",E319))),"Garden Pest Control",
OR(ISNUMBER(SEARCH("grass seed",E319)),ISNUMBER(SEARCH("seed mix",E319))),"Grass Seed",
OR(ISNUMBER(SEARCH("lawn food",E319)),ISNUMBER(SEARCH("fertilizer",E319))),"Lawn Fertilizer",
OR(ISNUMBER(SEARCH("patch",E319)),ISNUMBER(SEARCH("repair",E319)),ISNUMBER(SEARCH("thick'r",E319)),ISNUMBER(SEARCH("thick'r lawn",E319)),ISNUMBER(SEARCH("rapid grass",E319))),"Lawn Repair",
OR(ISNUMBER(SEARCH("weed",E319)),ISNUMBER(SEARCH("crabgrass",E319))),"Weed Control",
OR(ISNUMBER(SEARCH("fungicide",E319)),ISNUMBER(SEARCH("moss",E319))),"Disease &amp; Moss Control",
OR(ISNUMBER(SEARCH("plant food",E319)),ISNUMBER(SEARCH("miracid",E319))),"Plant Nutrition",
OR(ISNUMBER(SEARCH("perlite",E319))),"Soil Amendment",
OR(ISNUMBER(SEARCH("spreader",E319)),ISNUMBER(SEARCH("sprayer",E319)),ISNUMBER(SEARCH("mower",E319)),ISNUMBER(SEARCH("sweeper",E319)),ISNUMBER(SEARCH("pruner",E319)),ISNUMBER(SEARCH("trimmer",E319)),ISNUMBER(SEARCH("pole saw",E319))),"Garden Equipment",
TRUE,"Other"
)</f>
        <v>Rodent Control</v>
      </c>
      <c r="I319" s="7" t="str" cm="1">
        <f t="array" ref="I319">_xlfn.IFS(
OR(ISNUMBER(SEARCH("glue trap",E319)),ISNUMBER(SEARCH("glue board",E319))),"Glue Traps",
OR(ISNUMBER(SEARCH("snap trap",E319)),ISNUMBER(SEARCH("power-kill",E319)),ISNUMBER(SEARCH("wide pedal",E319)),ISNUMBER(SEARCH("metal pedal",E319))),"Snap Traps",
OR(ISNUMBER(SEARCH("electronic",E319)),ISNUMBER(SEARCH("zapper",E319))),"Electronic Traps",
OR(ISNUMBER(SEARCH("live catch",E319)),ISNUMBER(SEARCH("multi-catch",E319)),ISNUMBER(SEARCH("catch &amp; hold",E319)),ISNUMBER(SEARCH("tin cat",E319))),"Live Catch Traps",
OR(ISNUMBER(SEARCH("bait",E319)),ISNUMBER(SEARCH("poison",E319))),"Bait &amp; Poison",
ISNUMBER(SEARCH("repellent",E319)),"Repellents",
OR(ISNUMBER(SEARCH("fly trap",E319)),ISNUMBER(SEARCH("fly ribbon",E319)),ISNUMBER(SEARCH("fly stick",E319)),ISNUMBER(SEARCH("window fly",E319)),ISNUMBER(SEARCH("fly magnet",E319))),"Fly Traps",
OR(ISNUMBER(SEARCH("uv",E319)),ISNUMBER(SEARCH("fly light",E319)),ISNUMBER(SEARCH("plug-in",E319))),"UV Fly Traps",
ISNUMBER(SEARCH("roach",E319)),"Roach Traps",
ISNUMBER(SEARCH("ant",E319)),"Ant Traps",
ISNUMBER(SEARCH("spider",E319)),"Spider Traps",
ISNUMBER(SEARCH("mosquito",E319)),"Mosquito Traps",
ISNUMBER(SEARCH("beetle",E319)),"Beetle Traps",
ISNUMBER(SEARCH("lantern",E319)),"Lanternfly Control",
OR(ISNUMBER(SEARCH("tree shield",E319)),ISNUMBER(SEARCH("tree banding",E319)),ISNUMBER(SEARCH("insect barrier",E319))),"Tree Barriers",
OR(ISNUMBER(SEARCH("sun &amp; shade",E319)),ISNUMBER(SEARCH("sun and shade",E319))),"Sun &amp; Shade Mix",
ISNUMBER(SEARCH("tall fescue",E319)),"Tall Fescue",
ISNUMBER(SEARCH("bermudagrass",E319)),"Bermudagrass",
ISNUMBER(SEARCH("kentucky",E319)),"Kentucky Bluegrass",
ISNUMBER(SEARCH("zoysia",E319)),"Zoysia",
ISNUMBER(SEARCH("ryegrass",E319)),"Perennial Ryegrass",
ISNUMBER(SEARCH("centipede",E319)),"Centipede Grass",
ISNUMBER(SEARCH("dense shade",E319)),"Dense Shade Mix",
ISNUMBER(SEARCH("southern gold",E319)),"Southern Gold Mix",
ISNUMBER(SEARCH("heat-tolerant blue",E319)),"Heat-Tolerant Blue Mix",
ISNUMBER(SEARCH("high traffic",E319)),"High Traffic Mix",
ISNUMBER(SEARCH("quick fix",E319)),"Quick Fix Mix",
ISNUMBER(SEARCH("starter",E319)),"Starter Fertilizer",
ISNUMBER(SEARCH("weed &amp; feed",E319)),"Weed &amp; Feed",
ISNUMBER(SEARCH("lawn food",E319)),"Lawn Food",
ISNUMBER(SEARCH("triple action",E319)),"Triple Action Fertilizer",
ISNUMBER(SEARCH("green max",E319)),"Green Max Lawn Food",
ISNUMBER(SEARCH("patchmaster",E319)),"PatchMaster Repair",
ISNUMBER(SEARCH("ez seed",E319)),"EZ Seed Repair",
ISNUMBER(SEARCH("rapid grass",E319)),"Rapid Grass",
ISNUMBER(SEARCH("thick'r lawn",E319)),"Thick'R Lawn",
ISNUMBER(SEARCH("fungicide",E319)),"Fungicide",
ISNUMBER(SEARCH("moss",E319)),"Moss Control",
ISNUMBER(SEARCH("perlite",E319)),"Perlite",
ISNUMBER(SEARCH("plant food",E319)),"Plant Food",
ISNUMBER(SEARCH("spreader",E319)),"Spreader",
ISNUMBER(SEARCH("sprayer",E319)),"Sprayer",
ISNUMBER(SEARCH("mower",E319)),"Lawn Mower",
ISNUMBER(SEARCH("sweeper",E319)),"Lawn Sweeper",
OR(ISNUMBER(SEARCH("pruner",E319)),ISNUMBER(SEARCH("trimmer",E319)),ISNUMBER(SEARCH("pole saw",E319))),"Pruning Tools",
TRUE,"Other"
)</f>
        <v>Snap Traps</v>
      </c>
      <c r="J319" s="7" t="str">
        <f t="shared" si="70"/>
        <v>Rodent Control - Snap Traps</v>
      </c>
      <c r="K319" s="4">
        <v>200</v>
      </c>
      <c r="L319" s="4">
        <v>3.9</v>
      </c>
      <c r="M319" s="4">
        <v>1458</v>
      </c>
      <c r="N319" s="4" t="s">
        <v>1338</v>
      </c>
      <c r="O319" s="4">
        <f>VLOOKUP(A319,[4]Sheet1!$A:$B,2,0)</f>
        <v>50</v>
      </c>
      <c r="P319" s="4">
        <f>VLOOKUP(A319,[4]Sheet1!$A:$C,3,0)</f>
        <v>50</v>
      </c>
      <c r="Q319" s="4">
        <f>VLOOKUP(A319,[4]Sheet1!$A:$D,4,0)</f>
        <v>100</v>
      </c>
      <c r="R319" s="4">
        <f>VLOOKUP(A319,[4]Sheet1!$A:$E,5,0)</f>
        <v>100</v>
      </c>
      <c r="S319" s="4">
        <f>VLOOKUP(A319,[4]Sheet1!$A:$F,6,0)</f>
        <v>100</v>
      </c>
      <c r="T319" s="4">
        <f>VLOOKUP(A319,[4]Sheet1!$A:$G,7,0)</f>
        <v>200</v>
      </c>
      <c r="U319" s="4">
        <f>VLOOKUP(A319,[4]Sheet1!$A:$H,8,0)</f>
        <v>300</v>
      </c>
      <c r="V319" s="4">
        <f>VLOOKUP(A319,[4]Sheet1!$A:$I,9,0)</f>
        <v>300</v>
      </c>
      <c r="W319" s="4">
        <f>VLOOKUP(A319,[4]Sheet1!$A:$J,10,0)</f>
        <v>200</v>
      </c>
      <c r="X319" s="4">
        <f>VLOOKUP(A319,[4]Sheet1!$A:$K,11,0)</f>
        <v>50</v>
      </c>
      <c r="Y319" s="4">
        <f>VLOOKUP(A319,[4]Sheet1!$A:$L,12,0)</f>
        <v>50</v>
      </c>
      <c r="Z319" s="4">
        <f>VLOOKUP(A319,[4]Sheet1!$A:$M,13,0)</f>
        <v>50</v>
      </c>
      <c r="AA319" s="4">
        <f t="shared" si="80"/>
        <v>1550</v>
      </c>
      <c r="AB319" s="7">
        <f t="shared" si="71"/>
        <v>129</v>
      </c>
      <c r="AC319" s="15">
        <f t="shared" si="81"/>
        <v>129.16666666666666</v>
      </c>
      <c r="AD319" s="16">
        <f t="shared" si="82"/>
        <v>34782</v>
      </c>
      <c r="AE319" s="16">
        <f t="shared" si="83"/>
        <v>2898.5</v>
      </c>
      <c r="AF319" s="16">
        <v>7.07</v>
      </c>
      <c r="AG319" s="16">
        <v>22.44</v>
      </c>
      <c r="AH319" s="15">
        <f t="shared" si="84"/>
        <v>6.0399999999999981E-2</v>
      </c>
      <c r="AI319" s="15">
        <f t="shared" si="85"/>
        <v>0.21139999999999989</v>
      </c>
      <c r="AJ319" s="10">
        <v>0.5</v>
      </c>
      <c r="AK319" s="10">
        <v>0.5</v>
      </c>
      <c r="AL319" s="16">
        <v>7.07</v>
      </c>
      <c r="AM319" s="9">
        <f t="shared" si="72"/>
        <v>3.3660000000000001</v>
      </c>
      <c r="AN319" s="9">
        <f t="shared" si="73"/>
        <v>0.67320000000000002</v>
      </c>
      <c r="AO319" s="9">
        <f t="shared" si="74"/>
        <v>4.4880000000000004</v>
      </c>
      <c r="AP319" s="9">
        <f t="shared" si="75"/>
        <v>0.44880000000000003</v>
      </c>
      <c r="AQ319" s="9">
        <f t="shared" si="76"/>
        <v>4.4880000000000004</v>
      </c>
      <c r="AR319" s="9">
        <f t="shared" si="77"/>
        <v>5.61</v>
      </c>
      <c r="AS319" s="11">
        <f t="shared" si="78"/>
        <v>0.60399999999999976</v>
      </c>
      <c r="AT319" s="12">
        <f t="shared" si="79"/>
        <v>-0.14400000000000013</v>
      </c>
    </row>
    <row r="320" spans="1:46" ht="16.5" x14ac:dyDescent="0.4">
      <c r="A320" s="4" t="s">
        <v>1471</v>
      </c>
      <c r="B320" s="4" t="s">
        <v>1314</v>
      </c>
      <c r="C320" s="7" t="s">
        <v>1314</v>
      </c>
      <c r="D320" s="4" t="s">
        <v>1472</v>
      </c>
      <c r="E320" s="4" t="s">
        <v>1473</v>
      </c>
      <c r="F320" s="4" t="s">
        <v>1474</v>
      </c>
      <c r="G320" s="7" t="str">
        <f>VLOOKUP(A320,[1]done!$A:$I,9,0)</f>
        <v>Rodent</v>
      </c>
      <c r="H320" s="7" t="str" cm="1">
        <f t="array" ref="H320">_xlfn.IFS(
OR(ISNUMBER(SEARCH("mouse",E320)),ISNUMBER(SEARCH("rat",E320)),ISNUMBER(SEARCH("mice",E320)),ISNUMBER(SEARCH("rodent",E320))),"Rodent Control",
OR(ISNUMBER(SEARCH("fly",E320)),ISNUMBER(SEARCH("gnat",E320)),ISNUMBER(SEARCH("insect",E320)),ISNUMBER(SEARCH("mosquito",E320))),"Flying Insect Control",
OR(ISNUMBER(SEARCH("roach",E320)),ISNUMBER(SEARCH("ant",E320)),ISNUMBER(SEARCH("spider",E320)),ISNUMBER(SEARCH("cricket",E320)),ISNUMBER(SEARCH("scorpion",E320)),ISNUMBER(SEARCH("centipede",E320)),ISNUMBER(SEARCH("beetle",E320))),"Crawling Insect Control",
OR(ISNUMBER(SEARCH("tree",E320)),ISNUMBER(SEARCH("lantern",E320)),ISNUMBER(SEARCH("garden",E320)),ISNUMBER(SEARCH("plant",E320))),"Garden Pest Control",
OR(ISNUMBER(SEARCH("grass seed",E320)),ISNUMBER(SEARCH("seed mix",E320))),"Grass Seed",
OR(ISNUMBER(SEARCH("lawn food",E320)),ISNUMBER(SEARCH("fertilizer",E320))),"Lawn Fertilizer",
OR(ISNUMBER(SEARCH("patch",E320)),ISNUMBER(SEARCH("repair",E320)),ISNUMBER(SEARCH("thick'r",E320)),ISNUMBER(SEARCH("thick'r lawn",E320)),ISNUMBER(SEARCH("rapid grass",E320))),"Lawn Repair",
OR(ISNUMBER(SEARCH("weed",E320)),ISNUMBER(SEARCH("crabgrass",E320))),"Weed Control",
OR(ISNUMBER(SEARCH("fungicide",E320)),ISNUMBER(SEARCH("moss",E320))),"Disease &amp; Moss Control",
OR(ISNUMBER(SEARCH("plant food",E320)),ISNUMBER(SEARCH("miracid",E320))),"Plant Nutrition",
OR(ISNUMBER(SEARCH("perlite",E320))),"Soil Amendment",
OR(ISNUMBER(SEARCH("spreader",E320)),ISNUMBER(SEARCH("sprayer",E320)),ISNUMBER(SEARCH("mower",E320)),ISNUMBER(SEARCH("sweeper",E320)),ISNUMBER(SEARCH("pruner",E320)),ISNUMBER(SEARCH("trimmer",E320)),ISNUMBER(SEARCH("pole saw",E320))),"Garden Equipment",
TRUE,"Other"
)</f>
        <v>Rodent Control</v>
      </c>
      <c r="I320" s="7" t="str" cm="1">
        <f t="array" ref="I320">_xlfn.IFS(
OR(ISNUMBER(SEARCH("glue trap",E320)),ISNUMBER(SEARCH("glue board",E320))),"Glue Traps",
OR(ISNUMBER(SEARCH("snap trap",E320)),ISNUMBER(SEARCH("power-kill",E320)),ISNUMBER(SEARCH("wide pedal",E320)),ISNUMBER(SEARCH("metal pedal",E320))),"Snap Traps",
OR(ISNUMBER(SEARCH("electronic",E320)),ISNUMBER(SEARCH("zapper",E320))),"Electronic Traps",
OR(ISNUMBER(SEARCH("live catch",E320)),ISNUMBER(SEARCH("multi-catch",E320)),ISNUMBER(SEARCH("catch &amp; hold",E320)),ISNUMBER(SEARCH("tin cat",E320))),"Live Catch Traps",
OR(ISNUMBER(SEARCH("bait",E320)),ISNUMBER(SEARCH("poison",E320))),"Bait &amp; Poison",
ISNUMBER(SEARCH("repellent",E320)),"Repellents",
OR(ISNUMBER(SEARCH("fly trap",E320)),ISNUMBER(SEARCH("fly ribbon",E320)),ISNUMBER(SEARCH("fly stick",E320)),ISNUMBER(SEARCH("window fly",E320)),ISNUMBER(SEARCH("fly magnet",E320))),"Fly Traps",
OR(ISNUMBER(SEARCH("uv",E320)),ISNUMBER(SEARCH("fly light",E320)),ISNUMBER(SEARCH("plug-in",E320))),"UV Fly Traps",
ISNUMBER(SEARCH("roach",E320)),"Roach Traps",
ISNUMBER(SEARCH("ant",E320)),"Ant Traps",
ISNUMBER(SEARCH("spider",E320)),"Spider Traps",
ISNUMBER(SEARCH("mosquito",E320)),"Mosquito Traps",
ISNUMBER(SEARCH("beetle",E320)),"Beetle Traps",
ISNUMBER(SEARCH("lantern",E320)),"Lanternfly Control",
OR(ISNUMBER(SEARCH("tree shield",E320)),ISNUMBER(SEARCH("tree banding",E320)),ISNUMBER(SEARCH("insect barrier",E320))),"Tree Barriers",
OR(ISNUMBER(SEARCH("sun &amp; shade",E320)),ISNUMBER(SEARCH("sun and shade",E320))),"Sun &amp; Shade Mix",
ISNUMBER(SEARCH("tall fescue",E320)),"Tall Fescue",
ISNUMBER(SEARCH("bermudagrass",E320)),"Bermudagrass",
ISNUMBER(SEARCH("kentucky",E320)),"Kentucky Bluegrass",
ISNUMBER(SEARCH("zoysia",E320)),"Zoysia",
ISNUMBER(SEARCH("ryegrass",E320)),"Perennial Ryegrass",
ISNUMBER(SEARCH("centipede",E320)),"Centipede Grass",
ISNUMBER(SEARCH("dense shade",E320)),"Dense Shade Mix",
ISNUMBER(SEARCH("southern gold",E320)),"Southern Gold Mix",
ISNUMBER(SEARCH("heat-tolerant blue",E320)),"Heat-Tolerant Blue Mix",
ISNUMBER(SEARCH("high traffic",E320)),"High Traffic Mix",
ISNUMBER(SEARCH("quick fix",E320)),"Quick Fix Mix",
ISNUMBER(SEARCH("starter",E320)),"Starter Fertilizer",
ISNUMBER(SEARCH("weed &amp; feed",E320)),"Weed &amp; Feed",
ISNUMBER(SEARCH("lawn food",E320)),"Lawn Food",
ISNUMBER(SEARCH("triple action",E320)),"Triple Action Fertilizer",
ISNUMBER(SEARCH("green max",E320)),"Green Max Lawn Food",
ISNUMBER(SEARCH("patchmaster",E320)),"PatchMaster Repair",
ISNUMBER(SEARCH("ez seed",E320)),"EZ Seed Repair",
ISNUMBER(SEARCH("rapid grass",E320)),"Rapid Grass",
ISNUMBER(SEARCH("thick'r lawn",E320)),"Thick'R Lawn",
ISNUMBER(SEARCH("fungicide",E320)),"Fungicide",
ISNUMBER(SEARCH("moss",E320)),"Moss Control",
ISNUMBER(SEARCH("perlite",E320)),"Perlite",
ISNUMBER(SEARCH("plant food",E320)),"Plant Food",
ISNUMBER(SEARCH("spreader",E320)),"Spreader",
ISNUMBER(SEARCH("sprayer",E320)),"Sprayer",
ISNUMBER(SEARCH("mower",E320)),"Lawn Mower",
ISNUMBER(SEARCH("sweeper",E320)),"Lawn Sweeper",
OR(ISNUMBER(SEARCH("pruner",E320)),ISNUMBER(SEARCH("trimmer",E320)),ISNUMBER(SEARCH("pole saw",E320))),"Pruning Tools",
TRUE,"Other"
)</f>
        <v>Snap Traps</v>
      </c>
      <c r="J320" s="7" t="str">
        <f t="shared" si="70"/>
        <v>Rodent Control - Snap Traps</v>
      </c>
      <c r="K320" s="4">
        <v>200</v>
      </c>
      <c r="L320" s="4">
        <v>4.5</v>
      </c>
      <c r="M320" s="4">
        <v>2190</v>
      </c>
      <c r="N320" s="4" t="s">
        <v>1475</v>
      </c>
      <c r="O320" s="4">
        <f>VLOOKUP(A320,[4]Sheet1!$A:$B,2,0)</f>
        <v>100</v>
      </c>
      <c r="P320" s="4">
        <f>VLOOKUP(A320,[4]Sheet1!$A:$C,3,0)</f>
        <v>100</v>
      </c>
      <c r="Q320" s="4">
        <f>VLOOKUP(A320,[4]Sheet1!$A:$D,4,0)</f>
        <v>100</v>
      </c>
      <c r="R320" s="4">
        <f>VLOOKUP(A320,[4]Sheet1!$A:$E,5,0)</f>
        <v>50</v>
      </c>
      <c r="S320" s="4">
        <f>VLOOKUP(A320,[4]Sheet1!$A:$F,6,0)</f>
        <v>50</v>
      </c>
      <c r="T320" s="4">
        <f>VLOOKUP(A320,[4]Sheet1!$A:$G,7,0)</f>
        <v>100</v>
      </c>
      <c r="U320" s="4">
        <f>VLOOKUP(A320,[4]Sheet1!$A:$H,8,0)</f>
        <v>100</v>
      </c>
      <c r="V320" s="4">
        <f>VLOOKUP(A320,[4]Sheet1!$A:$I,9,0)</f>
        <v>100</v>
      </c>
      <c r="W320" s="4">
        <f>VLOOKUP(A320,[4]Sheet1!$A:$J,10,0)</f>
        <v>200</v>
      </c>
      <c r="X320" s="4">
        <f>VLOOKUP(A320,[4]Sheet1!$A:$K,11,0)</f>
        <v>100</v>
      </c>
      <c r="Y320" s="4">
        <f>VLOOKUP(A320,[4]Sheet1!$A:$L,12,0)</f>
        <v>200</v>
      </c>
      <c r="Z320" s="4">
        <f>VLOOKUP(A320,[4]Sheet1!$A:$M,13,0)</f>
        <v>100</v>
      </c>
      <c r="AA320" s="4">
        <f t="shared" si="80"/>
        <v>1300</v>
      </c>
      <c r="AB320" s="7">
        <f t="shared" si="71"/>
        <v>108</v>
      </c>
      <c r="AC320" s="15">
        <f t="shared" si="81"/>
        <v>108.33333333333333</v>
      </c>
      <c r="AD320" s="16">
        <f t="shared" si="82"/>
        <v>18876</v>
      </c>
      <c r="AE320" s="16">
        <f t="shared" si="83"/>
        <v>1572.9999999999998</v>
      </c>
      <c r="AF320" s="16">
        <v>4.76</v>
      </c>
      <c r="AG320" s="16">
        <v>14.52</v>
      </c>
      <c r="AH320" s="15">
        <f t="shared" si="84"/>
        <v>3.2000000000000032E-3</v>
      </c>
      <c r="AI320" s="15">
        <f t="shared" si="85"/>
        <v>1.1200000000000009E-2</v>
      </c>
      <c r="AJ320" s="10">
        <v>0.5</v>
      </c>
      <c r="AK320" s="10">
        <v>0.5</v>
      </c>
      <c r="AL320" s="16">
        <v>4.76</v>
      </c>
      <c r="AM320" s="9">
        <f t="shared" si="72"/>
        <v>2.1779999999999999</v>
      </c>
      <c r="AN320" s="9">
        <f t="shared" si="73"/>
        <v>0.43559999999999999</v>
      </c>
      <c r="AO320" s="9">
        <f t="shared" si="74"/>
        <v>2.9039999999999999</v>
      </c>
      <c r="AP320" s="9">
        <f t="shared" si="75"/>
        <v>0.29039999999999999</v>
      </c>
      <c r="AQ320" s="9">
        <f t="shared" si="76"/>
        <v>2.9039999999999999</v>
      </c>
      <c r="AR320" s="9">
        <f t="shared" si="77"/>
        <v>3.63</v>
      </c>
      <c r="AS320" s="11">
        <f t="shared" si="78"/>
        <v>3.2000000000000028E-2</v>
      </c>
      <c r="AT320" s="12">
        <f t="shared" si="79"/>
        <v>-0.45199999999999996</v>
      </c>
    </row>
    <row r="321" spans="1:46" ht="16.5" x14ac:dyDescent="0.4">
      <c r="A321" s="4" t="s">
        <v>1476</v>
      </c>
      <c r="B321" s="4" t="s">
        <v>1314</v>
      </c>
      <c r="C321" s="7" t="s">
        <v>1314</v>
      </c>
      <c r="D321" s="4" t="s">
        <v>1477</v>
      </c>
      <c r="E321" s="4" t="s">
        <v>1478</v>
      </c>
      <c r="F321" s="4" t="s">
        <v>1479</v>
      </c>
      <c r="G321" s="7" t="str">
        <f>VLOOKUP(A321,[1]done!$A:$I,9,0)</f>
        <v>All Other products</v>
      </c>
      <c r="H321" s="7" t="str" cm="1">
        <f t="array" ref="H321">_xlfn.IFS(
OR(ISNUMBER(SEARCH("mouse",E321)),ISNUMBER(SEARCH("rat",E321)),ISNUMBER(SEARCH("mice",E321)),ISNUMBER(SEARCH("rodent",E321))),"Rodent Control",
OR(ISNUMBER(SEARCH("fly",E321)),ISNUMBER(SEARCH("gnat",E321)),ISNUMBER(SEARCH("insect",E321)),ISNUMBER(SEARCH("mosquito",E321))),"Flying Insect Control",
OR(ISNUMBER(SEARCH("roach",E321)),ISNUMBER(SEARCH("ant",E321)),ISNUMBER(SEARCH("spider",E321)),ISNUMBER(SEARCH("cricket",E321)),ISNUMBER(SEARCH("scorpion",E321)),ISNUMBER(SEARCH("centipede",E321)),ISNUMBER(SEARCH("beetle",E321))),"Crawling Insect Control",
OR(ISNUMBER(SEARCH("tree",E321)),ISNUMBER(SEARCH("lantern",E321)),ISNUMBER(SEARCH("garden",E321)),ISNUMBER(SEARCH("plant",E321))),"Garden Pest Control",
OR(ISNUMBER(SEARCH("grass seed",E321)),ISNUMBER(SEARCH("seed mix",E321))),"Grass Seed",
OR(ISNUMBER(SEARCH("lawn food",E321)),ISNUMBER(SEARCH("fertilizer",E321))),"Lawn Fertilizer",
OR(ISNUMBER(SEARCH("patch",E321)),ISNUMBER(SEARCH("repair",E321)),ISNUMBER(SEARCH("thick'r",E321)),ISNUMBER(SEARCH("thick'r lawn",E321)),ISNUMBER(SEARCH("rapid grass",E321))),"Lawn Repair",
OR(ISNUMBER(SEARCH("weed",E321)),ISNUMBER(SEARCH("crabgrass",E321))),"Weed Control",
OR(ISNUMBER(SEARCH("fungicide",E321)),ISNUMBER(SEARCH("moss",E321))),"Disease &amp; Moss Control",
OR(ISNUMBER(SEARCH("plant food",E321)),ISNUMBER(SEARCH("miracid",E321))),"Plant Nutrition",
OR(ISNUMBER(SEARCH("perlite",E321))),"Soil Amendment",
OR(ISNUMBER(SEARCH("spreader",E321)),ISNUMBER(SEARCH("sprayer",E321)),ISNUMBER(SEARCH("mower",E321)),ISNUMBER(SEARCH("sweeper",E321)),ISNUMBER(SEARCH("pruner",E321)),ISNUMBER(SEARCH("trimmer",E321)),ISNUMBER(SEARCH("pole saw",E321))),"Garden Equipment",
TRUE,"Other"
)</f>
        <v>Other</v>
      </c>
      <c r="I321" s="7" t="str" cm="1">
        <f t="array" ref="I321">_xlfn.IFS(
OR(ISNUMBER(SEARCH("glue trap",E321)),ISNUMBER(SEARCH("glue board",E321))),"Glue Traps",
OR(ISNUMBER(SEARCH("snap trap",E321)),ISNUMBER(SEARCH("power-kill",E321)),ISNUMBER(SEARCH("wide pedal",E321)),ISNUMBER(SEARCH("metal pedal",E321))),"Snap Traps",
OR(ISNUMBER(SEARCH("electronic",E321)),ISNUMBER(SEARCH("zapper",E321))),"Electronic Traps",
OR(ISNUMBER(SEARCH("live catch",E321)),ISNUMBER(SEARCH("multi-catch",E321)),ISNUMBER(SEARCH("catch &amp; hold",E321)),ISNUMBER(SEARCH("tin cat",E321))),"Live Catch Traps",
OR(ISNUMBER(SEARCH("bait",E321)),ISNUMBER(SEARCH("poison",E321))),"Bait &amp; Poison",
ISNUMBER(SEARCH("repellent",E321)),"Repellents",
OR(ISNUMBER(SEARCH("fly trap",E321)),ISNUMBER(SEARCH("fly ribbon",E321)),ISNUMBER(SEARCH("fly stick",E321)),ISNUMBER(SEARCH("window fly",E321)),ISNUMBER(SEARCH("fly magnet",E321))),"Fly Traps",
OR(ISNUMBER(SEARCH("uv",E321)),ISNUMBER(SEARCH("fly light",E321)),ISNUMBER(SEARCH("plug-in",E321))),"UV Fly Traps",
ISNUMBER(SEARCH("roach",E321)),"Roach Traps",
ISNUMBER(SEARCH("ant",E321)),"Ant Traps",
ISNUMBER(SEARCH("spider",E321)),"Spider Traps",
ISNUMBER(SEARCH("mosquito",E321)),"Mosquito Traps",
ISNUMBER(SEARCH("beetle",E321)),"Beetle Traps",
ISNUMBER(SEARCH("lantern",E321)),"Lanternfly Control",
OR(ISNUMBER(SEARCH("tree shield",E321)),ISNUMBER(SEARCH("tree banding",E321)),ISNUMBER(SEARCH("insect barrier",E321))),"Tree Barriers",
OR(ISNUMBER(SEARCH("sun &amp; shade",E321)),ISNUMBER(SEARCH("sun and shade",E321))),"Sun &amp; Shade Mix",
ISNUMBER(SEARCH("tall fescue",E321)),"Tall Fescue",
ISNUMBER(SEARCH("bermudagrass",E321)),"Bermudagrass",
ISNUMBER(SEARCH("kentucky",E321)),"Kentucky Bluegrass",
ISNUMBER(SEARCH("zoysia",E321)),"Zoysia",
ISNUMBER(SEARCH("ryegrass",E321)),"Perennial Ryegrass",
ISNUMBER(SEARCH("centipede",E321)),"Centipede Grass",
ISNUMBER(SEARCH("dense shade",E321)),"Dense Shade Mix",
ISNUMBER(SEARCH("southern gold",E321)),"Southern Gold Mix",
ISNUMBER(SEARCH("heat-tolerant blue",E321)),"Heat-Tolerant Blue Mix",
ISNUMBER(SEARCH("high traffic",E321)),"High Traffic Mix",
ISNUMBER(SEARCH("quick fix",E321)),"Quick Fix Mix",
ISNUMBER(SEARCH("starter",E321)),"Starter Fertilizer",
ISNUMBER(SEARCH("weed &amp; feed",E321)),"Weed &amp; Feed",
ISNUMBER(SEARCH("lawn food",E321)),"Lawn Food",
ISNUMBER(SEARCH("triple action",E321)),"Triple Action Fertilizer",
ISNUMBER(SEARCH("green max",E321)),"Green Max Lawn Food",
ISNUMBER(SEARCH("patchmaster",E321)),"PatchMaster Repair",
ISNUMBER(SEARCH("ez seed",E321)),"EZ Seed Repair",
ISNUMBER(SEARCH("rapid grass",E321)),"Rapid Grass",
ISNUMBER(SEARCH("thick'r lawn",E321)),"Thick'R Lawn",
ISNUMBER(SEARCH("fungicide",E321)),"Fungicide",
ISNUMBER(SEARCH("moss",E321)),"Moss Control",
ISNUMBER(SEARCH("perlite",E321)),"Perlite",
ISNUMBER(SEARCH("plant food",E321)),"Plant Food",
ISNUMBER(SEARCH("spreader",E321)),"Spreader",
ISNUMBER(SEARCH("sprayer",E321)),"Sprayer",
ISNUMBER(SEARCH("mower",E321)),"Lawn Mower",
ISNUMBER(SEARCH("sweeper",E321)),"Lawn Sweeper",
OR(ISNUMBER(SEARCH("pruner",E321)),ISNUMBER(SEARCH("trimmer",E321)),ISNUMBER(SEARCH("pole saw",E321))),"Pruning Tools",
TRUE,"Other"
)</f>
        <v>Snap Traps</v>
      </c>
      <c r="J321" s="7" t="str">
        <f t="shared" si="70"/>
        <v>Other - Snap Traps</v>
      </c>
      <c r="K321" s="4">
        <v>200</v>
      </c>
      <c r="L321" s="4">
        <v>4.3</v>
      </c>
      <c r="M321" s="4">
        <v>789</v>
      </c>
      <c r="N321" s="4" t="s">
        <v>1381</v>
      </c>
      <c r="O321" s="4">
        <f>VLOOKUP(A321,[4]Sheet1!$A:$B,2,0)</f>
        <v>200</v>
      </c>
      <c r="P321" s="4">
        <f>VLOOKUP(A321,[4]Sheet1!$A:$C,3,0)</f>
        <v>200</v>
      </c>
      <c r="Q321" s="4">
        <f>VLOOKUP(A321,[4]Sheet1!$A:$D,4,0)</f>
        <v>200</v>
      </c>
      <c r="R321" s="4">
        <f>VLOOKUP(A321,[4]Sheet1!$A:$E,5,0)</f>
        <v>300</v>
      </c>
      <c r="S321" s="4">
        <f>VLOOKUP(A321,[4]Sheet1!$A:$F,6,0)</f>
        <v>200</v>
      </c>
      <c r="T321" s="4">
        <f>VLOOKUP(A321,[4]Sheet1!$A:$G,7,0)</f>
        <v>200</v>
      </c>
      <c r="U321" s="4">
        <f>VLOOKUP(A321,[4]Sheet1!$A:$H,8,0)</f>
        <v>200</v>
      </c>
      <c r="V321" s="4">
        <f>VLOOKUP(A321,[4]Sheet1!$A:$I,9,0)</f>
        <v>200</v>
      </c>
      <c r="W321" s="4">
        <f>VLOOKUP(A321,[4]Sheet1!$A:$J,10,0)</f>
        <v>200</v>
      </c>
      <c r="X321" s="4">
        <f>VLOOKUP(A321,[4]Sheet1!$A:$K,11,0)</f>
        <v>200</v>
      </c>
      <c r="Y321" s="4">
        <f>VLOOKUP(A321,[4]Sheet1!$A:$L,12,0)</f>
        <v>400</v>
      </c>
      <c r="Z321" s="4">
        <f>VLOOKUP(A321,[4]Sheet1!$A:$M,13,0)</f>
        <v>500</v>
      </c>
      <c r="AA321" s="4">
        <f t="shared" si="80"/>
        <v>3000</v>
      </c>
      <c r="AB321" s="7">
        <f t="shared" si="71"/>
        <v>250</v>
      </c>
      <c r="AC321" s="15">
        <f t="shared" si="81"/>
        <v>250</v>
      </c>
      <c r="AD321" s="16">
        <f t="shared" si="82"/>
        <v>55260.000000000007</v>
      </c>
      <c r="AE321" s="16">
        <f t="shared" si="83"/>
        <v>4605</v>
      </c>
      <c r="AF321" s="16">
        <v>4.76</v>
      </c>
      <c r="AG321" s="16">
        <v>18.420000000000002</v>
      </c>
      <c r="AH321" s="15">
        <f t="shared" si="84"/>
        <v>0.10720000000000007</v>
      </c>
      <c r="AI321" s="15">
        <f t="shared" si="85"/>
        <v>0.37520000000000026</v>
      </c>
      <c r="AJ321" s="10">
        <v>0.5</v>
      </c>
      <c r="AK321" s="10">
        <v>0.5</v>
      </c>
      <c r="AL321" s="16">
        <v>4.76</v>
      </c>
      <c r="AM321" s="9">
        <f t="shared" si="72"/>
        <v>2.7630000000000003</v>
      </c>
      <c r="AN321" s="9">
        <f t="shared" si="73"/>
        <v>0.55259999999999998</v>
      </c>
      <c r="AO321" s="9">
        <f t="shared" si="74"/>
        <v>3.6840000000000006</v>
      </c>
      <c r="AP321" s="9">
        <f t="shared" si="75"/>
        <v>0.36840000000000006</v>
      </c>
      <c r="AQ321" s="9">
        <f t="shared" si="76"/>
        <v>3.6840000000000006</v>
      </c>
      <c r="AR321" s="9">
        <f t="shared" si="77"/>
        <v>4.6050000000000004</v>
      </c>
      <c r="AS321" s="11">
        <f t="shared" si="78"/>
        <v>1.0720000000000007</v>
      </c>
      <c r="AT321" s="12">
        <f t="shared" si="79"/>
        <v>0.4580000000000008</v>
      </c>
    </row>
    <row r="322" spans="1:46" ht="16.5" x14ac:dyDescent="0.4">
      <c r="A322" s="4" t="s">
        <v>1480</v>
      </c>
      <c r="B322" s="4" t="s">
        <v>1314</v>
      </c>
      <c r="C322" s="7" t="s">
        <v>1314</v>
      </c>
      <c r="D322" s="4" t="s">
        <v>1481</v>
      </c>
      <c r="E322" s="4" t="s">
        <v>1482</v>
      </c>
      <c r="F322" s="4" t="s">
        <v>1483</v>
      </c>
      <c r="G322" s="7" t="str">
        <f>VLOOKUP(A322,[1]done!$A:$I,9,0)</f>
        <v>Rodent</v>
      </c>
      <c r="H322" s="7" t="str" cm="1">
        <f t="array" ref="H322">_xlfn.IFS(
OR(ISNUMBER(SEARCH("mouse",E322)),ISNUMBER(SEARCH("rat",E322)),ISNUMBER(SEARCH("mice",E322)),ISNUMBER(SEARCH("rodent",E322))),"Rodent Control",
OR(ISNUMBER(SEARCH("fly",E322)),ISNUMBER(SEARCH("gnat",E322)),ISNUMBER(SEARCH("insect",E322)),ISNUMBER(SEARCH("mosquito",E322))),"Flying Insect Control",
OR(ISNUMBER(SEARCH("roach",E322)),ISNUMBER(SEARCH("ant",E322)),ISNUMBER(SEARCH("spider",E322)),ISNUMBER(SEARCH("cricket",E322)),ISNUMBER(SEARCH("scorpion",E322)),ISNUMBER(SEARCH("centipede",E322)),ISNUMBER(SEARCH("beetle",E322))),"Crawling Insect Control",
OR(ISNUMBER(SEARCH("tree",E322)),ISNUMBER(SEARCH("lantern",E322)),ISNUMBER(SEARCH("garden",E322)),ISNUMBER(SEARCH("plant",E322))),"Garden Pest Control",
OR(ISNUMBER(SEARCH("grass seed",E322)),ISNUMBER(SEARCH("seed mix",E322))),"Grass Seed",
OR(ISNUMBER(SEARCH("lawn food",E322)),ISNUMBER(SEARCH("fertilizer",E322))),"Lawn Fertilizer",
OR(ISNUMBER(SEARCH("patch",E322)),ISNUMBER(SEARCH("repair",E322)),ISNUMBER(SEARCH("thick'r",E322)),ISNUMBER(SEARCH("thick'r lawn",E322)),ISNUMBER(SEARCH("rapid grass",E322))),"Lawn Repair",
OR(ISNUMBER(SEARCH("weed",E322)),ISNUMBER(SEARCH("crabgrass",E322))),"Weed Control",
OR(ISNUMBER(SEARCH("fungicide",E322)),ISNUMBER(SEARCH("moss",E322))),"Disease &amp; Moss Control",
OR(ISNUMBER(SEARCH("plant food",E322)),ISNUMBER(SEARCH("miracid",E322))),"Plant Nutrition",
OR(ISNUMBER(SEARCH("perlite",E322))),"Soil Amendment",
OR(ISNUMBER(SEARCH("spreader",E322)),ISNUMBER(SEARCH("sprayer",E322)),ISNUMBER(SEARCH("mower",E322)),ISNUMBER(SEARCH("sweeper",E322)),ISNUMBER(SEARCH("pruner",E322)),ISNUMBER(SEARCH("trimmer",E322)),ISNUMBER(SEARCH("pole saw",E322))),"Garden Equipment",
TRUE,"Other"
)</f>
        <v>Rodent Control</v>
      </c>
      <c r="I322" s="7" t="str" cm="1">
        <f t="array" ref="I322">_xlfn.IFS(
OR(ISNUMBER(SEARCH("glue trap",E322)),ISNUMBER(SEARCH("glue board",E322))),"Glue Traps",
OR(ISNUMBER(SEARCH("snap trap",E322)),ISNUMBER(SEARCH("power-kill",E322)),ISNUMBER(SEARCH("wide pedal",E322)),ISNUMBER(SEARCH("metal pedal",E322))),"Snap Traps",
OR(ISNUMBER(SEARCH("electronic",E322)),ISNUMBER(SEARCH("zapper",E322))),"Electronic Traps",
OR(ISNUMBER(SEARCH("live catch",E322)),ISNUMBER(SEARCH("multi-catch",E322)),ISNUMBER(SEARCH("catch &amp; hold",E322)),ISNUMBER(SEARCH("tin cat",E322))),"Live Catch Traps",
OR(ISNUMBER(SEARCH("bait",E322)),ISNUMBER(SEARCH("poison",E322))),"Bait &amp; Poison",
ISNUMBER(SEARCH("repellent",E322)),"Repellents",
OR(ISNUMBER(SEARCH("fly trap",E322)),ISNUMBER(SEARCH("fly ribbon",E322)),ISNUMBER(SEARCH("fly stick",E322)),ISNUMBER(SEARCH("window fly",E322)),ISNUMBER(SEARCH("fly magnet",E322))),"Fly Traps",
OR(ISNUMBER(SEARCH("uv",E322)),ISNUMBER(SEARCH("fly light",E322)),ISNUMBER(SEARCH("plug-in",E322))),"UV Fly Traps",
ISNUMBER(SEARCH("roach",E322)),"Roach Traps",
ISNUMBER(SEARCH("ant",E322)),"Ant Traps",
ISNUMBER(SEARCH("spider",E322)),"Spider Traps",
ISNUMBER(SEARCH("mosquito",E322)),"Mosquito Traps",
ISNUMBER(SEARCH("beetle",E322)),"Beetle Traps",
ISNUMBER(SEARCH("lantern",E322)),"Lanternfly Control",
OR(ISNUMBER(SEARCH("tree shield",E322)),ISNUMBER(SEARCH("tree banding",E322)),ISNUMBER(SEARCH("insect barrier",E322))),"Tree Barriers",
OR(ISNUMBER(SEARCH("sun &amp; shade",E322)),ISNUMBER(SEARCH("sun and shade",E322))),"Sun &amp; Shade Mix",
ISNUMBER(SEARCH("tall fescue",E322)),"Tall Fescue",
ISNUMBER(SEARCH("bermudagrass",E322)),"Bermudagrass",
ISNUMBER(SEARCH("kentucky",E322)),"Kentucky Bluegrass",
ISNUMBER(SEARCH("zoysia",E322)),"Zoysia",
ISNUMBER(SEARCH("ryegrass",E322)),"Perennial Ryegrass",
ISNUMBER(SEARCH("centipede",E322)),"Centipede Grass",
ISNUMBER(SEARCH("dense shade",E322)),"Dense Shade Mix",
ISNUMBER(SEARCH("southern gold",E322)),"Southern Gold Mix",
ISNUMBER(SEARCH("heat-tolerant blue",E322)),"Heat-Tolerant Blue Mix",
ISNUMBER(SEARCH("high traffic",E322)),"High Traffic Mix",
ISNUMBER(SEARCH("quick fix",E322)),"Quick Fix Mix",
ISNUMBER(SEARCH("starter",E322)),"Starter Fertilizer",
ISNUMBER(SEARCH("weed &amp; feed",E322)),"Weed &amp; Feed",
ISNUMBER(SEARCH("lawn food",E322)),"Lawn Food",
ISNUMBER(SEARCH("triple action",E322)),"Triple Action Fertilizer",
ISNUMBER(SEARCH("green max",E322)),"Green Max Lawn Food",
ISNUMBER(SEARCH("patchmaster",E322)),"PatchMaster Repair",
ISNUMBER(SEARCH("ez seed",E322)),"EZ Seed Repair",
ISNUMBER(SEARCH("rapid grass",E322)),"Rapid Grass",
ISNUMBER(SEARCH("thick'r lawn",E322)),"Thick'R Lawn",
ISNUMBER(SEARCH("fungicide",E322)),"Fungicide",
ISNUMBER(SEARCH("moss",E322)),"Moss Control",
ISNUMBER(SEARCH("perlite",E322)),"Perlite",
ISNUMBER(SEARCH("plant food",E322)),"Plant Food",
ISNUMBER(SEARCH("spreader",E322)),"Spreader",
ISNUMBER(SEARCH("sprayer",E322)),"Sprayer",
ISNUMBER(SEARCH("mower",E322)),"Lawn Mower",
ISNUMBER(SEARCH("sweeper",E322)),"Lawn Sweeper",
OR(ISNUMBER(SEARCH("pruner",E322)),ISNUMBER(SEARCH("trimmer",E322)),ISNUMBER(SEARCH("pole saw",E322))),"Pruning Tools",
TRUE,"Other"
)</f>
        <v>Other</v>
      </c>
      <c r="J322" s="7" t="str">
        <f t="shared" si="70"/>
        <v>Rodent Control - Other</v>
      </c>
      <c r="K322" s="4">
        <v>200</v>
      </c>
      <c r="L322" s="4">
        <v>4.0999999999999996</v>
      </c>
      <c r="M322" s="4">
        <v>1198</v>
      </c>
      <c r="N322" s="4" t="s">
        <v>1353</v>
      </c>
      <c r="O322" s="4">
        <f>VLOOKUP(A322,[4]Sheet1!$A:$B,2,0)</f>
        <v>100</v>
      </c>
      <c r="P322" s="4">
        <f>VLOOKUP(A322,[4]Sheet1!$A:$C,3,0)</f>
        <v>50</v>
      </c>
      <c r="Q322" s="4">
        <f>VLOOKUP(A322,[4]Sheet1!$A:$D,4,0)</f>
        <v>100</v>
      </c>
      <c r="R322" s="4">
        <f>VLOOKUP(A322,[4]Sheet1!$A:$E,5,0)</f>
        <v>200</v>
      </c>
      <c r="S322" s="4">
        <f>VLOOKUP(A322,[4]Sheet1!$A:$F,6,0)</f>
        <v>200</v>
      </c>
      <c r="T322" s="4">
        <f>VLOOKUP(A322,[4]Sheet1!$A:$G,7,0)</f>
        <v>50</v>
      </c>
      <c r="U322" s="4">
        <f>VLOOKUP(A322,[4]Sheet1!$A:$H,8,0)</f>
        <v>50</v>
      </c>
      <c r="V322" s="4">
        <f>VLOOKUP(A322,[4]Sheet1!$A:$I,9,0)</f>
        <v>200</v>
      </c>
      <c r="W322" s="4">
        <f>VLOOKUP(A322,[4]Sheet1!$A:$J,10,0)</f>
        <v>200</v>
      </c>
      <c r="X322" s="4">
        <f>VLOOKUP(A322,[4]Sheet1!$A:$K,11,0)</f>
        <v>100</v>
      </c>
      <c r="Y322" s="4">
        <f>VLOOKUP(A322,[4]Sheet1!$A:$L,12,0)</f>
        <v>100</v>
      </c>
      <c r="Z322" s="4">
        <f>VLOOKUP(A322,[4]Sheet1!$A:$M,13,0)</f>
        <v>50</v>
      </c>
      <c r="AA322" s="4">
        <f t="shared" si="80"/>
        <v>1400</v>
      </c>
      <c r="AB322" s="7">
        <f t="shared" si="71"/>
        <v>117</v>
      </c>
      <c r="AC322" s="15">
        <f t="shared" si="81"/>
        <v>116.66666666666667</v>
      </c>
      <c r="AD322" s="16">
        <f t="shared" si="82"/>
        <v>11955.999999999998</v>
      </c>
      <c r="AE322" s="16">
        <f t="shared" si="83"/>
        <v>996.33333333333326</v>
      </c>
      <c r="AF322" s="16">
        <v>3.01</v>
      </c>
      <c r="AG322" s="16">
        <v>8.5399999999999991</v>
      </c>
      <c r="AH322" s="15">
        <f t="shared" si="84"/>
        <v>-3.960000000000001E-2</v>
      </c>
      <c r="AI322" s="15">
        <f t="shared" si="85"/>
        <v>-0.13860000000000003</v>
      </c>
      <c r="AJ322" s="10">
        <v>0.5</v>
      </c>
      <c r="AK322" s="10">
        <v>0.5</v>
      </c>
      <c r="AL322" s="16">
        <v>3.01</v>
      </c>
      <c r="AM322" s="9">
        <f t="shared" si="72"/>
        <v>1.2809999999999999</v>
      </c>
      <c r="AN322" s="9">
        <f t="shared" si="73"/>
        <v>0.25619999999999998</v>
      </c>
      <c r="AO322" s="9">
        <f t="shared" si="74"/>
        <v>1.708</v>
      </c>
      <c r="AP322" s="9">
        <f t="shared" si="75"/>
        <v>0.17079999999999998</v>
      </c>
      <c r="AQ322" s="9">
        <f t="shared" si="76"/>
        <v>1.708</v>
      </c>
      <c r="AR322" s="9">
        <f t="shared" si="77"/>
        <v>2.1349999999999998</v>
      </c>
      <c r="AS322" s="11">
        <f t="shared" si="78"/>
        <v>-0.39600000000000007</v>
      </c>
      <c r="AT322" s="12">
        <f t="shared" si="79"/>
        <v>-0.68066666666666664</v>
      </c>
    </row>
    <row r="323" spans="1:46" ht="16.5" x14ac:dyDescent="0.4">
      <c r="A323" s="4" t="s">
        <v>1484</v>
      </c>
      <c r="B323" s="4" t="s">
        <v>1314</v>
      </c>
      <c r="C323" s="7" t="s">
        <v>1314</v>
      </c>
      <c r="D323" s="4" t="s">
        <v>1485</v>
      </c>
      <c r="E323" s="4" t="s">
        <v>1486</v>
      </c>
      <c r="F323" s="4" t="s">
        <v>1487</v>
      </c>
      <c r="G323" s="7" t="str">
        <f>VLOOKUP(A323,[1]done!$A:$I,9,0)</f>
        <v>Rodent</v>
      </c>
      <c r="H323" s="7" t="str" cm="1">
        <f t="array" ref="H323">_xlfn.IFS(
OR(ISNUMBER(SEARCH("mouse",E323)),ISNUMBER(SEARCH("rat",E323)),ISNUMBER(SEARCH("mice",E323)),ISNUMBER(SEARCH("rodent",E323))),"Rodent Control",
OR(ISNUMBER(SEARCH("fly",E323)),ISNUMBER(SEARCH("gnat",E323)),ISNUMBER(SEARCH("insect",E323)),ISNUMBER(SEARCH("mosquito",E323))),"Flying Insect Control",
OR(ISNUMBER(SEARCH("roach",E323)),ISNUMBER(SEARCH("ant",E323)),ISNUMBER(SEARCH("spider",E323)),ISNUMBER(SEARCH("cricket",E323)),ISNUMBER(SEARCH("scorpion",E323)),ISNUMBER(SEARCH("centipede",E323)),ISNUMBER(SEARCH("beetle",E323))),"Crawling Insect Control",
OR(ISNUMBER(SEARCH("tree",E323)),ISNUMBER(SEARCH("lantern",E323)),ISNUMBER(SEARCH("garden",E323)),ISNUMBER(SEARCH("plant",E323))),"Garden Pest Control",
OR(ISNUMBER(SEARCH("grass seed",E323)),ISNUMBER(SEARCH("seed mix",E323))),"Grass Seed",
OR(ISNUMBER(SEARCH("lawn food",E323)),ISNUMBER(SEARCH("fertilizer",E323))),"Lawn Fertilizer",
OR(ISNUMBER(SEARCH("patch",E323)),ISNUMBER(SEARCH("repair",E323)),ISNUMBER(SEARCH("thick'r",E323)),ISNUMBER(SEARCH("thick'r lawn",E323)),ISNUMBER(SEARCH("rapid grass",E323))),"Lawn Repair",
OR(ISNUMBER(SEARCH("weed",E323)),ISNUMBER(SEARCH("crabgrass",E323))),"Weed Control",
OR(ISNUMBER(SEARCH("fungicide",E323)),ISNUMBER(SEARCH("moss",E323))),"Disease &amp; Moss Control",
OR(ISNUMBER(SEARCH("plant food",E323)),ISNUMBER(SEARCH("miracid",E323))),"Plant Nutrition",
OR(ISNUMBER(SEARCH("perlite",E323))),"Soil Amendment",
OR(ISNUMBER(SEARCH("spreader",E323)),ISNUMBER(SEARCH("sprayer",E323)),ISNUMBER(SEARCH("mower",E323)),ISNUMBER(SEARCH("sweeper",E323)),ISNUMBER(SEARCH("pruner",E323)),ISNUMBER(SEARCH("trimmer",E323)),ISNUMBER(SEARCH("pole saw",E323))),"Garden Equipment",
TRUE,"Other"
)</f>
        <v>Rodent Control</v>
      </c>
      <c r="I323" s="7" t="str" cm="1">
        <f t="array" ref="I323">_xlfn.IFS(
OR(ISNUMBER(SEARCH("glue trap",E323)),ISNUMBER(SEARCH("glue board",E323))),"Glue Traps",
OR(ISNUMBER(SEARCH("snap trap",E323)),ISNUMBER(SEARCH("power-kill",E323)),ISNUMBER(SEARCH("wide pedal",E323)),ISNUMBER(SEARCH("metal pedal",E323))),"Snap Traps",
OR(ISNUMBER(SEARCH("electronic",E323)),ISNUMBER(SEARCH("zapper",E323))),"Electronic Traps",
OR(ISNUMBER(SEARCH("live catch",E323)),ISNUMBER(SEARCH("multi-catch",E323)),ISNUMBER(SEARCH("catch &amp; hold",E323)),ISNUMBER(SEARCH("tin cat",E323))),"Live Catch Traps",
OR(ISNUMBER(SEARCH("bait",E323)),ISNUMBER(SEARCH("poison",E323))),"Bait &amp; Poison",
ISNUMBER(SEARCH("repellent",E323)),"Repellents",
OR(ISNUMBER(SEARCH("fly trap",E323)),ISNUMBER(SEARCH("fly ribbon",E323)),ISNUMBER(SEARCH("fly stick",E323)),ISNUMBER(SEARCH("window fly",E323)),ISNUMBER(SEARCH("fly magnet",E323))),"Fly Traps",
OR(ISNUMBER(SEARCH("uv",E323)),ISNUMBER(SEARCH("fly light",E323)),ISNUMBER(SEARCH("plug-in",E323))),"UV Fly Traps",
ISNUMBER(SEARCH("roach",E323)),"Roach Traps",
ISNUMBER(SEARCH("ant",E323)),"Ant Traps",
ISNUMBER(SEARCH("spider",E323)),"Spider Traps",
ISNUMBER(SEARCH("mosquito",E323)),"Mosquito Traps",
ISNUMBER(SEARCH("beetle",E323)),"Beetle Traps",
ISNUMBER(SEARCH("lantern",E323)),"Lanternfly Control",
OR(ISNUMBER(SEARCH("tree shield",E323)),ISNUMBER(SEARCH("tree banding",E323)),ISNUMBER(SEARCH("insect barrier",E323))),"Tree Barriers",
OR(ISNUMBER(SEARCH("sun &amp; shade",E323)),ISNUMBER(SEARCH("sun and shade",E323))),"Sun &amp; Shade Mix",
ISNUMBER(SEARCH("tall fescue",E323)),"Tall Fescue",
ISNUMBER(SEARCH("bermudagrass",E323)),"Bermudagrass",
ISNUMBER(SEARCH("kentucky",E323)),"Kentucky Bluegrass",
ISNUMBER(SEARCH("zoysia",E323)),"Zoysia",
ISNUMBER(SEARCH("ryegrass",E323)),"Perennial Ryegrass",
ISNUMBER(SEARCH("centipede",E323)),"Centipede Grass",
ISNUMBER(SEARCH("dense shade",E323)),"Dense Shade Mix",
ISNUMBER(SEARCH("southern gold",E323)),"Southern Gold Mix",
ISNUMBER(SEARCH("heat-tolerant blue",E323)),"Heat-Tolerant Blue Mix",
ISNUMBER(SEARCH("high traffic",E323)),"High Traffic Mix",
ISNUMBER(SEARCH("quick fix",E323)),"Quick Fix Mix",
ISNUMBER(SEARCH("starter",E323)),"Starter Fertilizer",
ISNUMBER(SEARCH("weed &amp; feed",E323)),"Weed &amp; Feed",
ISNUMBER(SEARCH("lawn food",E323)),"Lawn Food",
ISNUMBER(SEARCH("triple action",E323)),"Triple Action Fertilizer",
ISNUMBER(SEARCH("green max",E323)),"Green Max Lawn Food",
ISNUMBER(SEARCH("patchmaster",E323)),"PatchMaster Repair",
ISNUMBER(SEARCH("ez seed",E323)),"EZ Seed Repair",
ISNUMBER(SEARCH("rapid grass",E323)),"Rapid Grass",
ISNUMBER(SEARCH("thick'r lawn",E323)),"Thick'R Lawn",
ISNUMBER(SEARCH("fungicide",E323)),"Fungicide",
ISNUMBER(SEARCH("moss",E323)),"Moss Control",
ISNUMBER(SEARCH("perlite",E323)),"Perlite",
ISNUMBER(SEARCH("plant food",E323)),"Plant Food",
ISNUMBER(SEARCH("spreader",E323)),"Spreader",
ISNUMBER(SEARCH("sprayer",E323)),"Sprayer",
ISNUMBER(SEARCH("mower",E323)),"Lawn Mower",
ISNUMBER(SEARCH("sweeper",E323)),"Lawn Sweeper",
OR(ISNUMBER(SEARCH("pruner",E323)),ISNUMBER(SEARCH("trimmer",E323)),ISNUMBER(SEARCH("pole saw",E323))),"Pruning Tools",
TRUE,"Other"
)</f>
        <v>Other</v>
      </c>
      <c r="J323" s="7" t="str">
        <f t="shared" ref="J323:J386" si="86">H323&amp;" - "&amp;I323</f>
        <v>Rodent Control - Other</v>
      </c>
      <c r="K323" s="4">
        <v>200</v>
      </c>
      <c r="L323" s="4">
        <v>3.6</v>
      </c>
      <c r="M323" s="4">
        <v>2157</v>
      </c>
      <c r="N323" s="4" t="s">
        <v>1094</v>
      </c>
      <c r="O323" s="4">
        <f>VLOOKUP(A323,[4]Sheet1!$A:$B,2,0)</f>
        <v>0</v>
      </c>
      <c r="P323" s="4">
        <f>VLOOKUP(A323,[4]Sheet1!$A:$C,3,0)</f>
        <v>0</v>
      </c>
      <c r="Q323" s="4">
        <f>VLOOKUP(A323,[4]Sheet1!$A:$D,4,0)</f>
        <v>100</v>
      </c>
      <c r="R323" s="4">
        <f>VLOOKUP(A323,[4]Sheet1!$A:$E,5,0)</f>
        <v>100</v>
      </c>
      <c r="S323" s="4">
        <f>VLOOKUP(A323,[4]Sheet1!$A:$F,6,0)</f>
        <v>100</v>
      </c>
      <c r="T323" s="4">
        <f>VLOOKUP(A323,[4]Sheet1!$A:$G,7,0)</f>
        <v>200</v>
      </c>
      <c r="U323" s="4">
        <f>VLOOKUP(A323,[4]Sheet1!$A:$H,8,0)</f>
        <v>100</v>
      </c>
      <c r="V323" s="4">
        <f>VLOOKUP(A323,[4]Sheet1!$A:$I,9,0)</f>
        <v>200</v>
      </c>
      <c r="W323" s="4">
        <f>VLOOKUP(A323,[4]Sheet1!$A:$J,10,0)</f>
        <v>200</v>
      </c>
      <c r="X323" s="4">
        <f>VLOOKUP(A323,[4]Sheet1!$A:$K,11,0)</f>
        <v>0</v>
      </c>
      <c r="Y323" s="4">
        <f>VLOOKUP(A323,[4]Sheet1!$A:$L,12,0)</f>
        <v>0</v>
      </c>
      <c r="Z323" s="4">
        <f>VLOOKUP(A323,[4]Sheet1!$A:$M,13,0)</f>
        <v>0</v>
      </c>
      <c r="AA323" s="4">
        <f t="shared" si="80"/>
        <v>1000</v>
      </c>
      <c r="AB323" s="7">
        <f t="shared" ref="AB323:AB386" si="87">ROUND(AA323/12,0)</f>
        <v>83</v>
      </c>
      <c r="AC323" s="15">
        <f t="shared" si="81"/>
        <v>83.333333333333329</v>
      </c>
      <c r="AD323" s="16">
        <f t="shared" si="82"/>
        <v>29980</v>
      </c>
      <c r="AE323" s="16">
        <f t="shared" si="83"/>
        <v>2498.333333333333</v>
      </c>
      <c r="AF323" s="16">
        <v>5.76</v>
      </c>
      <c r="AG323" s="16">
        <v>29.98</v>
      </c>
      <c r="AH323" s="15">
        <f t="shared" si="84"/>
        <v>0.3488</v>
      </c>
      <c r="AI323" s="15">
        <f t="shared" si="85"/>
        <v>1.2207999999999997</v>
      </c>
      <c r="AJ323" s="10">
        <v>0.5</v>
      </c>
      <c r="AK323" s="10">
        <v>0.5</v>
      </c>
      <c r="AL323" s="16">
        <v>5.76</v>
      </c>
      <c r="AM323" s="9">
        <f t="shared" ref="AM323:AM386" si="88">0.15*AG323</f>
        <v>4.4969999999999999</v>
      </c>
      <c r="AN323" s="9">
        <f t="shared" ref="AN323:AN386" si="89">0.03*AG323</f>
        <v>0.89939999999999998</v>
      </c>
      <c r="AO323" s="9">
        <f t="shared" ref="AO323:AO386" si="90">0.2*AG323</f>
        <v>5.9960000000000004</v>
      </c>
      <c r="AP323" s="9">
        <f t="shared" ref="AP323:AP386" si="91">0.02*AG323</f>
        <v>0.59960000000000002</v>
      </c>
      <c r="AQ323" s="9">
        <f t="shared" ref="AQ323:AQ386" si="92">0.2*AG323</f>
        <v>5.9960000000000004</v>
      </c>
      <c r="AR323" s="9">
        <f t="shared" ref="AR323:AR386" si="93">0.25*AG323</f>
        <v>7.4950000000000001</v>
      </c>
      <c r="AS323" s="11">
        <f t="shared" ref="AS323:AS386" si="94">(AG323*(1-(0.15+0.03+0.2+0.02))-AJ323-AK323-AL323-AQ323)/(1+0.1+0.4)</f>
        <v>3.4879999999999995</v>
      </c>
      <c r="AT323" s="12">
        <f t="shared" ref="AT323:AT386" si="95">(AG323*(1-(0.15+0.03+0.2+0.02))-AJ323-AK323-AL323-AR323)/(1+0.1+0.4)</f>
        <v>2.4886666666666666</v>
      </c>
    </row>
    <row r="324" spans="1:46" ht="16.5" x14ac:dyDescent="0.4">
      <c r="A324" s="4" t="s">
        <v>1488</v>
      </c>
      <c r="B324" s="4" t="s">
        <v>1314</v>
      </c>
      <c r="C324" s="7" t="s">
        <v>1796</v>
      </c>
      <c r="D324" s="4" t="s">
        <v>1489</v>
      </c>
      <c r="E324" s="4" t="s">
        <v>1490</v>
      </c>
      <c r="F324" s="4" t="s">
        <v>1491</v>
      </c>
      <c r="G324" s="7" t="str">
        <f>VLOOKUP(A324,[1]done!$A:$I,9,0)</f>
        <v>Rodent</v>
      </c>
      <c r="H324" s="7" t="str" cm="1">
        <f t="array" ref="H324">_xlfn.IFS(
OR(ISNUMBER(SEARCH("mouse",E324)),ISNUMBER(SEARCH("rat",E324)),ISNUMBER(SEARCH("mice",E324)),ISNUMBER(SEARCH("rodent",E324))),"Rodent Control",
OR(ISNUMBER(SEARCH("fly",E324)),ISNUMBER(SEARCH("gnat",E324)),ISNUMBER(SEARCH("insect",E324)),ISNUMBER(SEARCH("mosquito",E324))),"Flying Insect Control",
OR(ISNUMBER(SEARCH("roach",E324)),ISNUMBER(SEARCH("ant",E324)),ISNUMBER(SEARCH("spider",E324)),ISNUMBER(SEARCH("cricket",E324)),ISNUMBER(SEARCH("scorpion",E324)),ISNUMBER(SEARCH("centipede",E324)),ISNUMBER(SEARCH("beetle",E324))),"Crawling Insect Control",
OR(ISNUMBER(SEARCH("tree",E324)),ISNUMBER(SEARCH("lantern",E324)),ISNUMBER(SEARCH("garden",E324)),ISNUMBER(SEARCH("plant",E324))),"Garden Pest Control",
OR(ISNUMBER(SEARCH("grass seed",E324)),ISNUMBER(SEARCH("seed mix",E324))),"Grass Seed",
OR(ISNUMBER(SEARCH("lawn food",E324)),ISNUMBER(SEARCH("fertilizer",E324))),"Lawn Fertilizer",
OR(ISNUMBER(SEARCH("patch",E324)),ISNUMBER(SEARCH("repair",E324)),ISNUMBER(SEARCH("thick'r",E324)),ISNUMBER(SEARCH("thick'r lawn",E324)),ISNUMBER(SEARCH("rapid grass",E324))),"Lawn Repair",
OR(ISNUMBER(SEARCH("weed",E324)),ISNUMBER(SEARCH("crabgrass",E324))),"Weed Control",
OR(ISNUMBER(SEARCH("fungicide",E324)),ISNUMBER(SEARCH("moss",E324))),"Disease &amp; Moss Control",
OR(ISNUMBER(SEARCH("plant food",E324)),ISNUMBER(SEARCH("miracid",E324))),"Plant Nutrition",
OR(ISNUMBER(SEARCH("perlite",E324))),"Soil Amendment",
OR(ISNUMBER(SEARCH("spreader",E324)),ISNUMBER(SEARCH("sprayer",E324)),ISNUMBER(SEARCH("mower",E324)),ISNUMBER(SEARCH("sweeper",E324)),ISNUMBER(SEARCH("pruner",E324)),ISNUMBER(SEARCH("trimmer",E324)),ISNUMBER(SEARCH("pole saw",E324))),"Garden Equipment",
TRUE,"Other"
)</f>
        <v>Rodent Control</v>
      </c>
      <c r="I324" s="7" t="str" cm="1">
        <f t="array" ref="I324">_xlfn.IFS(
OR(ISNUMBER(SEARCH("glue trap",E324)),ISNUMBER(SEARCH("glue board",E324))),"Glue Traps",
OR(ISNUMBER(SEARCH("snap trap",E324)),ISNUMBER(SEARCH("power-kill",E324)),ISNUMBER(SEARCH("wide pedal",E324)),ISNUMBER(SEARCH("metal pedal",E324))),"Snap Traps",
OR(ISNUMBER(SEARCH("electronic",E324)),ISNUMBER(SEARCH("zapper",E324))),"Electronic Traps",
OR(ISNUMBER(SEARCH("live catch",E324)),ISNUMBER(SEARCH("multi-catch",E324)),ISNUMBER(SEARCH("catch &amp; hold",E324)),ISNUMBER(SEARCH("tin cat",E324))),"Live Catch Traps",
OR(ISNUMBER(SEARCH("bait",E324)),ISNUMBER(SEARCH("poison",E324))),"Bait &amp; Poison",
ISNUMBER(SEARCH("repellent",E324)),"Repellents",
OR(ISNUMBER(SEARCH("fly trap",E324)),ISNUMBER(SEARCH("fly ribbon",E324)),ISNUMBER(SEARCH("fly stick",E324)),ISNUMBER(SEARCH("window fly",E324)),ISNUMBER(SEARCH("fly magnet",E324))),"Fly Traps",
OR(ISNUMBER(SEARCH("uv",E324)),ISNUMBER(SEARCH("fly light",E324)),ISNUMBER(SEARCH("plug-in",E324))),"UV Fly Traps",
ISNUMBER(SEARCH("roach",E324)),"Roach Traps",
ISNUMBER(SEARCH("ant",E324)),"Ant Traps",
ISNUMBER(SEARCH("spider",E324)),"Spider Traps",
ISNUMBER(SEARCH("mosquito",E324)),"Mosquito Traps",
ISNUMBER(SEARCH("beetle",E324)),"Beetle Traps",
ISNUMBER(SEARCH("lantern",E324)),"Lanternfly Control",
OR(ISNUMBER(SEARCH("tree shield",E324)),ISNUMBER(SEARCH("tree banding",E324)),ISNUMBER(SEARCH("insect barrier",E324))),"Tree Barriers",
OR(ISNUMBER(SEARCH("sun &amp; shade",E324)),ISNUMBER(SEARCH("sun and shade",E324))),"Sun &amp; Shade Mix",
ISNUMBER(SEARCH("tall fescue",E324)),"Tall Fescue",
ISNUMBER(SEARCH("bermudagrass",E324)),"Bermudagrass",
ISNUMBER(SEARCH("kentucky",E324)),"Kentucky Bluegrass",
ISNUMBER(SEARCH("zoysia",E324)),"Zoysia",
ISNUMBER(SEARCH("ryegrass",E324)),"Perennial Ryegrass",
ISNUMBER(SEARCH("centipede",E324)),"Centipede Grass",
ISNUMBER(SEARCH("dense shade",E324)),"Dense Shade Mix",
ISNUMBER(SEARCH("southern gold",E324)),"Southern Gold Mix",
ISNUMBER(SEARCH("heat-tolerant blue",E324)),"Heat-Tolerant Blue Mix",
ISNUMBER(SEARCH("high traffic",E324)),"High Traffic Mix",
ISNUMBER(SEARCH("quick fix",E324)),"Quick Fix Mix",
ISNUMBER(SEARCH("starter",E324)),"Starter Fertilizer",
ISNUMBER(SEARCH("weed &amp; feed",E324)),"Weed &amp; Feed",
ISNUMBER(SEARCH("lawn food",E324)),"Lawn Food",
ISNUMBER(SEARCH("triple action",E324)),"Triple Action Fertilizer",
ISNUMBER(SEARCH("green max",E324)),"Green Max Lawn Food",
ISNUMBER(SEARCH("patchmaster",E324)),"PatchMaster Repair",
ISNUMBER(SEARCH("ez seed",E324)),"EZ Seed Repair",
ISNUMBER(SEARCH("rapid grass",E324)),"Rapid Grass",
ISNUMBER(SEARCH("thick'r lawn",E324)),"Thick'R Lawn",
ISNUMBER(SEARCH("fungicide",E324)),"Fungicide",
ISNUMBER(SEARCH("moss",E324)),"Moss Control",
ISNUMBER(SEARCH("perlite",E324)),"Perlite",
ISNUMBER(SEARCH("plant food",E324)),"Plant Food",
ISNUMBER(SEARCH("spreader",E324)),"Spreader",
ISNUMBER(SEARCH("sprayer",E324)),"Sprayer",
ISNUMBER(SEARCH("mower",E324)),"Lawn Mower",
ISNUMBER(SEARCH("sweeper",E324)),"Lawn Sweeper",
OR(ISNUMBER(SEARCH("pruner",E324)),ISNUMBER(SEARCH("trimmer",E324)),ISNUMBER(SEARCH("pole saw",E324))),"Pruning Tools",
TRUE,"Other"
)</f>
        <v>Bait &amp; Poison</v>
      </c>
      <c r="J324" s="7" t="str">
        <f t="shared" si="86"/>
        <v>Rodent Control - Bait &amp; Poison</v>
      </c>
      <c r="K324" s="4">
        <v>200</v>
      </c>
      <c r="L324" s="4">
        <v>4.3</v>
      </c>
      <c r="M324" s="4">
        <v>793</v>
      </c>
      <c r="N324" s="4" t="s">
        <v>193</v>
      </c>
      <c r="O324" s="4">
        <f>VLOOKUP(A324,[4]Sheet1!$A:$B,2,0)</f>
        <v>0</v>
      </c>
      <c r="P324" s="4">
        <f>VLOOKUP(A324,[4]Sheet1!$A:$C,3,0)</f>
        <v>50</v>
      </c>
      <c r="Q324" s="4">
        <f>VLOOKUP(A324,[4]Sheet1!$A:$D,4,0)</f>
        <v>50</v>
      </c>
      <c r="R324" s="4">
        <f>VLOOKUP(A324,[4]Sheet1!$A:$E,5,0)</f>
        <v>0</v>
      </c>
      <c r="S324" s="4">
        <f>VLOOKUP(A324,[4]Sheet1!$A:$F,6,0)</f>
        <v>50</v>
      </c>
      <c r="T324" s="4">
        <f>VLOOKUP(A324,[4]Sheet1!$A:$G,7,0)</f>
        <v>50</v>
      </c>
      <c r="U324" s="4">
        <f>VLOOKUP(A324,[4]Sheet1!$A:$H,8,0)</f>
        <v>100</v>
      </c>
      <c r="V324" s="4">
        <f>VLOOKUP(A324,[4]Sheet1!$A:$I,9,0)</f>
        <v>100</v>
      </c>
      <c r="W324" s="4">
        <f>VLOOKUP(A324,[4]Sheet1!$A:$J,10,0)</f>
        <v>100</v>
      </c>
      <c r="X324" s="4">
        <f>VLOOKUP(A324,[4]Sheet1!$A:$K,11,0)</f>
        <v>100</v>
      </c>
      <c r="Y324" s="4">
        <f>VLOOKUP(A324,[4]Sheet1!$A:$L,12,0)</f>
        <v>50</v>
      </c>
      <c r="Z324" s="4">
        <f>VLOOKUP(A324,[4]Sheet1!$A:$M,13,0)</f>
        <v>50</v>
      </c>
      <c r="AA324" s="4">
        <f t="shared" si="80"/>
        <v>700</v>
      </c>
      <c r="AB324" s="7">
        <f t="shared" si="87"/>
        <v>58</v>
      </c>
      <c r="AC324" s="15">
        <f t="shared" si="81"/>
        <v>58.333333333333336</v>
      </c>
      <c r="AD324" s="16">
        <f t="shared" si="82"/>
        <v>7196</v>
      </c>
      <c r="AE324" s="16">
        <f t="shared" si="83"/>
        <v>599.66666666666663</v>
      </c>
      <c r="AF324" s="16">
        <v>6.02</v>
      </c>
      <c r="AG324" s="16">
        <v>10.28</v>
      </c>
      <c r="AH324" s="15">
        <f t="shared" si="84"/>
        <v>-0.19386666666666671</v>
      </c>
      <c r="AI324" s="15">
        <f t="shared" si="85"/>
        <v>-0.67853333333333343</v>
      </c>
      <c r="AJ324" s="10">
        <v>0.5</v>
      </c>
      <c r="AK324" s="10">
        <v>0.5</v>
      </c>
      <c r="AL324" s="16">
        <v>6.02</v>
      </c>
      <c r="AM324" s="9">
        <f t="shared" si="88"/>
        <v>1.5419999999999998</v>
      </c>
      <c r="AN324" s="9">
        <f t="shared" si="89"/>
        <v>0.30839999999999995</v>
      </c>
      <c r="AO324" s="9">
        <f t="shared" si="90"/>
        <v>2.056</v>
      </c>
      <c r="AP324" s="9">
        <f t="shared" si="91"/>
        <v>0.2056</v>
      </c>
      <c r="AQ324" s="9">
        <f t="shared" si="92"/>
        <v>2.056</v>
      </c>
      <c r="AR324" s="9">
        <f t="shared" si="93"/>
        <v>2.57</v>
      </c>
      <c r="AS324" s="11">
        <f t="shared" si="94"/>
        <v>-1.938666666666667</v>
      </c>
      <c r="AT324" s="12">
        <f t="shared" si="95"/>
        <v>-2.2813333333333334</v>
      </c>
    </row>
    <row r="325" spans="1:46" ht="16.5" x14ac:dyDescent="0.4">
      <c r="A325" s="4" t="s">
        <v>1492</v>
      </c>
      <c r="B325" s="4" t="s">
        <v>1314</v>
      </c>
      <c r="C325" s="7" t="s">
        <v>1314</v>
      </c>
      <c r="D325" s="4" t="s">
        <v>1493</v>
      </c>
      <c r="E325" s="4" t="s">
        <v>1494</v>
      </c>
      <c r="F325" s="4" t="s">
        <v>1495</v>
      </c>
      <c r="G325" s="7" t="str">
        <f>VLOOKUP(A325,[1]done!$A:$I,9,0)</f>
        <v>Rodent</v>
      </c>
      <c r="H325" s="7" t="str" cm="1">
        <f t="array" ref="H325">_xlfn.IFS(
OR(ISNUMBER(SEARCH("mouse",E325)),ISNUMBER(SEARCH("rat",E325)),ISNUMBER(SEARCH("mice",E325)),ISNUMBER(SEARCH("rodent",E325))),"Rodent Control",
OR(ISNUMBER(SEARCH("fly",E325)),ISNUMBER(SEARCH("gnat",E325)),ISNUMBER(SEARCH("insect",E325)),ISNUMBER(SEARCH("mosquito",E325))),"Flying Insect Control",
OR(ISNUMBER(SEARCH("roach",E325)),ISNUMBER(SEARCH("ant",E325)),ISNUMBER(SEARCH("spider",E325)),ISNUMBER(SEARCH("cricket",E325)),ISNUMBER(SEARCH("scorpion",E325)),ISNUMBER(SEARCH("centipede",E325)),ISNUMBER(SEARCH("beetle",E325))),"Crawling Insect Control",
OR(ISNUMBER(SEARCH("tree",E325)),ISNUMBER(SEARCH("lantern",E325)),ISNUMBER(SEARCH("garden",E325)),ISNUMBER(SEARCH("plant",E325))),"Garden Pest Control",
OR(ISNUMBER(SEARCH("grass seed",E325)),ISNUMBER(SEARCH("seed mix",E325))),"Grass Seed",
OR(ISNUMBER(SEARCH("lawn food",E325)),ISNUMBER(SEARCH("fertilizer",E325))),"Lawn Fertilizer",
OR(ISNUMBER(SEARCH("patch",E325)),ISNUMBER(SEARCH("repair",E325)),ISNUMBER(SEARCH("thick'r",E325)),ISNUMBER(SEARCH("thick'r lawn",E325)),ISNUMBER(SEARCH("rapid grass",E325))),"Lawn Repair",
OR(ISNUMBER(SEARCH("weed",E325)),ISNUMBER(SEARCH("crabgrass",E325))),"Weed Control",
OR(ISNUMBER(SEARCH("fungicide",E325)),ISNUMBER(SEARCH("moss",E325))),"Disease &amp; Moss Control",
OR(ISNUMBER(SEARCH("plant food",E325)),ISNUMBER(SEARCH("miracid",E325))),"Plant Nutrition",
OR(ISNUMBER(SEARCH("perlite",E325))),"Soil Amendment",
OR(ISNUMBER(SEARCH("spreader",E325)),ISNUMBER(SEARCH("sprayer",E325)),ISNUMBER(SEARCH("mower",E325)),ISNUMBER(SEARCH("sweeper",E325)),ISNUMBER(SEARCH("pruner",E325)),ISNUMBER(SEARCH("trimmer",E325)),ISNUMBER(SEARCH("pole saw",E325))),"Garden Equipment",
TRUE,"Other"
)</f>
        <v>Rodent Control</v>
      </c>
      <c r="I325" s="7" t="str" cm="1">
        <f t="array" ref="I325">_xlfn.IFS(
OR(ISNUMBER(SEARCH("glue trap",E325)),ISNUMBER(SEARCH("glue board",E325))),"Glue Traps",
OR(ISNUMBER(SEARCH("snap trap",E325)),ISNUMBER(SEARCH("power-kill",E325)),ISNUMBER(SEARCH("wide pedal",E325)),ISNUMBER(SEARCH("metal pedal",E325))),"Snap Traps",
OR(ISNUMBER(SEARCH("electronic",E325)),ISNUMBER(SEARCH("zapper",E325))),"Electronic Traps",
OR(ISNUMBER(SEARCH("live catch",E325)),ISNUMBER(SEARCH("multi-catch",E325)),ISNUMBER(SEARCH("catch &amp; hold",E325)),ISNUMBER(SEARCH("tin cat",E325))),"Live Catch Traps",
OR(ISNUMBER(SEARCH("bait",E325)),ISNUMBER(SEARCH("poison",E325))),"Bait &amp; Poison",
ISNUMBER(SEARCH("repellent",E325)),"Repellents",
OR(ISNUMBER(SEARCH("fly trap",E325)),ISNUMBER(SEARCH("fly ribbon",E325)),ISNUMBER(SEARCH("fly stick",E325)),ISNUMBER(SEARCH("window fly",E325)),ISNUMBER(SEARCH("fly magnet",E325))),"Fly Traps",
OR(ISNUMBER(SEARCH("uv",E325)),ISNUMBER(SEARCH("fly light",E325)),ISNUMBER(SEARCH("plug-in",E325))),"UV Fly Traps",
ISNUMBER(SEARCH("roach",E325)),"Roach Traps",
ISNUMBER(SEARCH("ant",E325)),"Ant Traps",
ISNUMBER(SEARCH("spider",E325)),"Spider Traps",
ISNUMBER(SEARCH("mosquito",E325)),"Mosquito Traps",
ISNUMBER(SEARCH("beetle",E325)),"Beetle Traps",
ISNUMBER(SEARCH("lantern",E325)),"Lanternfly Control",
OR(ISNUMBER(SEARCH("tree shield",E325)),ISNUMBER(SEARCH("tree banding",E325)),ISNUMBER(SEARCH("insect barrier",E325))),"Tree Barriers",
OR(ISNUMBER(SEARCH("sun &amp; shade",E325)),ISNUMBER(SEARCH("sun and shade",E325))),"Sun &amp; Shade Mix",
ISNUMBER(SEARCH("tall fescue",E325)),"Tall Fescue",
ISNUMBER(SEARCH("bermudagrass",E325)),"Bermudagrass",
ISNUMBER(SEARCH("kentucky",E325)),"Kentucky Bluegrass",
ISNUMBER(SEARCH("zoysia",E325)),"Zoysia",
ISNUMBER(SEARCH("ryegrass",E325)),"Perennial Ryegrass",
ISNUMBER(SEARCH("centipede",E325)),"Centipede Grass",
ISNUMBER(SEARCH("dense shade",E325)),"Dense Shade Mix",
ISNUMBER(SEARCH("southern gold",E325)),"Southern Gold Mix",
ISNUMBER(SEARCH("heat-tolerant blue",E325)),"Heat-Tolerant Blue Mix",
ISNUMBER(SEARCH("high traffic",E325)),"High Traffic Mix",
ISNUMBER(SEARCH("quick fix",E325)),"Quick Fix Mix",
ISNUMBER(SEARCH("starter",E325)),"Starter Fertilizer",
ISNUMBER(SEARCH("weed &amp; feed",E325)),"Weed &amp; Feed",
ISNUMBER(SEARCH("lawn food",E325)),"Lawn Food",
ISNUMBER(SEARCH("triple action",E325)),"Triple Action Fertilizer",
ISNUMBER(SEARCH("green max",E325)),"Green Max Lawn Food",
ISNUMBER(SEARCH("patchmaster",E325)),"PatchMaster Repair",
ISNUMBER(SEARCH("ez seed",E325)),"EZ Seed Repair",
ISNUMBER(SEARCH("rapid grass",E325)),"Rapid Grass",
ISNUMBER(SEARCH("thick'r lawn",E325)),"Thick'R Lawn",
ISNUMBER(SEARCH("fungicide",E325)),"Fungicide",
ISNUMBER(SEARCH("moss",E325)),"Moss Control",
ISNUMBER(SEARCH("perlite",E325)),"Perlite",
ISNUMBER(SEARCH("plant food",E325)),"Plant Food",
ISNUMBER(SEARCH("spreader",E325)),"Spreader",
ISNUMBER(SEARCH("sprayer",E325)),"Sprayer",
ISNUMBER(SEARCH("mower",E325)),"Lawn Mower",
ISNUMBER(SEARCH("sweeper",E325)),"Lawn Sweeper",
OR(ISNUMBER(SEARCH("pruner",E325)),ISNUMBER(SEARCH("trimmer",E325)),ISNUMBER(SEARCH("pole saw",E325))),"Pruning Tools",
TRUE,"Other"
)</f>
        <v>Snap Traps</v>
      </c>
      <c r="J325" s="7" t="str">
        <f t="shared" si="86"/>
        <v>Rodent Control - Snap Traps</v>
      </c>
      <c r="K325" s="4">
        <v>200</v>
      </c>
      <c r="L325" s="4">
        <v>4.5</v>
      </c>
      <c r="M325" s="4">
        <v>2311</v>
      </c>
      <c r="N325" s="4" t="s">
        <v>1496</v>
      </c>
      <c r="O325" s="4">
        <f>VLOOKUP(A325,[4]Sheet1!$A:$B,2,0)</f>
        <v>300</v>
      </c>
      <c r="P325" s="4">
        <f>VLOOKUP(A325,[4]Sheet1!$A:$C,3,0)</f>
        <v>200</v>
      </c>
      <c r="Q325" s="4">
        <f>VLOOKUP(A325,[4]Sheet1!$A:$D,4,0)</f>
        <v>200</v>
      </c>
      <c r="R325" s="4">
        <f>VLOOKUP(A325,[4]Sheet1!$A:$E,5,0)</f>
        <v>200</v>
      </c>
      <c r="S325" s="4">
        <f>VLOOKUP(A325,[4]Sheet1!$A:$F,6,0)</f>
        <v>100</v>
      </c>
      <c r="T325" s="4">
        <f>VLOOKUP(A325,[4]Sheet1!$A:$G,7,0)</f>
        <v>100</v>
      </c>
      <c r="U325" s="4">
        <f>VLOOKUP(A325,[4]Sheet1!$A:$H,8,0)</f>
        <v>100</v>
      </c>
      <c r="V325" s="4">
        <f>VLOOKUP(A325,[4]Sheet1!$A:$I,9,0)</f>
        <v>200</v>
      </c>
      <c r="W325" s="4">
        <f>VLOOKUP(A325,[4]Sheet1!$A:$J,10,0)</f>
        <v>200</v>
      </c>
      <c r="X325" s="4">
        <f>VLOOKUP(A325,[4]Sheet1!$A:$K,11,0)</f>
        <v>300</v>
      </c>
      <c r="Y325" s="4">
        <f>VLOOKUP(A325,[4]Sheet1!$A:$L,12,0)</f>
        <v>400</v>
      </c>
      <c r="Z325" s="4">
        <f>VLOOKUP(A325,[4]Sheet1!$A:$M,13,0)</f>
        <v>100</v>
      </c>
      <c r="AA325" s="4">
        <f t="shared" si="80"/>
        <v>2400</v>
      </c>
      <c r="AB325" s="7">
        <f t="shared" si="87"/>
        <v>200</v>
      </c>
      <c r="AC325" s="15">
        <f t="shared" si="81"/>
        <v>200</v>
      </c>
      <c r="AD325" s="16">
        <f t="shared" si="82"/>
        <v>116592</v>
      </c>
      <c r="AE325" s="16">
        <f t="shared" si="83"/>
        <v>9716</v>
      </c>
      <c r="AF325" s="16">
        <v>7.63</v>
      </c>
      <c r="AG325" s="16">
        <v>48.58</v>
      </c>
      <c r="AH325" s="15">
        <f t="shared" si="84"/>
        <v>0.72013333333333307</v>
      </c>
      <c r="AI325" s="15">
        <f t="shared" si="85"/>
        <v>2.5204666666666657</v>
      </c>
      <c r="AJ325" s="10">
        <v>0.5</v>
      </c>
      <c r="AK325" s="10">
        <v>0.5</v>
      </c>
      <c r="AL325" s="16">
        <v>7.63</v>
      </c>
      <c r="AM325" s="9">
        <f t="shared" si="88"/>
        <v>7.286999999999999</v>
      </c>
      <c r="AN325" s="9">
        <f t="shared" si="89"/>
        <v>1.4573999999999998</v>
      </c>
      <c r="AO325" s="9">
        <f t="shared" si="90"/>
        <v>9.7160000000000011</v>
      </c>
      <c r="AP325" s="9">
        <f t="shared" si="91"/>
        <v>0.97160000000000002</v>
      </c>
      <c r="AQ325" s="9">
        <f t="shared" si="92"/>
        <v>9.7160000000000011</v>
      </c>
      <c r="AR325" s="9">
        <f t="shared" si="93"/>
        <v>12.145</v>
      </c>
      <c r="AS325" s="11">
        <f t="shared" si="94"/>
        <v>7.2013333333333307</v>
      </c>
      <c r="AT325" s="12">
        <f t="shared" si="95"/>
        <v>5.5819999999999981</v>
      </c>
    </row>
    <row r="326" spans="1:46" ht="16.5" x14ac:dyDescent="0.4">
      <c r="A326" s="4" t="s">
        <v>1497</v>
      </c>
      <c r="B326" s="4" t="s">
        <v>1314</v>
      </c>
      <c r="C326" s="7" t="s">
        <v>1314</v>
      </c>
      <c r="D326" s="4" t="s">
        <v>1498</v>
      </c>
      <c r="E326" s="4" t="s">
        <v>1499</v>
      </c>
      <c r="F326" s="4" t="s">
        <v>1500</v>
      </c>
      <c r="G326" s="7" t="str">
        <f>VLOOKUP(A326,[1]done!$A:$I,9,0)</f>
        <v>Cockroach</v>
      </c>
      <c r="H326" s="7" t="str" cm="1">
        <f t="array" ref="H326">_xlfn.IFS(
OR(ISNUMBER(SEARCH("mouse",E326)),ISNUMBER(SEARCH("rat",E326)),ISNUMBER(SEARCH("mice",E326)),ISNUMBER(SEARCH("rodent",E326))),"Rodent Control",
OR(ISNUMBER(SEARCH("fly",E326)),ISNUMBER(SEARCH("gnat",E326)),ISNUMBER(SEARCH("insect",E326)),ISNUMBER(SEARCH("mosquito",E326))),"Flying Insect Control",
OR(ISNUMBER(SEARCH("roach",E326)),ISNUMBER(SEARCH("ant",E326)),ISNUMBER(SEARCH("spider",E326)),ISNUMBER(SEARCH("cricket",E326)),ISNUMBER(SEARCH("scorpion",E326)),ISNUMBER(SEARCH("centipede",E326)),ISNUMBER(SEARCH("beetle",E326))),"Crawling Insect Control",
OR(ISNUMBER(SEARCH("tree",E326)),ISNUMBER(SEARCH("lantern",E326)),ISNUMBER(SEARCH("garden",E326)),ISNUMBER(SEARCH("plant",E326))),"Garden Pest Control",
OR(ISNUMBER(SEARCH("grass seed",E326)),ISNUMBER(SEARCH("seed mix",E326))),"Grass Seed",
OR(ISNUMBER(SEARCH("lawn food",E326)),ISNUMBER(SEARCH("fertilizer",E326))),"Lawn Fertilizer",
OR(ISNUMBER(SEARCH("patch",E326)),ISNUMBER(SEARCH("repair",E326)),ISNUMBER(SEARCH("thick'r",E326)),ISNUMBER(SEARCH("thick'r lawn",E326)),ISNUMBER(SEARCH("rapid grass",E326))),"Lawn Repair",
OR(ISNUMBER(SEARCH("weed",E326)),ISNUMBER(SEARCH("crabgrass",E326))),"Weed Control",
OR(ISNUMBER(SEARCH("fungicide",E326)),ISNUMBER(SEARCH("moss",E326))),"Disease &amp; Moss Control",
OR(ISNUMBER(SEARCH("plant food",E326)),ISNUMBER(SEARCH("miracid",E326))),"Plant Nutrition",
OR(ISNUMBER(SEARCH("perlite",E326))),"Soil Amendment",
OR(ISNUMBER(SEARCH("spreader",E326)),ISNUMBER(SEARCH("sprayer",E326)),ISNUMBER(SEARCH("mower",E326)),ISNUMBER(SEARCH("sweeper",E326)),ISNUMBER(SEARCH("pruner",E326)),ISNUMBER(SEARCH("trimmer",E326)),ISNUMBER(SEARCH("pole saw",E326))),"Garden Equipment",
TRUE,"Other"
)</f>
        <v>Flying Insect Control</v>
      </c>
      <c r="I326" s="7" t="str" cm="1">
        <f t="array" ref="I326">_xlfn.IFS(
OR(ISNUMBER(SEARCH("glue trap",E326)),ISNUMBER(SEARCH("glue board",E326))),"Glue Traps",
OR(ISNUMBER(SEARCH("snap trap",E326)),ISNUMBER(SEARCH("power-kill",E326)),ISNUMBER(SEARCH("wide pedal",E326)),ISNUMBER(SEARCH("metal pedal",E326))),"Snap Traps",
OR(ISNUMBER(SEARCH("electronic",E326)),ISNUMBER(SEARCH("zapper",E326))),"Electronic Traps",
OR(ISNUMBER(SEARCH("live catch",E326)),ISNUMBER(SEARCH("multi-catch",E326)),ISNUMBER(SEARCH("catch &amp; hold",E326)),ISNUMBER(SEARCH("tin cat",E326))),"Live Catch Traps",
OR(ISNUMBER(SEARCH("bait",E326)),ISNUMBER(SEARCH("poison",E326))),"Bait &amp; Poison",
ISNUMBER(SEARCH("repellent",E326)),"Repellents",
OR(ISNUMBER(SEARCH("fly trap",E326)),ISNUMBER(SEARCH("fly ribbon",E326)),ISNUMBER(SEARCH("fly stick",E326)),ISNUMBER(SEARCH("window fly",E326)),ISNUMBER(SEARCH("fly magnet",E326))),"Fly Traps",
OR(ISNUMBER(SEARCH("uv",E326)),ISNUMBER(SEARCH("fly light",E326)),ISNUMBER(SEARCH("plug-in",E326))),"UV Fly Traps",
ISNUMBER(SEARCH("roach",E326)),"Roach Traps",
ISNUMBER(SEARCH("ant",E326)),"Ant Traps",
ISNUMBER(SEARCH("spider",E326)),"Spider Traps",
ISNUMBER(SEARCH("mosquito",E326)),"Mosquito Traps",
ISNUMBER(SEARCH("beetle",E326)),"Beetle Traps",
ISNUMBER(SEARCH("lantern",E326)),"Lanternfly Control",
OR(ISNUMBER(SEARCH("tree shield",E326)),ISNUMBER(SEARCH("tree banding",E326)),ISNUMBER(SEARCH("insect barrier",E326))),"Tree Barriers",
OR(ISNUMBER(SEARCH("sun &amp; shade",E326)),ISNUMBER(SEARCH("sun and shade",E326))),"Sun &amp; Shade Mix",
ISNUMBER(SEARCH("tall fescue",E326)),"Tall Fescue",
ISNUMBER(SEARCH("bermudagrass",E326)),"Bermudagrass",
ISNUMBER(SEARCH("kentucky",E326)),"Kentucky Bluegrass",
ISNUMBER(SEARCH("zoysia",E326)),"Zoysia",
ISNUMBER(SEARCH("ryegrass",E326)),"Perennial Ryegrass",
ISNUMBER(SEARCH("centipede",E326)),"Centipede Grass",
ISNUMBER(SEARCH("dense shade",E326)),"Dense Shade Mix",
ISNUMBER(SEARCH("southern gold",E326)),"Southern Gold Mix",
ISNUMBER(SEARCH("heat-tolerant blue",E326)),"Heat-Tolerant Blue Mix",
ISNUMBER(SEARCH("high traffic",E326)),"High Traffic Mix",
ISNUMBER(SEARCH("quick fix",E326)),"Quick Fix Mix",
ISNUMBER(SEARCH("starter",E326)),"Starter Fertilizer",
ISNUMBER(SEARCH("weed &amp; feed",E326)),"Weed &amp; Feed",
ISNUMBER(SEARCH("lawn food",E326)),"Lawn Food",
ISNUMBER(SEARCH("triple action",E326)),"Triple Action Fertilizer",
ISNUMBER(SEARCH("green max",E326)),"Green Max Lawn Food",
ISNUMBER(SEARCH("patchmaster",E326)),"PatchMaster Repair",
ISNUMBER(SEARCH("ez seed",E326)),"EZ Seed Repair",
ISNUMBER(SEARCH("rapid grass",E326)),"Rapid Grass",
ISNUMBER(SEARCH("thick'r lawn",E326)),"Thick'R Lawn",
ISNUMBER(SEARCH("fungicide",E326)),"Fungicide",
ISNUMBER(SEARCH("moss",E326)),"Moss Control",
ISNUMBER(SEARCH("perlite",E326)),"Perlite",
ISNUMBER(SEARCH("plant food",E326)),"Plant Food",
ISNUMBER(SEARCH("spreader",E326)),"Spreader",
ISNUMBER(SEARCH("sprayer",E326)),"Sprayer",
ISNUMBER(SEARCH("mower",E326)),"Lawn Mower",
ISNUMBER(SEARCH("sweeper",E326)),"Lawn Sweeper",
OR(ISNUMBER(SEARCH("pruner",E326)),ISNUMBER(SEARCH("trimmer",E326)),ISNUMBER(SEARCH("pole saw",E326))),"Pruning Tools",
TRUE,"Other"
)</f>
        <v>Roach Traps</v>
      </c>
      <c r="J326" s="7" t="str">
        <f t="shared" si="86"/>
        <v>Flying Insect Control - Roach Traps</v>
      </c>
      <c r="K326" s="4">
        <v>200</v>
      </c>
      <c r="L326" s="4">
        <v>4.4000000000000004</v>
      </c>
      <c r="M326" s="4">
        <v>454</v>
      </c>
      <c r="O326" s="4">
        <f>VLOOKUP(A326,[4]Sheet1!$A:$B,2,0)</f>
        <v>100</v>
      </c>
      <c r="P326" s="4">
        <f>VLOOKUP(A326,[4]Sheet1!$A:$C,3,0)</f>
        <v>100</v>
      </c>
      <c r="Q326" s="4">
        <f>VLOOKUP(A326,[4]Sheet1!$A:$D,4,0)</f>
        <v>100</v>
      </c>
      <c r="R326" s="4">
        <f>VLOOKUP(A326,[4]Sheet1!$A:$E,5,0)</f>
        <v>100</v>
      </c>
      <c r="S326" s="4">
        <f>VLOOKUP(A326,[4]Sheet1!$A:$F,6,0)</f>
        <v>100</v>
      </c>
      <c r="T326" s="4">
        <f>VLOOKUP(A326,[4]Sheet1!$A:$G,7,0)</f>
        <v>100</v>
      </c>
      <c r="U326" s="4">
        <f>VLOOKUP(A326,[4]Sheet1!$A:$H,8,0)</f>
        <v>100</v>
      </c>
      <c r="V326" s="4">
        <f>VLOOKUP(A326,[4]Sheet1!$A:$I,9,0)</f>
        <v>200</v>
      </c>
      <c r="W326" s="4">
        <f>VLOOKUP(A326,[4]Sheet1!$A:$J,10,0)</f>
        <v>200</v>
      </c>
      <c r="X326" s="4">
        <f>VLOOKUP(A326,[4]Sheet1!$A:$K,11,0)</f>
        <v>200</v>
      </c>
      <c r="Y326" s="4">
        <f>VLOOKUP(A326,[4]Sheet1!$A:$L,12,0)</f>
        <v>100</v>
      </c>
      <c r="Z326" s="4">
        <f>VLOOKUP(A326,[4]Sheet1!$A:$M,13,0)</f>
        <v>100</v>
      </c>
      <c r="AA326" s="4">
        <f t="shared" si="80"/>
        <v>1500</v>
      </c>
      <c r="AB326" s="7">
        <f t="shared" si="87"/>
        <v>125</v>
      </c>
      <c r="AC326" s="15">
        <f t="shared" si="81"/>
        <v>125</v>
      </c>
      <c r="AD326" s="16">
        <f t="shared" si="82"/>
        <v>23880</v>
      </c>
      <c r="AE326" s="16">
        <f t="shared" si="83"/>
        <v>1990</v>
      </c>
      <c r="AF326" s="16">
        <v>4.76</v>
      </c>
      <c r="AG326" s="16">
        <v>15.92</v>
      </c>
      <c r="AH326" s="15">
        <f t="shared" si="84"/>
        <v>4.053333333333331E-2</v>
      </c>
      <c r="AI326" s="15">
        <f t="shared" si="85"/>
        <v>0.14186666666666659</v>
      </c>
      <c r="AJ326" s="10">
        <v>0.5</v>
      </c>
      <c r="AK326" s="10">
        <v>0.5</v>
      </c>
      <c r="AL326" s="16">
        <v>4.76</v>
      </c>
      <c r="AM326" s="9">
        <f t="shared" si="88"/>
        <v>2.3879999999999999</v>
      </c>
      <c r="AN326" s="9">
        <f t="shared" si="89"/>
        <v>0.47759999999999997</v>
      </c>
      <c r="AO326" s="9">
        <f t="shared" si="90"/>
        <v>3.1840000000000002</v>
      </c>
      <c r="AP326" s="9">
        <f t="shared" si="91"/>
        <v>0.31840000000000002</v>
      </c>
      <c r="AQ326" s="9">
        <f t="shared" si="92"/>
        <v>3.1840000000000002</v>
      </c>
      <c r="AR326" s="9">
        <f t="shared" si="93"/>
        <v>3.98</v>
      </c>
      <c r="AS326" s="11">
        <f t="shared" si="94"/>
        <v>0.4053333333333331</v>
      </c>
      <c r="AT326" s="12">
        <f t="shared" si="95"/>
        <v>-0.12533333333333344</v>
      </c>
    </row>
    <row r="327" spans="1:46" ht="16.5" x14ac:dyDescent="0.4">
      <c r="A327" s="4" t="s">
        <v>1501</v>
      </c>
      <c r="B327" s="4" t="s">
        <v>1314</v>
      </c>
      <c r="C327" s="7">
        <v>0</v>
      </c>
      <c r="D327" s="4" t="s">
        <v>1502</v>
      </c>
      <c r="E327" s="4" t="s">
        <v>1503</v>
      </c>
      <c r="F327" s="4" t="s">
        <v>1504</v>
      </c>
      <c r="G327" s="7" t="str">
        <f>VLOOKUP(A327,[1]done!$A:$I,9,0)</f>
        <v>Rodent</v>
      </c>
      <c r="H327" s="7" t="str" cm="1">
        <f t="array" ref="H327">_xlfn.IFS(
OR(ISNUMBER(SEARCH("mouse",E327)),ISNUMBER(SEARCH("rat",E327)),ISNUMBER(SEARCH("mice",E327)),ISNUMBER(SEARCH("rodent",E327))),"Rodent Control",
OR(ISNUMBER(SEARCH("fly",E327)),ISNUMBER(SEARCH("gnat",E327)),ISNUMBER(SEARCH("insect",E327)),ISNUMBER(SEARCH("mosquito",E327))),"Flying Insect Control",
OR(ISNUMBER(SEARCH("roach",E327)),ISNUMBER(SEARCH("ant",E327)),ISNUMBER(SEARCH("spider",E327)),ISNUMBER(SEARCH("cricket",E327)),ISNUMBER(SEARCH("scorpion",E327)),ISNUMBER(SEARCH("centipede",E327)),ISNUMBER(SEARCH("beetle",E327))),"Crawling Insect Control",
OR(ISNUMBER(SEARCH("tree",E327)),ISNUMBER(SEARCH("lantern",E327)),ISNUMBER(SEARCH("garden",E327)),ISNUMBER(SEARCH("plant",E327))),"Garden Pest Control",
OR(ISNUMBER(SEARCH("grass seed",E327)),ISNUMBER(SEARCH("seed mix",E327))),"Grass Seed",
OR(ISNUMBER(SEARCH("lawn food",E327)),ISNUMBER(SEARCH("fertilizer",E327))),"Lawn Fertilizer",
OR(ISNUMBER(SEARCH("patch",E327)),ISNUMBER(SEARCH("repair",E327)),ISNUMBER(SEARCH("thick'r",E327)),ISNUMBER(SEARCH("thick'r lawn",E327)),ISNUMBER(SEARCH("rapid grass",E327))),"Lawn Repair",
OR(ISNUMBER(SEARCH("weed",E327)),ISNUMBER(SEARCH("crabgrass",E327))),"Weed Control",
OR(ISNUMBER(SEARCH("fungicide",E327)),ISNUMBER(SEARCH("moss",E327))),"Disease &amp; Moss Control",
OR(ISNUMBER(SEARCH("plant food",E327)),ISNUMBER(SEARCH("miracid",E327))),"Plant Nutrition",
OR(ISNUMBER(SEARCH("perlite",E327))),"Soil Amendment",
OR(ISNUMBER(SEARCH("spreader",E327)),ISNUMBER(SEARCH("sprayer",E327)),ISNUMBER(SEARCH("mower",E327)),ISNUMBER(SEARCH("sweeper",E327)),ISNUMBER(SEARCH("pruner",E327)),ISNUMBER(SEARCH("trimmer",E327)),ISNUMBER(SEARCH("pole saw",E327))),"Garden Equipment",
TRUE,"Other"
)</f>
        <v>Rodent Control</v>
      </c>
      <c r="I327" s="7" t="str" cm="1">
        <f t="array" ref="I327">_xlfn.IFS(
OR(ISNUMBER(SEARCH("glue trap",E327)),ISNUMBER(SEARCH("glue board",E327))),"Glue Traps",
OR(ISNUMBER(SEARCH("snap trap",E327)),ISNUMBER(SEARCH("power-kill",E327)),ISNUMBER(SEARCH("wide pedal",E327)),ISNUMBER(SEARCH("metal pedal",E327))),"Snap Traps",
OR(ISNUMBER(SEARCH("electronic",E327)),ISNUMBER(SEARCH("zapper",E327))),"Electronic Traps",
OR(ISNUMBER(SEARCH("live catch",E327)),ISNUMBER(SEARCH("multi-catch",E327)),ISNUMBER(SEARCH("catch &amp; hold",E327)),ISNUMBER(SEARCH("tin cat",E327))),"Live Catch Traps",
OR(ISNUMBER(SEARCH("bait",E327)),ISNUMBER(SEARCH("poison",E327))),"Bait &amp; Poison",
ISNUMBER(SEARCH("repellent",E327)),"Repellents",
OR(ISNUMBER(SEARCH("fly trap",E327)),ISNUMBER(SEARCH("fly ribbon",E327)),ISNUMBER(SEARCH("fly stick",E327)),ISNUMBER(SEARCH("window fly",E327)),ISNUMBER(SEARCH("fly magnet",E327))),"Fly Traps",
OR(ISNUMBER(SEARCH("uv",E327)),ISNUMBER(SEARCH("fly light",E327)),ISNUMBER(SEARCH("plug-in",E327))),"UV Fly Traps",
ISNUMBER(SEARCH("roach",E327)),"Roach Traps",
ISNUMBER(SEARCH("ant",E327)),"Ant Traps",
ISNUMBER(SEARCH("spider",E327)),"Spider Traps",
ISNUMBER(SEARCH("mosquito",E327)),"Mosquito Traps",
ISNUMBER(SEARCH("beetle",E327)),"Beetle Traps",
ISNUMBER(SEARCH("lantern",E327)),"Lanternfly Control",
OR(ISNUMBER(SEARCH("tree shield",E327)),ISNUMBER(SEARCH("tree banding",E327)),ISNUMBER(SEARCH("insect barrier",E327))),"Tree Barriers",
OR(ISNUMBER(SEARCH("sun &amp; shade",E327)),ISNUMBER(SEARCH("sun and shade",E327))),"Sun &amp; Shade Mix",
ISNUMBER(SEARCH("tall fescue",E327)),"Tall Fescue",
ISNUMBER(SEARCH("bermudagrass",E327)),"Bermudagrass",
ISNUMBER(SEARCH("kentucky",E327)),"Kentucky Bluegrass",
ISNUMBER(SEARCH("zoysia",E327)),"Zoysia",
ISNUMBER(SEARCH("ryegrass",E327)),"Perennial Ryegrass",
ISNUMBER(SEARCH("centipede",E327)),"Centipede Grass",
ISNUMBER(SEARCH("dense shade",E327)),"Dense Shade Mix",
ISNUMBER(SEARCH("southern gold",E327)),"Southern Gold Mix",
ISNUMBER(SEARCH("heat-tolerant blue",E327)),"Heat-Tolerant Blue Mix",
ISNUMBER(SEARCH("high traffic",E327)),"High Traffic Mix",
ISNUMBER(SEARCH("quick fix",E327)),"Quick Fix Mix",
ISNUMBER(SEARCH("starter",E327)),"Starter Fertilizer",
ISNUMBER(SEARCH("weed &amp; feed",E327)),"Weed &amp; Feed",
ISNUMBER(SEARCH("lawn food",E327)),"Lawn Food",
ISNUMBER(SEARCH("triple action",E327)),"Triple Action Fertilizer",
ISNUMBER(SEARCH("green max",E327)),"Green Max Lawn Food",
ISNUMBER(SEARCH("patchmaster",E327)),"PatchMaster Repair",
ISNUMBER(SEARCH("ez seed",E327)),"EZ Seed Repair",
ISNUMBER(SEARCH("rapid grass",E327)),"Rapid Grass",
ISNUMBER(SEARCH("thick'r lawn",E327)),"Thick'R Lawn",
ISNUMBER(SEARCH("fungicide",E327)),"Fungicide",
ISNUMBER(SEARCH("moss",E327)),"Moss Control",
ISNUMBER(SEARCH("perlite",E327)),"Perlite",
ISNUMBER(SEARCH("plant food",E327)),"Plant Food",
ISNUMBER(SEARCH("spreader",E327)),"Spreader",
ISNUMBER(SEARCH("sprayer",E327)),"Sprayer",
ISNUMBER(SEARCH("mower",E327)),"Lawn Mower",
ISNUMBER(SEARCH("sweeper",E327)),"Lawn Sweeper",
OR(ISNUMBER(SEARCH("pruner",E327)),ISNUMBER(SEARCH("trimmer",E327)),ISNUMBER(SEARCH("pole saw",E327))),"Pruning Tools",
TRUE,"Other"
)</f>
        <v>Other</v>
      </c>
      <c r="J327" s="7" t="str">
        <f t="shared" si="86"/>
        <v>Rodent Control - Other</v>
      </c>
      <c r="K327" s="4">
        <v>200</v>
      </c>
      <c r="L327" s="4">
        <v>3.6</v>
      </c>
      <c r="M327" s="4">
        <v>52</v>
      </c>
      <c r="O327" s="4">
        <f>VLOOKUP(A327,[4]Sheet1!$A:$B,2,0)</f>
        <v>0</v>
      </c>
      <c r="P327" s="4">
        <f>VLOOKUP(A327,[4]Sheet1!$A:$C,3,0)</f>
        <v>50</v>
      </c>
      <c r="Q327" s="4">
        <f>VLOOKUP(A327,[4]Sheet1!$A:$D,4,0)</f>
        <v>50</v>
      </c>
      <c r="R327" s="4">
        <f>VLOOKUP(A327,[4]Sheet1!$A:$E,5,0)</f>
        <v>50</v>
      </c>
      <c r="S327" s="4">
        <f>VLOOKUP(A327,[4]Sheet1!$A:$F,6,0)</f>
        <v>100</v>
      </c>
      <c r="T327" s="4">
        <f>VLOOKUP(A327,[4]Sheet1!$A:$G,7,0)</f>
        <v>100</v>
      </c>
      <c r="U327" s="4">
        <f>VLOOKUP(A327,[4]Sheet1!$A:$H,8,0)</f>
        <v>200</v>
      </c>
      <c r="V327" s="4">
        <f>VLOOKUP(A327,[4]Sheet1!$A:$I,9,0)</f>
        <v>100</v>
      </c>
      <c r="W327" s="4">
        <f>VLOOKUP(A327,[4]Sheet1!$A:$J,10,0)</f>
        <v>100</v>
      </c>
      <c r="X327" s="4">
        <f>VLOOKUP(A327,[4]Sheet1!$A:$K,11,0)</f>
        <v>0</v>
      </c>
      <c r="Y327" s="4">
        <f>VLOOKUP(A327,[4]Sheet1!$A:$L,12,0)</f>
        <v>0</v>
      </c>
      <c r="Z327" s="4">
        <f>VLOOKUP(A327,[4]Sheet1!$A:$M,13,0)</f>
        <v>0</v>
      </c>
      <c r="AA327" s="4">
        <f t="shared" si="80"/>
        <v>750</v>
      </c>
      <c r="AB327" s="7">
        <f t="shared" si="87"/>
        <v>63</v>
      </c>
      <c r="AC327" s="15">
        <f t="shared" si="81"/>
        <v>62.5</v>
      </c>
      <c r="AD327" s="16">
        <f t="shared" si="82"/>
        <v>5625</v>
      </c>
      <c r="AE327" s="16">
        <f t="shared" si="83"/>
        <v>468.75</v>
      </c>
      <c r="AF327" s="16">
        <v>3.5</v>
      </c>
      <c r="AG327" s="16">
        <v>7.5</v>
      </c>
      <c r="AH327" s="15">
        <f t="shared" si="84"/>
        <v>-0.1</v>
      </c>
      <c r="AI327" s="15">
        <f t="shared" si="85"/>
        <v>-0.35</v>
      </c>
      <c r="AJ327" s="10">
        <v>0.5</v>
      </c>
      <c r="AK327" s="10">
        <v>0.5</v>
      </c>
      <c r="AL327" s="16">
        <v>3.5</v>
      </c>
      <c r="AM327" s="9">
        <f t="shared" si="88"/>
        <v>1.125</v>
      </c>
      <c r="AN327" s="9">
        <f t="shared" si="89"/>
        <v>0.22499999999999998</v>
      </c>
      <c r="AO327" s="9">
        <f t="shared" si="90"/>
        <v>1.5</v>
      </c>
      <c r="AP327" s="9">
        <f t="shared" si="91"/>
        <v>0.15</v>
      </c>
      <c r="AQ327" s="9">
        <f t="shared" si="92"/>
        <v>1.5</v>
      </c>
      <c r="AR327" s="9">
        <f t="shared" si="93"/>
        <v>1.875</v>
      </c>
      <c r="AS327" s="11">
        <f t="shared" si="94"/>
        <v>-1</v>
      </c>
      <c r="AT327" s="12">
        <f t="shared" si="95"/>
        <v>-1.25</v>
      </c>
    </row>
    <row r="328" spans="1:46" ht="16.5" x14ac:dyDescent="0.4">
      <c r="A328" s="4" t="s">
        <v>1505</v>
      </c>
      <c r="B328" s="4" t="s">
        <v>1314</v>
      </c>
      <c r="C328" s="7" t="s">
        <v>1796</v>
      </c>
      <c r="D328" s="4" t="s">
        <v>1506</v>
      </c>
      <c r="E328" s="4" t="s">
        <v>1507</v>
      </c>
      <c r="F328" s="4" t="s">
        <v>1508</v>
      </c>
      <c r="G328" s="7" t="str">
        <f>VLOOKUP(A328,[1]done!$A:$I,9,0)</f>
        <v>Mole Repellent</v>
      </c>
      <c r="H328" s="7" t="str" cm="1">
        <f t="array" ref="H328">_xlfn.IFS(
OR(ISNUMBER(SEARCH("mouse",E328)),ISNUMBER(SEARCH("rat",E328)),ISNUMBER(SEARCH("mice",E328)),ISNUMBER(SEARCH("rodent",E328))),"Rodent Control",
OR(ISNUMBER(SEARCH("fly",E328)),ISNUMBER(SEARCH("gnat",E328)),ISNUMBER(SEARCH("insect",E328)),ISNUMBER(SEARCH("mosquito",E328))),"Flying Insect Control",
OR(ISNUMBER(SEARCH("roach",E328)),ISNUMBER(SEARCH("ant",E328)),ISNUMBER(SEARCH("spider",E328)),ISNUMBER(SEARCH("cricket",E328)),ISNUMBER(SEARCH("scorpion",E328)),ISNUMBER(SEARCH("centipede",E328)),ISNUMBER(SEARCH("beetle",E328))),"Crawling Insect Control",
OR(ISNUMBER(SEARCH("tree",E328)),ISNUMBER(SEARCH("lantern",E328)),ISNUMBER(SEARCH("garden",E328)),ISNUMBER(SEARCH("plant",E328))),"Garden Pest Control",
OR(ISNUMBER(SEARCH("grass seed",E328)),ISNUMBER(SEARCH("seed mix",E328))),"Grass Seed",
OR(ISNUMBER(SEARCH("lawn food",E328)),ISNUMBER(SEARCH("fertilizer",E328))),"Lawn Fertilizer",
OR(ISNUMBER(SEARCH("patch",E328)),ISNUMBER(SEARCH("repair",E328)),ISNUMBER(SEARCH("thick'r",E328)),ISNUMBER(SEARCH("thick'r lawn",E328)),ISNUMBER(SEARCH("rapid grass",E328))),"Lawn Repair",
OR(ISNUMBER(SEARCH("weed",E328)),ISNUMBER(SEARCH("crabgrass",E328))),"Weed Control",
OR(ISNUMBER(SEARCH("fungicide",E328)),ISNUMBER(SEARCH("moss",E328))),"Disease &amp; Moss Control",
OR(ISNUMBER(SEARCH("plant food",E328)),ISNUMBER(SEARCH("miracid",E328))),"Plant Nutrition",
OR(ISNUMBER(SEARCH("perlite",E328))),"Soil Amendment",
OR(ISNUMBER(SEARCH("spreader",E328)),ISNUMBER(SEARCH("sprayer",E328)),ISNUMBER(SEARCH("mower",E328)),ISNUMBER(SEARCH("sweeper",E328)),ISNUMBER(SEARCH("pruner",E328)),ISNUMBER(SEARCH("trimmer",E328)),ISNUMBER(SEARCH("pole saw",E328))),"Garden Equipment",
TRUE,"Other"
)</f>
        <v>Other</v>
      </c>
      <c r="I328" s="7" t="str" cm="1">
        <f t="array" ref="I328">_xlfn.IFS(
OR(ISNUMBER(SEARCH("glue trap",E328)),ISNUMBER(SEARCH("glue board",E328))),"Glue Traps",
OR(ISNUMBER(SEARCH("snap trap",E328)),ISNUMBER(SEARCH("power-kill",E328)),ISNUMBER(SEARCH("wide pedal",E328)),ISNUMBER(SEARCH("metal pedal",E328))),"Snap Traps",
OR(ISNUMBER(SEARCH("electronic",E328)),ISNUMBER(SEARCH("zapper",E328))),"Electronic Traps",
OR(ISNUMBER(SEARCH("live catch",E328)),ISNUMBER(SEARCH("multi-catch",E328)),ISNUMBER(SEARCH("catch &amp; hold",E328)),ISNUMBER(SEARCH("tin cat",E328))),"Live Catch Traps",
OR(ISNUMBER(SEARCH("bait",E328)),ISNUMBER(SEARCH("poison",E328))),"Bait &amp; Poison",
ISNUMBER(SEARCH("repellent",E328)),"Repellents",
OR(ISNUMBER(SEARCH("fly trap",E328)),ISNUMBER(SEARCH("fly ribbon",E328)),ISNUMBER(SEARCH("fly stick",E328)),ISNUMBER(SEARCH("window fly",E328)),ISNUMBER(SEARCH("fly magnet",E328))),"Fly Traps",
OR(ISNUMBER(SEARCH("uv",E328)),ISNUMBER(SEARCH("fly light",E328)),ISNUMBER(SEARCH("plug-in",E328))),"UV Fly Traps",
ISNUMBER(SEARCH("roach",E328)),"Roach Traps",
ISNUMBER(SEARCH("ant",E328)),"Ant Traps",
ISNUMBER(SEARCH("spider",E328)),"Spider Traps",
ISNUMBER(SEARCH("mosquito",E328)),"Mosquito Traps",
ISNUMBER(SEARCH("beetle",E328)),"Beetle Traps",
ISNUMBER(SEARCH("lantern",E328)),"Lanternfly Control",
OR(ISNUMBER(SEARCH("tree shield",E328)),ISNUMBER(SEARCH("tree banding",E328)),ISNUMBER(SEARCH("insect barrier",E328))),"Tree Barriers",
OR(ISNUMBER(SEARCH("sun &amp; shade",E328)),ISNUMBER(SEARCH("sun and shade",E328))),"Sun &amp; Shade Mix",
ISNUMBER(SEARCH("tall fescue",E328)),"Tall Fescue",
ISNUMBER(SEARCH("bermudagrass",E328)),"Bermudagrass",
ISNUMBER(SEARCH("kentucky",E328)),"Kentucky Bluegrass",
ISNUMBER(SEARCH("zoysia",E328)),"Zoysia",
ISNUMBER(SEARCH("ryegrass",E328)),"Perennial Ryegrass",
ISNUMBER(SEARCH("centipede",E328)),"Centipede Grass",
ISNUMBER(SEARCH("dense shade",E328)),"Dense Shade Mix",
ISNUMBER(SEARCH("southern gold",E328)),"Southern Gold Mix",
ISNUMBER(SEARCH("heat-tolerant blue",E328)),"Heat-Tolerant Blue Mix",
ISNUMBER(SEARCH("high traffic",E328)),"High Traffic Mix",
ISNUMBER(SEARCH("quick fix",E328)),"Quick Fix Mix",
ISNUMBER(SEARCH("starter",E328)),"Starter Fertilizer",
ISNUMBER(SEARCH("weed &amp; feed",E328)),"Weed &amp; Feed",
ISNUMBER(SEARCH("lawn food",E328)),"Lawn Food",
ISNUMBER(SEARCH("triple action",E328)),"Triple Action Fertilizer",
ISNUMBER(SEARCH("green max",E328)),"Green Max Lawn Food",
ISNUMBER(SEARCH("patchmaster",E328)),"PatchMaster Repair",
ISNUMBER(SEARCH("ez seed",E328)),"EZ Seed Repair",
ISNUMBER(SEARCH("rapid grass",E328)),"Rapid Grass",
ISNUMBER(SEARCH("thick'r lawn",E328)),"Thick'R Lawn",
ISNUMBER(SEARCH("fungicide",E328)),"Fungicide",
ISNUMBER(SEARCH("moss",E328)),"Moss Control",
ISNUMBER(SEARCH("perlite",E328)),"Perlite",
ISNUMBER(SEARCH("plant food",E328)),"Plant Food",
ISNUMBER(SEARCH("spreader",E328)),"Spreader",
ISNUMBER(SEARCH("sprayer",E328)),"Sprayer",
ISNUMBER(SEARCH("mower",E328)),"Lawn Mower",
ISNUMBER(SEARCH("sweeper",E328)),"Lawn Sweeper",
OR(ISNUMBER(SEARCH("pruner",E328)),ISNUMBER(SEARCH("trimmer",E328)),ISNUMBER(SEARCH("pole saw",E328))),"Pruning Tools",
TRUE,"Other"
)</f>
        <v>Bait &amp; Poison</v>
      </c>
      <c r="J328" s="7" t="str">
        <f t="shared" si="86"/>
        <v>Other - Bait &amp; Poison</v>
      </c>
      <c r="K328" s="4">
        <v>100</v>
      </c>
      <c r="L328" s="4">
        <v>4</v>
      </c>
      <c r="M328" s="4">
        <v>8029</v>
      </c>
      <c r="N328" s="4" t="s">
        <v>193</v>
      </c>
      <c r="O328" s="4">
        <f>VLOOKUP(A328,[4]Sheet1!$A:$B,2,0)</f>
        <v>100</v>
      </c>
      <c r="P328" s="4">
        <f>VLOOKUP(A328,[4]Sheet1!$A:$C,3,0)</f>
        <v>100</v>
      </c>
      <c r="Q328" s="4">
        <f>VLOOKUP(A328,[4]Sheet1!$A:$D,4,0)</f>
        <v>200</v>
      </c>
      <c r="R328" s="4">
        <f>VLOOKUP(A328,[4]Sheet1!$A:$E,5,0)</f>
        <v>100</v>
      </c>
      <c r="S328" s="4">
        <f>VLOOKUP(A328,[4]Sheet1!$A:$F,6,0)</f>
        <v>300</v>
      </c>
      <c r="T328" s="4">
        <f>VLOOKUP(A328,[4]Sheet1!$A:$G,7,0)</f>
        <v>400</v>
      </c>
      <c r="U328" s="4">
        <f>VLOOKUP(A328,[4]Sheet1!$A:$H,8,0)</f>
        <v>100</v>
      </c>
      <c r="V328" s="4">
        <f>VLOOKUP(A328,[4]Sheet1!$A:$I,9,0)</f>
        <v>200</v>
      </c>
      <c r="W328" s="4">
        <f>VLOOKUP(A328,[4]Sheet1!$A:$J,10,0)</f>
        <v>100</v>
      </c>
      <c r="X328" s="4">
        <f>VLOOKUP(A328,[4]Sheet1!$A:$K,11,0)</f>
        <v>200</v>
      </c>
      <c r="Y328" s="4">
        <f>VLOOKUP(A328,[4]Sheet1!$A:$L,12,0)</f>
        <v>100</v>
      </c>
      <c r="Z328" s="4">
        <f>VLOOKUP(A328,[4]Sheet1!$A:$M,13,0)</f>
        <v>100</v>
      </c>
      <c r="AA328" s="4">
        <f t="shared" si="80"/>
        <v>2000</v>
      </c>
      <c r="AB328" s="7">
        <f t="shared" si="87"/>
        <v>167</v>
      </c>
      <c r="AC328" s="15">
        <f t="shared" si="81"/>
        <v>166.66666666666666</v>
      </c>
      <c r="AD328" s="16">
        <f t="shared" si="82"/>
        <v>11980</v>
      </c>
      <c r="AE328" s="16">
        <f t="shared" si="83"/>
        <v>998.33333333333326</v>
      </c>
      <c r="AF328" s="16">
        <v>4.32</v>
      </c>
      <c r="AG328" s="16">
        <v>5.99</v>
      </c>
      <c r="AH328" s="15">
        <f t="shared" si="84"/>
        <v>-0.19493333333333338</v>
      </c>
      <c r="AI328" s="15">
        <f t="shared" si="85"/>
        <v>-0.68226666666666669</v>
      </c>
      <c r="AJ328" s="10">
        <v>0.5</v>
      </c>
      <c r="AK328" s="10">
        <v>0.5</v>
      </c>
      <c r="AL328" s="16">
        <v>4.32</v>
      </c>
      <c r="AM328" s="9">
        <f t="shared" si="88"/>
        <v>0.89849999999999997</v>
      </c>
      <c r="AN328" s="9">
        <f t="shared" si="89"/>
        <v>0.1797</v>
      </c>
      <c r="AO328" s="9">
        <f t="shared" si="90"/>
        <v>1.1980000000000002</v>
      </c>
      <c r="AP328" s="9">
        <f t="shared" si="91"/>
        <v>0.1198</v>
      </c>
      <c r="AQ328" s="9">
        <f t="shared" si="92"/>
        <v>1.1980000000000002</v>
      </c>
      <c r="AR328" s="9">
        <f t="shared" si="93"/>
        <v>1.4975000000000001</v>
      </c>
      <c r="AS328" s="11">
        <f t="shared" si="94"/>
        <v>-1.9493333333333336</v>
      </c>
      <c r="AT328" s="12">
        <f t="shared" si="95"/>
        <v>-2.1490000000000005</v>
      </c>
    </row>
    <row r="329" spans="1:46" ht="16.5" x14ac:dyDescent="0.4">
      <c r="A329" s="4" t="s">
        <v>1509</v>
      </c>
      <c r="B329" s="4" t="s">
        <v>1314</v>
      </c>
      <c r="C329" s="7" t="s">
        <v>1796</v>
      </c>
      <c r="D329" s="4" t="s">
        <v>1510</v>
      </c>
      <c r="E329" s="4" t="s">
        <v>1511</v>
      </c>
      <c r="F329" s="4" t="s">
        <v>1512</v>
      </c>
      <c r="G329" s="7" t="str">
        <f>VLOOKUP(A329,[1]done!$A:$I,9,0)</f>
        <v>Rodent</v>
      </c>
      <c r="H329" s="7" t="str" cm="1">
        <f t="array" ref="H329">_xlfn.IFS(
OR(ISNUMBER(SEARCH("mouse",E329)),ISNUMBER(SEARCH("rat",E329)),ISNUMBER(SEARCH("mice",E329)),ISNUMBER(SEARCH("rodent",E329))),"Rodent Control",
OR(ISNUMBER(SEARCH("fly",E329)),ISNUMBER(SEARCH("gnat",E329)),ISNUMBER(SEARCH("insect",E329)),ISNUMBER(SEARCH("mosquito",E329))),"Flying Insect Control",
OR(ISNUMBER(SEARCH("roach",E329)),ISNUMBER(SEARCH("ant",E329)),ISNUMBER(SEARCH("spider",E329)),ISNUMBER(SEARCH("cricket",E329)),ISNUMBER(SEARCH("scorpion",E329)),ISNUMBER(SEARCH("centipede",E329)),ISNUMBER(SEARCH("beetle",E329))),"Crawling Insect Control",
OR(ISNUMBER(SEARCH("tree",E329)),ISNUMBER(SEARCH("lantern",E329)),ISNUMBER(SEARCH("garden",E329)),ISNUMBER(SEARCH("plant",E329))),"Garden Pest Control",
OR(ISNUMBER(SEARCH("grass seed",E329)),ISNUMBER(SEARCH("seed mix",E329))),"Grass Seed",
OR(ISNUMBER(SEARCH("lawn food",E329)),ISNUMBER(SEARCH("fertilizer",E329))),"Lawn Fertilizer",
OR(ISNUMBER(SEARCH("patch",E329)),ISNUMBER(SEARCH("repair",E329)),ISNUMBER(SEARCH("thick'r",E329)),ISNUMBER(SEARCH("thick'r lawn",E329)),ISNUMBER(SEARCH("rapid grass",E329))),"Lawn Repair",
OR(ISNUMBER(SEARCH("weed",E329)),ISNUMBER(SEARCH("crabgrass",E329))),"Weed Control",
OR(ISNUMBER(SEARCH("fungicide",E329)),ISNUMBER(SEARCH("moss",E329))),"Disease &amp; Moss Control",
OR(ISNUMBER(SEARCH("plant food",E329)),ISNUMBER(SEARCH("miracid",E329))),"Plant Nutrition",
OR(ISNUMBER(SEARCH("perlite",E329))),"Soil Amendment",
OR(ISNUMBER(SEARCH("spreader",E329)),ISNUMBER(SEARCH("sprayer",E329)),ISNUMBER(SEARCH("mower",E329)),ISNUMBER(SEARCH("sweeper",E329)),ISNUMBER(SEARCH("pruner",E329)),ISNUMBER(SEARCH("trimmer",E329)),ISNUMBER(SEARCH("pole saw",E329))),"Garden Equipment",
TRUE,"Other"
)</f>
        <v>Rodent Control</v>
      </c>
      <c r="I329" s="7" t="str" cm="1">
        <f t="array" ref="I329">_xlfn.IFS(
OR(ISNUMBER(SEARCH("glue trap",E329)),ISNUMBER(SEARCH("glue board",E329))),"Glue Traps",
OR(ISNUMBER(SEARCH("snap trap",E329)),ISNUMBER(SEARCH("power-kill",E329)),ISNUMBER(SEARCH("wide pedal",E329)),ISNUMBER(SEARCH("metal pedal",E329))),"Snap Traps",
OR(ISNUMBER(SEARCH("electronic",E329)),ISNUMBER(SEARCH("zapper",E329))),"Electronic Traps",
OR(ISNUMBER(SEARCH("live catch",E329)),ISNUMBER(SEARCH("multi-catch",E329)),ISNUMBER(SEARCH("catch &amp; hold",E329)),ISNUMBER(SEARCH("tin cat",E329))),"Live Catch Traps",
OR(ISNUMBER(SEARCH("bait",E329)),ISNUMBER(SEARCH("poison",E329))),"Bait &amp; Poison",
ISNUMBER(SEARCH("repellent",E329)),"Repellents",
OR(ISNUMBER(SEARCH("fly trap",E329)),ISNUMBER(SEARCH("fly ribbon",E329)),ISNUMBER(SEARCH("fly stick",E329)),ISNUMBER(SEARCH("window fly",E329)),ISNUMBER(SEARCH("fly magnet",E329))),"Fly Traps",
OR(ISNUMBER(SEARCH("uv",E329)),ISNUMBER(SEARCH("fly light",E329)),ISNUMBER(SEARCH("plug-in",E329))),"UV Fly Traps",
ISNUMBER(SEARCH("roach",E329)),"Roach Traps",
ISNUMBER(SEARCH("ant",E329)),"Ant Traps",
ISNUMBER(SEARCH("spider",E329)),"Spider Traps",
ISNUMBER(SEARCH("mosquito",E329)),"Mosquito Traps",
ISNUMBER(SEARCH("beetle",E329)),"Beetle Traps",
ISNUMBER(SEARCH("lantern",E329)),"Lanternfly Control",
OR(ISNUMBER(SEARCH("tree shield",E329)),ISNUMBER(SEARCH("tree banding",E329)),ISNUMBER(SEARCH("insect barrier",E329))),"Tree Barriers",
OR(ISNUMBER(SEARCH("sun &amp; shade",E329)),ISNUMBER(SEARCH("sun and shade",E329))),"Sun &amp; Shade Mix",
ISNUMBER(SEARCH("tall fescue",E329)),"Tall Fescue",
ISNUMBER(SEARCH("bermudagrass",E329)),"Bermudagrass",
ISNUMBER(SEARCH("kentucky",E329)),"Kentucky Bluegrass",
ISNUMBER(SEARCH("zoysia",E329)),"Zoysia",
ISNUMBER(SEARCH("ryegrass",E329)),"Perennial Ryegrass",
ISNUMBER(SEARCH("centipede",E329)),"Centipede Grass",
ISNUMBER(SEARCH("dense shade",E329)),"Dense Shade Mix",
ISNUMBER(SEARCH("southern gold",E329)),"Southern Gold Mix",
ISNUMBER(SEARCH("heat-tolerant blue",E329)),"Heat-Tolerant Blue Mix",
ISNUMBER(SEARCH("high traffic",E329)),"High Traffic Mix",
ISNUMBER(SEARCH("quick fix",E329)),"Quick Fix Mix",
ISNUMBER(SEARCH("starter",E329)),"Starter Fertilizer",
ISNUMBER(SEARCH("weed &amp; feed",E329)),"Weed &amp; Feed",
ISNUMBER(SEARCH("lawn food",E329)),"Lawn Food",
ISNUMBER(SEARCH("triple action",E329)),"Triple Action Fertilizer",
ISNUMBER(SEARCH("green max",E329)),"Green Max Lawn Food",
ISNUMBER(SEARCH("patchmaster",E329)),"PatchMaster Repair",
ISNUMBER(SEARCH("ez seed",E329)),"EZ Seed Repair",
ISNUMBER(SEARCH("rapid grass",E329)),"Rapid Grass",
ISNUMBER(SEARCH("thick'r lawn",E329)),"Thick'R Lawn",
ISNUMBER(SEARCH("fungicide",E329)),"Fungicide",
ISNUMBER(SEARCH("moss",E329)),"Moss Control",
ISNUMBER(SEARCH("perlite",E329)),"Perlite",
ISNUMBER(SEARCH("plant food",E329)),"Plant Food",
ISNUMBER(SEARCH("spreader",E329)),"Spreader",
ISNUMBER(SEARCH("sprayer",E329)),"Sprayer",
ISNUMBER(SEARCH("mower",E329)),"Lawn Mower",
ISNUMBER(SEARCH("sweeper",E329)),"Lawn Sweeper",
OR(ISNUMBER(SEARCH("pruner",E329)),ISNUMBER(SEARCH("trimmer",E329)),ISNUMBER(SEARCH("pole saw",E329))),"Pruning Tools",
TRUE,"Other"
)</f>
        <v>Snap Traps</v>
      </c>
      <c r="J329" s="7" t="str">
        <f t="shared" si="86"/>
        <v>Rodent Control - Snap Traps</v>
      </c>
      <c r="K329" s="4">
        <v>100</v>
      </c>
      <c r="L329" s="4">
        <v>3.9</v>
      </c>
      <c r="M329" s="4">
        <v>1458</v>
      </c>
      <c r="N329" s="4" t="s">
        <v>1513</v>
      </c>
      <c r="O329" s="4">
        <f>VLOOKUP(A329,[4]Sheet1!$A:$B,2,0)</f>
        <v>1000</v>
      </c>
      <c r="P329" s="4">
        <f>VLOOKUP(A329,[4]Sheet1!$A:$C,3,0)</f>
        <v>0</v>
      </c>
      <c r="Q329" s="4">
        <f>VLOOKUP(A329,[4]Sheet1!$A:$D,4,0)</f>
        <v>0</v>
      </c>
      <c r="R329" s="4">
        <f>VLOOKUP(A329,[4]Sheet1!$A:$E,5,0)</f>
        <v>0</v>
      </c>
      <c r="S329" s="4">
        <f>VLOOKUP(A329,[4]Sheet1!$A:$F,6,0)</f>
        <v>0</v>
      </c>
      <c r="T329" s="4">
        <f>VLOOKUP(A329,[4]Sheet1!$A:$G,7,0)</f>
        <v>200</v>
      </c>
      <c r="U329" s="4">
        <f>VLOOKUP(A329,[4]Sheet1!$A:$H,8,0)</f>
        <v>900</v>
      </c>
      <c r="V329" s="4">
        <f>VLOOKUP(A329,[4]Sheet1!$A:$I,9,0)</f>
        <v>50</v>
      </c>
      <c r="W329" s="4">
        <f>VLOOKUP(A329,[4]Sheet1!$A:$J,10,0)</f>
        <v>0</v>
      </c>
      <c r="X329" s="4">
        <f>VLOOKUP(A329,[4]Sheet1!$A:$K,11,0)</f>
        <v>700</v>
      </c>
      <c r="Y329" s="4">
        <f>VLOOKUP(A329,[4]Sheet1!$A:$L,12,0)</f>
        <v>200</v>
      </c>
      <c r="Z329" s="4">
        <f>VLOOKUP(A329,[4]Sheet1!$A:$M,13,0)</f>
        <v>200</v>
      </c>
      <c r="AA329" s="4">
        <f t="shared" si="80"/>
        <v>3250</v>
      </c>
      <c r="AB329" s="7">
        <f t="shared" si="87"/>
        <v>271</v>
      </c>
      <c r="AC329" s="15">
        <f t="shared" si="81"/>
        <v>270.83333333333331</v>
      </c>
      <c r="AD329" s="16">
        <f t="shared" si="82"/>
        <v>18785</v>
      </c>
      <c r="AE329" s="16">
        <f t="shared" si="83"/>
        <v>1565.4166666666665</v>
      </c>
      <c r="AF329" s="16">
        <v>3.24</v>
      </c>
      <c r="AG329" s="16">
        <v>5.78</v>
      </c>
      <c r="AH329" s="15">
        <f t="shared" si="84"/>
        <v>-0.12853333333333336</v>
      </c>
      <c r="AI329" s="15">
        <f t="shared" si="85"/>
        <v>-0.44986666666666675</v>
      </c>
      <c r="AJ329" s="10">
        <v>0.5</v>
      </c>
      <c r="AK329" s="10">
        <v>0.5</v>
      </c>
      <c r="AL329" s="16">
        <v>3.24</v>
      </c>
      <c r="AM329" s="9">
        <f t="shared" si="88"/>
        <v>0.86699999999999999</v>
      </c>
      <c r="AN329" s="9">
        <f t="shared" si="89"/>
        <v>0.1734</v>
      </c>
      <c r="AO329" s="9">
        <f t="shared" si="90"/>
        <v>1.1560000000000001</v>
      </c>
      <c r="AP329" s="9">
        <f t="shared" si="91"/>
        <v>0.11560000000000001</v>
      </c>
      <c r="AQ329" s="9">
        <f t="shared" si="92"/>
        <v>1.1560000000000001</v>
      </c>
      <c r="AR329" s="9">
        <f t="shared" si="93"/>
        <v>1.4450000000000001</v>
      </c>
      <c r="AS329" s="11">
        <f t="shared" si="94"/>
        <v>-1.2853333333333337</v>
      </c>
      <c r="AT329" s="12">
        <f t="shared" si="95"/>
        <v>-1.4780000000000004</v>
      </c>
    </row>
    <row r="330" spans="1:46" ht="16.5" x14ac:dyDescent="0.4">
      <c r="A330" s="4" t="s">
        <v>1514</v>
      </c>
      <c r="B330" s="4" t="s">
        <v>1314</v>
      </c>
      <c r="C330" s="7" t="s">
        <v>1796</v>
      </c>
      <c r="D330" s="4" t="s">
        <v>1515</v>
      </c>
      <c r="E330" s="4" t="s">
        <v>1516</v>
      </c>
      <c r="F330" s="4" t="s">
        <v>1517</v>
      </c>
      <c r="G330" s="7" t="str">
        <f>VLOOKUP(A330,[1]done!$A:$I,9,0)</f>
        <v>Rodent</v>
      </c>
      <c r="H330" s="7" t="str" cm="1">
        <f t="array" ref="H330">_xlfn.IFS(
OR(ISNUMBER(SEARCH("mouse",E330)),ISNUMBER(SEARCH("rat",E330)),ISNUMBER(SEARCH("mice",E330)),ISNUMBER(SEARCH("rodent",E330))),"Rodent Control",
OR(ISNUMBER(SEARCH("fly",E330)),ISNUMBER(SEARCH("gnat",E330)),ISNUMBER(SEARCH("insect",E330)),ISNUMBER(SEARCH("mosquito",E330))),"Flying Insect Control",
OR(ISNUMBER(SEARCH("roach",E330)),ISNUMBER(SEARCH("ant",E330)),ISNUMBER(SEARCH("spider",E330)),ISNUMBER(SEARCH("cricket",E330)),ISNUMBER(SEARCH("scorpion",E330)),ISNUMBER(SEARCH("centipede",E330)),ISNUMBER(SEARCH("beetle",E330))),"Crawling Insect Control",
OR(ISNUMBER(SEARCH("tree",E330)),ISNUMBER(SEARCH("lantern",E330)),ISNUMBER(SEARCH("garden",E330)),ISNUMBER(SEARCH("plant",E330))),"Garden Pest Control",
OR(ISNUMBER(SEARCH("grass seed",E330)),ISNUMBER(SEARCH("seed mix",E330))),"Grass Seed",
OR(ISNUMBER(SEARCH("lawn food",E330)),ISNUMBER(SEARCH("fertilizer",E330))),"Lawn Fertilizer",
OR(ISNUMBER(SEARCH("patch",E330)),ISNUMBER(SEARCH("repair",E330)),ISNUMBER(SEARCH("thick'r",E330)),ISNUMBER(SEARCH("thick'r lawn",E330)),ISNUMBER(SEARCH("rapid grass",E330))),"Lawn Repair",
OR(ISNUMBER(SEARCH("weed",E330)),ISNUMBER(SEARCH("crabgrass",E330))),"Weed Control",
OR(ISNUMBER(SEARCH("fungicide",E330)),ISNUMBER(SEARCH("moss",E330))),"Disease &amp; Moss Control",
OR(ISNUMBER(SEARCH("plant food",E330)),ISNUMBER(SEARCH("miracid",E330))),"Plant Nutrition",
OR(ISNUMBER(SEARCH("perlite",E330))),"Soil Amendment",
OR(ISNUMBER(SEARCH("spreader",E330)),ISNUMBER(SEARCH("sprayer",E330)),ISNUMBER(SEARCH("mower",E330)),ISNUMBER(SEARCH("sweeper",E330)),ISNUMBER(SEARCH("pruner",E330)),ISNUMBER(SEARCH("trimmer",E330)),ISNUMBER(SEARCH("pole saw",E330))),"Garden Equipment",
TRUE,"Other"
)</f>
        <v>Rodent Control</v>
      </c>
      <c r="I330" s="7" t="str" cm="1">
        <f t="array" ref="I330">_xlfn.IFS(
OR(ISNUMBER(SEARCH("glue trap",E330)),ISNUMBER(SEARCH("glue board",E330))),"Glue Traps",
OR(ISNUMBER(SEARCH("snap trap",E330)),ISNUMBER(SEARCH("power-kill",E330)),ISNUMBER(SEARCH("wide pedal",E330)),ISNUMBER(SEARCH("metal pedal",E330))),"Snap Traps",
OR(ISNUMBER(SEARCH("electronic",E330)),ISNUMBER(SEARCH("zapper",E330))),"Electronic Traps",
OR(ISNUMBER(SEARCH("live catch",E330)),ISNUMBER(SEARCH("multi-catch",E330)),ISNUMBER(SEARCH("catch &amp; hold",E330)),ISNUMBER(SEARCH("tin cat",E330))),"Live Catch Traps",
OR(ISNUMBER(SEARCH("bait",E330)),ISNUMBER(SEARCH("poison",E330))),"Bait &amp; Poison",
ISNUMBER(SEARCH("repellent",E330)),"Repellents",
OR(ISNUMBER(SEARCH("fly trap",E330)),ISNUMBER(SEARCH("fly ribbon",E330)),ISNUMBER(SEARCH("fly stick",E330)),ISNUMBER(SEARCH("window fly",E330)),ISNUMBER(SEARCH("fly magnet",E330))),"Fly Traps",
OR(ISNUMBER(SEARCH("uv",E330)),ISNUMBER(SEARCH("fly light",E330)),ISNUMBER(SEARCH("plug-in",E330))),"UV Fly Traps",
ISNUMBER(SEARCH("roach",E330)),"Roach Traps",
ISNUMBER(SEARCH("ant",E330)),"Ant Traps",
ISNUMBER(SEARCH("spider",E330)),"Spider Traps",
ISNUMBER(SEARCH("mosquito",E330)),"Mosquito Traps",
ISNUMBER(SEARCH("beetle",E330)),"Beetle Traps",
ISNUMBER(SEARCH("lantern",E330)),"Lanternfly Control",
OR(ISNUMBER(SEARCH("tree shield",E330)),ISNUMBER(SEARCH("tree banding",E330)),ISNUMBER(SEARCH("insect barrier",E330))),"Tree Barriers",
OR(ISNUMBER(SEARCH("sun &amp; shade",E330)),ISNUMBER(SEARCH("sun and shade",E330))),"Sun &amp; Shade Mix",
ISNUMBER(SEARCH("tall fescue",E330)),"Tall Fescue",
ISNUMBER(SEARCH("bermudagrass",E330)),"Bermudagrass",
ISNUMBER(SEARCH("kentucky",E330)),"Kentucky Bluegrass",
ISNUMBER(SEARCH("zoysia",E330)),"Zoysia",
ISNUMBER(SEARCH("ryegrass",E330)),"Perennial Ryegrass",
ISNUMBER(SEARCH("centipede",E330)),"Centipede Grass",
ISNUMBER(SEARCH("dense shade",E330)),"Dense Shade Mix",
ISNUMBER(SEARCH("southern gold",E330)),"Southern Gold Mix",
ISNUMBER(SEARCH("heat-tolerant blue",E330)),"Heat-Tolerant Blue Mix",
ISNUMBER(SEARCH("high traffic",E330)),"High Traffic Mix",
ISNUMBER(SEARCH("quick fix",E330)),"Quick Fix Mix",
ISNUMBER(SEARCH("starter",E330)),"Starter Fertilizer",
ISNUMBER(SEARCH("weed &amp; feed",E330)),"Weed &amp; Feed",
ISNUMBER(SEARCH("lawn food",E330)),"Lawn Food",
ISNUMBER(SEARCH("triple action",E330)),"Triple Action Fertilizer",
ISNUMBER(SEARCH("green max",E330)),"Green Max Lawn Food",
ISNUMBER(SEARCH("patchmaster",E330)),"PatchMaster Repair",
ISNUMBER(SEARCH("ez seed",E330)),"EZ Seed Repair",
ISNUMBER(SEARCH("rapid grass",E330)),"Rapid Grass",
ISNUMBER(SEARCH("thick'r lawn",E330)),"Thick'R Lawn",
ISNUMBER(SEARCH("fungicide",E330)),"Fungicide",
ISNUMBER(SEARCH("moss",E330)),"Moss Control",
ISNUMBER(SEARCH("perlite",E330)),"Perlite",
ISNUMBER(SEARCH("plant food",E330)),"Plant Food",
ISNUMBER(SEARCH("spreader",E330)),"Spreader",
ISNUMBER(SEARCH("sprayer",E330)),"Sprayer",
ISNUMBER(SEARCH("mower",E330)),"Lawn Mower",
ISNUMBER(SEARCH("sweeper",E330)),"Lawn Sweeper",
OR(ISNUMBER(SEARCH("pruner",E330)),ISNUMBER(SEARCH("trimmer",E330)),ISNUMBER(SEARCH("pole saw",E330))),"Pruning Tools",
TRUE,"Other"
)</f>
        <v>Electronic Traps</v>
      </c>
      <c r="J330" s="7" t="str">
        <f t="shared" si="86"/>
        <v>Rodent Control - Electronic Traps</v>
      </c>
      <c r="K330" s="4">
        <v>100</v>
      </c>
      <c r="L330" s="4">
        <v>4.0999999999999996</v>
      </c>
      <c r="M330" s="4">
        <v>104</v>
      </c>
      <c r="N330" s="4" t="s">
        <v>1333</v>
      </c>
      <c r="O330" s="4">
        <f>VLOOKUP(A330,[4]Sheet1!$A:$B,2,0)</f>
        <v>300</v>
      </c>
      <c r="P330" s="4">
        <f>VLOOKUP(A330,[4]Sheet1!$A:$C,3,0)</f>
        <v>200</v>
      </c>
      <c r="Q330" s="4">
        <f>VLOOKUP(A330,[4]Sheet1!$A:$D,4,0)</f>
        <v>100</v>
      </c>
      <c r="R330" s="4">
        <f>VLOOKUP(A330,[4]Sheet1!$A:$E,5,0)</f>
        <v>50</v>
      </c>
      <c r="S330" s="4">
        <f>VLOOKUP(A330,[4]Sheet1!$A:$F,6,0)</f>
        <v>50</v>
      </c>
      <c r="T330" s="4">
        <f>VLOOKUP(A330,[4]Sheet1!$A:$G,7,0)</f>
        <v>100</v>
      </c>
      <c r="U330" s="4">
        <f>VLOOKUP(A330,[4]Sheet1!$A:$H,8,0)</f>
        <v>50</v>
      </c>
      <c r="V330" s="4">
        <f>VLOOKUP(A330,[4]Sheet1!$A:$I,9,0)</f>
        <v>200</v>
      </c>
      <c r="W330" s="4">
        <f>VLOOKUP(A330,[4]Sheet1!$A:$J,10,0)</f>
        <v>100</v>
      </c>
      <c r="X330" s="4">
        <f>VLOOKUP(A330,[4]Sheet1!$A:$K,11,0)</f>
        <v>200</v>
      </c>
      <c r="Y330" s="4">
        <f>VLOOKUP(A330,[4]Sheet1!$A:$L,12,0)</f>
        <v>300</v>
      </c>
      <c r="Z330" s="4">
        <f>VLOOKUP(A330,[4]Sheet1!$A:$M,13,0)</f>
        <v>300</v>
      </c>
      <c r="AA330" s="4">
        <f t="shared" si="80"/>
        <v>1950</v>
      </c>
      <c r="AB330" s="7">
        <f t="shared" si="87"/>
        <v>163</v>
      </c>
      <c r="AC330" s="15">
        <f t="shared" si="81"/>
        <v>162.5</v>
      </c>
      <c r="AD330" s="16">
        <f t="shared" si="82"/>
        <v>148161</v>
      </c>
      <c r="AE330" s="16">
        <f t="shared" si="83"/>
        <v>12346.75</v>
      </c>
      <c r="AF330" s="16">
        <v>6.28</v>
      </c>
      <c r="AG330" s="16">
        <v>75.98</v>
      </c>
      <c r="AH330" s="15">
        <f t="shared" si="84"/>
        <v>1.5407999999999999</v>
      </c>
      <c r="AI330" s="15">
        <f t="shared" si="85"/>
        <v>5.3927999999999994</v>
      </c>
      <c r="AJ330" s="10">
        <v>0.5</v>
      </c>
      <c r="AK330" s="10">
        <v>0.5</v>
      </c>
      <c r="AL330" s="16">
        <v>6.28</v>
      </c>
      <c r="AM330" s="9">
        <f t="shared" si="88"/>
        <v>11.397</v>
      </c>
      <c r="AN330" s="9">
        <f t="shared" si="89"/>
        <v>2.2793999999999999</v>
      </c>
      <c r="AO330" s="9">
        <f t="shared" si="90"/>
        <v>15.196000000000002</v>
      </c>
      <c r="AP330" s="9">
        <f t="shared" si="91"/>
        <v>1.5196000000000001</v>
      </c>
      <c r="AQ330" s="9">
        <f t="shared" si="92"/>
        <v>15.196000000000002</v>
      </c>
      <c r="AR330" s="9">
        <f t="shared" si="93"/>
        <v>18.995000000000001</v>
      </c>
      <c r="AS330" s="11">
        <f t="shared" si="94"/>
        <v>15.407999999999999</v>
      </c>
      <c r="AT330" s="12">
        <f t="shared" si="95"/>
        <v>12.875333333333332</v>
      </c>
    </row>
    <row r="331" spans="1:46" ht="16.5" x14ac:dyDescent="0.4">
      <c r="A331" s="4" t="s">
        <v>1518</v>
      </c>
      <c r="B331" s="4" t="s">
        <v>1314</v>
      </c>
      <c r="C331" s="7" t="s">
        <v>1796</v>
      </c>
      <c r="D331" s="4" t="s">
        <v>1519</v>
      </c>
      <c r="E331" s="4" t="s">
        <v>1520</v>
      </c>
      <c r="F331" s="4" t="s">
        <v>1521</v>
      </c>
      <c r="G331" s="7" t="str">
        <f>VLOOKUP(A331,[1]done!$A:$I,9,0)</f>
        <v>Rodent</v>
      </c>
      <c r="H331" s="7" t="str" cm="1">
        <f t="array" ref="H331">_xlfn.IFS(
OR(ISNUMBER(SEARCH("mouse",E331)),ISNUMBER(SEARCH("rat",E331)),ISNUMBER(SEARCH("mice",E331)),ISNUMBER(SEARCH("rodent",E331))),"Rodent Control",
OR(ISNUMBER(SEARCH("fly",E331)),ISNUMBER(SEARCH("gnat",E331)),ISNUMBER(SEARCH("insect",E331)),ISNUMBER(SEARCH("mosquito",E331))),"Flying Insect Control",
OR(ISNUMBER(SEARCH("roach",E331)),ISNUMBER(SEARCH("ant",E331)),ISNUMBER(SEARCH("spider",E331)),ISNUMBER(SEARCH("cricket",E331)),ISNUMBER(SEARCH("scorpion",E331)),ISNUMBER(SEARCH("centipede",E331)),ISNUMBER(SEARCH("beetle",E331))),"Crawling Insect Control",
OR(ISNUMBER(SEARCH("tree",E331)),ISNUMBER(SEARCH("lantern",E331)),ISNUMBER(SEARCH("garden",E331)),ISNUMBER(SEARCH("plant",E331))),"Garden Pest Control",
OR(ISNUMBER(SEARCH("grass seed",E331)),ISNUMBER(SEARCH("seed mix",E331))),"Grass Seed",
OR(ISNUMBER(SEARCH("lawn food",E331)),ISNUMBER(SEARCH("fertilizer",E331))),"Lawn Fertilizer",
OR(ISNUMBER(SEARCH("patch",E331)),ISNUMBER(SEARCH("repair",E331)),ISNUMBER(SEARCH("thick'r",E331)),ISNUMBER(SEARCH("thick'r lawn",E331)),ISNUMBER(SEARCH("rapid grass",E331))),"Lawn Repair",
OR(ISNUMBER(SEARCH("weed",E331)),ISNUMBER(SEARCH("crabgrass",E331))),"Weed Control",
OR(ISNUMBER(SEARCH("fungicide",E331)),ISNUMBER(SEARCH("moss",E331))),"Disease &amp; Moss Control",
OR(ISNUMBER(SEARCH("plant food",E331)),ISNUMBER(SEARCH("miracid",E331))),"Plant Nutrition",
OR(ISNUMBER(SEARCH("perlite",E331))),"Soil Amendment",
OR(ISNUMBER(SEARCH("spreader",E331)),ISNUMBER(SEARCH("sprayer",E331)),ISNUMBER(SEARCH("mower",E331)),ISNUMBER(SEARCH("sweeper",E331)),ISNUMBER(SEARCH("pruner",E331)),ISNUMBER(SEARCH("trimmer",E331)),ISNUMBER(SEARCH("pole saw",E331))),"Garden Equipment",
TRUE,"Other"
)</f>
        <v>Rodent Control</v>
      </c>
      <c r="I331" s="7" t="str" cm="1">
        <f t="array" ref="I331">_xlfn.IFS(
OR(ISNUMBER(SEARCH("glue trap",E331)),ISNUMBER(SEARCH("glue board",E331))),"Glue Traps",
OR(ISNUMBER(SEARCH("snap trap",E331)),ISNUMBER(SEARCH("power-kill",E331)),ISNUMBER(SEARCH("wide pedal",E331)),ISNUMBER(SEARCH("metal pedal",E331))),"Snap Traps",
OR(ISNUMBER(SEARCH("electronic",E331)),ISNUMBER(SEARCH("zapper",E331))),"Electronic Traps",
OR(ISNUMBER(SEARCH("live catch",E331)),ISNUMBER(SEARCH("multi-catch",E331)),ISNUMBER(SEARCH("catch &amp; hold",E331)),ISNUMBER(SEARCH("tin cat",E331))),"Live Catch Traps",
OR(ISNUMBER(SEARCH("bait",E331)),ISNUMBER(SEARCH("poison",E331))),"Bait &amp; Poison",
ISNUMBER(SEARCH("repellent",E331)),"Repellents",
OR(ISNUMBER(SEARCH("fly trap",E331)),ISNUMBER(SEARCH("fly ribbon",E331)),ISNUMBER(SEARCH("fly stick",E331)),ISNUMBER(SEARCH("window fly",E331)),ISNUMBER(SEARCH("fly magnet",E331))),"Fly Traps",
OR(ISNUMBER(SEARCH("uv",E331)),ISNUMBER(SEARCH("fly light",E331)),ISNUMBER(SEARCH("plug-in",E331))),"UV Fly Traps",
ISNUMBER(SEARCH("roach",E331)),"Roach Traps",
ISNUMBER(SEARCH("ant",E331)),"Ant Traps",
ISNUMBER(SEARCH("spider",E331)),"Spider Traps",
ISNUMBER(SEARCH("mosquito",E331)),"Mosquito Traps",
ISNUMBER(SEARCH("beetle",E331)),"Beetle Traps",
ISNUMBER(SEARCH("lantern",E331)),"Lanternfly Control",
OR(ISNUMBER(SEARCH("tree shield",E331)),ISNUMBER(SEARCH("tree banding",E331)),ISNUMBER(SEARCH("insect barrier",E331))),"Tree Barriers",
OR(ISNUMBER(SEARCH("sun &amp; shade",E331)),ISNUMBER(SEARCH("sun and shade",E331))),"Sun &amp; Shade Mix",
ISNUMBER(SEARCH("tall fescue",E331)),"Tall Fescue",
ISNUMBER(SEARCH("bermudagrass",E331)),"Bermudagrass",
ISNUMBER(SEARCH("kentucky",E331)),"Kentucky Bluegrass",
ISNUMBER(SEARCH("zoysia",E331)),"Zoysia",
ISNUMBER(SEARCH("ryegrass",E331)),"Perennial Ryegrass",
ISNUMBER(SEARCH("centipede",E331)),"Centipede Grass",
ISNUMBER(SEARCH("dense shade",E331)),"Dense Shade Mix",
ISNUMBER(SEARCH("southern gold",E331)),"Southern Gold Mix",
ISNUMBER(SEARCH("heat-tolerant blue",E331)),"Heat-Tolerant Blue Mix",
ISNUMBER(SEARCH("high traffic",E331)),"High Traffic Mix",
ISNUMBER(SEARCH("quick fix",E331)),"Quick Fix Mix",
ISNUMBER(SEARCH("starter",E331)),"Starter Fertilizer",
ISNUMBER(SEARCH("weed &amp; feed",E331)),"Weed &amp; Feed",
ISNUMBER(SEARCH("lawn food",E331)),"Lawn Food",
ISNUMBER(SEARCH("triple action",E331)),"Triple Action Fertilizer",
ISNUMBER(SEARCH("green max",E331)),"Green Max Lawn Food",
ISNUMBER(SEARCH("patchmaster",E331)),"PatchMaster Repair",
ISNUMBER(SEARCH("ez seed",E331)),"EZ Seed Repair",
ISNUMBER(SEARCH("rapid grass",E331)),"Rapid Grass",
ISNUMBER(SEARCH("thick'r lawn",E331)),"Thick'R Lawn",
ISNUMBER(SEARCH("fungicide",E331)),"Fungicide",
ISNUMBER(SEARCH("moss",E331)),"Moss Control",
ISNUMBER(SEARCH("perlite",E331)),"Perlite",
ISNUMBER(SEARCH("plant food",E331)),"Plant Food",
ISNUMBER(SEARCH("spreader",E331)),"Spreader",
ISNUMBER(SEARCH("sprayer",E331)),"Sprayer",
ISNUMBER(SEARCH("mower",E331)),"Lawn Mower",
ISNUMBER(SEARCH("sweeper",E331)),"Lawn Sweeper",
OR(ISNUMBER(SEARCH("pruner",E331)),ISNUMBER(SEARCH("trimmer",E331)),ISNUMBER(SEARCH("pole saw",E331))),"Pruning Tools",
TRUE,"Other"
)</f>
        <v>Electronic Traps</v>
      </c>
      <c r="J331" s="7" t="str">
        <f t="shared" si="86"/>
        <v>Rodent Control - Electronic Traps</v>
      </c>
      <c r="K331" s="4">
        <v>100</v>
      </c>
      <c r="L331" s="4">
        <v>4.0999999999999996</v>
      </c>
      <c r="M331" s="4">
        <v>433</v>
      </c>
      <c r="N331" s="4" t="s">
        <v>1522</v>
      </c>
      <c r="O331" s="4">
        <f>VLOOKUP(A331,[4]Sheet1!$A:$B,2,0)</f>
        <v>50</v>
      </c>
      <c r="P331" s="4">
        <f>VLOOKUP(A331,[4]Sheet1!$A:$C,3,0)</f>
        <v>50</v>
      </c>
      <c r="Q331" s="4">
        <f>VLOOKUP(A331,[4]Sheet1!$A:$D,4,0)</f>
        <v>50</v>
      </c>
      <c r="R331" s="4">
        <f>VLOOKUP(A331,[4]Sheet1!$A:$E,5,0)</f>
        <v>0</v>
      </c>
      <c r="S331" s="4">
        <f>VLOOKUP(A331,[4]Sheet1!$A:$F,6,0)</f>
        <v>0</v>
      </c>
      <c r="T331" s="4">
        <f>VLOOKUP(A331,[4]Sheet1!$A:$G,7,0)</f>
        <v>50</v>
      </c>
      <c r="U331" s="4">
        <f>VLOOKUP(A331,[4]Sheet1!$A:$H,8,0)</f>
        <v>50</v>
      </c>
      <c r="V331" s="4">
        <f>VLOOKUP(A331,[4]Sheet1!$A:$I,9,0)</f>
        <v>100</v>
      </c>
      <c r="W331" s="4">
        <f>VLOOKUP(A331,[4]Sheet1!$A:$J,10,0)</f>
        <v>100</v>
      </c>
      <c r="X331" s="4">
        <f>VLOOKUP(A331,[4]Sheet1!$A:$K,11,0)</f>
        <v>0</v>
      </c>
      <c r="Y331" s="4">
        <f>VLOOKUP(A331,[4]Sheet1!$A:$L,12,0)</f>
        <v>50</v>
      </c>
      <c r="Z331" s="4">
        <f>VLOOKUP(A331,[4]Sheet1!$A:$M,13,0)</f>
        <v>50</v>
      </c>
      <c r="AA331" s="4">
        <f t="shared" si="80"/>
        <v>550</v>
      </c>
      <c r="AB331" s="7">
        <f t="shared" si="87"/>
        <v>46</v>
      </c>
      <c r="AC331" s="15">
        <f t="shared" si="81"/>
        <v>45.833333333333336</v>
      </c>
      <c r="AD331" s="16">
        <f t="shared" si="82"/>
        <v>92636.5</v>
      </c>
      <c r="AE331" s="16">
        <f t="shared" si="83"/>
        <v>7719.7083333333339</v>
      </c>
      <c r="AF331" s="16">
        <v>12.64</v>
      </c>
      <c r="AG331" s="16">
        <v>168.43</v>
      </c>
      <c r="AH331" s="15">
        <f t="shared" si="84"/>
        <v>3.5821333333333336</v>
      </c>
      <c r="AI331" s="15">
        <f t="shared" si="85"/>
        <v>12.537466666666667</v>
      </c>
      <c r="AJ331" s="10">
        <v>0.5</v>
      </c>
      <c r="AK331" s="10">
        <v>0.5</v>
      </c>
      <c r="AL331" s="16">
        <v>12.64</v>
      </c>
      <c r="AM331" s="9">
        <f t="shared" si="88"/>
        <v>25.264500000000002</v>
      </c>
      <c r="AN331" s="9">
        <f t="shared" si="89"/>
        <v>5.0529000000000002</v>
      </c>
      <c r="AO331" s="9">
        <f t="shared" si="90"/>
        <v>33.686</v>
      </c>
      <c r="AP331" s="9">
        <f t="shared" si="91"/>
        <v>3.3686000000000003</v>
      </c>
      <c r="AQ331" s="9">
        <f t="shared" si="92"/>
        <v>33.686</v>
      </c>
      <c r="AR331" s="9">
        <f t="shared" si="93"/>
        <v>42.107500000000002</v>
      </c>
      <c r="AS331" s="11">
        <f t="shared" si="94"/>
        <v>35.821333333333335</v>
      </c>
      <c r="AT331" s="12">
        <f t="shared" si="95"/>
        <v>30.207000000000004</v>
      </c>
    </row>
    <row r="332" spans="1:46" ht="16.5" x14ac:dyDescent="0.4">
      <c r="A332" s="4" t="s">
        <v>1523</v>
      </c>
      <c r="B332" s="4" t="s">
        <v>1314</v>
      </c>
      <c r="C332" s="7" t="s">
        <v>1314</v>
      </c>
      <c r="D332" s="4" t="s">
        <v>1524</v>
      </c>
      <c r="E332" s="4" t="s">
        <v>1525</v>
      </c>
      <c r="F332" s="4" t="s">
        <v>1526</v>
      </c>
      <c r="G332" s="7" t="str">
        <f>VLOOKUP(A332,[1]done!$A:$I,9,0)</f>
        <v>Rodent</v>
      </c>
      <c r="H332" s="7" t="str" cm="1">
        <f t="array" ref="H332">_xlfn.IFS(
OR(ISNUMBER(SEARCH("mouse",E332)),ISNUMBER(SEARCH("rat",E332)),ISNUMBER(SEARCH("mice",E332)),ISNUMBER(SEARCH("rodent",E332))),"Rodent Control",
OR(ISNUMBER(SEARCH("fly",E332)),ISNUMBER(SEARCH("gnat",E332)),ISNUMBER(SEARCH("insect",E332)),ISNUMBER(SEARCH("mosquito",E332))),"Flying Insect Control",
OR(ISNUMBER(SEARCH("roach",E332)),ISNUMBER(SEARCH("ant",E332)),ISNUMBER(SEARCH("spider",E332)),ISNUMBER(SEARCH("cricket",E332)),ISNUMBER(SEARCH("scorpion",E332)),ISNUMBER(SEARCH("centipede",E332)),ISNUMBER(SEARCH("beetle",E332))),"Crawling Insect Control",
OR(ISNUMBER(SEARCH("tree",E332)),ISNUMBER(SEARCH("lantern",E332)),ISNUMBER(SEARCH("garden",E332)),ISNUMBER(SEARCH("plant",E332))),"Garden Pest Control",
OR(ISNUMBER(SEARCH("grass seed",E332)),ISNUMBER(SEARCH("seed mix",E332))),"Grass Seed",
OR(ISNUMBER(SEARCH("lawn food",E332)),ISNUMBER(SEARCH("fertilizer",E332))),"Lawn Fertilizer",
OR(ISNUMBER(SEARCH("patch",E332)),ISNUMBER(SEARCH("repair",E332)),ISNUMBER(SEARCH("thick'r",E332)),ISNUMBER(SEARCH("thick'r lawn",E332)),ISNUMBER(SEARCH("rapid grass",E332))),"Lawn Repair",
OR(ISNUMBER(SEARCH("weed",E332)),ISNUMBER(SEARCH("crabgrass",E332))),"Weed Control",
OR(ISNUMBER(SEARCH("fungicide",E332)),ISNUMBER(SEARCH("moss",E332))),"Disease &amp; Moss Control",
OR(ISNUMBER(SEARCH("plant food",E332)),ISNUMBER(SEARCH("miracid",E332))),"Plant Nutrition",
OR(ISNUMBER(SEARCH("perlite",E332))),"Soil Amendment",
OR(ISNUMBER(SEARCH("spreader",E332)),ISNUMBER(SEARCH("sprayer",E332)),ISNUMBER(SEARCH("mower",E332)),ISNUMBER(SEARCH("sweeper",E332)),ISNUMBER(SEARCH("pruner",E332)),ISNUMBER(SEARCH("trimmer",E332)),ISNUMBER(SEARCH("pole saw",E332))),"Garden Equipment",
TRUE,"Other"
)</f>
        <v>Rodent Control</v>
      </c>
      <c r="I332" s="7" t="str" cm="1">
        <f t="array" ref="I332">_xlfn.IFS(
OR(ISNUMBER(SEARCH("glue trap",E332)),ISNUMBER(SEARCH("glue board",E332))),"Glue Traps",
OR(ISNUMBER(SEARCH("snap trap",E332)),ISNUMBER(SEARCH("power-kill",E332)),ISNUMBER(SEARCH("wide pedal",E332)),ISNUMBER(SEARCH("metal pedal",E332))),"Snap Traps",
OR(ISNUMBER(SEARCH("electronic",E332)),ISNUMBER(SEARCH("zapper",E332))),"Electronic Traps",
OR(ISNUMBER(SEARCH("live catch",E332)),ISNUMBER(SEARCH("multi-catch",E332)),ISNUMBER(SEARCH("catch &amp; hold",E332)),ISNUMBER(SEARCH("tin cat",E332))),"Live Catch Traps",
OR(ISNUMBER(SEARCH("bait",E332)),ISNUMBER(SEARCH("poison",E332))),"Bait &amp; Poison",
ISNUMBER(SEARCH("repellent",E332)),"Repellents",
OR(ISNUMBER(SEARCH("fly trap",E332)),ISNUMBER(SEARCH("fly ribbon",E332)),ISNUMBER(SEARCH("fly stick",E332)),ISNUMBER(SEARCH("window fly",E332)),ISNUMBER(SEARCH("fly magnet",E332))),"Fly Traps",
OR(ISNUMBER(SEARCH("uv",E332)),ISNUMBER(SEARCH("fly light",E332)),ISNUMBER(SEARCH("plug-in",E332))),"UV Fly Traps",
ISNUMBER(SEARCH("roach",E332)),"Roach Traps",
ISNUMBER(SEARCH("ant",E332)),"Ant Traps",
ISNUMBER(SEARCH("spider",E332)),"Spider Traps",
ISNUMBER(SEARCH("mosquito",E332)),"Mosquito Traps",
ISNUMBER(SEARCH("beetle",E332)),"Beetle Traps",
ISNUMBER(SEARCH("lantern",E332)),"Lanternfly Control",
OR(ISNUMBER(SEARCH("tree shield",E332)),ISNUMBER(SEARCH("tree banding",E332)),ISNUMBER(SEARCH("insect barrier",E332))),"Tree Barriers",
OR(ISNUMBER(SEARCH("sun &amp; shade",E332)),ISNUMBER(SEARCH("sun and shade",E332))),"Sun &amp; Shade Mix",
ISNUMBER(SEARCH("tall fescue",E332)),"Tall Fescue",
ISNUMBER(SEARCH("bermudagrass",E332)),"Bermudagrass",
ISNUMBER(SEARCH("kentucky",E332)),"Kentucky Bluegrass",
ISNUMBER(SEARCH("zoysia",E332)),"Zoysia",
ISNUMBER(SEARCH("ryegrass",E332)),"Perennial Ryegrass",
ISNUMBER(SEARCH("centipede",E332)),"Centipede Grass",
ISNUMBER(SEARCH("dense shade",E332)),"Dense Shade Mix",
ISNUMBER(SEARCH("southern gold",E332)),"Southern Gold Mix",
ISNUMBER(SEARCH("heat-tolerant blue",E332)),"Heat-Tolerant Blue Mix",
ISNUMBER(SEARCH("high traffic",E332)),"High Traffic Mix",
ISNUMBER(SEARCH("quick fix",E332)),"Quick Fix Mix",
ISNUMBER(SEARCH("starter",E332)),"Starter Fertilizer",
ISNUMBER(SEARCH("weed &amp; feed",E332)),"Weed &amp; Feed",
ISNUMBER(SEARCH("lawn food",E332)),"Lawn Food",
ISNUMBER(SEARCH("triple action",E332)),"Triple Action Fertilizer",
ISNUMBER(SEARCH("green max",E332)),"Green Max Lawn Food",
ISNUMBER(SEARCH("patchmaster",E332)),"PatchMaster Repair",
ISNUMBER(SEARCH("ez seed",E332)),"EZ Seed Repair",
ISNUMBER(SEARCH("rapid grass",E332)),"Rapid Grass",
ISNUMBER(SEARCH("thick'r lawn",E332)),"Thick'R Lawn",
ISNUMBER(SEARCH("fungicide",E332)),"Fungicide",
ISNUMBER(SEARCH("moss",E332)),"Moss Control",
ISNUMBER(SEARCH("perlite",E332)),"Perlite",
ISNUMBER(SEARCH("plant food",E332)),"Plant Food",
ISNUMBER(SEARCH("spreader",E332)),"Spreader",
ISNUMBER(SEARCH("sprayer",E332)),"Sprayer",
ISNUMBER(SEARCH("mower",E332)),"Lawn Mower",
ISNUMBER(SEARCH("sweeper",E332)),"Lawn Sweeper",
OR(ISNUMBER(SEARCH("pruner",E332)),ISNUMBER(SEARCH("trimmer",E332)),ISNUMBER(SEARCH("pole saw",E332))),"Pruning Tools",
TRUE,"Other"
)</f>
        <v>Other</v>
      </c>
      <c r="J332" s="7" t="str">
        <f t="shared" si="86"/>
        <v>Rodent Control - Other</v>
      </c>
      <c r="K332" s="4">
        <v>100</v>
      </c>
      <c r="L332" s="4">
        <v>4.2</v>
      </c>
      <c r="M332" s="4">
        <v>2614</v>
      </c>
      <c r="N332" s="4" t="s">
        <v>1527</v>
      </c>
      <c r="O332" s="4">
        <f>VLOOKUP(A332,[4]Sheet1!$A:$B,2,0)</f>
        <v>0</v>
      </c>
      <c r="P332" s="4">
        <f>VLOOKUP(A332,[4]Sheet1!$A:$C,3,0)</f>
        <v>0</v>
      </c>
      <c r="Q332" s="4">
        <f>VLOOKUP(A332,[4]Sheet1!$A:$D,4,0)</f>
        <v>0</v>
      </c>
      <c r="R332" s="4">
        <f>VLOOKUP(A332,[4]Sheet1!$A:$E,5,0)</f>
        <v>0</v>
      </c>
      <c r="S332" s="4">
        <f>VLOOKUP(A332,[4]Sheet1!$A:$F,6,0)</f>
        <v>50</v>
      </c>
      <c r="T332" s="4">
        <f>VLOOKUP(A332,[4]Sheet1!$A:$G,7,0)</f>
        <v>50</v>
      </c>
      <c r="U332" s="4">
        <f>VLOOKUP(A332,[4]Sheet1!$A:$H,8,0)</f>
        <v>50</v>
      </c>
      <c r="V332" s="4">
        <f>VLOOKUP(A332,[4]Sheet1!$A:$I,9,0)</f>
        <v>50</v>
      </c>
      <c r="W332" s="4">
        <f>VLOOKUP(A332,[4]Sheet1!$A:$J,10,0)</f>
        <v>100</v>
      </c>
      <c r="X332" s="4">
        <f>VLOOKUP(A332,[4]Sheet1!$A:$K,11,0)</f>
        <v>0</v>
      </c>
      <c r="Y332" s="4">
        <f>VLOOKUP(A332,[4]Sheet1!$A:$L,12,0)</f>
        <v>0</v>
      </c>
      <c r="Z332" s="4">
        <f>VLOOKUP(A332,[4]Sheet1!$A:$M,13,0)</f>
        <v>0</v>
      </c>
      <c r="AA332" s="4">
        <f t="shared" si="80"/>
        <v>300</v>
      </c>
      <c r="AB332" s="7">
        <f t="shared" si="87"/>
        <v>25</v>
      </c>
      <c r="AC332" s="15">
        <f t="shared" si="81"/>
        <v>25</v>
      </c>
      <c r="AD332" s="16">
        <f t="shared" si="82"/>
        <v>477</v>
      </c>
      <c r="AE332" s="16">
        <f t="shared" si="83"/>
        <v>39.75</v>
      </c>
      <c r="AF332" s="16">
        <v>3.01</v>
      </c>
      <c r="AG332" s="16">
        <v>1.59</v>
      </c>
      <c r="AH332" s="15">
        <f t="shared" si="84"/>
        <v>-0.22493333333333335</v>
      </c>
      <c r="AI332" s="15">
        <f t="shared" si="85"/>
        <v>-0.78726666666666667</v>
      </c>
      <c r="AJ332" s="10">
        <v>0.5</v>
      </c>
      <c r="AK332" s="10">
        <v>0.5</v>
      </c>
      <c r="AL332" s="16">
        <v>3.01</v>
      </c>
      <c r="AM332" s="9">
        <f t="shared" si="88"/>
        <v>0.23849999999999999</v>
      </c>
      <c r="AN332" s="9">
        <f t="shared" si="89"/>
        <v>4.7699999999999999E-2</v>
      </c>
      <c r="AO332" s="9">
        <f t="shared" si="90"/>
        <v>0.31800000000000006</v>
      </c>
      <c r="AP332" s="9">
        <f t="shared" si="91"/>
        <v>3.1800000000000002E-2</v>
      </c>
      <c r="AQ332" s="9">
        <f t="shared" si="92"/>
        <v>0.31800000000000006</v>
      </c>
      <c r="AR332" s="9">
        <f t="shared" si="93"/>
        <v>0.39750000000000002</v>
      </c>
      <c r="AS332" s="11">
        <f t="shared" si="94"/>
        <v>-2.2493333333333334</v>
      </c>
      <c r="AT332" s="12">
        <f t="shared" si="95"/>
        <v>-2.3023333333333333</v>
      </c>
    </row>
    <row r="333" spans="1:46" ht="16.5" x14ac:dyDescent="0.4">
      <c r="A333" s="4" t="s">
        <v>1528</v>
      </c>
      <c r="B333" s="4" t="s">
        <v>1314</v>
      </c>
      <c r="C333" s="7" t="s">
        <v>1796</v>
      </c>
      <c r="D333" s="4" t="s">
        <v>1529</v>
      </c>
      <c r="E333" s="4" t="s">
        <v>1530</v>
      </c>
      <c r="F333" s="4" t="s">
        <v>1531</v>
      </c>
      <c r="G333" s="7" t="str">
        <f>VLOOKUP(A333,[1]done!$A:$I,9,0)</f>
        <v>Rodent</v>
      </c>
      <c r="H333" s="7" t="str" cm="1">
        <f t="array" ref="H333">_xlfn.IFS(
OR(ISNUMBER(SEARCH("mouse",E333)),ISNUMBER(SEARCH("rat",E333)),ISNUMBER(SEARCH("mice",E333)),ISNUMBER(SEARCH("rodent",E333))),"Rodent Control",
OR(ISNUMBER(SEARCH("fly",E333)),ISNUMBER(SEARCH("gnat",E333)),ISNUMBER(SEARCH("insect",E333)),ISNUMBER(SEARCH("mosquito",E333))),"Flying Insect Control",
OR(ISNUMBER(SEARCH("roach",E333)),ISNUMBER(SEARCH("ant",E333)),ISNUMBER(SEARCH("spider",E333)),ISNUMBER(SEARCH("cricket",E333)),ISNUMBER(SEARCH("scorpion",E333)),ISNUMBER(SEARCH("centipede",E333)),ISNUMBER(SEARCH("beetle",E333))),"Crawling Insect Control",
OR(ISNUMBER(SEARCH("tree",E333)),ISNUMBER(SEARCH("lantern",E333)),ISNUMBER(SEARCH("garden",E333)),ISNUMBER(SEARCH("plant",E333))),"Garden Pest Control",
OR(ISNUMBER(SEARCH("grass seed",E333)),ISNUMBER(SEARCH("seed mix",E333))),"Grass Seed",
OR(ISNUMBER(SEARCH("lawn food",E333)),ISNUMBER(SEARCH("fertilizer",E333))),"Lawn Fertilizer",
OR(ISNUMBER(SEARCH("patch",E333)),ISNUMBER(SEARCH("repair",E333)),ISNUMBER(SEARCH("thick'r",E333)),ISNUMBER(SEARCH("thick'r lawn",E333)),ISNUMBER(SEARCH("rapid grass",E333))),"Lawn Repair",
OR(ISNUMBER(SEARCH("weed",E333)),ISNUMBER(SEARCH("crabgrass",E333))),"Weed Control",
OR(ISNUMBER(SEARCH("fungicide",E333)),ISNUMBER(SEARCH("moss",E333))),"Disease &amp; Moss Control",
OR(ISNUMBER(SEARCH("plant food",E333)),ISNUMBER(SEARCH("miracid",E333))),"Plant Nutrition",
OR(ISNUMBER(SEARCH("perlite",E333))),"Soil Amendment",
OR(ISNUMBER(SEARCH("spreader",E333)),ISNUMBER(SEARCH("sprayer",E333)),ISNUMBER(SEARCH("mower",E333)),ISNUMBER(SEARCH("sweeper",E333)),ISNUMBER(SEARCH("pruner",E333)),ISNUMBER(SEARCH("trimmer",E333)),ISNUMBER(SEARCH("pole saw",E333))),"Garden Equipment",
TRUE,"Other"
)</f>
        <v>Rodent Control</v>
      </c>
      <c r="I333" s="7" t="str" cm="1">
        <f t="array" ref="I333">_xlfn.IFS(
OR(ISNUMBER(SEARCH("glue trap",E333)),ISNUMBER(SEARCH("glue board",E333))),"Glue Traps",
OR(ISNUMBER(SEARCH("snap trap",E333)),ISNUMBER(SEARCH("power-kill",E333)),ISNUMBER(SEARCH("wide pedal",E333)),ISNUMBER(SEARCH("metal pedal",E333))),"Snap Traps",
OR(ISNUMBER(SEARCH("electronic",E333)),ISNUMBER(SEARCH("zapper",E333))),"Electronic Traps",
OR(ISNUMBER(SEARCH("live catch",E333)),ISNUMBER(SEARCH("multi-catch",E333)),ISNUMBER(SEARCH("catch &amp; hold",E333)),ISNUMBER(SEARCH("tin cat",E333))),"Live Catch Traps",
OR(ISNUMBER(SEARCH("bait",E333)),ISNUMBER(SEARCH("poison",E333))),"Bait &amp; Poison",
ISNUMBER(SEARCH("repellent",E333)),"Repellents",
OR(ISNUMBER(SEARCH("fly trap",E333)),ISNUMBER(SEARCH("fly ribbon",E333)),ISNUMBER(SEARCH("fly stick",E333)),ISNUMBER(SEARCH("window fly",E333)),ISNUMBER(SEARCH("fly magnet",E333))),"Fly Traps",
OR(ISNUMBER(SEARCH("uv",E333)),ISNUMBER(SEARCH("fly light",E333)),ISNUMBER(SEARCH("plug-in",E333))),"UV Fly Traps",
ISNUMBER(SEARCH("roach",E333)),"Roach Traps",
ISNUMBER(SEARCH("ant",E333)),"Ant Traps",
ISNUMBER(SEARCH("spider",E333)),"Spider Traps",
ISNUMBER(SEARCH("mosquito",E333)),"Mosquito Traps",
ISNUMBER(SEARCH("beetle",E333)),"Beetle Traps",
ISNUMBER(SEARCH("lantern",E333)),"Lanternfly Control",
OR(ISNUMBER(SEARCH("tree shield",E333)),ISNUMBER(SEARCH("tree banding",E333)),ISNUMBER(SEARCH("insect barrier",E333))),"Tree Barriers",
OR(ISNUMBER(SEARCH("sun &amp; shade",E333)),ISNUMBER(SEARCH("sun and shade",E333))),"Sun &amp; Shade Mix",
ISNUMBER(SEARCH("tall fescue",E333)),"Tall Fescue",
ISNUMBER(SEARCH("bermudagrass",E333)),"Bermudagrass",
ISNUMBER(SEARCH("kentucky",E333)),"Kentucky Bluegrass",
ISNUMBER(SEARCH("zoysia",E333)),"Zoysia",
ISNUMBER(SEARCH("ryegrass",E333)),"Perennial Ryegrass",
ISNUMBER(SEARCH("centipede",E333)),"Centipede Grass",
ISNUMBER(SEARCH("dense shade",E333)),"Dense Shade Mix",
ISNUMBER(SEARCH("southern gold",E333)),"Southern Gold Mix",
ISNUMBER(SEARCH("heat-tolerant blue",E333)),"Heat-Tolerant Blue Mix",
ISNUMBER(SEARCH("high traffic",E333)),"High Traffic Mix",
ISNUMBER(SEARCH("quick fix",E333)),"Quick Fix Mix",
ISNUMBER(SEARCH("starter",E333)),"Starter Fertilizer",
ISNUMBER(SEARCH("weed &amp; feed",E333)),"Weed &amp; Feed",
ISNUMBER(SEARCH("lawn food",E333)),"Lawn Food",
ISNUMBER(SEARCH("triple action",E333)),"Triple Action Fertilizer",
ISNUMBER(SEARCH("green max",E333)),"Green Max Lawn Food",
ISNUMBER(SEARCH("patchmaster",E333)),"PatchMaster Repair",
ISNUMBER(SEARCH("ez seed",E333)),"EZ Seed Repair",
ISNUMBER(SEARCH("rapid grass",E333)),"Rapid Grass",
ISNUMBER(SEARCH("thick'r lawn",E333)),"Thick'R Lawn",
ISNUMBER(SEARCH("fungicide",E333)),"Fungicide",
ISNUMBER(SEARCH("moss",E333)),"Moss Control",
ISNUMBER(SEARCH("perlite",E333)),"Perlite",
ISNUMBER(SEARCH("plant food",E333)),"Plant Food",
ISNUMBER(SEARCH("spreader",E333)),"Spreader",
ISNUMBER(SEARCH("sprayer",E333)),"Sprayer",
ISNUMBER(SEARCH("mower",E333)),"Lawn Mower",
ISNUMBER(SEARCH("sweeper",E333)),"Lawn Sweeper",
OR(ISNUMBER(SEARCH("pruner",E333)),ISNUMBER(SEARCH("trimmer",E333)),ISNUMBER(SEARCH("pole saw",E333))),"Pruning Tools",
TRUE,"Other"
)</f>
        <v>Snap Traps</v>
      </c>
      <c r="J333" s="7" t="str">
        <f t="shared" si="86"/>
        <v>Rodent Control - Snap Traps</v>
      </c>
      <c r="K333" s="4">
        <v>100</v>
      </c>
      <c r="L333" s="4">
        <v>4.5</v>
      </c>
      <c r="M333" s="4">
        <v>2190</v>
      </c>
      <c r="N333" s="4" t="s">
        <v>1532</v>
      </c>
      <c r="O333" s="4">
        <f>VLOOKUP(A333,[4]Sheet1!$A:$B,2,0)</f>
        <v>200</v>
      </c>
      <c r="P333" s="4">
        <f>VLOOKUP(A333,[4]Sheet1!$A:$C,3,0)</f>
        <v>100</v>
      </c>
      <c r="Q333" s="4">
        <f>VLOOKUP(A333,[4]Sheet1!$A:$D,4,0)</f>
        <v>100</v>
      </c>
      <c r="R333" s="4">
        <f>VLOOKUP(A333,[4]Sheet1!$A:$E,5,0)</f>
        <v>100</v>
      </c>
      <c r="S333" s="4">
        <f>VLOOKUP(A333,[4]Sheet1!$A:$F,6,0)</f>
        <v>100</v>
      </c>
      <c r="T333" s="4">
        <f>VLOOKUP(A333,[4]Sheet1!$A:$G,7,0)</f>
        <v>100</v>
      </c>
      <c r="U333" s="4">
        <f>VLOOKUP(A333,[4]Sheet1!$A:$H,8,0)</f>
        <v>100</v>
      </c>
      <c r="V333" s="4">
        <f>VLOOKUP(A333,[4]Sheet1!$A:$I,9,0)</f>
        <v>100</v>
      </c>
      <c r="W333" s="4">
        <f>VLOOKUP(A333,[4]Sheet1!$A:$J,10,0)</f>
        <v>100</v>
      </c>
      <c r="X333" s="4">
        <f>VLOOKUP(A333,[4]Sheet1!$A:$K,11,0)</f>
        <v>300</v>
      </c>
      <c r="Y333" s="4">
        <f>VLOOKUP(A333,[4]Sheet1!$A:$L,12,0)</f>
        <v>300</v>
      </c>
      <c r="Z333" s="4">
        <f>VLOOKUP(A333,[4]Sheet1!$A:$M,13,0)</f>
        <v>200</v>
      </c>
      <c r="AA333" s="4">
        <f t="shared" si="80"/>
        <v>1800</v>
      </c>
      <c r="AB333" s="7">
        <f t="shared" si="87"/>
        <v>150</v>
      </c>
      <c r="AC333" s="15">
        <f t="shared" si="81"/>
        <v>150</v>
      </c>
      <c r="AD333" s="16">
        <f t="shared" si="82"/>
        <v>46800</v>
      </c>
      <c r="AE333" s="16">
        <f t="shared" si="83"/>
        <v>3900</v>
      </c>
      <c r="AF333" s="16">
        <v>5.91</v>
      </c>
      <c r="AG333" s="16">
        <v>26</v>
      </c>
      <c r="AH333" s="15">
        <f t="shared" si="84"/>
        <v>0.23266666666666663</v>
      </c>
      <c r="AI333" s="15">
        <f t="shared" si="85"/>
        <v>0.81433333333333313</v>
      </c>
      <c r="AJ333" s="10">
        <v>0.5</v>
      </c>
      <c r="AK333" s="10">
        <v>0.5</v>
      </c>
      <c r="AL333" s="16">
        <v>5.91</v>
      </c>
      <c r="AM333" s="9">
        <f t="shared" si="88"/>
        <v>3.9</v>
      </c>
      <c r="AN333" s="9">
        <f t="shared" si="89"/>
        <v>0.78</v>
      </c>
      <c r="AO333" s="9">
        <f t="shared" si="90"/>
        <v>5.2</v>
      </c>
      <c r="AP333" s="9">
        <f t="shared" si="91"/>
        <v>0.52</v>
      </c>
      <c r="AQ333" s="9">
        <f t="shared" si="92"/>
        <v>5.2</v>
      </c>
      <c r="AR333" s="9">
        <f t="shared" si="93"/>
        <v>6.5</v>
      </c>
      <c r="AS333" s="11">
        <f t="shared" si="94"/>
        <v>2.3266666666666662</v>
      </c>
      <c r="AT333" s="12">
        <f t="shared" si="95"/>
        <v>1.4599999999999997</v>
      </c>
    </row>
    <row r="334" spans="1:46" ht="16.5" x14ac:dyDescent="0.4">
      <c r="A334" s="4" t="s">
        <v>1533</v>
      </c>
      <c r="B334" s="4" t="s">
        <v>1314</v>
      </c>
      <c r="C334" s="7" t="s">
        <v>1796</v>
      </c>
      <c r="D334" s="4" t="s">
        <v>1534</v>
      </c>
      <c r="E334" s="4" t="s">
        <v>1535</v>
      </c>
      <c r="F334" s="4" t="s">
        <v>1536</v>
      </c>
      <c r="G334" s="7" t="str">
        <f>VLOOKUP(A334,[1]done!$A:$I,9,0)</f>
        <v>Rodent</v>
      </c>
      <c r="H334" s="7" t="str" cm="1">
        <f t="array" ref="H334">_xlfn.IFS(
OR(ISNUMBER(SEARCH("mouse",E334)),ISNUMBER(SEARCH("rat",E334)),ISNUMBER(SEARCH("mice",E334)),ISNUMBER(SEARCH("rodent",E334))),"Rodent Control",
OR(ISNUMBER(SEARCH("fly",E334)),ISNUMBER(SEARCH("gnat",E334)),ISNUMBER(SEARCH("insect",E334)),ISNUMBER(SEARCH("mosquito",E334))),"Flying Insect Control",
OR(ISNUMBER(SEARCH("roach",E334)),ISNUMBER(SEARCH("ant",E334)),ISNUMBER(SEARCH("spider",E334)),ISNUMBER(SEARCH("cricket",E334)),ISNUMBER(SEARCH("scorpion",E334)),ISNUMBER(SEARCH("centipede",E334)),ISNUMBER(SEARCH("beetle",E334))),"Crawling Insect Control",
OR(ISNUMBER(SEARCH("tree",E334)),ISNUMBER(SEARCH("lantern",E334)),ISNUMBER(SEARCH("garden",E334)),ISNUMBER(SEARCH("plant",E334))),"Garden Pest Control",
OR(ISNUMBER(SEARCH("grass seed",E334)),ISNUMBER(SEARCH("seed mix",E334))),"Grass Seed",
OR(ISNUMBER(SEARCH("lawn food",E334)),ISNUMBER(SEARCH("fertilizer",E334))),"Lawn Fertilizer",
OR(ISNUMBER(SEARCH("patch",E334)),ISNUMBER(SEARCH("repair",E334)),ISNUMBER(SEARCH("thick'r",E334)),ISNUMBER(SEARCH("thick'r lawn",E334)),ISNUMBER(SEARCH("rapid grass",E334))),"Lawn Repair",
OR(ISNUMBER(SEARCH("weed",E334)),ISNUMBER(SEARCH("crabgrass",E334))),"Weed Control",
OR(ISNUMBER(SEARCH("fungicide",E334)),ISNUMBER(SEARCH("moss",E334))),"Disease &amp; Moss Control",
OR(ISNUMBER(SEARCH("plant food",E334)),ISNUMBER(SEARCH("miracid",E334))),"Plant Nutrition",
OR(ISNUMBER(SEARCH("perlite",E334))),"Soil Amendment",
OR(ISNUMBER(SEARCH("spreader",E334)),ISNUMBER(SEARCH("sprayer",E334)),ISNUMBER(SEARCH("mower",E334)),ISNUMBER(SEARCH("sweeper",E334)),ISNUMBER(SEARCH("pruner",E334)),ISNUMBER(SEARCH("trimmer",E334)),ISNUMBER(SEARCH("pole saw",E334))),"Garden Equipment",
TRUE,"Other"
)</f>
        <v>Rodent Control</v>
      </c>
      <c r="I334" s="7" t="str" cm="1">
        <f t="array" ref="I334">_xlfn.IFS(
OR(ISNUMBER(SEARCH("glue trap",E334)),ISNUMBER(SEARCH("glue board",E334))),"Glue Traps",
OR(ISNUMBER(SEARCH("snap trap",E334)),ISNUMBER(SEARCH("power-kill",E334)),ISNUMBER(SEARCH("wide pedal",E334)),ISNUMBER(SEARCH("metal pedal",E334))),"Snap Traps",
OR(ISNUMBER(SEARCH("electronic",E334)),ISNUMBER(SEARCH("zapper",E334))),"Electronic Traps",
OR(ISNUMBER(SEARCH("live catch",E334)),ISNUMBER(SEARCH("multi-catch",E334)),ISNUMBER(SEARCH("catch &amp; hold",E334)),ISNUMBER(SEARCH("tin cat",E334))),"Live Catch Traps",
OR(ISNUMBER(SEARCH("bait",E334)),ISNUMBER(SEARCH("poison",E334))),"Bait &amp; Poison",
ISNUMBER(SEARCH("repellent",E334)),"Repellents",
OR(ISNUMBER(SEARCH("fly trap",E334)),ISNUMBER(SEARCH("fly ribbon",E334)),ISNUMBER(SEARCH("fly stick",E334)),ISNUMBER(SEARCH("window fly",E334)),ISNUMBER(SEARCH("fly magnet",E334))),"Fly Traps",
OR(ISNUMBER(SEARCH("uv",E334)),ISNUMBER(SEARCH("fly light",E334)),ISNUMBER(SEARCH("plug-in",E334))),"UV Fly Traps",
ISNUMBER(SEARCH("roach",E334)),"Roach Traps",
ISNUMBER(SEARCH("ant",E334)),"Ant Traps",
ISNUMBER(SEARCH("spider",E334)),"Spider Traps",
ISNUMBER(SEARCH("mosquito",E334)),"Mosquito Traps",
ISNUMBER(SEARCH("beetle",E334)),"Beetle Traps",
ISNUMBER(SEARCH("lantern",E334)),"Lanternfly Control",
OR(ISNUMBER(SEARCH("tree shield",E334)),ISNUMBER(SEARCH("tree banding",E334)),ISNUMBER(SEARCH("insect barrier",E334))),"Tree Barriers",
OR(ISNUMBER(SEARCH("sun &amp; shade",E334)),ISNUMBER(SEARCH("sun and shade",E334))),"Sun &amp; Shade Mix",
ISNUMBER(SEARCH("tall fescue",E334)),"Tall Fescue",
ISNUMBER(SEARCH("bermudagrass",E334)),"Bermudagrass",
ISNUMBER(SEARCH("kentucky",E334)),"Kentucky Bluegrass",
ISNUMBER(SEARCH("zoysia",E334)),"Zoysia",
ISNUMBER(SEARCH("ryegrass",E334)),"Perennial Ryegrass",
ISNUMBER(SEARCH("centipede",E334)),"Centipede Grass",
ISNUMBER(SEARCH("dense shade",E334)),"Dense Shade Mix",
ISNUMBER(SEARCH("southern gold",E334)),"Southern Gold Mix",
ISNUMBER(SEARCH("heat-tolerant blue",E334)),"Heat-Tolerant Blue Mix",
ISNUMBER(SEARCH("high traffic",E334)),"High Traffic Mix",
ISNUMBER(SEARCH("quick fix",E334)),"Quick Fix Mix",
ISNUMBER(SEARCH("starter",E334)),"Starter Fertilizer",
ISNUMBER(SEARCH("weed &amp; feed",E334)),"Weed &amp; Feed",
ISNUMBER(SEARCH("lawn food",E334)),"Lawn Food",
ISNUMBER(SEARCH("triple action",E334)),"Triple Action Fertilizer",
ISNUMBER(SEARCH("green max",E334)),"Green Max Lawn Food",
ISNUMBER(SEARCH("patchmaster",E334)),"PatchMaster Repair",
ISNUMBER(SEARCH("ez seed",E334)),"EZ Seed Repair",
ISNUMBER(SEARCH("rapid grass",E334)),"Rapid Grass",
ISNUMBER(SEARCH("thick'r lawn",E334)),"Thick'R Lawn",
ISNUMBER(SEARCH("fungicide",E334)),"Fungicide",
ISNUMBER(SEARCH("moss",E334)),"Moss Control",
ISNUMBER(SEARCH("perlite",E334)),"Perlite",
ISNUMBER(SEARCH("plant food",E334)),"Plant Food",
ISNUMBER(SEARCH("spreader",E334)),"Spreader",
ISNUMBER(SEARCH("sprayer",E334)),"Sprayer",
ISNUMBER(SEARCH("mower",E334)),"Lawn Mower",
ISNUMBER(SEARCH("sweeper",E334)),"Lawn Sweeper",
OR(ISNUMBER(SEARCH("pruner",E334)),ISNUMBER(SEARCH("trimmer",E334)),ISNUMBER(SEARCH("pole saw",E334))),"Pruning Tools",
TRUE,"Other"
)</f>
        <v>Live Catch Traps</v>
      </c>
      <c r="J334" s="7" t="str">
        <f t="shared" si="86"/>
        <v>Rodent Control - Live Catch Traps</v>
      </c>
      <c r="K334" s="4">
        <v>100</v>
      </c>
      <c r="L334" s="4">
        <v>2.8</v>
      </c>
      <c r="M334" s="4">
        <v>447</v>
      </c>
      <c r="N334" s="4" t="s">
        <v>1443</v>
      </c>
      <c r="O334" s="4">
        <f>VLOOKUP(A334,[4]Sheet1!$A:$B,2,0)</f>
        <v>200</v>
      </c>
      <c r="P334" s="4">
        <f>VLOOKUP(A334,[4]Sheet1!$A:$C,3,0)</f>
        <v>300</v>
      </c>
      <c r="Q334" s="4">
        <f>VLOOKUP(A334,[4]Sheet1!$A:$D,4,0)</f>
        <v>400</v>
      </c>
      <c r="R334" s="4">
        <f>VLOOKUP(A334,[4]Sheet1!$A:$E,5,0)</f>
        <v>400</v>
      </c>
      <c r="S334" s="4">
        <f>VLOOKUP(A334,[4]Sheet1!$A:$F,6,0)</f>
        <v>300</v>
      </c>
      <c r="T334" s="4">
        <f>VLOOKUP(A334,[4]Sheet1!$A:$G,7,0)</f>
        <v>200</v>
      </c>
      <c r="U334" s="4">
        <f>VLOOKUP(A334,[4]Sheet1!$A:$H,8,0)</f>
        <v>200</v>
      </c>
      <c r="V334" s="4">
        <f>VLOOKUP(A334,[4]Sheet1!$A:$I,9,0)</f>
        <v>100</v>
      </c>
      <c r="W334" s="4">
        <f>VLOOKUP(A334,[4]Sheet1!$A:$J,10,0)</f>
        <v>50</v>
      </c>
      <c r="X334" s="4">
        <f>VLOOKUP(A334,[4]Sheet1!$A:$K,11,0)</f>
        <v>300</v>
      </c>
      <c r="Y334" s="4">
        <f>VLOOKUP(A334,[4]Sheet1!$A:$L,12,0)</f>
        <v>400</v>
      </c>
      <c r="Z334" s="4">
        <f>VLOOKUP(A334,[4]Sheet1!$A:$M,13,0)</f>
        <v>200</v>
      </c>
      <c r="AA334" s="4">
        <f t="shared" si="80"/>
        <v>3050</v>
      </c>
      <c r="AB334" s="7">
        <f t="shared" si="87"/>
        <v>254</v>
      </c>
      <c r="AC334" s="15">
        <f t="shared" si="81"/>
        <v>254.16666666666666</v>
      </c>
      <c r="AD334" s="16">
        <f t="shared" si="82"/>
        <v>56425</v>
      </c>
      <c r="AE334" s="16">
        <f t="shared" si="83"/>
        <v>4702.083333333333</v>
      </c>
      <c r="AF334" s="16">
        <v>5.13</v>
      </c>
      <c r="AG334" s="16">
        <v>18.5</v>
      </c>
      <c r="AH334" s="15">
        <f t="shared" si="84"/>
        <v>8.466666666666664E-2</v>
      </c>
      <c r="AI334" s="15">
        <f t="shared" si="85"/>
        <v>0.29633333333333323</v>
      </c>
      <c r="AJ334" s="10">
        <v>0.5</v>
      </c>
      <c r="AK334" s="10">
        <v>0.5</v>
      </c>
      <c r="AL334" s="16">
        <v>5.13</v>
      </c>
      <c r="AM334" s="9">
        <f t="shared" si="88"/>
        <v>2.7749999999999999</v>
      </c>
      <c r="AN334" s="9">
        <f t="shared" si="89"/>
        <v>0.55499999999999994</v>
      </c>
      <c r="AO334" s="9">
        <f t="shared" si="90"/>
        <v>3.7</v>
      </c>
      <c r="AP334" s="9">
        <f t="shared" si="91"/>
        <v>0.37</v>
      </c>
      <c r="AQ334" s="9">
        <f t="shared" si="92"/>
        <v>3.7</v>
      </c>
      <c r="AR334" s="9">
        <f t="shared" si="93"/>
        <v>4.625</v>
      </c>
      <c r="AS334" s="11">
        <f t="shared" si="94"/>
        <v>0.84666666666666635</v>
      </c>
      <c r="AT334" s="12">
        <f t="shared" si="95"/>
        <v>0.22999999999999984</v>
      </c>
    </row>
    <row r="335" spans="1:46" ht="16.5" x14ac:dyDescent="0.4">
      <c r="A335" s="4" t="s">
        <v>1537</v>
      </c>
      <c r="B335" s="4" t="s">
        <v>1314</v>
      </c>
      <c r="C335" s="7" t="s">
        <v>1796</v>
      </c>
      <c r="D335" s="4" t="s">
        <v>1538</v>
      </c>
      <c r="E335" s="4" t="s">
        <v>1539</v>
      </c>
      <c r="F335" s="4" t="s">
        <v>1540</v>
      </c>
      <c r="G335" s="7" t="str">
        <f>VLOOKUP(A335,[1]done!$A:$I,9,0)</f>
        <v>Rodent</v>
      </c>
      <c r="H335" s="7" t="str" cm="1">
        <f t="array" ref="H335">_xlfn.IFS(
OR(ISNUMBER(SEARCH("mouse",E335)),ISNUMBER(SEARCH("rat",E335)),ISNUMBER(SEARCH("mice",E335)),ISNUMBER(SEARCH("rodent",E335))),"Rodent Control",
OR(ISNUMBER(SEARCH("fly",E335)),ISNUMBER(SEARCH("gnat",E335)),ISNUMBER(SEARCH("insect",E335)),ISNUMBER(SEARCH("mosquito",E335))),"Flying Insect Control",
OR(ISNUMBER(SEARCH("roach",E335)),ISNUMBER(SEARCH("ant",E335)),ISNUMBER(SEARCH("spider",E335)),ISNUMBER(SEARCH("cricket",E335)),ISNUMBER(SEARCH("scorpion",E335)),ISNUMBER(SEARCH("centipede",E335)),ISNUMBER(SEARCH("beetle",E335))),"Crawling Insect Control",
OR(ISNUMBER(SEARCH("tree",E335)),ISNUMBER(SEARCH("lantern",E335)),ISNUMBER(SEARCH("garden",E335)),ISNUMBER(SEARCH("plant",E335))),"Garden Pest Control",
OR(ISNUMBER(SEARCH("grass seed",E335)),ISNUMBER(SEARCH("seed mix",E335))),"Grass Seed",
OR(ISNUMBER(SEARCH("lawn food",E335)),ISNUMBER(SEARCH("fertilizer",E335))),"Lawn Fertilizer",
OR(ISNUMBER(SEARCH("patch",E335)),ISNUMBER(SEARCH("repair",E335)),ISNUMBER(SEARCH("thick'r",E335)),ISNUMBER(SEARCH("thick'r lawn",E335)),ISNUMBER(SEARCH("rapid grass",E335))),"Lawn Repair",
OR(ISNUMBER(SEARCH("weed",E335)),ISNUMBER(SEARCH("crabgrass",E335))),"Weed Control",
OR(ISNUMBER(SEARCH("fungicide",E335)),ISNUMBER(SEARCH("moss",E335))),"Disease &amp; Moss Control",
OR(ISNUMBER(SEARCH("plant food",E335)),ISNUMBER(SEARCH("miracid",E335))),"Plant Nutrition",
OR(ISNUMBER(SEARCH("perlite",E335))),"Soil Amendment",
OR(ISNUMBER(SEARCH("spreader",E335)),ISNUMBER(SEARCH("sprayer",E335)),ISNUMBER(SEARCH("mower",E335)),ISNUMBER(SEARCH("sweeper",E335)),ISNUMBER(SEARCH("pruner",E335)),ISNUMBER(SEARCH("trimmer",E335)),ISNUMBER(SEARCH("pole saw",E335))),"Garden Equipment",
TRUE,"Other"
)</f>
        <v>Rodent Control</v>
      </c>
      <c r="I335" s="7" t="str" cm="1">
        <f t="array" ref="I335">_xlfn.IFS(
OR(ISNUMBER(SEARCH("glue trap",E335)),ISNUMBER(SEARCH("glue board",E335))),"Glue Traps",
OR(ISNUMBER(SEARCH("snap trap",E335)),ISNUMBER(SEARCH("power-kill",E335)),ISNUMBER(SEARCH("wide pedal",E335)),ISNUMBER(SEARCH("metal pedal",E335))),"Snap Traps",
OR(ISNUMBER(SEARCH("electronic",E335)),ISNUMBER(SEARCH("zapper",E335))),"Electronic Traps",
OR(ISNUMBER(SEARCH("live catch",E335)),ISNUMBER(SEARCH("multi-catch",E335)),ISNUMBER(SEARCH("catch &amp; hold",E335)),ISNUMBER(SEARCH("tin cat",E335))),"Live Catch Traps",
OR(ISNUMBER(SEARCH("bait",E335)),ISNUMBER(SEARCH("poison",E335))),"Bait &amp; Poison",
ISNUMBER(SEARCH("repellent",E335)),"Repellents",
OR(ISNUMBER(SEARCH("fly trap",E335)),ISNUMBER(SEARCH("fly ribbon",E335)),ISNUMBER(SEARCH("fly stick",E335)),ISNUMBER(SEARCH("window fly",E335)),ISNUMBER(SEARCH("fly magnet",E335))),"Fly Traps",
OR(ISNUMBER(SEARCH("uv",E335)),ISNUMBER(SEARCH("fly light",E335)),ISNUMBER(SEARCH("plug-in",E335))),"UV Fly Traps",
ISNUMBER(SEARCH("roach",E335)),"Roach Traps",
ISNUMBER(SEARCH("ant",E335)),"Ant Traps",
ISNUMBER(SEARCH("spider",E335)),"Spider Traps",
ISNUMBER(SEARCH("mosquito",E335)),"Mosquito Traps",
ISNUMBER(SEARCH("beetle",E335)),"Beetle Traps",
ISNUMBER(SEARCH("lantern",E335)),"Lanternfly Control",
OR(ISNUMBER(SEARCH("tree shield",E335)),ISNUMBER(SEARCH("tree banding",E335)),ISNUMBER(SEARCH("insect barrier",E335))),"Tree Barriers",
OR(ISNUMBER(SEARCH("sun &amp; shade",E335)),ISNUMBER(SEARCH("sun and shade",E335))),"Sun &amp; Shade Mix",
ISNUMBER(SEARCH("tall fescue",E335)),"Tall Fescue",
ISNUMBER(SEARCH("bermudagrass",E335)),"Bermudagrass",
ISNUMBER(SEARCH("kentucky",E335)),"Kentucky Bluegrass",
ISNUMBER(SEARCH("zoysia",E335)),"Zoysia",
ISNUMBER(SEARCH("ryegrass",E335)),"Perennial Ryegrass",
ISNUMBER(SEARCH("centipede",E335)),"Centipede Grass",
ISNUMBER(SEARCH("dense shade",E335)),"Dense Shade Mix",
ISNUMBER(SEARCH("southern gold",E335)),"Southern Gold Mix",
ISNUMBER(SEARCH("heat-tolerant blue",E335)),"Heat-Tolerant Blue Mix",
ISNUMBER(SEARCH("high traffic",E335)),"High Traffic Mix",
ISNUMBER(SEARCH("quick fix",E335)),"Quick Fix Mix",
ISNUMBER(SEARCH("starter",E335)),"Starter Fertilizer",
ISNUMBER(SEARCH("weed &amp; feed",E335)),"Weed &amp; Feed",
ISNUMBER(SEARCH("lawn food",E335)),"Lawn Food",
ISNUMBER(SEARCH("triple action",E335)),"Triple Action Fertilizer",
ISNUMBER(SEARCH("green max",E335)),"Green Max Lawn Food",
ISNUMBER(SEARCH("patchmaster",E335)),"PatchMaster Repair",
ISNUMBER(SEARCH("ez seed",E335)),"EZ Seed Repair",
ISNUMBER(SEARCH("rapid grass",E335)),"Rapid Grass",
ISNUMBER(SEARCH("thick'r lawn",E335)),"Thick'R Lawn",
ISNUMBER(SEARCH("fungicide",E335)),"Fungicide",
ISNUMBER(SEARCH("moss",E335)),"Moss Control",
ISNUMBER(SEARCH("perlite",E335)),"Perlite",
ISNUMBER(SEARCH("plant food",E335)),"Plant Food",
ISNUMBER(SEARCH("spreader",E335)),"Spreader",
ISNUMBER(SEARCH("sprayer",E335)),"Sprayer",
ISNUMBER(SEARCH("mower",E335)),"Lawn Mower",
ISNUMBER(SEARCH("sweeper",E335)),"Lawn Sweeper",
OR(ISNUMBER(SEARCH("pruner",E335)),ISNUMBER(SEARCH("trimmer",E335)),ISNUMBER(SEARCH("pole saw",E335))),"Pruning Tools",
TRUE,"Other"
)</f>
        <v>Snap Traps</v>
      </c>
      <c r="J335" s="7" t="str">
        <f t="shared" si="86"/>
        <v>Rodent Control - Snap Traps</v>
      </c>
      <c r="K335" s="4">
        <v>100</v>
      </c>
      <c r="L335" s="4">
        <v>4</v>
      </c>
      <c r="M335" s="4">
        <v>303</v>
      </c>
      <c r="N335" s="4" t="s">
        <v>1443</v>
      </c>
      <c r="O335" s="4">
        <f>VLOOKUP(A335,[4]Sheet1!$A:$B,2,0)</f>
        <v>50</v>
      </c>
      <c r="P335" s="4">
        <f>VLOOKUP(A335,[4]Sheet1!$A:$C,3,0)</f>
        <v>0</v>
      </c>
      <c r="Q335" s="4">
        <f>VLOOKUP(A335,[4]Sheet1!$A:$D,4,0)</f>
        <v>0</v>
      </c>
      <c r="R335" s="4">
        <f>VLOOKUP(A335,[4]Sheet1!$A:$E,5,0)</f>
        <v>50</v>
      </c>
      <c r="S335" s="4">
        <f>VLOOKUP(A335,[4]Sheet1!$A:$F,6,0)</f>
        <v>50</v>
      </c>
      <c r="T335" s="4">
        <f>VLOOKUP(A335,[4]Sheet1!$A:$G,7,0)</f>
        <v>100</v>
      </c>
      <c r="U335" s="4">
        <f>VLOOKUP(A335,[4]Sheet1!$A:$H,8,0)</f>
        <v>100</v>
      </c>
      <c r="V335" s="4">
        <f>VLOOKUP(A335,[4]Sheet1!$A:$I,9,0)</f>
        <v>100</v>
      </c>
      <c r="W335" s="4">
        <f>VLOOKUP(A335,[4]Sheet1!$A:$J,10,0)</f>
        <v>100</v>
      </c>
      <c r="X335" s="4">
        <f>VLOOKUP(A335,[4]Sheet1!$A:$K,11,0)</f>
        <v>200</v>
      </c>
      <c r="Y335" s="4">
        <f>VLOOKUP(A335,[4]Sheet1!$A:$L,12,0)</f>
        <v>400</v>
      </c>
      <c r="Z335" s="4">
        <f>VLOOKUP(A335,[4]Sheet1!$A:$M,13,0)</f>
        <v>100</v>
      </c>
      <c r="AA335" s="4">
        <f t="shared" si="80"/>
        <v>1250</v>
      </c>
      <c r="AB335" s="7">
        <f t="shared" si="87"/>
        <v>104</v>
      </c>
      <c r="AC335" s="15">
        <f t="shared" si="81"/>
        <v>104.16666666666667</v>
      </c>
      <c r="AD335" s="16">
        <f t="shared" si="82"/>
        <v>8100.0000000000009</v>
      </c>
      <c r="AE335" s="16">
        <f t="shared" si="83"/>
        <v>675.00000000000011</v>
      </c>
      <c r="AF335" s="16">
        <v>3.24</v>
      </c>
      <c r="AG335" s="16">
        <v>6.48</v>
      </c>
      <c r="AH335" s="15">
        <f t="shared" si="84"/>
        <v>-0.10986666666666672</v>
      </c>
      <c r="AI335" s="15">
        <f t="shared" si="85"/>
        <v>-0.38453333333333345</v>
      </c>
      <c r="AJ335" s="10">
        <v>0.5</v>
      </c>
      <c r="AK335" s="10">
        <v>0.5</v>
      </c>
      <c r="AL335" s="16">
        <v>3.24</v>
      </c>
      <c r="AM335" s="9">
        <f t="shared" si="88"/>
        <v>0.97199999999999998</v>
      </c>
      <c r="AN335" s="9">
        <f t="shared" si="89"/>
        <v>0.19440000000000002</v>
      </c>
      <c r="AO335" s="9">
        <f t="shared" si="90"/>
        <v>1.2960000000000003</v>
      </c>
      <c r="AP335" s="9">
        <f t="shared" si="91"/>
        <v>0.12960000000000002</v>
      </c>
      <c r="AQ335" s="9">
        <f t="shared" si="92"/>
        <v>1.2960000000000003</v>
      </c>
      <c r="AR335" s="9">
        <f t="shared" si="93"/>
        <v>1.62</v>
      </c>
      <c r="AS335" s="11">
        <f t="shared" si="94"/>
        <v>-1.0986666666666671</v>
      </c>
      <c r="AT335" s="12">
        <f t="shared" si="95"/>
        <v>-1.3146666666666669</v>
      </c>
    </row>
    <row r="336" spans="1:46" ht="16.5" x14ac:dyDescent="0.4">
      <c r="A336" s="4" t="s">
        <v>1541</v>
      </c>
      <c r="B336" s="4" t="s">
        <v>1314</v>
      </c>
      <c r="C336" s="7" t="s">
        <v>1796</v>
      </c>
      <c r="D336" s="4" t="s">
        <v>1542</v>
      </c>
      <c r="E336" s="4" t="s">
        <v>1543</v>
      </c>
      <c r="F336" s="4" t="s">
        <v>1544</v>
      </c>
      <c r="G336" s="7" t="str">
        <f>VLOOKUP(A336,[1]done!$A:$I,9,0)</f>
        <v>Rodent</v>
      </c>
      <c r="H336" s="7" t="str" cm="1">
        <f t="array" ref="H336">_xlfn.IFS(
OR(ISNUMBER(SEARCH("mouse",E336)),ISNUMBER(SEARCH("rat",E336)),ISNUMBER(SEARCH("mice",E336)),ISNUMBER(SEARCH("rodent",E336))),"Rodent Control",
OR(ISNUMBER(SEARCH("fly",E336)),ISNUMBER(SEARCH("gnat",E336)),ISNUMBER(SEARCH("insect",E336)),ISNUMBER(SEARCH("mosquito",E336))),"Flying Insect Control",
OR(ISNUMBER(SEARCH("roach",E336)),ISNUMBER(SEARCH("ant",E336)),ISNUMBER(SEARCH("spider",E336)),ISNUMBER(SEARCH("cricket",E336)),ISNUMBER(SEARCH("scorpion",E336)),ISNUMBER(SEARCH("centipede",E336)),ISNUMBER(SEARCH("beetle",E336))),"Crawling Insect Control",
OR(ISNUMBER(SEARCH("tree",E336)),ISNUMBER(SEARCH("lantern",E336)),ISNUMBER(SEARCH("garden",E336)),ISNUMBER(SEARCH("plant",E336))),"Garden Pest Control",
OR(ISNUMBER(SEARCH("grass seed",E336)),ISNUMBER(SEARCH("seed mix",E336))),"Grass Seed",
OR(ISNUMBER(SEARCH("lawn food",E336)),ISNUMBER(SEARCH("fertilizer",E336))),"Lawn Fertilizer",
OR(ISNUMBER(SEARCH("patch",E336)),ISNUMBER(SEARCH("repair",E336)),ISNUMBER(SEARCH("thick'r",E336)),ISNUMBER(SEARCH("thick'r lawn",E336)),ISNUMBER(SEARCH("rapid grass",E336))),"Lawn Repair",
OR(ISNUMBER(SEARCH("weed",E336)),ISNUMBER(SEARCH("crabgrass",E336))),"Weed Control",
OR(ISNUMBER(SEARCH("fungicide",E336)),ISNUMBER(SEARCH("moss",E336))),"Disease &amp; Moss Control",
OR(ISNUMBER(SEARCH("plant food",E336)),ISNUMBER(SEARCH("miracid",E336))),"Plant Nutrition",
OR(ISNUMBER(SEARCH("perlite",E336))),"Soil Amendment",
OR(ISNUMBER(SEARCH("spreader",E336)),ISNUMBER(SEARCH("sprayer",E336)),ISNUMBER(SEARCH("mower",E336)),ISNUMBER(SEARCH("sweeper",E336)),ISNUMBER(SEARCH("pruner",E336)),ISNUMBER(SEARCH("trimmer",E336)),ISNUMBER(SEARCH("pole saw",E336))),"Garden Equipment",
TRUE,"Other"
)</f>
        <v>Rodent Control</v>
      </c>
      <c r="I336" s="7" t="str" cm="1">
        <f t="array" ref="I336">_xlfn.IFS(
OR(ISNUMBER(SEARCH("glue trap",E336)),ISNUMBER(SEARCH("glue board",E336))),"Glue Traps",
OR(ISNUMBER(SEARCH("snap trap",E336)),ISNUMBER(SEARCH("power-kill",E336)),ISNUMBER(SEARCH("wide pedal",E336)),ISNUMBER(SEARCH("metal pedal",E336))),"Snap Traps",
OR(ISNUMBER(SEARCH("electronic",E336)),ISNUMBER(SEARCH("zapper",E336))),"Electronic Traps",
OR(ISNUMBER(SEARCH("live catch",E336)),ISNUMBER(SEARCH("multi-catch",E336)),ISNUMBER(SEARCH("catch &amp; hold",E336)),ISNUMBER(SEARCH("tin cat",E336))),"Live Catch Traps",
OR(ISNUMBER(SEARCH("bait",E336)),ISNUMBER(SEARCH("poison",E336))),"Bait &amp; Poison",
ISNUMBER(SEARCH("repellent",E336)),"Repellents",
OR(ISNUMBER(SEARCH("fly trap",E336)),ISNUMBER(SEARCH("fly ribbon",E336)),ISNUMBER(SEARCH("fly stick",E336)),ISNUMBER(SEARCH("window fly",E336)),ISNUMBER(SEARCH("fly magnet",E336))),"Fly Traps",
OR(ISNUMBER(SEARCH("uv",E336)),ISNUMBER(SEARCH("fly light",E336)),ISNUMBER(SEARCH("plug-in",E336))),"UV Fly Traps",
ISNUMBER(SEARCH("roach",E336)),"Roach Traps",
ISNUMBER(SEARCH("ant",E336)),"Ant Traps",
ISNUMBER(SEARCH("spider",E336)),"Spider Traps",
ISNUMBER(SEARCH("mosquito",E336)),"Mosquito Traps",
ISNUMBER(SEARCH("beetle",E336)),"Beetle Traps",
ISNUMBER(SEARCH("lantern",E336)),"Lanternfly Control",
OR(ISNUMBER(SEARCH("tree shield",E336)),ISNUMBER(SEARCH("tree banding",E336)),ISNUMBER(SEARCH("insect barrier",E336))),"Tree Barriers",
OR(ISNUMBER(SEARCH("sun &amp; shade",E336)),ISNUMBER(SEARCH("sun and shade",E336))),"Sun &amp; Shade Mix",
ISNUMBER(SEARCH("tall fescue",E336)),"Tall Fescue",
ISNUMBER(SEARCH("bermudagrass",E336)),"Bermudagrass",
ISNUMBER(SEARCH("kentucky",E336)),"Kentucky Bluegrass",
ISNUMBER(SEARCH("zoysia",E336)),"Zoysia",
ISNUMBER(SEARCH("ryegrass",E336)),"Perennial Ryegrass",
ISNUMBER(SEARCH("centipede",E336)),"Centipede Grass",
ISNUMBER(SEARCH("dense shade",E336)),"Dense Shade Mix",
ISNUMBER(SEARCH("southern gold",E336)),"Southern Gold Mix",
ISNUMBER(SEARCH("heat-tolerant blue",E336)),"Heat-Tolerant Blue Mix",
ISNUMBER(SEARCH("high traffic",E336)),"High Traffic Mix",
ISNUMBER(SEARCH("quick fix",E336)),"Quick Fix Mix",
ISNUMBER(SEARCH("starter",E336)),"Starter Fertilizer",
ISNUMBER(SEARCH("weed &amp; feed",E336)),"Weed &amp; Feed",
ISNUMBER(SEARCH("lawn food",E336)),"Lawn Food",
ISNUMBER(SEARCH("triple action",E336)),"Triple Action Fertilizer",
ISNUMBER(SEARCH("green max",E336)),"Green Max Lawn Food",
ISNUMBER(SEARCH("patchmaster",E336)),"PatchMaster Repair",
ISNUMBER(SEARCH("ez seed",E336)),"EZ Seed Repair",
ISNUMBER(SEARCH("rapid grass",E336)),"Rapid Grass",
ISNUMBER(SEARCH("thick'r lawn",E336)),"Thick'R Lawn",
ISNUMBER(SEARCH("fungicide",E336)),"Fungicide",
ISNUMBER(SEARCH("moss",E336)),"Moss Control",
ISNUMBER(SEARCH("perlite",E336)),"Perlite",
ISNUMBER(SEARCH("plant food",E336)),"Plant Food",
ISNUMBER(SEARCH("spreader",E336)),"Spreader",
ISNUMBER(SEARCH("sprayer",E336)),"Sprayer",
ISNUMBER(SEARCH("mower",E336)),"Lawn Mower",
ISNUMBER(SEARCH("sweeper",E336)),"Lawn Sweeper",
OR(ISNUMBER(SEARCH("pruner",E336)),ISNUMBER(SEARCH("trimmer",E336)),ISNUMBER(SEARCH("pole saw",E336))),"Pruning Tools",
TRUE,"Other"
)</f>
        <v>Other</v>
      </c>
      <c r="J336" s="7" t="str">
        <f t="shared" si="86"/>
        <v>Rodent Control - Other</v>
      </c>
      <c r="K336" s="4">
        <v>100</v>
      </c>
      <c r="L336" s="4">
        <v>4.3</v>
      </c>
      <c r="M336" s="4">
        <v>1132</v>
      </c>
      <c r="N336" s="4" t="s">
        <v>1545</v>
      </c>
      <c r="O336" s="4">
        <f>VLOOKUP(A336,[4]Sheet1!$A:$B,2,0)</f>
        <v>0</v>
      </c>
      <c r="P336" s="4">
        <f>VLOOKUP(A336,[4]Sheet1!$A:$C,3,0)</f>
        <v>0</v>
      </c>
      <c r="Q336" s="4">
        <f>VLOOKUP(A336,[4]Sheet1!$A:$D,4,0)</f>
        <v>0</v>
      </c>
      <c r="R336" s="4">
        <f>VLOOKUP(A336,[4]Sheet1!$A:$E,5,0)</f>
        <v>100</v>
      </c>
      <c r="S336" s="4">
        <f>VLOOKUP(A336,[4]Sheet1!$A:$F,6,0)</f>
        <v>50</v>
      </c>
      <c r="T336" s="4">
        <f>VLOOKUP(A336,[4]Sheet1!$A:$G,7,0)</f>
        <v>100</v>
      </c>
      <c r="U336" s="4">
        <f>VLOOKUP(A336,[4]Sheet1!$A:$H,8,0)</f>
        <v>100</v>
      </c>
      <c r="V336" s="4">
        <f>VLOOKUP(A336,[4]Sheet1!$A:$I,9,0)</f>
        <v>100</v>
      </c>
      <c r="W336" s="4">
        <f>VLOOKUP(A336,[4]Sheet1!$A:$J,10,0)</f>
        <v>100</v>
      </c>
      <c r="X336" s="4">
        <f>VLOOKUP(A336,[4]Sheet1!$A:$K,11,0)</f>
        <v>0</v>
      </c>
      <c r="Y336" s="4">
        <f>VLOOKUP(A336,[4]Sheet1!$A:$L,12,0)</f>
        <v>0</v>
      </c>
      <c r="Z336" s="4">
        <f>VLOOKUP(A336,[4]Sheet1!$A:$M,13,0)</f>
        <v>0</v>
      </c>
      <c r="AA336" s="4">
        <f t="shared" si="80"/>
        <v>550</v>
      </c>
      <c r="AB336" s="7">
        <f t="shared" si="87"/>
        <v>46</v>
      </c>
      <c r="AC336" s="15">
        <f t="shared" si="81"/>
        <v>45.833333333333336</v>
      </c>
      <c r="AD336" s="16">
        <f t="shared" si="82"/>
        <v>1369.5000000000002</v>
      </c>
      <c r="AE336" s="16">
        <f t="shared" si="83"/>
        <v>114.12500000000001</v>
      </c>
      <c r="AF336" s="16">
        <v>3.24</v>
      </c>
      <c r="AG336" s="16">
        <v>2.4900000000000002</v>
      </c>
      <c r="AH336" s="15">
        <f t="shared" si="84"/>
        <v>-0.21626666666666672</v>
      </c>
      <c r="AI336" s="15">
        <f t="shared" si="85"/>
        <v>-0.75693333333333335</v>
      </c>
      <c r="AJ336" s="10">
        <v>0.5</v>
      </c>
      <c r="AK336" s="10">
        <v>0.5</v>
      </c>
      <c r="AL336" s="16">
        <v>3.24</v>
      </c>
      <c r="AM336" s="9">
        <f t="shared" si="88"/>
        <v>0.3735</v>
      </c>
      <c r="AN336" s="9">
        <f t="shared" si="89"/>
        <v>7.4700000000000003E-2</v>
      </c>
      <c r="AO336" s="9">
        <f t="shared" si="90"/>
        <v>0.49800000000000005</v>
      </c>
      <c r="AP336" s="9">
        <f t="shared" si="91"/>
        <v>4.9800000000000004E-2</v>
      </c>
      <c r="AQ336" s="9">
        <f t="shared" si="92"/>
        <v>0.49800000000000005</v>
      </c>
      <c r="AR336" s="9">
        <f t="shared" si="93"/>
        <v>0.62250000000000005</v>
      </c>
      <c r="AS336" s="11">
        <f t="shared" si="94"/>
        <v>-2.162666666666667</v>
      </c>
      <c r="AT336" s="12">
        <f t="shared" si="95"/>
        <v>-2.2456666666666671</v>
      </c>
    </row>
    <row r="337" spans="1:46" ht="16.5" x14ac:dyDescent="0.4">
      <c r="A337" s="4" t="s">
        <v>1546</v>
      </c>
      <c r="B337" s="4" t="s">
        <v>1314</v>
      </c>
      <c r="C337" s="7" t="s">
        <v>1796</v>
      </c>
      <c r="D337" s="4" t="s">
        <v>1547</v>
      </c>
      <c r="E337" s="4" t="s">
        <v>1548</v>
      </c>
      <c r="F337" s="4" t="s">
        <v>1549</v>
      </c>
      <c r="G337" s="7" t="str">
        <f>VLOOKUP(A337,[1]done!$A:$I,9,0)</f>
        <v>Rodent</v>
      </c>
      <c r="H337" s="7" t="str" cm="1">
        <f t="array" ref="H337">_xlfn.IFS(
OR(ISNUMBER(SEARCH("mouse",E337)),ISNUMBER(SEARCH("rat",E337)),ISNUMBER(SEARCH("mice",E337)),ISNUMBER(SEARCH("rodent",E337))),"Rodent Control",
OR(ISNUMBER(SEARCH("fly",E337)),ISNUMBER(SEARCH("gnat",E337)),ISNUMBER(SEARCH("insect",E337)),ISNUMBER(SEARCH("mosquito",E337))),"Flying Insect Control",
OR(ISNUMBER(SEARCH("roach",E337)),ISNUMBER(SEARCH("ant",E337)),ISNUMBER(SEARCH("spider",E337)),ISNUMBER(SEARCH("cricket",E337)),ISNUMBER(SEARCH("scorpion",E337)),ISNUMBER(SEARCH("centipede",E337)),ISNUMBER(SEARCH("beetle",E337))),"Crawling Insect Control",
OR(ISNUMBER(SEARCH("tree",E337)),ISNUMBER(SEARCH("lantern",E337)),ISNUMBER(SEARCH("garden",E337)),ISNUMBER(SEARCH("plant",E337))),"Garden Pest Control",
OR(ISNUMBER(SEARCH("grass seed",E337)),ISNUMBER(SEARCH("seed mix",E337))),"Grass Seed",
OR(ISNUMBER(SEARCH("lawn food",E337)),ISNUMBER(SEARCH("fertilizer",E337))),"Lawn Fertilizer",
OR(ISNUMBER(SEARCH("patch",E337)),ISNUMBER(SEARCH("repair",E337)),ISNUMBER(SEARCH("thick'r",E337)),ISNUMBER(SEARCH("thick'r lawn",E337)),ISNUMBER(SEARCH("rapid grass",E337))),"Lawn Repair",
OR(ISNUMBER(SEARCH("weed",E337)),ISNUMBER(SEARCH("crabgrass",E337))),"Weed Control",
OR(ISNUMBER(SEARCH("fungicide",E337)),ISNUMBER(SEARCH("moss",E337))),"Disease &amp; Moss Control",
OR(ISNUMBER(SEARCH("plant food",E337)),ISNUMBER(SEARCH("miracid",E337))),"Plant Nutrition",
OR(ISNUMBER(SEARCH("perlite",E337))),"Soil Amendment",
OR(ISNUMBER(SEARCH("spreader",E337)),ISNUMBER(SEARCH("sprayer",E337)),ISNUMBER(SEARCH("mower",E337)),ISNUMBER(SEARCH("sweeper",E337)),ISNUMBER(SEARCH("pruner",E337)),ISNUMBER(SEARCH("trimmer",E337)),ISNUMBER(SEARCH("pole saw",E337))),"Garden Equipment",
TRUE,"Other"
)</f>
        <v>Rodent Control</v>
      </c>
      <c r="I337" s="7" t="str" cm="1">
        <f t="array" ref="I337">_xlfn.IFS(
OR(ISNUMBER(SEARCH("glue trap",E337)),ISNUMBER(SEARCH("glue board",E337))),"Glue Traps",
OR(ISNUMBER(SEARCH("snap trap",E337)),ISNUMBER(SEARCH("power-kill",E337)),ISNUMBER(SEARCH("wide pedal",E337)),ISNUMBER(SEARCH("metal pedal",E337))),"Snap Traps",
OR(ISNUMBER(SEARCH("electronic",E337)),ISNUMBER(SEARCH("zapper",E337))),"Electronic Traps",
OR(ISNUMBER(SEARCH("live catch",E337)),ISNUMBER(SEARCH("multi-catch",E337)),ISNUMBER(SEARCH("catch &amp; hold",E337)),ISNUMBER(SEARCH("tin cat",E337))),"Live Catch Traps",
OR(ISNUMBER(SEARCH("bait",E337)),ISNUMBER(SEARCH("poison",E337))),"Bait &amp; Poison",
ISNUMBER(SEARCH("repellent",E337)),"Repellents",
OR(ISNUMBER(SEARCH("fly trap",E337)),ISNUMBER(SEARCH("fly ribbon",E337)),ISNUMBER(SEARCH("fly stick",E337)),ISNUMBER(SEARCH("window fly",E337)),ISNUMBER(SEARCH("fly magnet",E337))),"Fly Traps",
OR(ISNUMBER(SEARCH("uv",E337)),ISNUMBER(SEARCH("fly light",E337)),ISNUMBER(SEARCH("plug-in",E337))),"UV Fly Traps",
ISNUMBER(SEARCH("roach",E337)),"Roach Traps",
ISNUMBER(SEARCH("ant",E337)),"Ant Traps",
ISNUMBER(SEARCH("spider",E337)),"Spider Traps",
ISNUMBER(SEARCH("mosquito",E337)),"Mosquito Traps",
ISNUMBER(SEARCH("beetle",E337)),"Beetle Traps",
ISNUMBER(SEARCH("lantern",E337)),"Lanternfly Control",
OR(ISNUMBER(SEARCH("tree shield",E337)),ISNUMBER(SEARCH("tree banding",E337)),ISNUMBER(SEARCH("insect barrier",E337))),"Tree Barriers",
OR(ISNUMBER(SEARCH("sun &amp; shade",E337)),ISNUMBER(SEARCH("sun and shade",E337))),"Sun &amp; Shade Mix",
ISNUMBER(SEARCH("tall fescue",E337)),"Tall Fescue",
ISNUMBER(SEARCH("bermudagrass",E337)),"Bermudagrass",
ISNUMBER(SEARCH("kentucky",E337)),"Kentucky Bluegrass",
ISNUMBER(SEARCH("zoysia",E337)),"Zoysia",
ISNUMBER(SEARCH("ryegrass",E337)),"Perennial Ryegrass",
ISNUMBER(SEARCH("centipede",E337)),"Centipede Grass",
ISNUMBER(SEARCH("dense shade",E337)),"Dense Shade Mix",
ISNUMBER(SEARCH("southern gold",E337)),"Southern Gold Mix",
ISNUMBER(SEARCH("heat-tolerant blue",E337)),"Heat-Tolerant Blue Mix",
ISNUMBER(SEARCH("high traffic",E337)),"High Traffic Mix",
ISNUMBER(SEARCH("quick fix",E337)),"Quick Fix Mix",
ISNUMBER(SEARCH("starter",E337)),"Starter Fertilizer",
ISNUMBER(SEARCH("weed &amp; feed",E337)),"Weed &amp; Feed",
ISNUMBER(SEARCH("lawn food",E337)),"Lawn Food",
ISNUMBER(SEARCH("triple action",E337)),"Triple Action Fertilizer",
ISNUMBER(SEARCH("green max",E337)),"Green Max Lawn Food",
ISNUMBER(SEARCH("patchmaster",E337)),"PatchMaster Repair",
ISNUMBER(SEARCH("ez seed",E337)),"EZ Seed Repair",
ISNUMBER(SEARCH("rapid grass",E337)),"Rapid Grass",
ISNUMBER(SEARCH("thick'r lawn",E337)),"Thick'R Lawn",
ISNUMBER(SEARCH("fungicide",E337)),"Fungicide",
ISNUMBER(SEARCH("moss",E337)),"Moss Control",
ISNUMBER(SEARCH("perlite",E337)),"Perlite",
ISNUMBER(SEARCH("plant food",E337)),"Plant Food",
ISNUMBER(SEARCH("spreader",E337)),"Spreader",
ISNUMBER(SEARCH("sprayer",E337)),"Sprayer",
ISNUMBER(SEARCH("mower",E337)),"Lawn Mower",
ISNUMBER(SEARCH("sweeper",E337)),"Lawn Sweeper",
OR(ISNUMBER(SEARCH("pruner",E337)),ISNUMBER(SEARCH("trimmer",E337)),ISNUMBER(SEARCH("pole saw",E337))),"Pruning Tools",
TRUE,"Other"
)</f>
        <v>Repellents</v>
      </c>
      <c r="J337" s="7" t="str">
        <f t="shared" si="86"/>
        <v>Rodent Control - Repellents</v>
      </c>
      <c r="K337" s="4">
        <v>100</v>
      </c>
      <c r="L337" s="4">
        <v>3.9</v>
      </c>
      <c r="M337" s="4">
        <v>1519</v>
      </c>
      <c r="N337" s="4" t="s">
        <v>1550</v>
      </c>
      <c r="O337" s="4">
        <f>VLOOKUP(A337,[4]Sheet1!$A:$B,2,0)</f>
        <v>400</v>
      </c>
      <c r="P337" s="4">
        <f>VLOOKUP(A337,[4]Sheet1!$A:$C,3,0)</f>
        <v>200</v>
      </c>
      <c r="Q337" s="4">
        <f>VLOOKUP(A337,[4]Sheet1!$A:$D,4,0)</f>
        <v>200</v>
      </c>
      <c r="R337" s="4">
        <f>VLOOKUP(A337,[4]Sheet1!$A:$E,5,0)</f>
        <v>200</v>
      </c>
      <c r="S337" s="4">
        <f>VLOOKUP(A337,[4]Sheet1!$A:$F,6,0)</f>
        <v>200</v>
      </c>
      <c r="T337" s="4">
        <f>VLOOKUP(A337,[4]Sheet1!$A:$G,7,0)</f>
        <v>100</v>
      </c>
      <c r="U337" s="4">
        <f>VLOOKUP(A337,[4]Sheet1!$A:$H,8,0)</f>
        <v>100</v>
      </c>
      <c r="V337" s="4">
        <f>VLOOKUP(A337,[4]Sheet1!$A:$I,9,0)</f>
        <v>100</v>
      </c>
      <c r="W337" s="4">
        <f>VLOOKUP(A337,[4]Sheet1!$A:$J,10,0)</f>
        <v>100</v>
      </c>
      <c r="X337" s="4">
        <f>VLOOKUP(A337,[4]Sheet1!$A:$K,11,0)</f>
        <v>500</v>
      </c>
      <c r="Y337" s="4">
        <f>VLOOKUP(A337,[4]Sheet1!$A:$L,12,0)</f>
        <v>1000</v>
      </c>
      <c r="Z337" s="4">
        <f>VLOOKUP(A337,[4]Sheet1!$A:$M,13,0)</f>
        <v>300</v>
      </c>
      <c r="AA337" s="4">
        <f t="shared" si="80"/>
        <v>3400</v>
      </c>
      <c r="AB337" s="7">
        <f t="shared" si="87"/>
        <v>283</v>
      </c>
      <c r="AC337" s="15">
        <f t="shared" si="81"/>
        <v>283.33333333333331</v>
      </c>
      <c r="AD337" s="16">
        <f t="shared" si="82"/>
        <v>58718</v>
      </c>
      <c r="AE337" s="16">
        <f t="shared" si="83"/>
        <v>4893.1666666666661</v>
      </c>
      <c r="AF337" s="16">
        <v>6.31</v>
      </c>
      <c r="AG337" s="16">
        <v>17.27</v>
      </c>
      <c r="AH337" s="15">
        <f t="shared" si="84"/>
        <v>-2.679999999999998E-2</v>
      </c>
      <c r="AI337" s="15">
        <f t="shared" si="85"/>
        <v>-9.3799999999999925E-2</v>
      </c>
      <c r="AJ337" s="10">
        <v>0.5</v>
      </c>
      <c r="AK337" s="10">
        <v>0.5</v>
      </c>
      <c r="AL337" s="16">
        <v>6.31</v>
      </c>
      <c r="AM337" s="9">
        <f t="shared" si="88"/>
        <v>2.5905</v>
      </c>
      <c r="AN337" s="9">
        <f t="shared" si="89"/>
        <v>0.5181</v>
      </c>
      <c r="AO337" s="9">
        <f t="shared" si="90"/>
        <v>3.4540000000000002</v>
      </c>
      <c r="AP337" s="9">
        <f t="shared" si="91"/>
        <v>0.34539999999999998</v>
      </c>
      <c r="AQ337" s="9">
        <f t="shared" si="92"/>
        <v>3.4540000000000002</v>
      </c>
      <c r="AR337" s="9">
        <f t="shared" si="93"/>
        <v>4.3174999999999999</v>
      </c>
      <c r="AS337" s="11">
        <f t="shared" si="94"/>
        <v>-0.26799999999999979</v>
      </c>
      <c r="AT337" s="12">
        <f t="shared" si="95"/>
        <v>-0.84366666666666623</v>
      </c>
    </row>
    <row r="338" spans="1:46" ht="16.5" x14ac:dyDescent="0.4">
      <c r="A338" s="4" t="s">
        <v>1551</v>
      </c>
      <c r="B338" s="4" t="s">
        <v>1314</v>
      </c>
      <c r="C338" s="7" t="s">
        <v>1796</v>
      </c>
      <c r="D338" s="4" t="s">
        <v>1552</v>
      </c>
      <c r="E338" s="4" t="s">
        <v>1553</v>
      </c>
      <c r="F338" s="4" t="s">
        <v>1554</v>
      </c>
      <c r="G338" s="7" t="str">
        <f>VLOOKUP(A338,[1]done!$A:$I,9,0)</f>
        <v>Mole Repellent</v>
      </c>
      <c r="H338" s="7" t="str" cm="1">
        <f t="array" ref="H338">_xlfn.IFS(
OR(ISNUMBER(SEARCH("mouse",E338)),ISNUMBER(SEARCH("rat",E338)),ISNUMBER(SEARCH("mice",E338)),ISNUMBER(SEARCH("rodent",E338))),"Rodent Control",
OR(ISNUMBER(SEARCH("fly",E338)),ISNUMBER(SEARCH("gnat",E338)),ISNUMBER(SEARCH("insect",E338)),ISNUMBER(SEARCH("mosquito",E338))),"Flying Insect Control",
OR(ISNUMBER(SEARCH("roach",E338)),ISNUMBER(SEARCH("ant",E338)),ISNUMBER(SEARCH("spider",E338)),ISNUMBER(SEARCH("cricket",E338)),ISNUMBER(SEARCH("scorpion",E338)),ISNUMBER(SEARCH("centipede",E338)),ISNUMBER(SEARCH("beetle",E338))),"Crawling Insect Control",
OR(ISNUMBER(SEARCH("tree",E338)),ISNUMBER(SEARCH("lantern",E338)),ISNUMBER(SEARCH("garden",E338)),ISNUMBER(SEARCH("plant",E338))),"Garden Pest Control",
OR(ISNUMBER(SEARCH("grass seed",E338)),ISNUMBER(SEARCH("seed mix",E338))),"Grass Seed",
OR(ISNUMBER(SEARCH("lawn food",E338)),ISNUMBER(SEARCH("fertilizer",E338))),"Lawn Fertilizer",
OR(ISNUMBER(SEARCH("patch",E338)),ISNUMBER(SEARCH("repair",E338)),ISNUMBER(SEARCH("thick'r",E338)),ISNUMBER(SEARCH("thick'r lawn",E338)),ISNUMBER(SEARCH("rapid grass",E338))),"Lawn Repair",
OR(ISNUMBER(SEARCH("weed",E338)),ISNUMBER(SEARCH("crabgrass",E338))),"Weed Control",
OR(ISNUMBER(SEARCH("fungicide",E338)),ISNUMBER(SEARCH("moss",E338))),"Disease &amp; Moss Control",
OR(ISNUMBER(SEARCH("plant food",E338)),ISNUMBER(SEARCH("miracid",E338))),"Plant Nutrition",
OR(ISNUMBER(SEARCH("perlite",E338))),"Soil Amendment",
OR(ISNUMBER(SEARCH("spreader",E338)),ISNUMBER(SEARCH("sprayer",E338)),ISNUMBER(SEARCH("mower",E338)),ISNUMBER(SEARCH("sweeper",E338)),ISNUMBER(SEARCH("pruner",E338)),ISNUMBER(SEARCH("trimmer",E338)),ISNUMBER(SEARCH("pole saw",E338))),"Garden Equipment",
TRUE,"Other"
)</f>
        <v>Other</v>
      </c>
      <c r="I338" s="7" t="str" cm="1">
        <f t="array" ref="I338">_xlfn.IFS(
OR(ISNUMBER(SEARCH("glue trap",E338)),ISNUMBER(SEARCH("glue board",E338))),"Glue Traps",
OR(ISNUMBER(SEARCH("snap trap",E338)),ISNUMBER(SEARCH("power-kill",E338)),ISNUMBER(SEARCH("wide pedal",E338)),ISNUMBER(SEARCH("metal pedal",E338))),"Snap Traps",
OR(ISNUMBER(SEARCH("electronic",E338)),ISNUMBER(SEARCH("zapper",E338))),"Electronic Traps",
OR(ISNUMBER(SEARCH("live catch",E338)),ISNUMBER(SEARCH("multi-catch",E338)),ISNUMBER(SEARCH("catch &amp; hold",E338)),ISNUMBER(SEARCH("tin cat",E338))),"Live Catch Traps",
OR(ISNUMBER(SEARCH("bait",E338)),ISNUMBER(SEARCH("poison",E338))),"Bait &amp; Poison",
ISNUMBER(SEARCH("repellent",E338)),"Repellents",
OR(ISNUMBER(SEARCH("fly trap",E338)),ISNUMBER(SEARCH("fly ribbon",E338)),ISNUMBER(SEARCH("fly stick",E338)),ISNUMBER(SEARCH("window fly",E338)),ISNUMBER(SEARCH("fly magnet",E338))),"Fly Traps",
OR(ISNUMBER(SEARCH("uv",E338)),ISNUMBER(SEARCH("fly light",E338)),ISNUMBER(SEARCH("plug-in",E338))),"UV Fly Traps",
ISNUMBER(SEARCH("roach",E338)),"Roach Traps",
ISNUMBER(SEARCH("ant",E338)),"Ant Traps",
ISNUMBER(SEARCH("spider",E338)),"Spider Traps",
ISNUMBER(SEARCH("mosquito",E338)),"Mosquito Traps",
ISNUMBER(SEARCH("beetle",E338)),"Beetle Traps",
ISNUMBER(SEARCH("lantern",E338)),"Lanternfly Control",
OR(ISNUMBER(SEARCH("tree shield",E338)),ISNUMBER(SEARCH("tree banding",E338)),ISNUMBER(SEARCH("insect barrier",E338))),"Tree Barriers",
OR(ISNUMBER(SEARCH("sun &amp; shade",E338)),ISNUMBER(SEARCH("sun and shade",E338))),"Sun &amp; Shade Mix",
ISNUMBER(SEARCH("tall fescue",E338)),"Tall Fescue",
ISNUMBER(SEARCH("bermudagrass",E338)),"Bermudagrass",
ISNUMBER(SEARCH("kentucky",E338)),"Kentucky Bluegrass",
ISNUMBER(SEARCH("zoysia",E338)),"Zoysia",
ISNUMBER(SEARCH("ryegrass",E338)),"Perennial Ryegrass",
ISNUMBER(SEARCH("centipede",E338)),"Centipede Grass",
ISNUMBER(SEARCH("dense shade",E338)),"Dense Shade Mix",
ISNUMBER(SEARCH("southern gold",E338)),"Southern Gold Mix",
ISNUMBER(SEARCH("heat-tolerant blue",E338)),"Heat-Tolerant Blue Mix",
ISNUMBER(SEARCH("high traffic",E338)),"High Traffic Mix",
ISNUMBER(SEARCH("quick fix",E338)),"Quick Fix Mix",
ISNUMBER(SEARCH("starter",E338)),"Starter Fertilizer",
ISNUMBER(SEARCH("weed &amp; feed",E338)),"Weed &amp; Feed",
ISNUMBER(SEARCH("lawn food",E338)),"Lawn Food",
ISNUMBER(SEARCH("triple action",E338)),"Triple Action Fertilizer",
ISNUMBER(SEARCH("green max",E338)),"Green Max Lawn Food",
ISNUMBER(SEARCH("patchmaster",E338)),"PatchMaster Repair",
ISNUMBER(SEARCH("ez seed",E338)),"EZ Seed Repair",
ISNUMBER(SEARCH("rapid grass",E338)),"Rapid Grass",
ISNUMBER(SEARCH("thick'r lawn",E338)),"Thick'R Lawn",
ISNUMBER(SEARCH("fungicide",E338)),"Fungicide",
ISNUMBER(SEARCH("moss",E338)),"Moss Control",
ISNUMBER(SEARCH("perlite",E338)),"Perlite",
ISNUMBER(SEARCH("plant food",E338)),"Plant Food",
ISNUMBER(SEARCH("spreader",E338)),"Spreader",
ISNUMBER(SEARCH("sprayer",E338)),"Sprayer",
ISNUMBER(SEARCH("mower",E338)),"Lawn Mower",
ISNUMBER(SEARCH("sweeper",E338)),"Lawn Sweeper",
OR(ISNUMBER(SEARCH("pruner",E338)),ISNUMBER(SEARCH("trimmer",E338)),ISNUMBER(SEARCH("pole saw",E338))),"Pruning Tools",
TRUE,"Other"
)</f>
        <v>Repellents</v>
      </c>
      <c r="J338" s="7" t="str">
        <f t="shared" si="86"/>
        <v>Other - Repellents</v>
      </c>
      <c r="K338" s="4">
        <v>100</v>
      </c>
      <c r="L338" s="4">
        <v>3.5</v>
      </c>
      <c r="M338" s="4">
        <v>512</v>
      </c>
      <c r="N338" s="4" t="s">
        <v>1555</v>
      </c>
      <c r="O338" s="4">
        <f>VLOOKUP(A338,[4]Sheet1!$A:$B,2,0)</f>
        <v>0</v>
      </c>
      <c r="P338" s="4">
        <f>VLOOKUP(A338,[4]Sheet1!$A:$C,3,0)</f>
        <v>0</v>
      </c>
      <c r="Q338" s="4">
        <f>VLOOKUP(A338,[4]Sheet1!$A:$D,4,0)</f>
        <v>0</v>
      </c>
      <c r="R338" s="4">
        <f>VLOOKUP(A338,[4]Sheet1!$A:$E,5,0)</f>
        <v>100</v>
      </c>
      <c r="S338" s="4">
        <f>VLOOKUP(A338,[4]Sheet1!$A:$F,6,0)</f>
        <v>100</v>
      </c>
      <c r="T338" s="4">
        <f>VLOOKUP(A338,[4]Sheet1!$A:$G,7,0)</f>
        <v>200</v>
      </c>
      <c r="U338" s="4">
        <f>VLOOKUP(A338,[4]Sheet1!$A:$H,8,0)</f>
        <v>100</v>
      </c>
      <c r="V338" s="4">
        <f>VLOOKUP(A338,[4]Sheet1!$A:$I,9,0)</f>
        <v>100</v>
      </c>
      <c r="W338" s="4">
        <f>VLOOKUP(A338,[4]Sheet1!$A:$J,10,0)</f>
        <v>100</v>
      </c>
      <c r="X338" s="4">
        <f>VLOOKUP(A338,[4]Sheet1!$A:$K,11,0)</f>
        <v>50</v>
      </c>
      <c r="Y338" s="4">
        <f>VLOOKUP(A338,[4]Sheet1!$A:$L,12,0)</f>
        <v>50</v>
      </c>
      <c r="Z338" s="4">
        <f>VLOOKUP(A338,[4]Sheet1!$A:$M,13,0)</f>
        <v>0</v>
      </c>
      <c r="AA338" s="4">
        <f t="shared" si="80"/>
        <v>800</v>
      </c>
      <c r="AB338" s="7">
        <f t="shared" si="87"/>
        <v>67</v>
      </c>
      <c r="AC338" s="15">
        <f t="shared" si="81"/>
        <v>66.666666666666671</v>
      </c>
      <c r="AD338" s="16">
        <f t="shared" si="82"/>
        <v>10392</v>
      </c>
      <c r="AE338" s="16">
        <f t="shared" si="83"/>
        <v>866.00000000000011</v>
      </c>
      <c r="AF338" s="16">
        <v>7.63</v>
      </c>
      <c r="AG338" s="16">
        <v>12.99</v>
      </c>
      <c r="AH338" s="15">
        <f t="shared" si="84"/>
        <v>-0.22893333333333341</v>
      </c>
      <c r="AI338" s="15">
        <f t="shared" si="85"/>
        <v>-0.80126666666666679</v>
      </c>
      <c r="AJ338" s="10">
        <v>0.5</v>
      </c>
      <c r="AK338" s="10">
        <v>0.5</v>
      </c>
      <c r="AL338" s="16">
        <v>7.63</v>
      </c>
      <c r="AM338" s="9">
        <f t="shared" si="88"/>
        <v>1.9484999999999999</v>
      </c>
      <c r="AN338" s="9">
        <f t="shared" si="89"/>
        <v>0.38969999999999999</v>
      </c>
      <c r="AO338" s="9">
        <f t="shared" si="90"/>
        <v>2.5980000000000003</v>
      </c>
      <c r="AP338" s="9">
        <f t="shared" si="91"/>
        <v>0.25980000000000003</v>
      </c>
      <c r="AQ338" s="9">
        <f t="shared" si="92"/>
        <v>2.5980000000000003</v>
      </c>
      <c r="AR338" s="9">
        <f t="shared" si="93"/>
        <v>3.2475000000000001</v>
      </c>
      <c r="AS338" s="11">
        <f t="shared" si="94"/>
        <v>-2.2893333333333339</v>
      </c>
      <c r="AT338" s="12">
        <f t="shared" si="95"/>
        <v>-2.7223333333333337</v>
      </c>
    </row>
    <row r="339" spans="1:46" ht="16.5" x14ac:dyDescent="0.4">
      <c r="A339" s="4" t="s">
        <v>1556</v>
      </c>
      <c r="B339" s="4" t="s">
        <v>1314</v>
      </c>
      <c r="C339" s="7" t="s">
        <v>1796</v>
      </c>
      <c r="D339" s="4" t="s">
        <v>1557</v>
      </c>
      <c r="E339" s="4" t="s">
        <v>1558</v>
      </c>
      <c r="F339" s="4" t="s">
        <v>1559</v>
      </c>
      <c r="G339" s="7" t="str">
        <f>VLOOKUP(A339,[1]done!$A:$I,9,0)</f>
        <v>Rodent</v>
      </c>
      <c r="H339" s="7" t="str" cm="1">
        <f t="array" ref="H339">_xlfn.IFS(
OR(ISNUMBER(SEARCH("mouse",E339)),ISNUMBER(SEARCH("rat",E339)),ISNUMBER(SEARCH("mice",E339)),ISNUMBER(SEARCH("rodent",E339))),"Rodent Control",
OR(ISNUMBER(SEARCH("fly",E339)),ISNUMBER(SEARCH("gnat",E339)),ISNUMBER(SEARCH("insect",E339)),ISNUMBER(SEARCH("mosquito",E339))),"Flying Insect Control",
OR(ISNUMBER(SEARCH("roach",E339)),ISNUMBER(SEARCH("ant",E339)),ISNUMBER(SEARCH("spider",E339)),ISNUMBER(SEARCH("cricket",E339)),ISNUMBER(SEARCH("scorpion",E339)),ISNUMBER(SEARCH("centipede",E339)),ISNUMBER(SEARCH("beetle",E339))),"Crawling Insect Control",
OR(ISNUMBER(SEARCH("tree",E339)),ISNUMBER(SEARCH("lantern",E339)),ISNUMBER(SEARCH("garden",E339)),ISNUMBER(SEARCH("plant",E339))),"Garden Pest Control",
OR(ISNUMBER(SEARCH("grass seed",E339)),ISNUMBER(SEARCH("seed mix",E339))),"Grass Seed",
OR(ISNUMBER(SEARCH("lawn food",E339)),ISNUMBER(SEARCH("fertilizer",E339))),"Lawn Fertilizer",
OR(ISNUMBER(SEARCH("patch",E339)),ISNUMBER(SEARCH("repair",E339)),ISNUMBER(SEARCH("thick'r",E339)),ISNUMBER(SEARCH("thick'r lawn",E339)),ISNUMBER(SEARCH("rapid grass",E339))),"Lawn Repair",
OR(ISNUMBER(SEARCH("weed",E339)),ISNUMBER(SEARCH("crabgrass",E339))),"Weed Control",
OR(ISNUMBER(SEARCH("fungicide",E339)),ISNUMBER(SEARCH("moss",E339))),"Disease &amp; Moss Control",
OR(ISNUMBER(SEARCH("plant food",E339)),ISNUMBER(SEARCH("miracid",E339))),"Plant Nutrition",
OR(ISNUMBER(SEARCH("perlite",E339))),"Soil Amendment",
OR(ISNUMBER(SEARCH("spreader",E339)),ISNUMBER(SEARCH("sprayer",E339)),ISNUMBER(SEARCH("mower",E339)),ISNUMBER(SEARCH("sweeper",E339)),ISNUMBER(SEARCH("pruner",E339)),ISNUMBER(SEARCH("trimmer",E339)),ISNUMBER(SEARCH("pole saw",E339))),"Garden Equipment",
TRUE,"Other"
)</f>
        <v>Rodent Control</v>
      </c>
      <c r="I339" s="7" t="str" cm="1">
        <f t="array" ref="I339">_xlfn.IFS(
OR(ISNUMBER(SEARCH("glue trap",E339)),ISNUMBER(SEARCH("glue board",E339))),"Glue Traps",
OR(ISNUMBER(SEARCH("snap trap",E339)),ISNUMBER(SEARCH("power-kill",E339)),ISNUMBER(SEARCH("wide pedal",E339)),ISNUMBER(SEARCH("metal pedal",E339))),"Snap Traps",
OR(ISNUMBER(SEARCH("electronic",E339)),ISNUMBER(SEARCH("zapper",E339))),"Electronic Traps",
OR(ISNUMBER(SEARCH("live catch",E339)),ISNUMBER(SEARCH("multi-catch",E339)),ISNUMBER(SEARCH("catch &amp; hold",E339)),ISNUMBER(SEARCH("tin cat",E339))),"Live Catch Traps",
OR(ISNUMBER(SEARCH("bait",E339)),ISNUMBER(SEARCH("poison",E339))),"Bait &amp; Poison",
ISNUMBER(SEARCH("repellent",E339)),"Repellents",
OR(ISNUMBER(SEARCH("fly trap",E339)),ISNUMBER(SEARCH("fly ribbon",E339)),ISNUMBER(SEARCH("fly stick",E339)),ISNUMBER(SEARCH("window fly",E339)),ISNUMBER(SEARCH("fly magnet",E339))),"Fly Traps",
OR(ISNUMBER(SEARCH("uv",E339)),ISNUMBER(SEARCH("fly light",E339)),ISNUMBER(SEARCH("plug-in",E339))),"UV Fly Traps",
ISNUMBER(SEARCH("roach",E339)),"Roach Traps",
ISNUMBER(SEARCH("ant",E339)),"Ant Traps",
ISNUMBER(SEARCH("spider",E339)),"Spider Traps",
ISNUMBER(SEARCH("mosquito",E339)),"Mosquito Traps",
ISNUMBER(SEARCH("beetle",E339)),"Beetle Traps",
ISNUMBER(SEARCH("lantern",E339)),"Lanternfly Control",
OR(ISNUMBER(SEARCH("tree shield",E339)),ISNUMBER(SEARCH("tree banding",E339)),ISNUMBER(SEARCH("insect barrier",E339))),"Tree Barriers",
OR(ISNUMBER(SEARCH("sun &amp; shade",E339)),ISNUMBER(SEARCH("sun and shade",E339))),"Sun &amp; Shade Mix",
ISNUMBER(SEARCH("tall fescue",E339)),"Tall Fescue",
ISNUMBER(SEARCH("bermudagrass",E339)),"Bermudagrass",
ISNUMBER(SEARCH("kentucky",E339)),"Kentucky Bluegrass",
ISNUMBER(SEARCH("zoysia",E339)),"Zoysia",
ISNUMBER(SEARCH("ryegrass",E339)),"Perennial Ryegrass",
ISNUMBER(SEARCH("centipede",E339)),"Centipede Grass",
ISNUMBER(SEARCH("dense shade",E339)),"Dense Shade Mix",
ISNUMBER(SEARCH("southern gold",E339)),"Southern Gold Mix",
ISNUMBER(SEARCH("heat-tolerant blue",E339)),"Heat-Tolerant Blue Mix",
ISNUMBER(SEARCH("high traffic",E339)),"High Traffic Mix",
ISNUMBER(SEARCH("quick fix",E339)),"Quick Fix Mix",
ISNUMBER(SEARCH("starter",E339)),"Starter Fertilizer",
ISNUMBER(SEARCH("weed &amp; feed",E339)),"Weed &amp; Feed",
ISNUMBER(SEARCH("lawn food",E339)),"Lawn Food",
ISNUMBER(SEARCH("triple action",E339)),"Triple Action Fertilizer",
ISNUMBER(SEARCH("green max",E339)),"Green Max Lawn Food",
ISNUMBER(SEARCH("patchmaster",E339)),"PatchMaster Repair",
ISNUMBER(SEARCH("ez seed",E339)),"EZ Seed Repair",
ISNUMBER(SEARCH("rapid grass",E339)),"Rapid Grass",
ISNUMBER(SEARCH("thick'r lawn",E339)),"Thick'R Lawn",
ISNUMBER(SEARCH("fungicide",E339)),"Fungicide",
ISNUMBER(SEARCH("moss",E339)),"Moss Control",
ISNUMBER(SEARCH("perlite",E339)),"Perlite",
ISNUMBER(SEARCH("plant food",E339)),"Plant Food",
ISNUMBER(SEARCH("spreader",E339)),"Spreader",
ISNUMBER(SEARCH("sprayer",E339)),"Sprayer",
ISNUMBER(SEARCH("mower",E339)),"Lawn Mower",
ISNUMBER(SEARCH("sweeper",E339)),"Lawn Sweeper",
OR(ISNUMBER(SEARCH("pruner",E339)),ISNUMBER(SEARCH("trimmer",E339)),ISNUMBER(SEARCH("pole saw",E339))),"Pruning Tools",
TRUE,"Other"
)</f>
        <v>Snap Traps</v>
      </c>
      <c r="J339" s="7" t="str">
        <f t="shared" si="86"/>
        <v>Rodent Control - Snap Traps</v>
      </c>
      <c r="K339" s="4">
        <v>50</v>
      </c>
      <c r="L339" s="4">
        <v>4.2</v>
      </c>
      <c r="M339" s="4">
        <v>25911</v>
      </c>
      <c r="N339" s="4" t="s">
        <v>1560</v>
      </c>
      <c r="O339" s="4">
        <f>VLOOKUP(A339,[4]Sheet1!$A:$B,2,0)</f>
        <v>200</v>
      </c>
      <c r="P339" s="4">
        <f>VLOOKUP(A339,[4]Sheet1!$A:$C,3,0)</f>
        <v>200</v>
      </c>
      <c r="Q339" s="4">
        <f>VLOOKUP(A339,[4]Sheet1!$A:$D,4,0)</f>
        <v>300</v>
      </c>
      <c r="R339" s="4">
        <f>VLOOKUP(A339,[4]Sheet1!$A:$E,5,0)</f>
        <v>600</v>
      </c>
      <c r="S339" s="4">
        <f>VLOOKUP(A339,[4]Sheet1!$A:$F,6,0)</f>
        <v>100</v>
      </c>
      <c r="T339" s="4">
        <f>VLOOKUP(A339,[4]Sheet1!$A:$G,7,0)</f>
        <v>60</v>
      </c>
      <c r="U339" s="4">
        <f>VLOOKUP(A339,[4]Sheet1!$A:$H,8,0)</f>
        <v>0</v>
      </c>
      <c r="V339" s="4">
        <f>VLOOKUP(A339,[4]Sheet1!$A:$I,9,0)</f>
        <v>60</v>
      </c>
      <c r="W339" s="4">
        <f>VLOOKUP(A339,[4]Sheet1!$A:$J,10,0)</f>
        <v>60</v>
      </c>
      <c r="X339" s="4">
        <f>VLOOKUP(A339,[4]Sheet1!$A:$K,11,0)</f>
        <v>0</v>
      </c>
      <c r="Y339" s="4">
        <f>VLOOKUP(A339,[4]Sheet1!$A:$L,12,0)</f>
        <v>100</v>
      </c>
      <c r="Z339" s="4">
        <f>VLOOKUP(A339,[4]Sheet1!$A:$M,13,0)</f>
        <v>200</v>
      </c>
      <c r="AA339" s="4">
        <f t="shared" si="80"/>
        <v>1880</v>
      </c>
      <c r="AB339" s="7">
        <f t="shared" si="87"/>
        <v>157</v>
      </c>
      <c r="AC339" s="15">
        <f t="shared" si="81"/>
        <v>156.66666666666666</v>
      </c>
      <c r="AD339" s="16">
        <f t="shared" si="82"/>
        <v>4681.2000000000007</v>
      </c>
      <c r="AE339" s="16">
        <f t="shared" si="83"/>
        <v>390.1</v>
      </c>
      <c r="AF339" s="16">
        <v>3.01</v>
      </c>
      <c r="AG339" s="16">
        <v>2.4900000000000002</v>
      </c>
      <c r="AH339" s="15">
        <f t="shared" si="84"/>
        <v>-0.20093333333333338</v>
      </c>
      <c r="AI339" s="15">
        <f t="shared" si="85"/>
        <v>-0.70326666666666671</v>
      </c>
      <c r="AJ339" s="10">
        <v>0.5</v>
      </c>
      <c r="AK339" s="10">
        <v>0.5</v>
      </c>
      <c r="AL339" s="16">
        <v>3.01</v>
      </c>
      <c r="AM339" s="9">
        <f t="shared" si="88"/>
        <v>0.3735</v>
      </c>
      <c r="AN339" s="9">
        <f t="shared" si="89"/>
        <v>7.4700000000000003E-2</v>
      </c>
      <c r="AO339" s="9">
        <f t="shared" si="90"/>
        <v>0.49800000000000005</v>
      </c>
      <c r="AP339" s="9">
        <f t="shared" si="91"/>
        <v>4.9800000000000004E-2</v>
      </c>
      <c r="AQ339" s="9">
        <f t="shared" si="92"/>
        <v>0.49800000000000005</v>
      </c>
      <c r="AR339" s="9">
        <f t="shared" si="93"/>
        <v>0.62250000000000005</v>
      </c>
      <c r="AS339" s="11">
        <f t="shared" si="94"/>
        <v>-2.0093333333333336</v>
      </c>
      <c r="AT339" s="12">
        <f t="shared" si="95"/>
        <v>-2.0923333333333334</v>
      </c>
    </row>
    <row r="340" spans="1:46" ht="16.5" x14ac:dyDescent="0.4">
      <c r="A340" s="4" t="s">
        <v>1561</v>
      </c>
      <c r="B340" s="4" t="s">
        <v>1314</v>
      </c>
      <c r="C340" s="7" t="s">
        <v>1796</v>
      </c>
      <c r="D340" s="4" t="s">
        <v>1562</v>
      </c>
      <c r="E340" s="4" t="s">
        <v>1563</v>
      </c>
      <c r="F340" s="4" t="s">
        <v>1564</v>
      </c>
      <c r="G340" s="7" t="str">
        <f>VLOOKUP(A340,[1]done!$A:$I,9,0)</f>
        <v>Rodent</v>
      </c>
      <c r="H340" s="7" t="str" cm="1">
        <f t="array" ref="H340">_xlfn.IFS(
OR(ISNUMBER(SEARCH("mouse",E340)),ISNUMBER(SEARCH("rat",E340)),ISNUMBER(SEARCH("mice",E340)),ISNUMBER(SEARCH("rodent",E340))),"Rodent Control",
OR(ISNUMBER(SEARCH("fly",E340)),ISNUMBER(SEARCH("gnat",E340)),ISNUMBER(SEARCH("insect",E340)),ISNUMBER(SEARCH("mosquito",E340))),"Flying Insect Control",
OR(ISNUMBER(SEARCH("roach",E340)),ISNUMBER(SEARCH("ant",E340)),ISNUMBER(SEARCH("spider",E340)),ISNUMBER(SEARCH("cricket",E340)),ISNUMBER(SEARCH("scorpion",E340)),ISNUMBER(SEARCH("centipede",E340)),ISNUMBER(SEARCH("beetle",E340))),"Crawling Insect Control",
OR(ISNUMBER(SEARCH("tree",E340)),ISNUMBER(SEARCH("lantern",E340)),ISNUMBER(SEARCH("garden",E340)),ISNUMBER(SEARCH("plant",E340))),"Garden Pest Control",
OR(ISNUMBER(SEARCH("grass seed",E340)),ISNUMBER(SEARCH("seed mix",E340))),"Grass Seed",
OR(ISNUMBER(SEARCH("lawn food",E340)),ISNUMBER(SEARCH("fertilizer",E340))),"Lawn Fertilizer",
OR(ISNUMBER(SEARCH("patch",E340)),ISNUMBER(SEARCH("repair",E340)),ISNUMBER(SEARCH("thick'r",E340)),ISNUMBER(SEARCH("thick'r lawn",E340)),ISNUMBER(SEARCH("rapid grass",E340))),"Lawn Repair",
OR(ISNUMBER(SEARCH("weed",E340)),ISNUMBER(SEARCH("crabgrass",E340))),"Weed Control",
OR(ISNUMBER(SEARCH("fungicide",E340)),ISNUMBER(SEARCH("moss",E340))),"Disease &amp; Moss Control",
OR(ISNUMBER(SEARCH("plant food",E340)),ISNUMBER(SEARCH("miracid",E340))),"Plant Nutrition",
OR(ISNUMBER(SEARCH("perlite",E340))),"Soil Amendment",
OR(ISNUMBER(SEARCH("spreader",E340)),ISNUMBER(SEARCH("sprayer",E340)),ISNUMBER(SEARCH("mower",E340)),ISNUMBER(SEARCH("sweeper",E340)),ISNUMBER(SEARCH("pruner",E340)),ISNUMBER(SEARCH("trimmer",E340)),ISNUMBER(SEARCH("pole saw",E340))),"Garden Equipment",
TRUE,"Other"
)</f>
        <v>Rodent Control</v>
      </c>
      <c r="I340" s="7" t="str" cm="1">
        <f t="array" ref="I340">_xlfn.IFS(
OR(ISNUMBER(SEARCH("glue trap",E340)),ISNUMBER(SEARCH("glue board",E340))),"Glue Traps",
OR(ISNUMBER(SEARCH("snap trap",E340)),ISNUMBER(SEARCH("power-kill",E340)),ISNUMBER(SEARCH("wide pedal",E340)),ISNUMBER(SEARCH("metal pedal",E340))),"Snap Traps",
OR(ISNUMBER(SEARCH("electronic",E340)),ISNUMBER(SEARCH("zapper",E340))),"Electronic Traps",
OR(ISNUMBER(SEARCH("live catch",E340)),ISNUMBER(SEARCH("multi-catch",E340)),ISNUMBER(SEARCH("catch &amp; hold",E340)),ISNUMBER(SEARCH("tin cat",E340))),"Live Catch Traps",
OR(ISNUMBER(SEARCH("bait",E340)),ISNUMBER(SEARCH("poison",E340))),"Bait &amp; Poison",
ISNUMBER(SEARCH("repellent",E340)),"Repellents",
OR(ISNUMBER(SEARCH("fly trap",E340)),ISNUMBER(SEARCH("fly ribbon",E340)),ISNUMBER(SEARCH("fly stick",E340)),ISNUMBER(SEARCH("window fly",E340)),ISNUMBER(SEARCH("fly magnet",E340))),"Fly Traps",
OR(ISNUMBER(SEARCH("uv",E340)),ISNUMBER(SEARCH("fly light",E340)),ISNUMBER(SEARCH("plug-in",E340))),"UV Fly Traps",
ISNUMBER(SEARCH("roach",E340)),"Roach Traps",
ISNUMBER(SEARCH("ant",E340)),"Ant Traps",
ISNUMBER(SEARCH("spider",E340)),"Spider Traps",
ISNUMBER(SEARCH("mosquito",E340)),"Mosquito Traps",
ISNUMBER(SEARCH("beetle",E340)),"Beetle Traps",
ISNUMBER(SEARCH("lantern",E340)),"Lanternfly Control",
OR(ISNUMBER(SEARCH("tree shield",E340)),ISNUMBER(SEARCH("tree banding",E340)),ISNUMBER(SEARCH("insect barrier",E340))),"Tree Barriers",
OR(ISNUMBER(SEARCH("sun &amp; shade",E340)),ISNUMBER(SEARCH("sun and shade",E340))),"Sun &amp; Shade Mix",
ISNUMBER(SEARCH("tall fescue",E340)),"Tall Fescue",
ISNUMBER(SEARCH("bermudagrass",E340)),"Bermudagrass",
ISNUMBER(SEARCH("kentucky",E340)),"Kentucky Bluegrass",
ISNUMBER(SEARCH("zoysia",E340)),"Zoysia",
ISNUMBER(SEARCH("ryegrass",E340)),"Perennial Ryegrass",
ISNUMBER(SEARCH("centipede",E340)),"Centipede Grass",
ISNUMBER(SEARCH("dense shade",E340)),"Dense Shade Mix",
ISNUMBER(SEARCH("southern gold",E340)),"Southern Gold Mix",
ISNUMBER(SEARCH("heat-tolerant blue",E340)),"Heat-Tolerant Blue Mix",
ISNUMBER(SEARCH("high traffic",E340)),"High Traffic Mix",
ISNUMBER(SEARCH("quick fix",E340)),"Quick Fix Mix",
ISNUMBER(SEARCH("starter",E340)),"Starter Fertilizer",
ISNUMBER(SEARCH("weed &amp; feed",E340)),"Weed &amp; Feed",
ISNUMBER(SEARCH("lawn food",E340)),"Lawn Food",
ISNUMBER(SEARCH("triple action",E340)),"Triple Action Fertilizer",
ISNUMBER(SEARCH("green max",E340)),"Green Max Lawn Food",
ISNUMBER(SEARCH("patchmaster",E340)),"PatchMaster Repair",
ISNUMBER(SEARCH("ez seed",E340)),"EZ Seed Repair",
ISNUMBER(SEARCH("rapid grass",E340)),"Rapid Grass",
ISNUMBER(SEARCH("thick'r lawn",E340)),"Thick'R Lawn",
ISNUMBER(SEARCH("fungicide",E340)),"Fungicide",
ISNUMBER(SEARCH("moss",E340)),"Moss Control",
ISNUMBER(SEARCH("perlite",E340)),"Perlite",
ISNUMBER(SEARCH("plant food",E340)),"Plant Food",
ISNUMBER(SEARCH("spreader",E340)),"Spreader",
ISNUMBER(SEARCH("sprayer",E340)),"Sprayer",
ISNUMBER(SEARCH("mower",E340)),"Lawn Mower",
ISNUMBER(SEARCH("sweeper",E340)),"Lawn Sweeper",
OR(ISNUMBER(SEARCH("pruner",E340)),ISNUMBER(SEARCH("trimmer",E340)),ISNUMBER(SEARCH("pole saw",E340))),"Pruning Tools",
TRUE,"Other"
)</f>
        <v>Electronic Traps</v>
      </c>
      <c r="J340" s="7" t="str">
        <f t="shared" si="86"/>
        <v>Rodent Control - Electronic Traps</v>
      </c>
      <c r="K340" s="4">
        <v>50</v>
      </c>
      <c r="L340" s="4">
        <v>3.7</v>
      </c>
      <c r="M340" s="4">
        <v>50</v>
      </c>
      <c r="N340" s="4" t="s">
        <v>1443</v>
      </c>
      <c r="O340" s="4">
        <f>VLOOKUP(A340,[4]Sheet1!$A:$B,2,0)</f>
        <v>100</v>
      </c>
      <c r="P340" s="4">
        <f>VLOOKUP(A340,[4]Sheet1!$A:$C,3,0)</f>
        <v>100</v>
      </c>
      <c r="Q340" s="4">
        <f>VLOOKUP(A340,[4]Sheet1!$A:$D,4,0)</f>
        <v>50</v>
      </c>
      <c r="R340" s="4">
        <f>VLOOKUP(A340,[4]Sheet1!$A:$E,5,0)</f>
        <v>0</v>
      </c>
      <c r="S340" s="4">
        <f>VLOOKUP(A340,[4]Sheet1!$A:$F,6,0)</f>
        <v>50</v>
      </c>
      <c r="T340" s="4">
        <f>VLOOKUP(A340,[4]Sheet1!$A:$G,7,0)</f>
        <v>50</v>
      </c>
      <c r="U340" s="4">
        <f>VLOOKUP(A340,[4]Sheet1!$A:$H,8,0)</f>
        <v>50</v>
      </c>
      <c r="V340" s="4">
        <f>VLOOKUP(A340,[4]Sheet1!$A:$I,9,0)</f>
        <v>50</v>
      </c>
      <c r="W340" s="4">
        <f>VLOOKUP(A340,[4]Sheet1!$A:$J,10,0)</f>
        <v>50</v>
      </c>
      <c r="X340" s="4">
        <f>VLOOKUP(A340,[4]Sheet1!$A:$K,11,0)</f>
        <v>100</v>
      </c>
      <c r="Y340" s="4">
        <f>VLOOKUP(A340,[4]Sheet1!$A:$L,12,0)</f>
        <v>100</v>
      </c>
      <c r="Z340" s="4">
        <f>VLOOKUP(A340,[4]Sheet1!$A:$M,13,0)</f>
        <v>100</v>
      </c>
      <c r="AA340" s="4">
        <f t="shared" si="80"/>
        <v>800</v>
      </c>
      <c r="AB340" s="7">
        <f t="shared" si="87"/>
        <v>67</v>
      </c>
      <c r="AC340" s="15">
        <f t="shared" si="81"/>
        <v>66.666666666666671</v>
      </c>
      <c r="AD340" s="16">
        <f t="shared" si="82"/>
        <v>89256</v>
      </c>
      <c r="AE340" s="16">
        <f t="shared" si="83"/>
        <v>7438</v>
      </c>
      <c r="AF340" s="16">
        <v>7.34</v>
      </c>
      <c r="AG340" s="16">
        <v>111.57</v>
      </c>
      <c r="AH340" s="15">
        <f t="shared" si="84"/>
        <v>2.4191999999999996</v>
      </c>
      <c r="AI340" s="15">
        <f t="shared" si="85"/>
        <v>8.4671999999999965</v>
      </c>
      <c r="AJ340" s="10">
        <v>0.5</v>
      </c>
      <c r="AK340" s="10">
        <v>0.5</v>
      </c>
      <c r="AL340" s="16">
        <v>7.34</v>
      </c>
      <c r="AM340" s="9">
        <f t="shared" si="88"/>
        <v>16.735499999999998</v>
      </c>
      <c r="AN340" s="9">
        <f t="shared" si="89"/>
        <v>3.3470999999999997</v>
      </c>
      <c r="AO340" s="9">
        <f t="shared" si="90"/>
        <v>22.314</v>
      </c>
      <c r="AP340" s="9">
        <f t="shared" si="91"/>
        <v>2.2313999999999998</v>
      </c>
      <c r="AQ340" s="9">
        <f t="shared" si="92"/>
        <v>22.314</v>
      </c>
      <c r="AR340" s="9">
        <f t="shared" si="93"/>
        <v>27.892499999999998</v>
      </c>
      <c r="AS340" s="11">
        <f t="shared" si="94"/>
        <v>24.191999999999993</v>
      </c>
      <c r="AT340" s="12">
        <f t="shared" si="95"/>
        <v>20.472999999999995</v>
      </c>
    </row>
    <row r="341" spans="1:46" ht="16.5" x14ac:dyDescent="0.4">
      <c r="A341" s="4" t="s">
        <v>1565</v>
      </c>
      <c r="B341" s="4" t="s">
        <v>1314</v>
      </c>
      <c r="C341" s="7" t="s">
        <v>1798</v>
      </c>
      <c r="D341" s="4" t="s">
        <v>1566</v>
      </c>
      <c r="E341" s="4" t="s">
        <v>1567</v>
      </c>
      <c r="F341" s="4" t="s">
        <v>1568</v>
      </c>
      <c r="G341" s="7" t="str">
        <f>VLOOKUP(A341,[1]done!$A:$I,9,0)</f>
        <v>Rodent</v>
      </c>
      <c r="H341" s="7" t="str" cm="1">
        <f t="array" ref="H341">_xlfn.IFS(
OR(ISNUMBER(SEARCH("mouse",E341)),ISNUMBER(SEARCH("rat",E341)),ISNUMBER(SEARCH("mice",E341)),ISNUMBER(SEARCH("rodent",E341))),"Rodent Control",
OR(ISNUMBER(SEARCH("fly",E341)),ISNUMBER(SEARCH("gnat",E341)),ISNUMBER(SEARCH("insect",E341)),ISNUMBER(SEARCH("mosquito",E341))),"Flying Insect Control",
OR(ISNUMBER(SEARCH("roach",E341)),ISNUMBER(SEARCH("ant",E341)),ISNUMBER(SEARCH("spider",E341)),ISNUMBER(SEARCH("cricket",E341)),ISNUMBER(SEARCH("scorpion",E341)),ISNUMBER(SEARCH("centipede",E341)),ISNUMBER(SEARCH("beetle",E341))),"Crawling Insect Control",
OR(ISNUMBER(SEARCH("tree",E341)),ISNUMBER(SEARCH("lantern",E341)),ISNUMBER(SEARCH("garden",E341)),ISNUMBER(SEARCH("plant",E341))),"Garden Pest Control",
OR(ISNUMBER(SEARCH("grass seed",E341)),ISNUMBER(SEARCH("seed mix",E341))),"Grass Seed",
OR(ISNUMBER(SEARCH("lawn food",E341)),ISNUMBER(SEARCH("fertilizer",E341))),"Lawn Fertilizer",
OR(ISNUMBER(SEARCH("patch",E341)),ISNUMBER(SEARCH("repair",E341)),ISNUMBER(SEARCH("thick'r",E341)),ISNUMBER(SEARCH("thick'r lawn",E341)),ISNUMBER(SEARCH("rapid grass",E341))),"Lawn Repair",
OR(ISNUMBER(SEARCH("weed",E341)),ISNUMBER(SEARCH("crabgrass",E341))),"Weed Control",
OR(ISNUMBER(SEARCH("fungicide",E341)),ISNUMBER(SEARCH("moss",E341))),"Disease &amp; Moss Control",
OR(ISNUMBER(SEARCH("plant food",E341)),ISNUMBER(SEARCH("miracid",E341))),"Plant Nutrition",
OR(ISNUMBER(SEARCH("perlite",E341))),"Soil Amendment",
OR(ISNUMBER(SEARCH("spreader",E341)),ISNUMBER(SEARCH("sprayer",E341)),ISNUMBER(SEARCH("mower",E341)),ISNUMBER(SEARCH("sweeper",E341)),ISNUMBER(SEARCH("pruner",E341)),ISNUMBER(SEARCH("trimmer",E341)),ISNUMBER(SEARCH("pole saw",E341))),"Garden Equipment",
TRUE,"Other"
)</f>
        <v>Rodent Control</v>
      </c>
      <c r="I341" s="7" t="str" cm="1">
        <f t="array" ref="I341">_xlfn.IFS(
OR(ISNUMBER(SEARCH("glue trap",E341)),ISNUMBER(SEARCH("glue board",E341))),"Glue Traps",
OR(ISNUMBER(SEARCH("snap trap",E341)),ISNUMBER(SEARCH("power-kill",E341)),ISNUMBER(SEARCH("wide pedal",E341)),ISNUMBER(SEARCH("metal pedal",E341))),"Snap Traps",
OR(ISNUMBER(SEARCH("electronic",E341)),ISNUMBER(SEARCH("zapper",E341))),"Electronic Traps",
OR(ISNUMBER(SEARCH("live catch",E341)),ISNUMBER(SEARCH("multi-catch",E341)),ISNUMBER(SEARCH("catch &amp; hold",E341)),ISNUMBER(SEARCH("tin cat",E341))),"Live Catch Traps",
OR(ISNUMBER(SEARCH("bait",E341)),ISNUMBER(SEARCH("poison",E341))),"Bait &amp; Poison",
ISNUMBER(SEARCH("repellent",E341)),"Repellents",
OR(ISNUMBER(SEARCH("fly trap",E341)),ISNUMBER(SEARCH("fly ribbon",E341)),ISNUMBER(SEARCH("fly stick",E341)),ISNUMBER(SEARCH("window fly",E341)),ISNUMBER(SEARCH("fly magnet",E341))),"Fly Traps",
OR(ISNUMBER(SEARCH("uv",E341)),ISNUMBER(SEARCH("fly light",E341)),ISNUMBER(SEARCH("plug-in",E341))),"UV Fly Traps",
ISNUMBER(SEARCH("roach",E341)),"Roach Traps",
ISNUMBER(SEARCH("ant",E341)),"Ant Traps",
ISNUMBER(SEARCH("spider",E341)),"Spider Traps",
ISNUMBER(SEARCH("mosquito",E341)),"Mosquito Traps",
ISNUMBER(SEARCH("beetle",E341)),"Beetle Traps",
ISNUMBER(SEARCH("lantern",E341)),"Lanternfly Control",
OR(ISNUMBER(SEARCH("tree shield",E341)),ISNUMBER(SEARCH("tree banding",E341)),ISNUMBER(SEARCH("insect barrier",E341))),"Tree Barriers",
OR(ISNUMBER(SEARCH("sun &amp; shade",E341)),ISNUMBER(SEARCH("sun and shade",E341))),"Sun &amp; Shade Mix",
ISNUMBER(SEARCH("tall fescue",E341)),"Tall Fescue",
ISNUMBER(SEARCH("bermudagrass",E341)),"Bermudagrass",
ISNUMBER(SEARCH("kentucky",E341)),"Kentucky Bluegrass",
ISNUMBER(SEARCH("zoysia",E341)),"Zoysia",
ISNUMBER(SEARCH("ryegrass",E341)),"Perennial Ryegrass",
ISNUMBER(SEARCH("centipede",E341)),"Centipede Grass",
ISNUMBER(SEARCH("dense shade",E341)),"Dense Shade Mix",
ISNUMBER(SEARCH("southern gold",E341)),"Southern Gold Mix",
ISNUMBER(SEARCH("heat-tolerant blue",E341)),"Heat-Tolerant Blue Mix",
ISNUMBER(SEARCH("high traffic",E341)),"High Traffic Mix",
ISNUMBER(SEARCH("quick fix",E341)),"Quick Fix Mix",
ISNUMBER(SEARCH("starter",E341)),"Starter Fertilizer",
ISNUMBER(SEARCH("weed &amp; feed",E341)),"Weed &amp; Feed",
ISNUMBER(SEARCH("lawn food",E341)),"Lawn Food",
ISNUMBER(SEARCH("triple action",E341)),"Triple Action Fertilizer",
ISNUMBER(SEARCH("green max",E341)),"Green Max Lawn Food",
ISNUMBER(SEARCH("patchmaster",E341)),"PatchMaster Repair",
ISNUMBER(SEARCH("ez seed",E341)),"EZ Seed Repair",
ISNUMBER(SEARCH("rapid grass",E341)),"Rapid Grass",
ISNUMBER(SEARCH("thick'r lawn",E341)),"Thick'R Lawn",
ISNUMBER(SEARCH("fungicide",E341)),"Fungicide",
ISNUMBER(SEARCH("moss",E341)),"Moss Control",
ISNUMBER(SEARCH("perlite",E341)),"Perlite",
ISNUMBER(SEARCH("plant food",E341)),"Plant Food",
ISNUMBER(SEARCH("spreader",E341)),"Spreader",
ISNUMBER(SEARCH("sprayer",E341)),"Sprayer",
ISNUMBER(SEARCH("mower",E341)),"Lawn Mower",
ISNUMBER(SEARCH("sweeper",E341)),"Lawn Sweeper",
OR(ISNUMBER(SEARCH("pruner",E341)),ISNUMBER(SEARCH("trimmer",E341)),ISNUMBER(SEARCH("pole saw",E341))),"Pruning Tools",
TRUE,"Other"
)</f>
        <v>Other</v>
      </c>
      <c r="J341" s="7" t="str">
        <f t="shared" si="86"/>
        <v>Rodent Control - Other</v>
      </c>
      <c r="K341" s="4">
        <v>50</v>
      </c>
      <c r="L341" s="4">
        <v>4.4000000000000004</v>
      </c>
      <c r="M341" s="4">
        <v>318</v>
      </c>
      <c r="N341" s="4" t="s">
        <v>1569</v>
      </c>
      <c r="O341" s="4">
        <f>VLOOKUP(A341,[4]Sheet1!$A:$B,2,0)</f>
        <v>0</v>
      </c>
      <c r="P341" s="4">
        <f>VLOOKUP(A341,[4]Sheet1!$A:$C,3,0)</f>
        <v>0</v>
      </c>
      <c r="Q341" s="4">
        <f>VLOOKUP(A341,[4]Sheet1!$A:$D,4,0)</f>
        <v>60</v>
      </c>
      <c r="R341" s="4">
        <f>VLOOKUP(A341,[4]Sheet1!$A:$E,5,0)</f>
        <v>60</v>
      </c>
      <c r="S341" s="4">
        <f>VLOOKUP(A341,[4]Sheet1!$A:$F,6,0)</f>
        <v>60</v>
      </c>
      <c r="T341" s="4">
        <f>VLOOKUP(A341,[4]Sheet1!$A:$G,7,0)</f>
        <v>60</v>
      </c>
      <c r="U341" s="4">
        <f>VLOOKUP(A341,[4]Sheet1!$A:$H,8,0)</f>
        <v>60</v>
      </c>
      <c r="V341" s="4">
        <f>VLOOKUP(A341,[4]Sheet1!$A:$I,9,0)</f>
        <v>60</v>
      </c>
      <c r="W341" s="4">
        <f>VLOOKUP(A341,[4]Sheet1!$A:$J,10,0)</f>
        <v>60</v>
      </c>
      <c r="X341" s="4">
        <f>VLOOKUP(A341,[4]Sheet1!$A:$K,11,0)</f>
        <v>0</v>
      </c>
      <c r="Y341" s="4">
        <f>VLOOKUP(A341,[4]Sheet1!$A:$L,12,0)</f>
        <v>0</v>
      </c>
      <c r="Z341" s="4">
        <f>VLOOKUP(A341,[4]Sheet1!$A:$M,13,0)</f>
        <v>0</v>
      </c>
      <c r="AA341" s="4">
        <f t="shared" si="80"/>
        <v>420</v>
      </c>
      <c r="AB341" s="7">
        <f t="shared" si="87"/>
        <v>35</v>
      </c>
      <c r="AC341" s="15">
        <f t="shared" si="81"/>
        <v>35</v>
      </c>
      <c r="AD341" s="16">
        <f t="shared" si="82"/>
        <v>24565.8</v>
      </c>
      <c r="AE341" s="16">
        <f t="shared" si="83"/>
        <v>2047.15</v>
      </c>
      <c r="AF341" s="16">
        <v>7.98</v>
      </c>
      <c r="AG341" s="16">
        <v>58.49</v>
      </c>
      <c r="AH341" s="15">
        <f t="shared" si="84"/>
        <v>0.96106666666666674</v>
      </c>
      <c r="AI341" s="15">
        <f t="shared" si="85"/>
        <v>3.3637333333333332</v>
      </c>
      <c r="AJ341" s="10">
        <v>0.5</v>
      </c>
      <c r="AK341" s="10">
        <v>0.5</v>
      </c>
      <c r="AL341" s="16">
        <v>7.98</v>
      </c>
      <c r="AM341" s="9">
        <f t="shared" si="88"/>
        <v>8.7735000000000003</v>
      </c>
      <c r="AN341" s="9">
        <f t="shared" si="89"/>
        <v>1.7546999999999999</v>
      </c>
      <c r="AO341" s="9">
        <f t="shared" si="90"/>
        <v>11.698</v>
      </c>
      <c r="AP341" s="9">
        <f t="shared" si="91"/>
        <v>1.1698000000000002</v>
      </c>
      <c r="AQ341" s="9">
        <f t="shared" si="92"/>
        <v>11.698</v>
      </c>
      <c r="AR341" s="9">
        <f t="shared" si="93"/>
        <v>14.6225</v>
      </c>
      <c r="AS341" s="11">
        <f t="shared" si="94"/>
        <v>9.6106666666666669</v>
      </c>
      <c r="AT341" s="12">
        <f t="shared" si="95"/>
        <v>7.6610000000000005</v>
      </c>
    </row>
    <row r="342" spans="1:46" ht="16.5" x14ac:dyDescent="0.4">
      <c r="A342" s="4" t="s">
        <v>1570</v>
      </c>
      <c r="B342" s="4" t="s">
        <v>1314</v>
      </c>
      <c r="C342" s="7" t="s">
        <v>1796</v>
      </c>
      <c r="D342" s="4" t="s">
        <v>1571</v>
      </c>
      <c r="E342" s="4" t="s">
        <v>1572</v>
      </c>
      <c r="F342" s="4" t="s">
        <v>1573</v>
      </c>
      <c r="G342" s="7" t="str">
        <f>VLOOKUP(A342,[1]done!$A:$I,9,0)</f>
        <v>Rodent</v>
      </c>
      <c r="H342" s="7" t="str" cm="1">
        <f t="array" ref="H342">_xlfn.IFS(
OR(ISNUMBER(SEARCH("mouse",E342)),ISNUMBER(SEARCH("rat",E342)),ISNUMBER(SEARCH("mice",E342)),ISNUMBER(SEARCH("rodent",E342))),"Rodent Control",
OR(ISNUMBER(SEARCH("fly",E342)),ISNUMBER(SEARCH("gnat",E342)),ISNUMBER(SEARCH("insect",E342)),ISNUMBER(SEARCH("mosquito",E342))),"Flying Insect Control",
OR(ISNUMBER(SEARCH("roach",E342)),ISNUMBER(SEARCH("ant",E342)),ISNUMBER(SEARCH("spider",E342)),ISNUMBER(SEARCH("cricket",E342)),ISNUMBER(SEARCH("scorpion",E342)),ISNUMBER(SEARCH("centipede",E342)),ISNUMBER(SEARCH("beetle",E342))),"Crawling Insect Control",
OR(ISNUMBER(SEARCH("tree",E342)),ISNUMBER(SEARCH("lantern",E342)),ISNUMBER(SEARCH("garden",E342)),ISNUMBER(SEARCH("plant",E342))),"Garden Pest Control",
OR(ISNUMBER(SEARCH("grass seed",E342)),ISNUMBER(SEARCH("seed mix",E342))),"Grass Seed",
OR(ISNUMBER(SEARCH("lawn food",E342)),ISNUMBER(SEARCH("fertilizer",E342))),"Lawn Fertilizer",
OR(ISNUMBER(SEARCH("patch",E342)),ISNUMBER(SEARCH("repair",E342)),ISNUMBER(SEARCH("thick'r",E342)),ISNUMBER(SEARCH("thick'r lawn",E342)),ISNUMBER(SEARCH("rapid grass",E342))),"Lawn Repair",
OR(ISNUMBER(SEARCH("weed",E342)),ISNUMBER(SEARCH("crabgrass",E342))),"Weed Control",
OR(ISNUMBER(SEARCH("fungicide",E342)),ISNUMBER(SEARCH("moss",E342))),"Disease &amp; Moss Control",
OR(ISNUMBER(SEARCH("plant food",E342)),ISNUMBER(SEARCH("miracid",E342))),"Plant Nutrition",
OR(ISNUMBER(SEARCH("perlite",E342))),"Soil Amendment",
OR(ISNUMBER(SEARCH("spreader",E342)),ISNUMBER(SEARCH("sprayer",E342)),ISNUMBER(SEARCH("mower",E342)),ISNUMBER(SEARCH("sweeper",E342)),ISNUMBER(SEARCH("pruner",E342)),ISNUMBER(SEARCH("trimmer",E342)),ISNUMBER(SEARCH("pole saw",E342))),"Garden Equipment",
TRUE,"Other"
)</f>
        <v>Rodent Control</v>
      </c>
      <c r="I342" s="7" t="str" cm="1">
        <f t="array" ref="I342">_xlfn.IFS(
OR(ISNUMBER(SEARCH("glue trap",E342)),ISNUMBER(SEARCH("glue board",E342))),"Glue Traps",
OR(ISNUMBER(SEARCH("snap trap",E342)),ISNUMBER(SEARCH("power-kill",E342)),ISNUMBER(SEARCH("wide pedal",E342)),ISNUMBER(SEARCH("metal pedal",E342))),"Snap Traps",
OR(ISNUMBER(SEARCH("electronic",E342)),ISNUMBER(SEARCH("zapper",E342))),"Electronic Traps",
OR(ISNUMBER(SEARCH("live catch",E342)),ISNUMBER(SEARCH("multi-catch",E342)),ISNUMBER(SEARCH("catch &amp; hold",E342)),ISNUMBER(SEARCH("tin cat",E342))),"Live Catch Traps",
OR(ISNUMBER(SEARCH("bait",E342)),ISNUMBER(SEARCH("poison",E342))),"Bait &amp; Poison",
ISNUMBER(SEARCH("repellent",E342)),"Repellents",
OR(ISNUMBER(SEARCH("fly trap",E342)),ISNUMBER(SEARCH("fly ribbon",E342)),ISNUMBER(SEARCH("fly stick",E342)),ISNUMBER(SEARCH("window fly",E342)),ISNUMBER(SEARCH("fly magnet",E342))),"Fly Traps",
OR(ISNUMBER(SEARCH("uv",E342)),ISNUMBER(SEARCH("fly light",E342)),ISNUMBER(SEARCH("plug-in",E342))),"UV Fly Traps",
ISNUMBER(SEARCH("roach",E342)),"Roach Traps",
ISNUMBER(SEARCH("ant",E342)),"Ant Traps",
ISNUMBER(SEARCH("spider",E342)),"Spider Traps",
ISNUMBER(SEARCH("mosquito",E342)),"Mosquito Traps",
ISNUMBER(SEARCH("beetle",E342)),"Beetle Traps",
ISNUMBER(SEARCH("lantern",E342)),"Lanternfly Control",
OR(ISNUMBER(SEARCH("tree shield",E342)),ISNUMBER(SEARCH("tree banding",E342)),ISNUMBER(SEARCH("insect barrier",E342))),"Tree Barriers",
OR(ISNUMBER(SEARCH("sun &amp; shade",E342)),ISNUMBER(SEARCH("sun and shade",E342))),"Sun &amp; Shade Mix",
ISNUMBER(SEARCH("tall fescue",E342)),"Tall Fescue",
ISNUMBER(SEARCH("bermudagrass",E342)),"Bermudagrass",
ISNUMBER(SEARCH("kentucky",E342)),"Kentucky Bluegrass",
ISNUMBER(SEARCH("zoysia",E342)),"Zoysia",
ISNUMBER(SEARCH("ryegrass",E342)),"Perennial Ryegrass",
ISNUMBER(SEARCH("centipede",E342)),"Centipede Grass",
ISNUMBER(SEARCH("dense shade",E342)),"Dense Shade Mix",
ISNUMBER(SEARCH("southern gold",E342)),"Southern Gold Mix",
ISNUMBER(SEARCH("heat-tolerant blue",E342)),"Heat-Tolerant Blue Mix",
ISNUMBER(SEARCH("high traffic",E342)),"High Traffic Mix",
ISNUMBER(SEARCH("quick fix",E342)),"Quick Fix Mix",
ISNUMBER(SEARCH("starter",E342)),"Starter Fertilizer",
ISNUMBER(SEARCH("weed &amp; feed",E342)),"Weed &amp; Feed",
ISNUMBER(SEARCH("lawn food",E342)),"Lawn Food",
ISNUMBER(SEARCH("triple action",E342)),"Triple Action Fertilizer",
ISNUMBER(SEARCH("green max",E342)),"Green Max Lawn Food",
ISNUMBER(SEARCH("patchmaster",E342)),"PatchMaster Repair",
ISNUMBER(SEARCH("ez seed",E342)),"EZ Seed Repair",
ISNUMBER(SEARCH("rapid grass",E342)),"Rapid Grass",
ISNUMBER(SEARCH("thick'r lawn",E342)),"Thick'R Lawn",
ISNUMBER(SEARCH("fungicide",E342)),"Fungicide",
ISNUMBER(SEARCH("moss",E342)),"Moss Control",
ISNUMBER(SEARCH("perlite",E342)),"Perlite",
ISNUMBER(SEARCH("plant food",E342)),"Plant Food",
ISNUMBER(SEARCH("spreader",E342)),"Spreader",
ISNUMBER(SEARCH("sprayer",E342)),"Sprayer",
ISNUMBER(SEARCH("mower",E342)),"Lawn Mower",
ISNUMBER(SEARCH("sweeper",E342)),"Lawn Sweeper",
OR(ISNUMBER(SEARCH("pruner",E342)),ISNUMBER(SEARCH("trimmer",E342)),ISNUMBER(SEARCH("pole saw",E342))),"Pruning Tools",
TRUE,"Other"
)</f>
        <v>Electronic Traps</v>
      </c>
      <c r="J342" s="7" t="str">
        <f t="shared" si="86"/>
        <v>Rodent Control - Electronic Traps</v>
      </c>
      <c r="K342" s="4">
        <v>50</v>
      </c>
      <c r="L342" s="4">
        <v>3.8</v>
      </c>
      <c r="M342" s="4">
        <v>596</v>
      </c>
      <c r="N342" s="4" t="s">
        <v>1443</v>
      </c>
      <c r="O342" s="4">
        <f>VLOOKUP(A342,[4]Sheet1!$A:$B,2,0)</f>
        <v>50</v>
      </c>
      <c r="P342" s="4">
        <f>VLOOKUP(A342,[4]Sheet1!$A:$C,3,0)</f>
        <v>50</v>
      </c>
      <c r="Q342" s="4">
        <f>VLOOKUP(A342,[4]Sheet1!$A:$D,4,0)</f>
        <v>50</v>
      </c>
      <c r="R342" s="4">
        <f>VLOOKUP(A342,[4]Sheet1!$A:$E,5,0)</f>
        <v>0</v>
      </c>
      <c r="S342" s="4">
        <f>VLOOKUP(A342,[4]Sheet1!$A:$F,6,0)</f>
        <v>50</v>
      </c>
      <c r="T342" s="4">
        <f>VLOOKUP(A342,[4]Sheet1!$A:$G,7,0)</f>
        <v>50</v>
      </c>
      <c r="U342" s="4">
        <f>VLOOKUP(A342,[4]Sheet1!$A:$H,8,0)</f>
        <v>50</v>
      </c>
      <c r="V342" s="4">
        <f>VLOOKUP(A342,[4]Sheet1!$A:$I,9,0)</f>
        <v>50</v>
      </c>
      <c r="W342" s="4">
        <f>VLOOKUP(A342,[4]Sheet1!$A:$J,10,0)</f>
        <v>100</v>
      </c>
      <c r="X342" s="4">
        <f>VLOOKUP(A342,[4]Sheet1!$A:$K,11,0)</f>
        <v>100</v>
      </c>
      <c r="Y342" s="4">
        <f>VLOOKUP(A342,[4]Sheet1!$A:$L,12,0)</f>
        <v>50</v>
      </c>
      <c r="Z342" s="4">
        <f>VLOOKUP(A342,[4]Sheet1!$A:$M,13,0)</f>
        <v>0</v>
      </c>
      <c r="AA342" s="4">
        <f t="shared" si="80"/>
        <v>600</v>
      </c>
      <c r="AB342" s="7">
        <f t="shared" si="87"/>
        <v>50</v>
      </c>
      <c r="AC342" s="15">
        <f t="shared" si="81"/>
        <v>50</v>
      </c>
      <c r="AD342" s="16">
        <f t="shared" si="82"/>
        <v>36894</v>
      </c>
      <c r="AE342" s="16">
        <f t="shared" si="83"/>
        <v>3074.5</v>
      </c>
      <c r="AF342" s="16">
        <v>5.93</v>
      </c>
      <c r="AG342" s="16">
        <v>61.49</v>
      </c>
      <c r="AH342" s="15">
        <f t="shared" si="84"/>
        <v>1.1777333333333331</v>
      </c>
      <c r="AI342" s="15">
        <f t="shared" si="85"/>
        <v>4.1220666666666661</v>
      </c>
      <c r="AJ342" s="10">
        <v>0.5</v>
      </c>
      <c r="AK342" s="10">
        <v>0.5</v>
      </c>
      <c r="AL342" s="16">
        <v>5.93</v>
      </c>
      <c r="AM342" s="9">
        <f t="shared" si="88"/>
        <v>9.2234999999999996</v>
      </c>
      <c r="AN342" s="9">
        <f t="shared" si="89"/>
        <v>1.8447</v>
      </c>
      <c r="AO342" s="9">
        <f t="shared" si="90"/>
        <v>12.298000000000002</v>
      </c>
      <c r="AP342" s="9">
        <f t="shared" si="91"/>
        <v>1.2298</v>
      </c>
      <c r="AQ342" s="9">
        <f t="shared" si="92"/>
        <v>12.298000000000002</v>
      </c>
      <c r="AR342" s="9">
        <f t="shared" si="93"/>
        <v>15.3725</v>
      </c>
      <c r="AS342" s="11">
        <f t="shared" si="94"/>
        <v>11.777333333333331</v>
      </c>
      <c r="AT342" s="12">
        <f t="shared" si="95"/>
        <v>9.727666666666666</v>
      </c>
    </row>
    <row r="343" spans="1:46" ht="16.5" x14ac:dyDescent="0.4">
      <c r="A343" s="4" t="s">
        <v>1574</v>
      </c>
      <c r="B343" s="4" t="s">
        <v>1314</v>
      </c>
      <c r="C343" s="7" t="s">
        <v>1799</v>
      </c>
      <c r="D343" s="4" t="s">
        <v>1575</v>
      </c>
      <c r="E343" s="4" t="s">
        <v>1576</v>
      </c>
      <c r="F343" s="4" t="s">
        <v>1577</v>
      </c>
      <c r="G343" s="7" t="str">
        <f>VLOOKUP(A343,[1]done!$A:$I,9,0)</f>
        <v>Rodent</v>
      </c>
      <c r="H343" s="7" t="str" cm="1">
        <f t="array" ref="H343">_xlfn.IFS(
OR(ISNUMBER(SEARCH("mouse",E343)),ISNUMBER(SEARCH("rat",E343)),ISNUMBER(SEARCH("mice",E343)),ISNUMBER(SEARCH("rodent",E343))),"Rodent Control",
OR(ISNUMBER(SEARCH("fly",E343)),ISNUMBER(SEARCH("gnat",E343)),ISNUMBER(SEARCH("insect",E343)),ISNUMBER(SEARCH("mosquito",E343))),"Flying Insect Control",
OR(ISNUMBER(SEARCH("roach",E343)),ISNUMBER(SEARCH("ant",E343)),ISNUMBER(SEARCH("spider",E343)),ISNUMBER(SEARCH("cricket",E343)),ISNUMBER(SEARCH("scorpion",E343)),ISNUMBER(SEARCH("centipede",E343)),ISNUMBER(SEARCH("beetle",E343))),"Crawling Insect Control",
OR(ISNUMBER(SEARCH("tree",E343)),ISNUMBER(SEARCH("lantern",E343)),ISNUMBER(SEARCH("garden",E343)),ISNUMBER(SEARCH("plant",E343))),"Garden Pest Control",
OR(ISNUMBER(SEARCH("grass seed",E343)),ISNUMBER(SEARCH("seed mix",E343))),"Grass Seed",
OR(ISNUMBER(SEARCH("lawn food",E343)),ISNUMBER(SEARCH("fertilizer",E343))),"Lawn Fertilizer",
OR(ISNUMBER(SEARCH("patch",E343)),ISNUMBER(SEARCH("repair",E343)),ISNUMBER(SEARCH("thick'r",E343)),ISNUMBER(SEARCH("thick'r lawn",E343)),ISNUMBER(SEARCH("rapid grass",E343))),"Lawn Repair",
OR(ISNUMBER(SEARCH("weed",E343)),ISNUMBER(SEARCH("crabgrass",E343))),"Weed Control",
OR(ISNUMBER(SEARCH("fungicide",E343)),ISNUMBER(SEARCH("moss",E343))),"Disease &amp; Moss Control",
OR(ISNUMBER(SEARCH("plant food",E343)),ISNUMBER(SEARCH("miracid",E343))),"Plant Nutrition",
OR(ISNUMBER(SEARCH("perlite",E343))),"Soil Amendment",
OR(ISNUMBER(SEARCH("spreader",E343)),ISNUMBER(SEARCH("sprayer",E343)),ISNUMBER(SEARCH("mower",E343)),ISNUMBER(SEARCH("sweeper",E343)),ISNUMBER(SEARCH("pruner",E343)),ISNUMBER(SEARCH("trimmer",E343)),ISNUMBER(SEARCH("pole saw",E343))),"Garden Equipment",
TRUE,"Other"
)</f>
        <v>Rodent Control</v>
      </c>
      <c r="I343" s="7" t="str" cm="1">
        <f t="array" ref="I343">_xlfn.IFS(
OR(ISNUMBER(SEARCH("glue trap",E343)),ISNUMBER(SEARCH("glue board",E343))),"Glue Traps",
OR(ISNUMBER(SEARCH("snap trap",E343)),ISNUMBER(SEARCH("power-kill",E343)),ISNUMBER(SEARCH("wide pedal",E343)),ISNUMBER(SEARCH("metal pedal",E343))),"Snap Traps",
OR(ISNUMBER(SEARCH("electronic",E343)),ISNUMBER(SEARCH("zapper",E343))),"Electronic Traps",
OR(ISNUMBER(SEARCH("live catch",E343)),ISNUMBER(SEARCH("multi-catch",E343)),ISNUMBER(SEARCH("catch &amp; hold",E343)),ISNUMBER(SEARCH("tin cat",E343))),"Live Catch Traps",
OR(ISNUMBER(SEARCH("bait",E343)),ISNUMBER(SEARCH("poison",E343))),"Bait &amp; Poison",
ISNUMBER(SEARCH("repellent",E343)),"Repellents",
OR(ISNUMBER(SEARCH("fly trap",E343)),ISNUMBER(SEARCH("fly ribbon",E343)),ISNUMBER(SEARCH("fly stick",E343)),ISNUMBER(SEARCH("window fly",E343)),ISNUMBER(SEARCH("fly magnet",E343))),"Fly Traps",
OR(ISNUMBER(SEARCH("uv",E343)),ISNUMBER(SEARCH("fly light",E343)),ISNUMBER(SEARCH("plug-in",E343))),"UV Fly Traps",
ISNUMBER(SEARCH("roach",E343)),"Roach Traps",
ISNUMBER(SEARCH("ant",E343)),"Ant Traps",
ISNUMBER(SEARCH("spider",E343)),"Spider Traps",
ISNUMBER(SEARCH("mosquito",E343)),"Mosquito Traps",
ISNUMBER(SEARCH("beetle",E343)),"Beetle Traps",
ISNUMBER(SEARCH("lantern",E343)),"Lanternfly Control",
OR(ISNUMBER(SEARCH("tree shield",E343)),ISNUMBER(SEARCH("tree banding",E343)),ISNUMBER(SEARCH("insect barrier",E343))),"Tree Barriers",
OR(ISNUMBER(SEARCH("sun &amp; shade",E343)),ISNUMBER(SEARCH("sun and shade",E343))),"Sun &amp; Shade Mix",
ISNUMBER(SEARCH("tall fescue",E343)),"Tall Fescue",
ISNUMBER(SEARCH("bermudagrass",E343)),"Bermudagrass",
ISNUMBER(SEARCH("kentucky",E343)),"Kentucky Bluegrass",
ISNUMBER(SEARCH("zoysia",E343)),"Zoysia",
ISNUMBER(SEARCH("ryegrass",E343)),"Perennial Ryegrass",
ISNUMBER(SEARCH("centipede",E343)),"Centipede Grass",
ISNUMBER(SEARCH("dense shade",E343)),"Dense Shade Mix",
ISNUMBER(SEARCH("southern gold",E343)),"Southern Gold Mix",
ISNUMBER(SEARCH("heat-tolerant blue",E343)),"Heat-Tolerant Blue Mix",
ISNUMBER(SEARCH("high traffic",E343)),"High Traffic Mix",
ISNUMBER(SEARCH("quick fix",E343)),"Quick Fix Mix",
ISNUMBER(SEARCH("starter",E343)),"Starter Fertilizer",
ISNUMBER(SEARCH("weed &amp; feed",E343)),"Weed &amp; Feed",
ISNUMBER(SEARCH("lawn food",E343)),"Lawn Food",
ISNUMBER(SEARCH("triple action",E343)),"Triple Action Fertilizer",
ISNUMBER(SEARCH("green max",E343)),"Green Max Lawn Food",
ISNUMBER(SEARCH("patchmaster",E343)),"PatchMaster Repair",
ISNUMBER(SEARCH("ez seed",E343)),"EZ Seed Repair",
ISNUMBER(SEARCH("rapid grass",E343)),"Rapid Grass",
ISNUMBER(SEARCH("thick'r lawn",E343)),"Thick'R Lawn",
ISNUMBER(SEARCH("fungicide",E343)),"Fungicide",
ISNUMBER(SEARCH("moss",E343)),"Moss Control",
ISNUMBER(SEARCH("perlite",E343)),"Perlite",
ISNUMBER(SEARCH("plant food",E343)),"Plant Food",
ISNUMBER(SEARCH("spreader",E343)),"Spreader",
ISNUMBER(SEARCH("sprayer",E343)),"Sprayer",
ISNUMBER(SEARCH("mower",E343)),"Lawn Mower",
ISNUMBER(SEARCH("sweeper",E343)),"Lawn Sweeper",
OR(ISNUMBER(SEARCH("pruner",E343)),ISNUMBER(SEARCH("trimmer",E343)),ISNUMBER(SEARCH("pole saw",E343))),"Pruning Tools",
TRUE,"Other"
)</f>
        <v>Electronic Traps</v>
      </c>
      <c r="J343" s="7" t="str">
        <f t="shared" si="86"/>
        <v>Rodent Control - Electronic Traps</v>
      </c>
      <c r="K343" s="4">
        <v>50</v>
      </c>
      <c r="L343" s="4">
        <v>4.0999999999999996</v>
      </c>
      <c r="M343" s="4">
        <v>583</v>
      </c>
      <c r="N343" s="4" t="s">
        <v>1560</v>
      </c>
      <c r="O343" s="4">
        <f>VLOOKUP(A343,[4]Sheet1!$A:$B,2,0)</f>
        <v>50</v>
      </c>
      <c r="P343" s="4">
        <f>VLOOKUP(A343,[4]Sheet1!$A:$C,3,0)</f>
        <v>0</v>
      </c>
      <c r="Q343" s="4">
        <f>VLOOKUP(A343,[4]Sheet1!$A:$D,4,0)</f>
        <v>0</v>
      </c>
      <c r="R343" s="4">
        <f>VLOOKUP(A343,[4]Sheet1!$A:$E,5,0)</f>
        <v>50</v>
      </c>
      <c r="S343" s="4">
        <f>VLOOKUP(A343,[4]Sheet1!$A:$F,6,0)</f>
        <v>0</v>
      </c>
      <c r="T343" s="4">
        <f>VLOOKUP(A343,[4]Sheet1!$A:$G,7,0)</f>
        <v>50</v>
      </c>
      <c r="U343" s="4">
        <f>VLOOKUP(A343,[4]Sheet1!$A:$H,8,0)</f>
        <v>50</v>
      </c>
      <c r="V343" s="4">
        <f>VLOOKUP(A343,[4]Sheet1!$A:$I,9,0)</f>
        <v>50</v>
      </c>
      <c r="W343" s="4">
        <f>VLOOKUP(A343,[4]Sheet1!$A:$J,10,0)</f>
        <v>50</v>
      </c>
      <c r="X343" s="4">
        <f>VLOOKUP(A343,[4]Sheet1!$A:$K,11,0)</f>
        <v>100</v>
      </c>
      <c r="Y343" s="4">
        <f>VLOOKUP(A343,[4]Sheet1!$A:$L,12,0)</f>
        <v>200</v>
      </c>
      <c r="Z343" s="4">
        <f>VLOOKUP(A343,[4]Sheet1!$A:$M,13,0)</f>
        <v>100</v>
      </c>
      <c r="AA343" s="4">
        <f t="shared" si="80"/>
        <v>700</v>
      </c>
      <c r="AB343" s="7">
        <f t="shared" si="87"/>
        <v>58</v>
      </c>
      <c r="AC343" s="15">
        <f t="shared" si="81"/>
        <v>58.333333333333336</v>
      </c>
      <c r="AD343" s="16">
        <f t="shared" si="82"/>
        <v>67151</v>
      </c>
      <c r="AE343" s="16">
        <f t="shared" si="83"/>
        <v>5595.916666666667</v>
      </c>
      <c r="AF343" s="16">
        <v>6.28</v>
      </c>
      <c r="AG343" s="16">
        <v>95.93</v>
      </c>
      <c r="AH343" s="15">
        <f t="shared" si="84"/>
        <v>2.0728</v>
      </c>
      <c r="AI343" s="15">
        <f t="shared" si="85"/>
        <v>7.2547999999999986</v>
      </c>
      <c r="AJ343" s="10">
        <v>0.5</v>
      </c>
      <c r="AK343" s="10">
        <v>0.5</v>
      </c>
      <c r="AL343" s="16">
        <v>6.28</v>
      </c>
      <c r="AM343" s="9">
        <f t="shared" si="88"/>
        <v>14.3895</v>
      </c>
      <c r="AN343" s="9">
        <f t="shared" si="89"/>
        <v>2.8778999999999999</v>
      </c>
      <c r="AO343" s="9">
        <f t="shared" si="90"/>
        <v>19.186000000000003</v>
      </c>
      <c r="AP343" s="9">
        <f t="shared" si="91"/>
        <v>1.9186000000000001</v>
      </c>
      <c r="AQ343" s="9">
        <f t="shared" si="92"/>
        <v>19.186000000000003</v>
      </c>
      <c r="AR343" s="9">
        <f t="shared" si="93"/>
        <v>23.982500000000002</v>
      </c>
      <c r="AS343" s="11">
        <f t="shared" si="94"/>
        <v>20.727999999999998</v>
      </c>
      <c r="AT343" s="12">
        <f t="shared" si="95"/>
        <v>17.530333333333331</v>
      </c>
    </row>
    <row r="344" spans="1:46" ht="16.5" x14ac:dyDescent="0.4">
      <c r="A344" s="4" t="s">
        <v>1578</v>
      </c>
      <c r="B344" s="4" t="s">
        <v>1314</v>
      </c>
      <c r="C344" s="7" t="s">
        <v>1796</v>
      </c>
      <c r="D344" s="4" t="s">
        <v>1579</v>
      </c>
      <c r="E344" s="4" t="s">
        <v>1580</v>
      </c>
      <c r="F344" s="4" t="s">
        <v>1581</v>
      </c>
      <c r="G344" s="7" t="str">
        <f>VLOOKUP(A344,[1]done!$A:$I,9,0)</f>
        <v>Rodent</v>
      </c>
      <c r="H344" s="7" t="str" cm="1">
        <f t="array" ref="H344">_xlfn.IFS(
OR(ISNUMBER(SEARCH("mouse",E344)),ISNUMBER(SEARCH("rat",E344)),ISNUMBER(SEARCH("mice",E344)),ISNUMBER(SEARCH("rodent",E344))),"Rodent Control",
OR(ISNUMBER(SEARCH("fly",E344)),ISNUMBER(SEARCH("gnat",E344)),ISNUMBER(SEARCH("insect",E344)),ISNUMBER(SEARCH("mosquito",E344))),"Flying Insect Control",
OR(ISNUMBER(SEARCH("roach",E344)),ISNUMBER(SEARCH("ant",E344)),ISNUMBER(SEARCH("spider",E344)),ISNUMBER(SEARCH("cricket",E344)),ISNUMBER(SEARCH("scorpion",E344)),ISNUMBER(SEARCH("centipede",E344)),ISNUMBER(SEARCH("beetle",E344))),"Crawling Insect Control",
OR(ISNUMBER(SEARCH("tree",E344)),ISNUMBER(SEARCH("lantern",E344)),ISNUMBER(SEARCH("garden",E344)),ISNUMBER(SEARCH("plant",E344))),"Garden Pest Control",
OR(ISNUMBER(SEARCH("grass seed",E344)),ISNUMBER(SEARCH("seed mix",E344))),"Grass Seed",
OR(ISNUMBER(SEARCH("lawn food",E344)),ISNUMBER(SEARCH("fertilizer",E344))),"Lawn Fertilizer",
OR(ISNUMBER(SEARCH("patch",E344)),ISNUMBER(SEARCH("repair",E344)),ISNUMBER(SEARCH("thick'r",E344)),ISNUMBER(SEARCH("thick'r lawn",E344)),ISNUMBER(SEARCH("rapid grass",E344))),"Lawn Repair",
OR(ISNUMBER(SEARCH("weed",E344)),ISNUMBER(SEARCH("crabgrass",E344))),"Weed Control",
OR(ISNUMBER(SEARCH("fungicide",E344)),ISNUMBER(SEARCH("moss",E344))),"Disease &amp; Moss Control",
OR(ISNUMBER(SEARCH("plant food",E344)),ISNUMBER(SEARCH("miracid",E344))),"Plant Nutrition",
OR(ISNUMBER(SEARCH("perlite",E344))),"Soil Amendment",
OR(ISNUMBER(SEARCH("spreader",E344)),ISNUMBER(SEARCH("sprayer",E344)),ISNUMBER(SEARCH("mower",E344)),ISNUMBER(SEARCH("sweeper",E344)),ISNUMBER(SEARCH("pruner",E344)),ISNUMBER(SEARCH("trimmer",E344)),ISNUMBER(SEARCH("pole saw",E344))),"Garden Equipment",
TRUE,"Other"
)</f>
        <v>Rodent Control</v>
      </c>
      <c r="I344" s="7" t="str" cm="1">
        <f t="array" ref="I344">_xlfn.IFS(
OR(ISNUMBER(SEARCH("glue trap",E344)),ISNUMBER(SEARCH("glue board",E344))),"Glue Traps",
OR(ISNUMBER(SEARCH("snap trap",E344)),ISNUMBER(SEARCH("power-kill",E344)),ISNUMBER(SEARCH("wide pedal",E344)),ISNUMBER(SEARCH("metal pedal",E344))),"Snap Traps",
OR(ISNUMBER(SEARCH("electronic",E344)),ISNUMBER(SEARCH("zapper",E344))),"Electronic Traps",
OR(ISNUMBER(SEARCH("live catch",E344)),ISNUMBER(SEARCH("multi-catch",E344)),ISNUMBER(SEARCH("catch &amp; hold",E344)),ISNUMBER(SEARCH("tin cat",E344))),"Live Catch Traps",
OR(ISNUMBER(SEARCH("bait",E344)),ISNUMBER(SEARCH("poison",E344))),"Bait &amp; Poison",
ISNUMBER(SEARCH("repellent",E344)),"Repellents",
OR(ISNUMBER(SEARCH("fly trap",E344)),ISNUMBER(SEARCH("fly ribbon",E344)),ISNUMBER(SEARCH("fly stick",E344)),ISNUMBER(SEARCH("window fly",E344)),ISNUMBER(SEARCH("fly magnet",E344))),"Fly Traps",
OR(ISNUMBER(SEARCH("uv",E344)),ISNUMBER(SEARCH("fly light",E344)),ISNUMBER(SEARCH("plug-in",E344))),"UV Fly Traps",
ISNUMBER(SEARCH("roach",E344)),"Roach Traps",
ISNUMBER(SEARCH("ant",E344)),"Ant Traps",
ISNUMBER(SEARCH("spider",E344)),"Spider Traps",
ISNUMBER(SEARCH("mosquito",E344)),"Mosquito Traps",
ISNUMBER(SEARCH("beetle",E344)),"Beetle Traps",
ISNUMBER(SEARCH("lantern",E344)),"Lanternfly Control",
OR(ISNUMBER(SEARCH("tree shield",E344)),ISNUMBER(SEARCH("tree banding",E344)),ISNUMBER(SEARCH("insect barrier",E344))),"Tree Barriers",
OR(ISNUMBER(SEARCH("sun &amp; shade",E344)),ISNUMBER(SEARCH("sun and shade",E344))),"Sun &amp; Shade Mix",
ISNUMBER(SEARCH("tall fescue",E344)),"Tall Fescue",
ISNUMBER(SEARCH("bermudagrass",E344)),"Bermudagrass",
ISNUMBER(SEARCH("kentucky",E344)),"Kentucky Bluegrass",
ISNUMBER(SEARCH("zoysia",E344)),"Zoysia",
ISNUMBER(SEARCH("ryegrass",E344)),"Perennial Ryegrass",
ISNUMBER(SEARCH("centipede",E344)),"Centipede Grass",
ISNUMBER(SEARCH("dense shade",E344)),"Dense Shade Mix",
ISNUMBER(SEARCH("southern gold",E344)),"Southern Gold Mix",
ISNUMBER(SEARCH("heat-tolerant blue",E344)),"Heat-Tolerant Blue Mix",
ISNUMBER(SEARCH("high traffic",E344)),"High Traffic Mix",
ISNUMBER(SEARCH("quick fix",E344)),"Quick Fix Mix",
ISNUMBER(SEARCH("starter",E344)),"Starter Fertilizer",
ISNUMBER(SEARCH("weed &amp; feed",E344)),"Weed &amp; Feed",
ISNUMBER(SEARCH("lawn food",E344)),"Lawn Food",
ISNUMBER(SEARCH("triple action",E344)),"Triple Action Fertilizer",
ISNUMBER(SEARCH("green max",E344)),"Green Max Lawn Food",
ISNUMBER(SEARCH("patchmaster",E344)),"PatchMaster Repair",
ISNUMBER(SEARCH("ez seed",E344)),"EZ Seed Repair",
ISNUMBER(SEARCH("rapid grass",E344)),"Rapid Grass",
ISNUMBER(SEARCH("thick'r lawn",E344)),"Thick'R Lawn",
ISNUMBER(SEARCH("fungicide",E344)),"Fungicide",
ISNUMBER(SEARCH("moss",E344)),"Moss Control",
ISNUMBER(SEARCH("perlite",E344)),"Perlite",
ISNUMBER(SEARCH("plant food",E344)),"Plant Food",
ISNUMBER(SEARCH("spreader",E344)),"Spreader",
ISNUMBER(SEARCH("sprayer",E344)),"Sprayer",
ISNUMBER(SEARCH("mower",E344)),"Lawn Mower",
ISNUMBER(SEARCH("sweeper",E344)),"Lawn Sweeper",
OR(ISNUMBER(SEARCH("pruner",E344)),ISNUMBER(SEARCH("trimmer",E344)),ISNUMBER(SEARCH("pole saw",E344))),"Pruning Tools",
TRUE,"Other"
)</f>
        <v>Snap Traps</v>
      </c>
      <c r="J344" s="7" t="str">
        <f t="shared" si="86"/>
        <v>Rodent Control - Snap Traps</v>
      </c>
      <c r="K344" s="4">
        <v>50</v>
      </c>
      <c r="L344" s="4">
        <v>4</v>
      </c>
      <c r="M344" s="4">
        <v>303</v>
      </c>
      <c r="N344" s="4" t="s">
        <v>1333</v>
      </c>
      <c r="O344" s="4">
        <f>VLOOKUP(A344,[4]Sheet1!$A:$B,2,0)</f>
        <v>0</v>
      </c>
      <c r="P344" s="4">
        <f>VLOOKUP(A344,[4]Sheet1!$A:$C,3,0)</f>
        <v>0</v>
      </c>
      <c r="Q344" s="4">
        <f>VLOOKUP(A344,[4]Sheet1!$A:$D,4,0)</f>
        <v>0</v>
      </c>
      <c r="R344" s="4">
        <f>VLOOKUP(A344,[4]Sheet1!$A:$E,5,0)</f>
        <v>0</v>
      </c>
      <c r="S344" s="4">
        <f>VLOOKUP(A344,[4]Sheet1!$A:$F,6,0)</f>
        <v>0</v>
      </c>
      <c r="T344" s="4">
        <f>VLOOKUP(A344,[4]Sheet1!$A:$G,7,0)</f>
        <v>0</v>
      </c>
      <c r="U344" s="4">
        <f>VLOOKUP(A344,[4]Sheet1!$A:$H,8,0)</f>
        <v>0</v>
      </c>
      <c r="V344" s="4">
        <f>VLOOKUP(A344,[4]Sheet1!$A:$I,9,0)</f>
        <v>50</v>
      </c>
      <c r="W344" s="4">
        <f>VLOOKUP(A344,[4]Sheet1!$A:$J,10,0)</f>
        <v>50</v>
      </c>
      <c r="X344" s="4">
        <f>VLOOKUP(A344,[4]Sheet1!$A:$K,11,0)</f>
        <v>300</v>
      </c>
      <c r="Y344" s="4">
        <f>VLOOKUP(A344,[4]Sheet1!$A:$L,12,0)</f>
        <v>200</v>
      </c>
      <c r="Z344" s="4">
        <f>VLOOKUP(A344,[4]Sheet1!$A:$M,13,0)</f>
        <v>0</v>
      </c>
      <c r="AA344" s="4">
        <f t="shared" si="80"/>
        <v>600</v>
      </c>
      <c r="AB344" s="7">
        <f t="shared" si="87"/>
        <v>50</v>
      </c>
      <c r="AC344" s="15">
        <f t="shared" si="81"/>
        <v>50</v>
      </c>
      <c r="AD344" s="16">
        <f t="shared" si="82"/>
        <v>3294</v>
      </c>
      <c r="AE344" s="16">
        <f t="shared" si="83"/>
        <v>274.5</v>
      </c>
      <c r="AF344" s="16">
        <v>3.24</v>
      </c>
      <c r="AG344" s="16">
        <v>5.49</v>
      </c>
      <c r="AH344" s="15">
        <f t="shared" si="84"/>
        <v>-0.1362666666666667</v>
      </c>
      <c r="AI344" s="15">
        <f t="shared" si="85"/>
        <v>-0.47693333333333338</v>
      </c>
      <c r="AJ344" s="10">
        <v>0.5</v>
      </c>
      <c r="AK344" s="10">
        <v>0.5</v>
      </c>
      <c r="AL344" s="16">
        <v>3.24</v>
      </c>
      <c r="AM344" s="9">
        <f t="shared" si="88"/>
        <v>0.82350000000000001</v>
      </c>
      <c r="AN344" s="9">
        <f t="shared" si="89"/>
        <v>0.16470000000000001</v>
      </c>
      <c r="AO344" s="9">
        <f t="shared" si="90"/>
        <v>1.0980000000000001</v>
      </c>
      <c r="AP344" s="9">
        <f t="shared" si="91"/>
        <v>0.10980000000000001</v>
      </c>
      <c r="AQ344" s="9">
        <f t="shared" si="92"/>
        <v>1.0980000000000001</v>
      </c>
      <c r="AR344" s="9">
        <f t="shared" si="93"/>
        <v>1.3725000000000001</v>
      </c>
      <c r="AS344" s="11">
        <f t="shared" si="94"/>
        <v>-1.3626666666666669</v>
      </c>
      <c r="AT344" s="12">
        <f t="shared" si="95"/>
        <v>-1.5456666666666667</v>
      </c>
    </row>
    <row r="345" spans="1:46" ht="16.5" x14ac:dyDescent="0.4">
      <c r="A345" s="4" t="s">
        <v>1582</v>
      </c>
      <c r="B345" s="4" t="s">
        <v>1314</v>
      </c>
      <c r="C345" s="7" t="s">
        <v>1314</v>
      </c>
      <c r="D345" s="4" t="s">
        <v>1583</v>
      </c>
      <c r="E345" s="4" t="s">
        <v>1584</v>
      </c>
      <c r="F345" s="4" t="s">
        <v>1585</v>
      </c>
      <c r="G345" s="7" t="str">
        <f>VLOOKUP(A345,[1]done!$A:$I,9,0)</f>
        <v>Rodent</v>
      </c>
      <c r="H345" s="7" t="str" cm="1">
        <f t="array" ref="H345">_xlfn.IFS(
OR(ISNUMBER(SEARCH("mouse",E345)),ISNUMBER(SEARCH("rat",E345)),ISNUMBER(SEARCH("mice",E345)),ISNUMBER(SEARCH("rodent",E345))),"Rodent Control",
OR(ISNUMBER(SEARCH("fly",E345)),ISNUMBER(SEARCH("gnat",E345)),ISNUMBER(SEARCH("insect",E345)),ISNUMBER(SEARCH("mosquito",E345))),"Flying Insect Control",
OR(ISNUMBER(SEARCH("roach",E345)),ISNUMBER(SEARCH("ant",E345)),ISNUMBER(SEARCH("spider",E345)),ISNUMBER(SEARCH("cricket",E345)),ISNUMBER(SEARCH("scorpion",E345)),ISNUMBER(SEARCH("centipede",E345)),ISNUMBER(SEARCH("beetle",E345))),"Crawling Insect Control",
OR(ISNUMBER(SEARCH("tree",E345)),ISNUMBER(SEARCH("lantern",E345)),ISNUMBER(SEARCH("garden",E345)),ISNUMBER(SEARCH("plant",E345))),"Garden Pest Control",
OR(ISNUMBER(SEARCH("grass seed",E345)),ISNUMBER(SEARCH("seed mix",E345))),"Grass Seed",
OR(ISNUMBER(SEARCH("lawn food",E345)),ISNUMBER(SEARCH("fertilizer",E345))),"Lawn Fertilizer",
OR(ISNUMBER(SEARCH("patch",E345)),ISNUMBER(SEARCH("repair",E345)),ISNUMBER(SEARCH("thick'r",E345)),ISNUMBER(SEARCH("thick'r lawn",E345)),ISNUMBER(SEARCH("rapid grass",E345))),"Lawn Repair",
OR(ISNUMBER(SEARCH("weed",E345)),ISNUMBER(SEARCH("crabgrass",E345))),"Weed Control",
OR(ISNUMBER(SEARCH("fungicide",E345)),ISNUMBER(SEARCH("moss",E345))),"Disease &amp; Moss Control",
OR(ISNUMBER(SEARCH("plant food",E345)),ISNUMBER(SEARCH("miracid",E345))),"Plant Nutrition",
OR(ISNUMBER(SEARCH("perlite",E345))),"Soil Amendment",
OR(ISNUMBER(SEARCH("spreader",E345)),ISNUMBER(SEARCH("sprayer",E345)),ISNUMBER(SEARCH("mower",E345)),ISNUMBER(SEARCH("sweeper",E345)),ISNUMBER(SEARCH("pruner",E345)),ISNUMBER(SEARCH("trimmer",E345)),ISNUMBER(SEARCH("pole saw",E345))),"Garden Equipment",
TRUE,"Other"
)</f>
        <v>Rodent Control</v>
      </c>
      <c r="I345" s="7" t="str" cm="1">
        <f t="array" ref="I345">_xlfn.IFS(
OR(ISNUMBER(SEARCH("glue trap",E345)),ISNUMBER(SEARCH("glue board",E345))),"Glue Traps",
OR(ISNUMBER(SEARCH("snap trap",E345)),ISNUMBER(SEARCH("power-kill",E345)),ISNUMBER(SEARCH("wide pedal",E345)),ISNUMBER(SEARCH("metal pedal",E345))),"Snap Traps",
OR(ISNUMBER(SEARCH("electronic",E345)),ISNUMBER(SEARCH("zapper",E345))),"Electronic Traps",
OR(ISNUMBER(SEARCH("live catch",E345)),ISNUMBER(SEARCH("multi-catch",E345)),ISNUMBER(SEARCH("catch &amp; hold",E345)),ISNUMBER(SEARCH("tin cat",E345))),"Live Catch Traps",
OR(ISNUMBER(SEARCH("bait",E345)),ISNUMBER(SEARCH("poison",E345))),"Bait &amp; Poison",
ISNUMBER(SEARCH("repellent",E345)),"Repellents",
OR(ISNUMBER(SEARCH("fly trap",E345)),ISNUMBER(SEARCH("fly ribbon",E345)),ISNUMBER(SEARCH("fly stick",E345)),ISNUMBER(SEARCH("window fly",E345)),ISNUMBER(SEARCH("fly magnet",E345))),"Fly Traps",
OR(ISNUMBER(SEARCH("uv",E345)),ISNUMBER(SEARCH("fly light",E345)),ISNUMBER(SEARCH("plug-in",E345))),"UV Fly Traps",
ISNUMBER(SEARCH("roach",E345)),"Roach Traps",
ISNUMBER(SEARCH("ant",E345)),"Ant Traps",
ISNUMBER(SEARCH("spider",E345)),"Spider Traps",
ISNUMBER(SEARCH("mosquito",E345)),"Mosquito Traps",
ISNUMBER(SEARCH("beetle",E345)),"Beetle Traps",
ISNUMBER(SEARCH("lantern",E345)),"Lanternfly Control",
OR(ISNUMBER(SEARCH("tree shield",E345)),ISNUMBER(SEARCH("tree banding",E345)),ISNUMBER(SEARCH("insect barrier",E345))),"Tree Barriers",
OR(ISNUMBER(SEARCH("sun &amp; shade",E345)),ISNUMBER(SEARCH("sun and shade",E345))),"Sun &amp; Shade Mix",
ISNUMBER(SEARCH("tall fescue",E345)),"Tall Fescue",
ISNUMBER(SEARCH("bermudagrass",E345)),"Bermudagrass",
ISNUMBER(SEARCH("kentucky",E345)),"Kentucky Bluegrass",
ISNUMBER(SEARCH("zoysia",E345)),"Zoysia",
ISNUMBER(SEARCH("ryegrass",E345)),"Perennial Ryegrass",
ISNUMBER(SEARCH("centipede",E345)),"Centipede Grass",
ISNUMBER(SEARCH("dense shade",E345)),"Dense Shade Mix",
ISNUMBER(SEARCH("southern gold",E345)),"Southern Gold Mix",
ISNUMBER(SEARCH("heat-tolerant blue",E345)),"Heat-Tolerant Blue Mix",
ISNUMBER(SEARCH("high traffic",E345)),"High Traffic Mix",
ISNUMBER(SEARCH("quick fix",E345)),"Quick Fix Mix",
ISNUMBER(SEARCH("starter",E345)),"Starter Fertilizer",
ISNUMBER(SEARCH("weed &amp; feed",E345)),"Weed &amp; Feed",
ISNUMBER(SEARCH("lawn food",E345)),"Lawn Food",
ISNUMBER(SEARCH("triple action",E345)),"Triple Action Fertilizer",
ISNUMBER(SEARCH("green max",E345)),"Green Max Lawn Food",
ISNUMBER(SEARCH("patchmaster",E345)),"PatchMaster Repair",
ISNUMBER(SEARCH("ez seed",E345)),"EZ Seed Repair",
ISNUMBER(SEARCH("rapid grass",E345)),"Rapid Grass",
ISNUMBER(SEARCH("thick'r lawn",E345)),"Thick'R Lawn",
ISNUMBER(SEARCH("fungicide",E345)),"Fungicide",
ISNUMBER(SEARCH("moss",E345)),"Moss Control",
ISNUMBER(SEARCH("perlite",E345)),"Perlite",
ISNUMBER(SEARCH("plant food",E345)),"Plant Food",
ISNUMBER(SEARCH("spreader",E345)),"Spreader",
ISNUMBER(SEARCH("sprayer",E345)),"Sprayer",
ISNUMBER(SEARCH("mower",E345)),"Lawn Mower",
ISNUMBER(SEARCH("sweeper",E345)),"Lawn Sweeper",
OR(ISNUMBER(SEARCH("pruner",E345)),ISNUMBER(SEARCH("trimmer",E345)),ISNUMBER(SEARCH("pole saw",E345))),"Pruning Tools",
TRUE,"Other"
)</f>
        <v>Other</v>
      </c>
      <c r="J345" s="7" t="str">
        <f t="shared" si="86"/>
        <v>Rodent Control - Other</v>
      </c>
      <c r="K345" s="4">
        <v>50</v>
      </c>
      <c r="L345" s="4">
        <v>4.3</v>
      </c>
      <c r="M345" s="4">
        <v>1133</v>
      </c>
      <c r="N345" s="4" t="s">
        <v>1586</v>
      </c>
      <c r="O345" s="4">
        <f>VLOOKUP(A345,[4]Sheet1!$A:$B,2,0)</f>
        <v>50</v>
      </c>
      <c r="P345" s="4">
        <f>VLOOKUP(A345,[4]Sheet1!$A:$C,3,0)</f>
        <v>100</v>
      </c>
      <c r="Q345" s="4">
        <f>VLOOKUP(A345,[4]Sheet1!$A:$D,4,0)</f>
        <v>100</v>
      </c>
      <c r="R345" s="4">
        <f>VLOOKUP(A345,[4]Sheet1!$A:$E,5,0)</f>
        <v>200</v>
      </c>
      <c r="S345" s="4">
        <f>VLOOKUP(A345,[4]Sheet1!$A:$F,6,0)</f>
        <v>100</v>
      </c>
      <c r="T345" s="4">
        <f>VLOOKUP(A345,[4]Sheet1!$A:$G,7,0)</f>
        <v>200</v>
      </c>
      <c r="U345" s="4">
        <f>VLOOKUP(A345,[4]Sheet1!$A:$H,8,0)</f>
        <v>50</v>
      </c>
      <c r="V345" s="4">
        <f>VLOOKUP(A345,[4]Sheet1!$A:$I,9,0)</f>
        <v>50</v>
      </c>
      <c r="W345" s="4">
        <f>VLOOKUP(A345,[4]Sheet1!$A:$J,10,0)</f>
        <v>50</v>
      </c>
      <c r="X345" s="4">
        <f>VLOOKUP(A345,[4]Sheet1!$A:$K,11,0)</f>
        <v>100</v>
      </c>
      <c r="Y345" s="4">
        <f>VLOOKUP(A345,[4]Sheet1!$A:$L,12,0)</f>
        <v>0</v>
      </c>
      <c r="Z345" s="4">
        <f>VLOOKUP(A345,[4]Sheet1!$A:$M,13,0)</f>
        <v>0</v>
      </c>
      <c r="AA345" s="4">
        <f t="shared" si="80"/>
        <v>1000</v>
      </c>
      <c r="AB345" s="7">
        <f t="shared" si="87"/>
        <v>83</v>
      </c>
      <c r="AC345" s="15">
        <f t="shared" si="81"/>
        <v>83.333333333333329</v>
      </c>
      <c r="AD345" s="16">
        <f t="shared" si="82"/>
        <v>13740</v>
      </c>
      <c r="AE345" s="16">
        <f t="shared" si="83"/>
        <v>1145</v>
      </c>
      <c r="AF345" s="16">
        <v>5.22</v>
      </c>
      <c r="AG345" s="16">
        <v>13.74</v>
      </c>
      <c r="AH345" s="15">
        <f t="shared" si="84"/>
        <v>-4.826666666666668E-2</v>
      </c>
      <c r="AI345" s="15">
        <f t="shared" si="85"/>
        <v>-0.16893333333333338</v>
      </c>
      <c r="AJ345" s="10">
        <v>0.5</v>
      </c>
      <c r="AK345" s="10">
        <v>0.5</v>
      </c>
      <c r="AL345" s="16">
        <v>5.22</v>
      </c>
      <c r="AM345" s="9">
        <f t="shared" si="88"/>
        <v>2.0609999999999999</v>
      </c>
      <c r="AN345" s="9">
        <f t="shared" si="89"/>
        <v>0.41220000000000001</v>
      </c>
      <c r="AO345" s="9">
        <f t="shared" si="90"/>
        <v>2.7480000000000002</v>
      </c>
      <c r="AP345" s="9">
        <f t="shared" si="91"/>
        <v>0.27479999999999999</v>
      </c>
      <c r="AQ345" s="9">
        <f t="shared" si="92"/>
        <v>2.7480000000000002</v>
      </c>
      <c r="AR345" s="9">
        <f t="shared" si="93"/>
        <v>3.4350000000000001</v>
      </c>
      <c r="AS345" s="11">
        <f t="shared" si="94"/>
        <v>-0.4826666666666668</v>
      </c>
      <c r="AT345" s="12">
        <f t="shared" si="95"/>
        <v>-0.94066666666666665</v>
      </c>
    </row>
    <row r="346" spans="1:46" ht="16.5" x14ac:dyDescent="0.4">
      <c r="A346" s="4" t="s">
        <v>1587</v>
      </c>
      <c r="B346" s="4" t="s">
        <v>1314</v>
      </c>
      <c r="C346" s="7" t="s">
        <v>1314</v>
      </c>
      <c r="D346" s="4" t="s">
        <v>1588</v>
      </c>
      <c r="E346" s="4" t="s">
        <v>1589</v>
      </c>
      <c r="F346" s="4" t="s">
        <v>1590</v>
      </c>
      <c r="G346" s="7" t="str">
        <f>VLOOKUP(A346,[1]done!$A:$I,9,0)</f>
        <v>Rodent</v>
      </c>
      <c r="H346" s="7" t="str" cm="1">
        <f t="array" ref="H346">_xlfn.IFS(
OR(ISNUMBER(SEARCH("mouse",E346)),ISNUMBER(SEARCH("rat",E346)),ISNUMBER(SEARCH("mice",E346)),ISNUMBER(SEARCH("rodent",E346))),"Rodent Control",
OR(ISNUMBER(SEARCH("fly",E346)),ISNUMBER(SEARCH("gnat",E346)),ISNUMBER(SEARCH("insect",E346)),ISNUMBER(SEARCH("mosquito",E346))),"Flying Insect Control",
OR(ISNUMBER(SEARCH("roach",E346)),ISNUMBER(SEARCH("ant",E346)),ISNUMBER(SEARCH("spider",E346)),ISNUMBER(SEARCH("cricket",E346)),ISNUMBER(SEARCH("scorpion",E346)),ISNUMBER(SEARCH("centipede",E346)),ISNUMBER(SEARCH("beetle",E346))),"Crawling Insect Control",
OR(ISNUMBER(SEARCH("tree",E346)),ISNUMBER(SEARCH("lantern",E346)),ISNUMBER(SEARCH("garden",E346)),ISNUMBER(SEARCH("plant",E346))),"Garden Pest Control",
OR(ISNUMBER(SEARCH("grass seed",E346)),ISNUMBER(SEARCH("seed mix",E346))),"Grass Seed",
OR(ISNUMBER(SEARCH("lawn food",E346)),ISNUMBER(SEARCH("fertilizer",E346))),"Lawn Fertilizer",
OR(ISNUMBER(SEARCH("patch",E346)),ISNUMBER(SEARCH("repair",E346)),ISNUMBER(SEARCH("thick'r",E346)),ISNUMBER(SEARCH("thick'r lawn",E346)),ISNUMBER(SEARCH("rapid grass",E346))),"Lawn Repair",
OR(ISNUMBER(SEARCH("weed",E346)),ISNUMBER(SEARCH("crabgrass",E346))),"Weed Control",
OR(ISNUMBER(SEARCH("fungicide",E346)),ISNUMBER(SEARCH("moss",E346))),"Disease &amp; Moss Control",
OR(ISNUMBER(SEARCH("plant food",E346)),ISNUMBER(SEARCH("miracid",E346))),"Plant Nutrition",
OR(ISNUMBER(SEARCH("perlite",E346))),"Soil Amendment",
OR(ISNUMBER(SEARCH("spreader",E346)),ISNUMBER(SEARCH("sprayer",E346)),ISNUMBER(SEARCH("mower",E346)),ISNUMBER(SEARCH("sweeper",E346)),ISNUMBER(SEARCH("pruner",E346)),ISNUMBER(SEARCH("trimmer",E346)),ISNUMBER(SEARCH("pole saw",E346))),"Garden Equipment",
TRUE,"Other"
)</f>
        <v>Rodent Control</v>
      </c>
      <c r="I346" s="7" t="str" cm="1">
        <f t="array" ref="I346">_xlfn.IFS(
OR(ISNUMBER(SEARCH("glue trap",E346)),ISNUMBER(SEARCH("glue board",E346))),"Glue Traps",
OR(ISNUMBER(SEARCH("snap trap",E346)),ISNUMBER(SEARCH("power-kill",E346)),ISNUMBER(SEARCH("wide pedal",E346)),ISNUMBER(SEARCH("metal pedal",E346))),"Snap Traps",
OR(ISNUMBER(SEARCH("electronic",E346)),ISNUMBER(SEARCH("zapper",E346))),"Electronic Traps",
OR(ISNUMBER(SEARCH("live catch",E346)),ISNUMBER(SEARCH("multi-catch",E346)),ISNUMBER(SEARCH("catch &amp; hold",E346)),ISNUMBER(SEARCH("tin cat",E346))),"Live Catch Traps",
OR(ISNUMBER(SEARCH("bait",E346)),ISNUMBER(SEARCH("poison",E346))),"Bait &amp; Poison",
ISNUMBER(SEARCH("repellent",E346)),"Repellents",
OR(ISNUMBER(SEARCH("fly trap",E346)),ISNUMBER(SEARCH("fly ribbon",E346)),ISNUMBER(SEARCH("fly stick",E346)),ISNUMBER(SEARCH("window fly",E346)),ISNUMBER(SEARCH("fly magnet",E346))),"Fly Traps",
OR(ISNUMBER(SEARCH("uv",E346)),ISNUMBER(SEARCH("fly light",E346)),ISNUMBER(SEARCH("plug-in",E346))),"UV Fly Traps",
ISNUMBER(SEARCH("roach",E346)),"Roach Traps",
ISNUMBER(SEARCH("ant",E346)),"Ant Traps",
ISNUMBER(SEARCH("spider",E346)),"Spider Traps",
ISNUMBER(SEARCH("mosquito",E346)),"Mosquito Traps",
ISNUMBER(SEARCH("beetle",E346)),"Beetle Traps",
ISNUMBER(SEARCH("lantern",E346)),"Lanternfly Control",
OR(ISNUMBER(SEARCH("tree shield",E346)),ISNUMBER(SEARCH("tree banding",E346)),ISNUMBER(SEARCH("insect barrier",E346))),"Tree Barriers",
OR(ISNUMBER(SEARCH("sun &amp; shade",E346)),ISNUMBER(SEARCH("sun and shade",E346))),"Sun &amp; Shade Mix",
ISNUMBER(SEARCH("tall fescue",E346)),"Tall Fescue",
ISNUMBER(SEARCH("bermudagrass",E346)),"Bermudagrass",
ISNUMBER(SEARCH("kentucky",E346)),"Kentucky Bluegrass",
ISNUMBER(SEARCH("zoysia",E346)),"Zoysia",
ISNUMBER(SEARCH("ryegrass",E346)),"Perennial Ryegrass",
ISNUMBER(SEARCH("centipede",E346)),"Centipede Grass",
ISNUMBER(SEARCH("dense shade",E346)),"Dense Shade Mix",
ISNUMBER(SEARCH("southern gold",E346)),"Southern Gold Mix",
ISNUMBER(SEARCH("heat-tolerant blue",E346)),"Heat-Tolerant Blue Mix",
ISNUMBER(SEARCH("high traffic",E346)),"High Traffic Mix",
ISNUMBER(SEARCH("quick fix",E346)),"Quick Fix Mix",
ISNUMBER(SEARCH("starter",E346)),"Starter Fertilizer",
ISNUMBER(SEARCH("weed &amp; feed",E346)),"Weed &amp; Feed",
ISNUMBER(SEARCH("lawn food",E346)),"Lawn Food",
ISNUMBER(SEARCH("triple action",E346)),"Triple Action Fertilizer",
ISNUMBER(SEARCH("green max",E346)),"Green Max Lawn Food",
ISNUMBER(SEARCH("patchmaster",E346)),"PatchMaster Repair",
ISNUMBER(SEARCH("ez seed",E346)),"EZ Seed Repair",
ISNUMBER(SEARCH("rapid grass",E346)),"Rapid Grass",
ISNUMBER(SEARCH("thick'r lawn",E346)),"Thick'R Lawn",
ISNUMBER(SEARCH("fungicide",E346)),"Fungicide",
ISNUMBER(SEARCH("moss",E346)),"Moss Control",
ISNUMBER(SEARCH("perlite",E346)),"Perlite",
ISNUMBER(SEARCH("plant food",E346)),"Plant Food",
ISNUMBER(SEARCH("spreader",E346)),"Spreader",
ISNUMBER(SEARCH("sprayer",E346)),"Sprayer",
ISNUMBER(SEARCH("mower",E346)),"Lawn Mower",
ISNUMBER(SEARCH("sweeper",E346)),"Lawn Sweeper",
OR(ISNUMBER(SEARCH("pruner",E346)),ISNUMBER(SEARCH("trimmer",E346)),ISNUMBER(SEARCH("pole saw",E346))),"Pruning Tools",
TRUE,"Other"
)</f>
        <v>Live Catch Traps</v>
      </c>
      <c r="J346" s="7" t="str">
        <f t="shared" si="86"/>
        <v>Rodent Control - Live Catch Traps</v>
      </c>
      <c r="K346" s="4">
        <v>50</v>
      </c>
      <c r="L346" s="4">
        <v>3.8</v>
      </c>
      <c r="M346" s="4">
        <v>4224</v>
      </c>
      <c r="N346" s="4" t="s">
        <v>1390</v>
      </c>
      <c r="O346" s="4">
        <f>VLOOKUP(A346,[4]Sheet1!$A:$B,2,0)</f>
        <v>0</v>
      </c>
      <c r="P346" s="4">
        <f>VLOOKUP(A346,[4]Sheet1!$A:$C,3,0)</f>
        <v>0</v>
      </c>
      <c r="Q346" s="4">
        <f>VLOOKUP(A346,[4]Sheet1!$A:$D,4,0)</f>
        <v>100</v>
      </c>
      <c r="R346" s="4">
        <f>VLOOKUP(A346,[4]Sheet1!$A:$E,5,0)</f>
        <v>100</v>
      </c>
      <c r="S346" s="4">
        <f>VLOOKUP(A346,[4]Sheet1!$A:$F,6,0)</f>
        <v>100</v>
      </c>
      <c r="T346" s="4">
        <f>VLOOKUP(A346,[4]Sheet1!$A:$G,7,0)</f>
        <v>50</v>
      </c>
      <c r="U346" s="4">
        <f>VLOOKUP(A346,[4]Sheet1!$A:$H,8,0)</f>
        <v>50</v>
      </c>
      <c r="V346" s="4">
        <f>VLOOKUP(A346,[4]Sheet1!$A:$I,9,0)</f>
        <v>50</v>
      </c>
      <c r="W346" s="4">
        <f>VLOOKUP(A346,[4]Sheet1!$A:$J,10,0)</f>
        <v>50</v>
      </c>
      <c r="X346" s="4">
        <f>VLOOKUP(A346,[4]Sheet1!$A:$K,11,0)</f>
        <v>0</v>
      </c>
      <c r="Y346" s="4">
        <f>VLOOKUP(A346,[4]Sheet1!$A:$L,12,0)</f>
        <v>0</v>
      </c>
      <c r="Z346" s="4">
        <f>VLOOKUP(A346,[4]Sheet1!$A:$M,13,0)</f>
        <v>0</v>
      </c>
      <c r="AA346" s="4">
        <f t="shared" si="80"/>
        <v>500</v>
      </c>
      <c r="AB346" s="7">
        <f t="shared" si="87"/>
        <v>42</v>
      </c>
      <c r="AC346" s="15">
        <f t="shared" si="81"/>
        <v>41.666666666666664</v>
      </c>
      <c r="AD346" s="16">
        <f t="shared" si="82"/>
        <v>8119.9999999999991</v>
      </c>
      <c r="AE346" s="16">
        <f t="shared" si="83"/>
        <v>676.66666666666652</v>
      </c>
      <c r="AF346" s="16">
        <v>5.61</v>
      </c>
      <c r="AG346" s="16">
        <v>16.239999999999998</v>
      </c>
      <c r="AH346" s="15">
        <f t="shared" si="84"/>
        <v>-7.6000000000001405E-3</v>
      </c>
      <c r="AI346" s="15">
        <f t="shared" si="85"/>
        <v>-2.6600000000000488E-2</v>
      </c>
      <c r="AJ346" s="10">
        <v>0.5</v>
      </c>
      <c r="AK346" s="10">
        <v>0.5</v>
      </c>
      <c r="AL346" s="16">
        <v>5.61</v>
      </c>
      <c r="AM346" s="9">
        <f t="shared" si="88"/>
        <v>2.4359999999999995</v>
      </c>
      <c r="AN346" s="9">
        <f t="shared" si="89"/>
        <v>0.48719999999999991</v>
      </c>
      <c r="AO346" s="9">
        <f t="shared" si="90"/>
        <v>3.2479999999999998</v>
      </c>
      <c r="AP346" s="9">
        <f t="shared" si="91"/>
        <v>0.32479999999999998</v>
      </c>
      <c r="AQ346" s="9">
        <f t="shared" si="92"/>
        <v>3.2479999999999998</v>
      </c>
      <c r="AR346" s="9">
        <f t="shared" si="93"/>
        <v>4.0599999999999996</v>
      </c>
      <c r="AS346" s="11">
        <f t="shared" si="94"/>
        <v>-7.60000000000014E-2</v>
      </c>
      <c r="AT346" s="12">
        <f t="shared" si="95"/>
        <v>-0.61733333333333462</v>
      </c>
    </row>
    <row r="347" spans="1:46" ht="16.5" x14ac:dyDescent="0.4">
      <c r="A347" s="4" t="s">
        <v>1591</v>
      </c>
      <c r="B347" s="4" t="s">
        <v>1314</v>
      </c>
      <c r="C347" s="7" t="s">
        <v>1800</v>
      </c>
      <c r="D347" s="4" t="s">
        <v>1592</v>
      </c>
      <c r="E347" s="4" t="s">
        <v>1593</v>
      </c>
      <c r="F347" s="4" t="s">
        <v>1594</v>
      </c>
      <c r="G347" s="7" t="str">
        <f>VLOOKUP(A347,[1]done!$A:$I,9,0)</f>
        <v>Rodent</v>
      </c>
      <c r="H347" s="7" t="str" cm="1">
        <f t="array" ref="H347">_xlfn.IFS(
OR(ISNUMBER(SEARCH("mouse",E347)),ISNUMBER(SEARCH("rat",E347)),ISNUMBER(SEARCH("mice",E347)),ISNUMBER(SEARCH("rodent",E347))),"Rodent Control",
OR(ISNUMBER(SEARCH("fly",E347)),ISNUMBER(SEARCH("gnat",E347)),ISNUMBER(SEARCH("insect",E347)),ISNUMBER(SEARCH("mosquito",E347))),"Flying Insect Control",
OR(ISNUMBER(SEARCH("roach",E347)),ISNUMBER(SEARCH("ant",E347)),ISNUMBER(SEARCH("spider",E347)),ISNUMBER(SEARCH("cricket",E347)),ISNUMBER(SEARCH("scorpion",E347)),ISNUMBER(SEARCH("centipede",E347)),ISNUMBER(SEARCH("beetle",E347))),"Crawling Insect Control",
OR(ISNUMBER(SEARCH("tree",E347)),ISNUMBER(SEARCH("lantern",E347)),ISNUMBER(SEARCH("garden",E347)),ISNUMBER(SEARCH("plant",E347))),"Garden Pest Control",
OR(ISNUMBER(SEARCH("grass seed",E347)),ISNUMBER(SEARCH("seed mix",E347))),"Grass Seed",
OR(ISNUMBER(SEARCH("lawn food",E347)),ISNUMBER(SEARCH("fertilizer",E347))),"Lawn Fertilizer",
OR(ISNUMBER(SEARCH("patch",E347)),ISNUMBER(SEARCH("repair",E347)),ISNUMBER(SEARCH("thick'r",E347)),ISNUMBER(SEARCH("thick'r lawn",E347)),ISNUMBER(SEARCH("rapid grass",E347))),"Lawn Repair",
OR(ISNUMBER(SEARCH("weed",E347)),ISNUMBER(SEARCH("crabgrass",E347))),"Weed Control",
OR(ISNUMBER(SEARCH("fungicide",E347)),ISNUMBER(SEARCH("moss",E347))),"Disease &amp; Moss Control",
OR(ISNUMBER(SEARCH("plant food",E347)),ISNUMBER(SEARCH("miracid",E347))),"Plant Nutrition",
OR(ISNUMBER(SEARCH("perlite",E347))),"Soil Amendment",
OR(ISNUMBER(SEARCH("spreader",E347)),ISNUMBER(SEARCH("sprayer",E347)),ISNUMBER(SEARCH("mower",E347)),ISNUMBER(SEARCH("sweeper",E347)),ISNUMBER(SEARCH("pruner",E347)),ISNUMBER(SEARCH("trimmer",E347)),ISNUMBER(SEARCH("pole saw",E347))),"Garden Equipment",
TRUE,"Other"
)</f>
        <v>Rodent Control</v>
      </c>
      <c r="I347" s="7" t="str" cm="1">
        <f t="array" ref="I347">_xlfn.IFS(
OR(ISNUMBER(SEARCH("glue trap",E347)),ISNUMBER(SEARCH("glue board",E347))),"Glue Traps",
OR(ISNUMBER(SEARCH("snap trap",E347)),ISNUMBER(SEARCH("power-kill",E347)),ISNUMBER(SEARCH("wide pedal",E347)),ISNUMBER(SEARCH("metal pedal",E347))),"Snap Traps",
OR(ISNUMBER(SEARCH("electronic",E347)),ISNUMBER(SEARCH("zapper",E347))),"Electronic Traps",
OR(ISNUMBER(SEARCH("live catch",E347)),ISNUMBER(SEARCH("multi-catch",E347)),ISNUMBER(SEARCH("catch &amp; hold",E347)),ISNUMBER(SEARCH("tin cat",E347))),"Live Catch Traps",
OR(ISNUMBER(SEARCH("bait",E347)),ISNUMBER(SEARCH("poison",E347))),"Bait &amp; Poison",
ISNUMBER(SEARCH("repellent",E347)),"Repellents",
OR(ISNUMBER(SEARCH("fly trap",E347)),ISNUMBER(SEARCH("fly ribbon",E347)),ISNUMBER(SEARCH("fly stick",E347)),ISNUMBER(SEARCH("window fly",E347)),ISNUMBER(SEARCH("fly magnet",E347))),"Fly Traps",
OR(ISNUMBER(SEARCH("uv",E347)),ISNUMBER(SEARCH("fly light",E347)),ISNUMBER(SEARCH("plug-in",E347))),"UV Fly Traps",
ISNUMBER(SEARCH("roach",E347)),"Roach Traps",
ISNUMBER(SEARCH("ant",E347)),"Ant Traps",
ISNUMBER(SEARCH("spider",E347)),"Spider Traps",
ISNUMBER(SEARCH("mosquito",E347)),"Mosquito Traps",
ISNUMBER(SEARCH("beetle",E347)),"Beetle Traps",
ISNUMBER(SEARCH("lantern",E347)),"Lanternfly Control",
OR(ISNUMBER(SEARCH("tree shield",E347)),ISNUMBER(SEARCH("tree banding",E347)),ISNUMBER(SEARCH("insect barrier",E347))),"Tree Barriers",
OR(ISNUMBER(SEARCH("sun &amp; shade",E347)),ISNUMBER(SEARCH("sun and shade",E347))),"Sun &amp; Shade Mix",
ISNUMBER(SEARCH("tall fescue",E347)),"Tall Fescue",
ISNUMBER(SEARCH("bermudagrass",E347)),"Bermudagrass",
ISNUMBER(SEARCH("kentucky",E347)),"Kentucky Bluegrass",
ISNUMBER(SEARCH("zoysia",E347)),"Zoysia",
ISNUMBER(SEARCH("ryegrass",E347)),"Perennial Ryegrass",
ISNUMBER(SEARCH("centipede",E347)),"Centipede Grass",
ISNUMBER(SEARCH("dense shade",E347)),"Dense Shade Mix",
ISNUMBER(SEARCH("southern gold",E347)),"Southern Gold Mix",
ISNUMBER(SEARCH("heat-tolerant blue",E347)),"Heat-Tolerant Blue Mix",
ISNUMBER(SEARCH("high traffic",E347)),"High Traffic Mix",
ISNUMBER(SEARCH("quick fix",E347)),"Quick Fix Mix",
ISNUMBER(SEARCH("starter",E347)),"Starter Fertilizer",
ISNUMBER(SEARCH("weed &amp; feed",E347)),"Weed &amp; Feed",
ISNUMBER(SEARCH("lawn food",E347)),"Lawn Food",
ISNUMBER(SEARCH("triple action",E347)),"Triple Action Fertilizer",
ISNUMBER(SEARCH("green max",E347)),"Green Max Lawn Food",
ISNUMBER(SEARCH("patchmaster",E347)),"PatchMaster Repair",
ISNUMBER(SEARCH("ez seed",E347)),"EZ Seed Repair",
ISNUMBER(SEARCH("rapid grass",E347)),"Rapid Grass",
ISNUMBER(SEARCH("thick'r lawn",E347)),"Thick'R Lawn",
ISNUMBER(SEARCH("fungicide",E347)),"Fungicide",
ISNUMBER(SEARCH("moss",E347)),"Moss Control",
ISNUMBER(SEARCH("perlite",E347)),"Perlite",
ISNUMBER(SEARCH("plant food",E347)),"Plant Food",
ISNUMBER(SEARCH("spreader",E347)),"Spreader",
ISNUMBER(SEARCH("sprayer",E347)),"Sprayer",
ISNUMBER(SEARCH("mower",E347)),"Lawn Mower",
ISNUMBER(SEARCH("sweeper",E347)),"Lawn Sweeper",
OR(ISNUMBER(SEARCH("pruner",E347)),ISNUMBER(SEARCH("trimmer",E347)),ISNUMBER(SEARCH("pole saw",E347))),"Pruning Tools",
TRUE,"Other"
)</f>
        <v>Other</v>
      </c>
      <c r="J347" s="7" t="str">
        <f t="shared" si="86"/>
        <v>Rodent Control - Other</v>
      </c>
      <c r="K347" s="4">
        <v>50</v>
      </c>
      <c r="L347" s="4">
        <v>3.6</v>
      </c>
      <c r="M347" s="4">
        <v>26</v>
      </c>
      <c r="O347" s="4">
        <f>VLOOKUP(A347,[4]Sheet1!$A:$B,2,0)</f>
        <v>0</v>
      </c>
      <c r="P347" s="4">
        <f>VLOOKUP(A347,[4]Sheet1!$A:$C,3,0)</f>
        <v>0</v>
      </c>
      <c r="Q347" s="4">
        <f>VLOOKUP(A347,[4]Sheet1!$A:$D,4,0)</f>
        <v>0</v>
      </c>
      <c r="R347" s="4">
        <f>VLOOKUP(A347,[4]Sheet1!$A:$E,5,0)</f>
        <v>0</v>
      </c>
      <c r="S347" s="4">
        <f>VLOOKUP(A347,[4]Sheet1!$A:$F,6,0)</f>
        <v>50</v>
      </c>
      <c r="T347" s="4">
        <f>VLOOKUP(A347,[4]Sheet1!$A:$G,7,0)</f>
        <v>50</v>
      </c>
      <c r="U347" s="4">
        <f>VLOOKUP(A347,[4]Sheet1!$A:$H,8,0)</f>
        <v>50</v>
      </c>
      <c r="V347" s="4">
        <f>VLOOKUP(A347,[4]Sheet1!$A:$I,9,0)</f>
        <v>50</v>
      </c>
      <c r="W347" s="4">
        <f>VLOOKUP(A347,[4]Sheet1!$A:$J,10,0)</f>
        <v>50</v>
      </c>
      <c r="X347" s="4">
        <f>VLOOKUP(A347,[4]Sheet1!$A:$K,11,0)</f>
        <v>0</v>
      </c>
      <c r="Y347" s="4">
        <f>VLOOKUP(A347,[4]Sheet1!$A:$L,12,0)</f>
        <v>0</v>
      </c>
      <c r="Z347" s="4">
        <f>VLOOKUP(A347,[4]Sheet1!$A:$M,13,0)</f>
        <v>0</v>
      </c>
      <c r="AA347" s="4">
        <f t="shared" si="80"/>
        <v>250</v>
      </c>
      <c r="AB347" s="7">
        <f t="shared" si="87"/>
        <v>21</v>
      </c>
      <c r="AC347" s="15">
        <f t="shared" si="81"/>
        <v>20.833333333333332</v>
      </c>
      <c r="AD347" s="16">
        <f t="shared" si="82"/>
        <v>4250</v>
      </c>
      <c r="AE347" s="16">
        <f t="shared" si="83"/>
        <v>354.16666666666663</v>
      </c>
      <c r="AF347" s="16">
        <v>6.13</v>
      </c>
      <c r="AG347" s="16">
        <v>17</v>
      </c>
      <c r="AH347" s="15">
        <f t="shared" si="84"/>
        <v>-2.2000000000000065E-2</v>
      </c>
      <c r="AI347" s="15">
        <f t="shared" si="85"/>
        <v>-7.7000000000000221E-2</v>
      </c>
      <c r="AJ347" s="10">
        <v>0.5</v>
      </c>
      <c r="AK347" s="10">
        <v>0.5</v>
      </c>
      <c r="AL347" s="16">
        <v>6.13</v>
      </c>
      <c r="AM347" s="9">
        <f t="shared" si="88"/>
        <v>2.5499999999999998</v>
      </c>
      <c r="AN347" s="9">
        <f t="shared" si="89"/>
        <v>0.51</v>
      </c>
      <c r="AO347" s="9">
        <f t="shared" si="90"/>
        <v>3.4000000000000004</v>
      </c>
      <c r="AP347" s="9">
        <f t="shared" si="91"/>
        <v>0.34</v>
      </c>
      <c r="AQ347" s="9">
        <f t="shared" si="92"/>
        <v>3.4000000000000004</v>
      </c>
      <c r="AR347" s="9">
        <f t="shared" si="93"/>
        <v>4.25</v>
      </c>
      <c r="AS347" s="11">
        <f t="shared" si="94"/>
        <v>-0.22000000000000064</v>
      </c>
      <c r="AT347" s="12">
        <f t="shared" si="95"/>
        <v>-0.78666666666666707</v>
      </c>
    </row>
    <row r="348" spans="1:46" ht="16.5" x14ac:dyDescent="0.4">
      <c r="A348" s="4" t="s">
        <v>1595</v>
      </c>
      <c r="B348" s="4" t="s">
        <v>1314</v>
      </c>
      <c r="C348" s="7" t="s">
        <v>1801</v>
      </c>
      <c r="D348" s="4" t="s">
        <v>1596</v>
      </c>
      <c r="E348" s="4" t="s">
        <v>1597</v>
      </c>
      <c r="F348" s="4" t="s">
        <v>1598</v>
      </c>
      <c r="G348" s="7" t="str">
        <f>VLOOKUP(A348,[1]done!$A:$I,9,0)</f>
        <v>Rodent</v>
      </c>
      <c r="H348" s="7" t="str" cm="1">
        <f t="array" ref="H348">_xlfn.IFS(
OR(ISNUMBER(SEARCH("mouse",E348)),ISNUMBER(SEARCH("rat",E348)),ISNUMBER(SEARCH("mice",E348)),ISNUMBER(SEARCH("rodent",E348))),"Rodent Control",
OR(ISNUMBER(SEARCH("fly",E348)),ISNUMBER(SEARCH("gnat",E348)),ISNUMBER(SEARCH("insect",E348)),ISNUMBER(SEARCH("mosquito",E348))),"Flying Insect Control",
OR(ISNUMBER(SEARCH("roach",E348)),ISNUMBER(SEARCH("ant",E348)),ISNUMBER(SEARCH("spider",E348)),ISNUMBER(SEARCH("cricket",E348)),ISNUMBER(SEARCH("scorpion",E348)),ISNUMBER(SEARCH("centipede",E348)),ISNUMBER(SEARCH("beetle",E348))),"Crawling Insect Control",
OR(ISNUMBER(SEARCH("tree",E348)),ISNUMBER(SEARCH("lantern",E348)),ISNUMBER(SEARCH("garden",E348)),ISNUMBER(SEARCH("plant",E348))),"Garden Pest Control",
OR(ISNUMBER(SEARCH("grass seed",E348)),ISNUMBER(SEARCH("seed mix",E348))),"Grass Seed",
OR(ISNUMBER(SEARCH("lawn food",E348)),ISNUMBER(SEARCH("fertilizer",E348))),"Lawn Fertilizer",
OR(ISNUMBER(SEARCH("patch",E348)),ISNUMBER(SEARCH("repair",E348)),ISNUMBER(SEARCH("thick'r",E348)),ISNUMBER(SEARCH("thick'r lawn",E348)),ISNUMBER(SEARCH("rapid grass",E348))),"Lawn Repair",
OR(ISNUMBER(SEARCH("weed",E348)),ISNUMBER(SEARCH("crabgrass",E348))),"Weed Control",
OR(ISNUMBER(SEARCH("fungicide",E348)),ISNUMBER(SEARCH("moss",E348))),"Disease &amp; Moss Control",
OR(ISNUMBER(SEARCH("plant food",E348)),ISNUMBER(SEARCH("miracid",E348))),"Plant Nutrition",
OR(ISNUMBER(SEARCH("perlite",E348))),"Soil Amendment",
OR(ISNUMBER(SEARCH("spreader",E348)),ISNUMBER(SEARCH("sprayer",E348)),ISNUMBER(SEARCH("mower",E348)),ISNUMBER(SEARCH("sweeper",E348)),ISNUMBER(SEARCH("pruner",E348)),ISNUMBER(SEARCH("trimmer",E348)),ISNUMBER(SEARCH("pole saw",E348))),"Garden Equipment",
TRUE,"Other"
)</f>
        <v>Rodent Control</v>
      </c>
      <c r="I348" s="7" t="str" cm="1">
        <f t="array" ref="I348">_xlfn.IFS(
OR(ISNUMBER(SEARCH("glue trap",E348)),ISNUMBER(SEARCH("glue board",E348))),"Glue Traps",
OR(ISNUMBER(SEARCH("snap trap",E348)),ISNUMBER(SEARCH("power-kill",E348)),ISNUMBER(SEARCH("wide pedal",E348)),ISNUMBER(SEARCH("metal pedal",E348))),"Snap Traps",
OR(ISNUMBER(SEARCH("electronic",E348)),ISNUMBER(SEARCH("zapper",E348))),"Electronic Traps",
OR(ISNUMBER(SEARCH("live catch",E348)),ISNUMBER(SEARCH("multi-catch",E348)),ISNUMBER(SEARCH("catch &amp; hold",E348)),ISNUMBER(SEARCH("tin cat",E348))),"Live Catch Traps",
OR(ISNUMBER(SEARCH("bait",E348)),ISNUMBER(SEARCH("poison",E348))),"Bait &amp; Poison",
ISNUMBER(SEARCH("repellent",E348)),"Repellents",
OR(ISNUMBER(SEARCH("fly trap",E348)),ISNUMBER(SEARCH("fly ribbon",E348)),ISNUMBER(SEARCH("fly stick",E348)),ISNUMBER(SEARCH("window fly",E348)),ISNUMBER(SEARCH("fly magnet",E348))),"Fly Traps",
OR(ISNUMBER(SEARCH("uv",E348)),ISNUMBER(SEARCH("fly light",E348)),ISNUMBER(SEARCH("plug-in",E348))),"UV Fly Traps",
ISNUMBER(SEARCH("roach",E348)),"Roach Traps",
ISNUMBER(SEARCH("ant",E348)),"Ant Traps",
ISNUMBER(SEARCH("spider",E348)),"Spider Traps",
ISNUMBER(SEARCH("mosquito",E348)),"Mosquito Traps",
ISNUMBER(SEARCH("beetle",E348)),"Beetle Traps",
ISNUMBER(SEARCH("lantern",E348)),"Lanternfly Control",
OR(ISNUMBER(SEARCH("tree shield",E348)),ISNUMBER(SEARCH("tree banding",E348)),ISNUMBER(SEARCH("insect barrier",E348))),"Tree Barriers",
OR(ISNUMBER(SEARCH("sun &amp; shade",E348)),ISNUMBER(SEARCH("sun and shade",E348))),"Sun &amp; Shade Mix",
ISNUMBER(SEARCH("tall fescue",E348)),"Tall Fescue",
ISNUMBER(SEARCH("bermudagrass",E348)),"Bermudagrass",
ISNUMBER(SEARCH("kentucky",E348)),"Kentucky Bluegrass",
ISNUMBER(SEARCH("zoysia",E348)),"Zoysia",
ISNUMBER(SEARCH("ryegrass",E348)),"Perennial Ryegrass",
ISNUMBER(SEARCH("centipede",E348)),"Centipede Grass",
ISNUMBER(SEARCH("dense shade",E348)),"Dense Shade Mix",
ISNUMBER(SEARCH("southern gold",E348)),"Southern Gold Mix",
ISNUMBER(SEARCH("heat-tolerant blue",E348)),"Heat-Tolerant Blue Mix",
ISNUMBER(SEARCH("high traffic",E348)),"High Traffic Mix",
ISNUMBER(SEARCH("quick fix",E348)),"Quick Fix Mix",
ISNUMBER(SEARCH("starter",E348)),"Starter Fertilizer",
ISNUMBER(SEARCH("weed &amp; feed",E348)),"Weed &amp; Feed",
ISNUMBER(SEARCH("lawn food",E348)),"Lawn Food",
ISNUMBER(SEARCH("triple action",E348)),"Triple Action Fertilizer",
ISNUMBER(SEARCH("green max",E348)),"Green Max Lawn Food",
ISNUMBER(SEARCH("patchmaster",E348)),"PatchMaster Repair",
ISNUMBER(SEARCH("ez seed",E348)),"EZ Seed Repair",
ISNUMBER(SEARCH("rapid grass",E348)),"Rapid Grass",
ISNUMBER(SEARCH("thick'r lawn",E348)),"Thick'R Lawn",
ISNUMBER(SEARCH("fungicide",E348)),"Fungicide",
ISNUMBER(SEARCH("moss",E348)),"Moss Control",
ISNUMBER(SEARCH("perlite",E348)),"Perlite",
ISNUMBER(SEARCH("plant food",E348)),"Plant Food",
ISNUMBER(SEARCH("spreader",E348)),"Spreader",
ISNUMBER(SEARCH("sprayer",E348)),"Sprayer",
ISNUMBER(SEARCH("mower",E348)),"Lawn Mower",
ISNUMBER(SEARCH("sweeper",E348)),"Lawn Sweeper",
OR(ISNUMBER(SEARCH("pruner",E348)),ISNUMBER(SEARCH("trimmer",E348)),ISNUMBER(SEARCH("pole saw",E348))),"Pruning Tools",
TRUE,"Other"
)</f>
        <v>Other</v>
      </c>
      <c r="J348" s="7" t="str">
        <f t="shared" si="86"/>
        <v>Rodent Control - Other</v>
      </c>
      <c r="K348" s="4">
        <v>50</v>
      </c>
      <c r="L348" s="4">
        <v>4</v>
      </c>
      <c r="M348" s="4">
        <v>132</v>
      </c>
      <c r="N348" s="4" t="s">
        <v>1527</v>
      </c>
      <c r="O348" s="4">
        <f>VLOOKUP(A348,[4]Sheet1!$A:$B,2,0)</f>
        <v>0</v>
      </c>
      <c r="P348" s="4">
        <f>VLOOKUP(A348,[4]Sheet1!$A:$C,3,0)</f>
        <v>0</v>
      </c>
      <c r="Q348" s="4">
        <f>VLOOKUP(A348,[4]Sheet1!$A:$D,4,0)</f>
        <v>0</v>
      </c>
      <c r="R348" s="4">
        <f>VLOOKUP(A348,[4]Sheet1!$A:$E,5,0)</f>
        <v>0</v>
      </c>
      <c r="S348" s="4">
        <f>VLOOKUP(A348,[4]Sheet1!$A:$F,6,0)</f>
        <v>0</v>
      </c>
      <c r="T348" s="4">
        <f>VLOOKUP(A348,[4]Sheet1!$A:$G,7,0)</f>
        <v>0</v>
      </c>
      <c r="U348" s="4">
        <f>VLOOKUP(A348,[4]Sheet1!$A:$H,8,0)</f>
        <v>0</v>
      </c>
      <c r="V348" s="4">
        <f>VLOOKUP(A348,[4]Sheet1!$A:$I,9,0)</f>
        <v>0</v>
      </c>
      <c r="W348" s="4">
        <f>VLOOKUP(A348,[4]Sheet1!$A:$J,10,0)</f>
        <v>0</v>
      </c>
      <c r="X348" s="4">
        <f>VLOOKUP(A348,[4]Sheet1!$A:$K,11,0)</f>
        <v>0</v>
      </c>
      <c r="Y348" s="4">
        <f>VLOOKUP(A348,[4]Sheet1!$A:$L,12,0)</f>
        <v>0</v>
      </c>
      <c r="Z348" s="4">
        <f>VLOOKUP(A348,[4]Sheet1!$A:$M,13,0)</f>
        <v>0</v>
      </c>
      <c r="AA348" s="4">
        <f t="shared" si="80"/>
        <v>0</v>
      </c>
      <c r="AB348" s="7">
        <f t="shared" si="87"/>
        <v>0</v>
      </c>
      <c r="AC348" s="15">
        <f t="shared" si="81"/>
        <v>0</v>
      </c>
      <c r="AD348" s="16">
        <f t="shared" si="82"/>
        <v>0</v>
      </c>
      <c r="AE348" s="16">
        <f t="shared" si="83"/>
        <v>0</v>
      </c>
      <c r="AF348" s="16">
        <v>3.24</v>
      </c>
      <c r="AG348" s="16">
        <v>9.1300000000000008</v>
      </c>
      <c r="AH348" s="15">
        <f t="shared" si="84"/>
        <v>-3.9199999999999992E-2</v>
      </c>
      <c r="AI348" s="15">
        <f t="shared" si="85"/>
        <v>-0.13719999999999996</v>
      </c>
      <c r="AJ348" s="10">
        <v>0.5</v>
      </c>
      <c r="AK348" s="10">
        <v>0.5</v>
      </c>
      <c r="AL348" s="16">
        <v>3.24</v>
      </c>
      <c r="AM348" s="9">
        <f t="shared" si="88"/>
        <v>1.3695000000000002</v>
      </c>
      <c r="AN348" s="9">
        <f t="shared" si="89"/>
        <v>0.27390000000000003</v>
      </c>
      <c r="AO348" s="9">
        <f t="shared" si="90"/>
        <v>1.8260000000000003</v>
      </c>
      <c r="AP348" s="9">
        <f t="shared" si="91"/>
        <v>0.18260000000000001</v>
      </c>
      <c r="AQ348" s="9">
        <f t="shared" si="92"/>
        <v>1.8260000000000003</v>
      </c>
      <c r="AR348" s="9">
        <f t="shared" si="93"/>
        <v>2.2825000000000002</v>
      </c>
      <c r="AS348" s="11">
        <f t="shared" si="94"/>
        <v>-0.3919999999999999</v>
      </c>
      <c r="AT348" s="12">
        <f t="shared" si="95"/>
        <v>-0.69633333333333314</v>
      </c>
    </row>
    <row r="349" spans="1:46" ht="16.5" x14ac:dyDescent="0.4">
      <c r="A349" s="4" t="s">
        <v>1599</v>
      </c>
      <c r="B349" s="4" t="s">
        <v>1314</v>
      </c>
      <c r="C349" s="7" t="s">
        <v>1796</v>
      </c>
      <c r="D349" s="4" t="s">
        <v>1600</v>
      </c>
      <c r="E349" s="4" t="s">
        <v>1601</v>
      </c>
      <c r="F349" s="4" t="s">
        <v>1602</v>
      </c>
      <c r="G349" s="7" t="str">
        <f>VLOOKUP(A349,[1]done!$A:$I,9,0)</f>
        <v>Rodent</v>
      </c>
      <c r="H349" s="7" t="str" cm="1">
        <f t="array" ref="H349">_xlfn.IFS(
OR(ISNUMBER(SEARCH("mouse",E349)),ISNUMBER(SEARCH("rat",E349)),ISNUMBER(SEARCH("mice",E349)),ISNUMBER(SEARCH("rodent",E349))),"Rodent Control",
OR(ISNUMBER(SEARCH("fly",E349)),ISNUMBER(SEARCH("gnat",E349)),ISNUMBER(SEARCH("insect",E349)),ISNUMBER(SEARCH("mosquito",E349))),"Flying Insect Control",
OR(ISNUMBER(SEARCH("roach",E349)),ISNUMBER(SEARCH("ant",E349)),ISNUMBER(SEARCH("spider",E349)),ISNUMBER(SEARCH("cricket",E349)),ISNUMBER(SEARCH("scorpion",E349)),ISNUMBER(SEARCH("centipede",E349)),ISNUMBER(SEARCH("beetle",E349))),"Crawling Insect Control",
OR(ISNUMBER(SEARCH("tree",E349)),ISNUMBER(SEARCH("lantern",E349)),ISNUMBER(SEARCH("garden",E349)),ISNUMBER(SEARCH("plant",E349))),"Garden Pest Control",
OR(ISNUMBER(SEARCH("grass seed",E349)),ISNUMBER(SEARCH("seed mix",E349))),"Grass Seed",
OR(ISNUMBER(SEARCH("lawn food",E349)),ISNUMBER(SEARCH("fertilizer",E349))),"Lawn Fertilizer",
OR(ISNUMBER(SEARCH("patch",E349)),ISNUMBER(SEARCH("repair",E349)),ISNUMBER(SEARCH("thick'r",E349)),ISNUMBER(SEARCH("thick'r lawn",E349)),ISNUMBER(SEARCH("rapid grass",E349))),"Lawn Repair",
OR(ISNUMBER(SEARCH("weed",E349)),ISNUMBER(SEARCH("crabgrass",E349))),"Weed Control",
OR(ISNUMBER(SEARCH("fungicide",E349)),ISNUMBER(SEARCH("moss",E349))),"Disease &amp; Moss Control",
OR(ISNUMBER(SEARCH("plant food",E349)),ISNUMBER(SEARCH("miracid",E349))),"Plant Nutrition",
OR(ISNUMBER(SEARCH("perlite",E349))),"Soil Amendment",
OR(ISNUMBER(SEARCH("spreader",E349)),ISNUMBER(SEARCH("sprayer",E349)),ISNUMBER(SEARCH("mower",E349)),ISNUMBER(SEARCH("sweeper",E349)),ISNUMBER(SEARCH("pruner",E349)),ISNUMBER(SEARCH("trimmer",E349)),ISNUMBER(SEARCH("pole saw",E349))),"Garden Equipment",
TRUE,"Other"
)</f>
        <v>Rodent Control</v>
      </c>
      <c r="I349" s="7" t="str" cm="1">
        <f t="array" ref="I349">_xlfn.IFS(
OR(ISNUMBER(SEARCH("glue trap",E349)),ISNUMBER(SEARCH("glue board",E349))),"Glue Traps",
OR(ISNUMBER(SEARCH("snap trap",E349)),ISNUMBER(SEARCH("power-kill",E349)),ISNUMBER(SEARCH("wide pedal",E349)),ISNUMBER(SEARCH("metal pedal",E349))),"Snap Traps",
OR(ISNUMBER(SEARCH("electronic",E349)),ISNUMBER(SEARCH("zapper",E349))),"Electronic Traps",
OR(ISNUMBER(SEARCH("live catch",E349)),ISNUMBER(SEARCH("multi-catch",E349)),ISNUMBER(SEARCH("catch &amp; hold",E349)),ISNUMBER(SEARCH("tin cat",E349))),"Live Catch Traps",
OR(ISNUMBER(SEARCH("bait",E349)),ISNUMBER(SEARCH("poison",E349))),"Bait &amp; Poison",
ISNUMBER(SEARCH("repellent",E349)),"Repellents",
OR(ISNUMBER(SEARCH("fly trap",E349)),ISNUMBER(SEARCH("fly ribbon",E349)),ISNUMBER(SEARCH("fly stick",E349)),ISNUMBER(SEARCH("window fly",E349)),ISNUMBER(SEARCH("fly magnet",E349))),"Fly Traps",
OR(ISNUMBER(SEARCH("uv",E349)),ISNUMBER(SEARCH("fly light",E349)),ISNUMBER(SEARCH("plug-in",E349))),"UV Fly Traps",
ISNUMBER(SEARCH("roach",E349)),"Roach Traps",
ISNUMBER(SEARCH("ant",E349)),"Ant Traps",
ISNUMBER(SEARCH("spider",E349)),"Spider Traps",
ISNUMBER(SEARCH("mosquito",E349)),"Mosquito Traps",
ISNUMBER(SEARCH("beetle",E349)),"Beetle Traps",
ISNUMBER(SEARCH("lantern",E349)),"Lanternfly Control",
OR(ISNUMBER(SEARCH("tree shield",E349)),ISNUMBER(SEARCH("tree banding",E349)),ISNUMBER(SEARCH("insect barrier",E349))),"Tree Barriers",
OR(ISNUMBER(SEARCH("sun &amp; shade",E349)),ISNUMBER(SEARCH("sun and shade",E349))),"Sun &amp; Shade Mix",
ISNUMBER(SEARCH("tall fescue",E349)),"Tall Fescue",
ISNUMBER(SEARCH("bermudagrass",E349)),"Bermudagrass",
ISNUMBER(SEARCH("kentucky",E349)),"Kentucky Bluegrass",
ISNUMBER(SEARCH("zoysia",E349)),"Zoysia",
ISNUMBER(SEARCH("ryegrass",E349)),"Perennial Ryegrass",
ISNUMBER(SEARCH("centipede",E349)),"Centipede Grass",
ISNUMBER(SEARCH("dense shade",E349)),"Dense Shade Mix",
ISNUMBER(SEARCH("southern gold",E349)),"Southern Gold Mix",
ISNUMBER(SEARCH("heat-tolerant blue",E349)),"Heat-Tolerant Blue Mix",
ISNUMBER(SEARCH("high traffic",E349)),"High Traffic Mix",
ISNUMBER(SEARCH("quick fix",E349)),"Quick Fix Mix",
ISNUMBER(SEARCH("starter",E349)),"Starter Fertilizer",
ISNUMBER(SEARCH("weed &amp; feed",E349)),"Weed &amp; Feed",
ISNUMBER(SEARCH("lawn food",E349)),"Lawn Food",
ISNUMBER(SEARCH("triple action",E349)),"Triple Action Fertilizer",
ISNUMBER(SEARCH("green max",E349)),"Green Max Lawn Food",
ISNUMBER(SEARCH("patchmaster",E349)),"PatchMaster Repair",
ISNUMBER(SEARCH("ez seed",E349)),"EZ Seed Repair",
ISNUMBER(SEARCH("rapid grass",E349)),"Rapid Grass",
ISNUMBER(SEARCH("thick'r lawn",E349)),"Thick'R Lawn",
ISNUMBER(SEARCH("fungicide",E349)),"Fungicide",
ISNUMBER(SEARCH("moss",E349)),"Moss Control",
ISNUMBER(SEARCH("perlite",E349)),"Perlite",
ISNUMBER(SEARCH("plant food",E349)),"Plant Food",
ISNUMBER(SEARCH("spreader",E349)),"Spreader",
ISNUMBER(SEARCH("sprayer",E349)),"Sprayer",
ISNUMBER(SEARCH("mower",E349)),"Lawn Mower",
ISNUMBER(SEARCH("sweeper",E349)),"Lawn Sweeper",
OR(ISNUMBER(SEARCH("pruner",E349)),ISNUMBER(SEARCH("trimmer",E349)),ISNUMBER(SEARCH("pole saw",E349))),"Pruning Tools",
TRUE,"Other"
)</f>
        <v>Live Catch Traps</v>
      </c>
      <c r="J349" s="7" t="str">
        <f t="shared" si="86"/>
        <v>Rodent Control - Live Catch Traps</v>
      </c>
      <c r="K349" s="4">
        <v>50</v>
      </c>
      <c r="L349" s="4">
        <v>3.7</v>
      </c>
      <c r="M349" s="4">
        <v>122</v>
      </c>
      <c r="N349" s="4" t="s">
        <v>1353</v>
      </c>
      <c r="O349" s="4">
        <f>VLOOKUP(A349,[4]Sheet1!$A:$B,2,0)</f>
        <v>50</v>
      </c>
      <c r="P349" s="4">
        <f>VLOOKUP(A349,[4]Sheet1!$A:$C,3,0)</f>
        <v>50</v>
      </c>
      <c r="Q349" s="4">
        <f>VLOOKUP(A349,[4]Sheet1!$A:$D,4,0)</f>
        <v>50</v>
      </c>
      <c r="R349" s="4">
        <f>VLOOKUP(A349,[4]Sheet1!$A:$E,5,0)</f>
        <v>50</v>
      </c>
      <c r="S349" s="4">
        <f>VLOOKUP(A349,[4]Sheet1!$A:$F,6,0)</f>
        <v>50</v>
      </c>
      <c r="T349" s="4">
        <f>VLOOKUP(A349,[4]Sheet1!$A:$G,7,0)</f>
        <v>50</v>
      </c>
      <c r="U349" s="4">
        <f>VLOOKUP(A349,[4]Sheet1!$A:$H,8,0)</f>
        <v>50</v>
      </c>
      <c r="V349" s="4">
        <f>VLOOKUP(A349,[4]Sheet1!$A:$I,9,0)</f>
        <v>50</v>
      </c>
      <c r="W349" s="4">
        <f>VLOOKUP(A349,[4]Sheet1!$A:$J,10,0)</f>
        <v>50</v>
      </c>
      <c r="X349" s="4">
        <f>VLOOKUP(A349,[4]Sheet1!$A:$K,11,0)</f>
        <v>50</v>
      </c>
      <c r="Y349" s="4">
        <f>VLOOKUP(A349,[4]Sheet1!$A:$L,12,0)</f>
        <v>50</v>
      </c>
      <c r="Z349" s="4">
        <f>VLOOKUP(A349,[4]Sheet1!$A:$M,13,0)</f>
        <v>50</v>
      </c>
      <c r="AA349" s="4">
        <f t="shared" si="80"/>
        <v>600</v>
      </c>
      <c r="AB349" s="7">
        <f t="shared" si="87"/>
        <v>50</v>
      </c>
      <c r="AC349" s="15">
        <f t="shared" si="81"/>
        <v>50</v>
      </c>
      <c r="AD349" s="16">
        <f t="shared" si="82"/>
        <v>11214</v>
      </c>
      <c r="AE349" s="16">
        <f t="shared" si="83"/>
        <v>934.50000000000011</v>
      </c>
      <c r="AF349" s="16">
        <v>4.68</v>
      </c>
      <c r="AG349" s="16">
        <v>18.690000000000001</v>
      </c>
      <c r="AH349" s="15">
        <f t="shared" si="84"/>
        <v>0.11973333333333336</v>
      </c>
      <c r="AI349" s="15">
        <f t="shared" si="85"/>
        <v>0.41906666666666675</v>
      </c>
      <c r="AJ349" s="10">
        <v>0.5</v>
      </c>
      <c r="AK349" s="10">
        <v>0.5</v>
      </c>
      <c r="AL349" s="16">
        <v>4.68</v>
      </c>
      <c r="AM349" s="9">
        <f t="shared" si="88"/>
        <v>2.8035000000000001</v>
      </c>
      <c r="AN349" s="9">
        <f t="shared" si="89"/>
        <v>0.56069999999999998</v>
      </c>
      <c r="AO349" s="9">
        <f t="shared" si="90"/>
        <v>3.7380000000000004</v>
      </c>
      <c r="AP349" s="9">
        <f t="shared" si="91"/>
        <v>0.37380000000000002</v>
      </c>
      <c r="AQ349" s="9">
        <f t="shared" si="92"/>
        <v>3.7380000000000004</v>
      </c>
      <c r="AR349" s="9">
        <f t="shared" si="93"/>
        <v>4.6725000000000003</v>
      </c>
      <c r="AS349" s="11">
        <f t="shared" si="94"/>
        <v>1.1973333333333336</v>
      </c>
      <c r="AT349" s="12">
        <f t="shared" si="95"/>
        <v>0.57433333333333358</v>
      </c>
    </row>
    <row r="350" spans="1:46" ht="16.5" x14ac:dyDescent="0.4">
      <c r="A350" s="4" t="s">
        <v>1603</v>
      </c>
      <c r="B350" s="4" t="s">
        <v>1314</v>
      </c>
      <c r="C350" s="7" t="s">
        <v>1796</v>
      </c>
      <c r="D350" s="4" t="s">
        <v>1604</v>
      </c>
      <c r="E350" s="4" t="s">
        <v>1605</v>
      </c>
      <c r="F350" s="4" t="s">
        <v>1606</v>
      </c>
      <c r="G350" s="7" t="str">
        <f>VLOOKUP(A350,[1]done!$A:$I,9,0)</f>
        <v>Rodent</v>
      </c>
      <c r="H350" s="7" t="str" cm="1">
        <f t="array" ref="H350">_xlfn.IFS(
OR(ISNUMBER(SEARCH("mouse",E350)),ISNUMBER(SEARCH("rat",E350)),ISNUMBER(SEARCH("mice",E350)),ISNUMBER(SEARCH("rodent",E350))),"Rodent Control",
OR(ISNUMBER(SEARCH("fly",E350)),ISNUMBER(SEARCH("gnat",E350)),ISNUMBER(SEARCH("insect",E350)),ISNUMBER(SEARCH("mosquito",E350))),"Flying Insect Control",
OR(ISNUMBER(SEARCH("roach",E350)),ISNUMBER(SEARCH("ant",E350)),ISNUMBER(SEARCH("spider",E350)),ISNUMBER(SEARCH("cricket",E350)),ISNUMBER(SEARCH("scorpion",E350)),ISNUMBER(SEARCH("centipede",E350)),ISNUMBER(SEARCH("beetle",E350))),"Crawling Insect Control",
OR(ISNUMBER(SEARCH("tree",E350)),ISNUMBER(SEARCH("lantern",E350)),ISNUMBER(SEARCH("garden",E350)),ISNUMBER(SEARCH("plant",E350))),"Garden Pest Control",
OR(ISNUMBER(SEARCH("grass seed",E350)),ISNUMBER(SEARCH("seed mix",E350))),"Grass Seed",
OR(ISNUMBER(SEARCH("lawn food",E350)),ISNUMBER(SEARCH("fertilizer",E350))),"Lawn Fertilizer",
OR(ISNUMBER(SEARCH("patch",E350)),ISNUMBER(SEARCH("repair",E350)),ISNUMBER(SEARCH("thick'r",E350)),ISNUMBER(SEARCH("thick'r lawn",E350)),ISNUMBER(SEARCH("rapid grass",E350))),"Lawn Repair",
OR(ISNUMBER(SEARCH("weed",E350)),ISNUMBER(SEARCH("crabgrass",E350))),"Weed Control",
OR(ISNUMBER(SEARCH("fungicide",E350)),ISNUMBER(SEARCH("moss",E350))),"Disease &amp; Moss Control",
OR(ISNUMBER(SEARCH("plant food",E350)),ISNUMBER(SEARCH("miracid",E350))),"Plant Nutrition",
OR(ISNUMBER(SEARCH("perlite",E350))),"Soil Amendment",
OR(ISNUMBER(SEARCH("spreader",E350)),ISNUMBER(SEARCH("sprayer",E350)),ISNUMBER(SEARCH("mower",E350)),ISNUMBER(SEARCH("sweeper",E350)),ISNUMBER(SEARCH("pruner",E350)),ISNUMBER(SEARCH("trimmer",E350)),ISNUMBER(SEARCH("pole saw",E350))),"Garden Equipment",
TRUE,"Other"
)</f>
        <v>Rodent Control</v>
      </c>
      <c r="I350" s="7" t="str" cm="1">
        <f t="array" ref="I350">_xlfn.IFS(
OR(ISNUMBER(SEARCH("glue trap",E350)),ISNUMBER(SEARCH("glue board",E350))),"Glue Traps",
OR(ISNUMBER(SEARCH("snap trap",E350)),ISNUMBER(SEARCH("power-kill",E350)),ISNUMBER(SEARCH("wide pedal",E350)),ISNUMBER(SEARCH("metal pedal",E350))),"Snap Traps",
OR(ISNUMBER(SEARCH("electronic",E350)),ISNUMBER(SEARCH("zapper",E350))),"Electronic Traps",
OR(ISNUMBER(SEARCH("live catch",E350)),ISNUMBER(SEARCH("multi-catch",E350)),ISNUMBER(SEARCH("catch &amp; hold",E350)),ISNUMBER(SEARCH("tin cat",E350))),"Live Catch Traps",
OR(ISNUMBER(SEARCH("bait",E350)),ISNUMBER(SEARCH("poison",E350))),"Bait &amp; Poison",
ISNUMBER(SEARCH("repellent",E350)),"Repellents",
OR(ISNUMBER(SEARCH("fly trap",E350)),ISNUMBER(SEARCH("fly ribbon",E350)),ISNUMBER(SEARCH("fly stick",E350)),ISNUMBER(SEARCH("window fly",E350)),ISNUMBER(SEARCH("fly magnet",E350))),"Fly Traps",
OR(ISNUMBER(SEARCH("uv",E350)),ISNUMBER(SEARCH("fly light",E350)),ISNUMBER(SEARCH("plug-in",E350))),"UV Fly Traps",
ISNUMBER(SEARCH("roach",E350)),"Roach Traps",
ISNUMBER(SEARCH("ant",E350)),"Ant Traps",
ISNUMBER(SEARCH("spider",E350)),"Spider Traps",
ISNUMBER(SEARCH("mosquito",E350)),"Mosquito Traps",
ISNUMBER(SEARCH("beetle",E350)),"Beetle Traps",
ISNUMBER(SEARCH("lantern",E350)),"Lanternfly Control",
OR(ISNUMBER(SEARCH("tree shield",E350)),ISNUMBER(SEARCH("tree banding",E350)),ISNUMBER(SEARCH("insect barrier",E350))),"Tree Barriers",
OR(ISNUMBER(SEARCH("sun &amp; shade",E350)),ISNUMBER(SEARCH("sun and shade",E350))),"Sun &amp; Shade Mix",
ISNUMBER(SEARCH("tall fescue",E350)),"Tall Fescue",
ISNUMBER(SEARCH("bermudagrass",E350)),"Bermudagrass",
ISNUMBER(SEARCH("kentucky",E350)),"Kentucky Bluegrass",
ISNUMBER(SEARCH("zoysia",E350)),"Zoysia",
ISNUMBER(SEARCH("ryegrass",E350)),"Perennial Ryegrass",
ISNUMBER(SEARCH("centipede",E350)),"Centipede Grass",
ISNUMBER(SEARCH("dense shade",E350)),"Dense Shade Mix",
ISNUMBER(SEARCH("southern gold",E350)),"Southern Gold Mix",
ISNUMBER(SEARCH("heat-tolerant blue",E350)),"Heat-Tolerant Blue Mix",
ISNUMBER(SEARCH("high traffic",E350)),"High Traffic Mix",
ISNUMBER(SEARCH("quick fix",E350)),"Quick Fix Mix",
ISNUMBER(SEARCH("starter",E350)),"Starter Fertilizer",
ISNUMBER(SEARCH("weed &amp; feed",E350)),"Weed &amp; Feed",
ISNUMBER(SEARCH("lawn food",E350)),"Lawn Food",
ISNUMBER(SEARCH("triple action",E350)),"Triple Action Fertilizer",
ISNUMBER(SEARCH("green max",E350)),"Green Max Lawn Food",
ISNUMBER(SEARCH("patchmaster",E350)),"PatchMaster Repair",
ISNUMBER(SEARCH("ez seed",E350)),"EZ Seed Repair",
ISNUMBER(SEARCH("rapid grass",E350)),"Rapid Grass",
ISNUMBER(SEARCH("thick'r lawn",E350)),"Thick'R Lawn",
ISNUMBER(SEARCH("fungicide",E350)),"Fungicide",
ISNUMBER(SEARCH("moss",E350)),"Moss Control",
ISNUMBER(SEARCH("perlite",E350)),"Perlite",
ISNUMBER(SEARCH("plant food",E350)),"Plant Food",
ISNUMBER(SEARCH("spreader",E350)),"Spreader",
ISNUMBER(SEARCH("sprayer",E350)),"Sprayer",
ISNUMBER(SEARCH("mower",E350)),"Lawn Mower",
ISNUMBER(SEARCH("sweeper",E350)),"Lawn Sweeper",
OR(ISNUMBER(SEARCH("pruner",E350)),ISNUMBER(SEARCH("trimmer",E350)),ISNUMBER(SEARCH("pole saw",E350))),"Pruning Tools",
TRUE,"Other"
)</f>
        <v>Electronic Traps</v>
      </c>
      <c r="J350" s="7" t="str">
        <f t="shared" si="86"/>
        <v>Rodent Control - Electronic Traps</v>
      </c>
      <c r="K350" s="4">
        <v>50</v>
      </c>
      <c r="L350" s="4">
        <v>3.2</v>
      </c>
      <c r="M350" s="4">
        <v>2257</v>
      </c>
      <c r="N350" s="4" t="s">
        <v>1390</v>
      </c>
      <c r="O350" s="4">
        <f>VLOOKUP(A350,[4]Sheet1!$A:$B,2,0)</f>
        <v>50</v>
      </c>
      <c r="P350" s="4">
        <f>VLOOKUP(A350,[4]Sheet1!$A:$C,3,0)</f>
        <v>50</v>
      </c>
      <c r="Q350" s="4">
        <f>VLOOKUP(A350,[4]Sheet1!$A:$D,4,0)</f>
        <v>50</v>
      </c>
      <c r="R350" s="4">
        <f>VLOOKUP(A350,[4]Sheet1!$A:$E,5,0)</f>
        <v>50</v>
      </c>
      <c r="S350" s="4">
        <f>VLOOKUP(A350,[4]Sheet1!$A:$F,6,0)</f>
        <v>50</v>
      </c>
      <c r="T350" s="4">
        <f>VLOOKUP(A350,[4]Sheet1!$A:$G,7,0)</f>
        <v>50</v>
      </c>
      <c r="U350" s="4">
        <f>VLOOKUP(A350,[4]Sheet1!$A:$H,8,0)</f>
        <v>50</v>
      </c>
      <c r="V350" s="4">
        <f>VLOOKUP(A350,[4]Sheet1!$A:$I,9,0)</f>
        <v>50</v>
      </c>
      <c r="W350" s="4">
        <f>VLOOKUP(A350,[4]Sheet1!$A:$J,10,0)</f>
        <v>50</v>
      </c>
      <c r="X350" s="4">
        <f>VLOOKUP(A350,[4]Sheet1!$A:$K,11,0)</f>
        <v>0</v>
      </c>
      <c r="Y350" s="4">
        <f>VLOOKUP(A350,[4]Sheet1!$A:$L,12,0)</f>
        <v>0</v>
      </c>
      <c r="Z350" s="4">
        <f>VLOOKUP(A350,[4]Sheet1!$A:$M,13,0)</f>
        <v>0</v>
      </c>
      <c r="AA350" s="4">
        <f t="shared" si="80"/>
        <v>450</v>
      </c>
      <c r="AB350" s="7">
        <f t="shared" si="87"/>
        <v>38</v>
      </c>
      <c r="AC350" s="15">
        <f t="shared" si="81"/>
        <v>37.5</v>
      </c>
      <c r="AD350" s="16">
        <f t="shared" si="82"/>
        <v>47587.5</v>
      </c>
      <c r="AE350" s="16">
        <f t="shared" si="83"/>
        <v>3965.625</v>
      </c>
      <c r="AF350" s="16">
        <v>7.57</v>
      </c>
      <c r="AG350" s="16">
        <v>105.75</v>
      </c>
      <c r="AH350" s="15">
        <f t="shared" si="84"/>
        <v>2.2486666666666664</v>
      </c>
      <c r="AI350" s="15">
        <f t="shared" si="85"/>
        <v>7.8703333333333312</v>
      </c>
      <c r="AJ350" s="10">
        <v>0.5</v>
      </c>
      <c r="AK350" s="10">
        <v>0.5</v>
      </c>
      <c r="AL350" s="16">
        <v>7.57</v>
      </c>
      <c r="AM350" s="9">
        <f t="shared" si="88"/>
        <v>15.862499999999999</v>
      </c>
      <c r="AN350" s="9">
        <f t="shared" si="89"/>
        <v>3.1724999999999999</v>
      </c>
      <c r="AO350" s="9">
        <f t="shared" si="90"/>
        <v>21.150000000000002</v>
      </c>
      <c r="AP350" s="9">
        <f t="shared" si="91"/>
        <v>2.1150000000000002</v>
      </c>
      <c r="AQ350" s="9">
        <f t="shared" si="92"/>
        <v>21.150000000000002</v>
      </c>
      <c r="AR350" s="9">
        <f t="shared" si="93"/>
        <v>26.4375</v>
      </c>
      <c r="AS350" s="11">
        <f t="shared" si="94"/>
        <v>22.486666666666661</v>
      </c>
      <c r="AT350" s="12">
        <f t="shared" si="95"/>
        <v>18.961666666666662</v>
      </c>
    </row>
    <row r="351" spans="1:46" ht="16.5" x14ac:dyDescent="0.4">
      <c r="A351" s="4" t="s">
        <v>1607</v>
      </c>
      <c r="B351" s="4" t="s">
        <v>1314</v>
      </c>
      <c r="C351" s="7" t="s">
        <v>1802</v>
      </c>
      <c r="D351" s="4" t="s">
        <v>1608</v>
      </c>
      <c r="E351" s="4" t="s">
        <v>1609</v>
      </c>
      <c r="F351" s="4" t="s">
        <v>1610</v>
      </c>
      <c r="G351" s="7" t="str">
        <f>VLOOKUP(A351,[1]done!$A:$I,9,0)</f>
        <v>Rodent</v>
      </c>
      <c r="H351" s="7" t="str" cm="1">
        <f t="array" ref="H351">_xlfn.IFS(
OR(ISNUMBER(SEARCH("mouse",E351)),ISNUMBER(SEARCH("rat",E351)),ISNUMBER(SEARCH("mice",E351)),ISNUMBER(SEARCH("rodent",E351))),"Rodent Control",
OR(ISNUMBER(SEARCH("fly",E351)),ISNUMBER(SEARCH("gnat",E351)),ISNUMBER(SEARCH("insect",E351)),ISNUMBER(SEARCH("mosquito",E351))),"Flying Insect Control",
OR(ISNUMBER(SEARCH("roach",E351)),ISNUMBER(SEARCH("ant",E351)),ISNUMBER(SEARCH("spider",E351)),ISNUMBER(SEARCH("cricket",E351)),ISNUMBER(SEARCH("scorpion",E351)),ISNUMBER(SEARCH("centipede",E351)),ISNUMBER(SEARCH("beetle",E351))),"Crawling Insect Control",
OR(ISNUMBER(SEARCH("tree",E351)),ISNUMBER(SEARCH("lantern",E351)),ISNUMBER(SEARCH("garden",E351)),ISNUMBER(SEARCH("plant",E351))),"Garden Pest Control",
OR(ISNUMBER(SEARCH("grass seed",E351)),ISNUMBER(SEARCH("seed mix",E351))),"Grass Seed",
OR(ISNUMBER(SEARCH("lawn food",E351)),ISNUMBER(SEARCH("fertilizer",E351))),"Lawn Fertilizer",
OR(ISNUMBER(SEARCH("patch",E351)),ISNUMBER(SEARCH("repair",E351)),ISNUMBER(SEARCH("thick'r",E351)),ISNUMBER(SEARCH("thick'r lawn",E351)),ISNUMBER(SEARCH("rapid grass",E351))),"Lawn Repair",
OR(ISNUMBER(SEARCH("weed",E351)),ISNUMBER(SEARCH("crabgrass",E351))),"Weed Control",
OR(ISNUMBER(SEARCH("fungicide",E351)),ISNUMBER(SEARCH("moss",E351))),"Disease &amp; Moss Control",
OR(ISNUMBER(SEARCH("plant food",E351)),ISNUMBER(SEARCH("miracid",E351))),"Plant Nutrition",
OR(ISNUMBER(SEARCH("perlite",E351))),"Soil Amendment",
OR(ISNUMBER(SEARCH("spreader",E351)),ISNUMBER(SEARCH("sprayer",E351)),ISNUMBER(SEARCH("mower",E351)),ISNUMBER(SEARCH("sweeper",E351)),ISNUMBER(SEARCH("pruner",E351)),ISNUMBER(SEARCH("trimmer",E351)),ISNUMBER(SEARCH("pole saw",E351))),"Garden Equipment",
TRUE,"Other"
)</f>
        <v>Rodent Control</v>
      </c>
      <c r="I351" s="7" t="str" cm="1">
        <f t="array" ref="I351">_xlfn.IFS(
OR(ISNUMBER(SEARCH("glue trap",E351)),ISNUMBER(SEARCH("glue board",E351))),"Glue Traps",
OR(ISNUMBER(SEARCH("snap trap",E351)),ISNUMBER(SEARCH("power-kill",E351)),ISNUMBER(SEARCH("wide pedal",E351)),ISNUMBER(SEARCH("metal pedal",E351))),"Snap Traps",
OR(ISNUMBER(SEARCH("electronic",E351)),ISNUMBER(SEARCH("zapper",E351))),"Electronic Traps",
OR(ISNUMBER(SEARCH("live catch",E351)),ISNUMBER(SEARCH("multi-catch",E351)),ISNUMBER(SEARCH("catch &amp; hold",E351)),ISNUMBER(SEARCH("tin cat",E351))),"Live Catch Traps",
OR(ISNUMBER(SEARCH("bait",E351)),ISNUMBER(SEARCH("poison",E351))),"Bait &amp; Poison",
ISNUMBER(SEARCH("repellent",E351)),"Repellents",
OR(ISNUMBER(SEARCH("fly trap",E351)),ISNUMBER(SEARCH("fly ribbon",E351)),ISNUMBER(SEARCH("fly stick",E351)),ISNUMBER(SEARCH("window fly",E351)),ISNUMBER(SEARCH("fly magnet",E351))),"Fly Traps",
OR(ISNUMBER(SEARCH("uv",E351)),ISNUMBER(SEARCH("fly light",E351)),ISNUMBER(SEARCH("plug-in",E351))),"UV Fly Traps",
ISNUMBER(SEARCH("roach",E351)),"Roach Traps",
ISNUMBER(SEARCH("ant",E351)),"Ant Traps",
ISNUMBER(SEARCH("spider",E351)),"Spider Traps",
ISNUMBER(SEARCH("mosquito",E351)),"Mosquito Traps",
ISNUMBER(SEARCH("beetle",E351)),"Beetle Traps",
ISNUMBER(SEARCH("lantern",E351)),"Lanternfly Control",
OR(ISNUMBER(SEARCH("tree shield",E351)),ISNUMBER(SEARCH("tree banding",E351)),ISNUMBER(SEARCH("insect barrier",E351))),"Tree Barriers",
OR(ISNUMBER(SEARCH("sun &amp; shade",E351)),ISNUMBER(SEARCH("sun and shade",E351))),"Sun &amp; Shade Mix",
ISNUMBER(SEARCH("tall fescue",E351)),"Tall Fescue",
ISNUMBER(SEARCH("bermudagrass",E351)),"Bermudagrass",
ISNUMBER(SEARCH("kentucky",E351)),"Kentucky Bluegrass",
ISNUMBER(SEARCH("zoysia",E351)),"Zoysia",
ISNUMBER(SEARCH("ryegrass",E351)),"Perennial Ryegrass",
ISNUMBER(SEARCH("centipede",E351)),"Centipede Grass",
ISNUMBER(SEARCH("dense shade",E351)),"Dense Shade Mix",
ISNUMBER(SEARCH("southern gold",E351)),"Southern Gold Mix",
ISNUMBER(SEARCH("heat-tolerant blue",E351)),"Heat-Tolerant Blue Mix",
ISNUMBER(SEARCH("high traffic",E351)),"High Traffic Mix",
ISNUMBER(SEARCH("quick fix",E351)),"Quick Fix Mix",
ISNUMBER(SEARCH("starter",E351)),"Starter Fertilizer",
ISNUMBER(SEARCH("weed &amp; feed",E351)),"Weed &amp; Feed",
ISNUMBER(SEARCH("lawn food",E351)),"Lawn Food",
ISNUMBER(SEARCH("triple action",E351)),"Triple Action Fertilizer",
ISNUMBER(SEARCH("green max",E351)),"Green Max Lawn Food",
ISNUMBER(SEARCH("patchmaster",E351)),"PatchMaster Repair",
ISNUMBER(SEARCH("ez seed",E351)),"EZ Seed Repair",
ISNUMBER(SEARCH("rapid grass",E351)),"Rapid Grass",
ISNUMBER(SEARCH("thick'r lawn",E351)),"Thick'R Lawn",
ISNUMBER(SEARCH("fungicide",E351)),"Fungicide",
ISNUMBER(SEARCH("moss",E351)),"Moss Control",
ISNUMBER(SEARCH("perlite",E351)),"Perlite",
ISNUMBER(SEARCH("plant food",E351)),"Plant Food",
ISNUMBER(SEARCH("spreader",E351)),"Spreader",
ISNUMBER(SEARCH("sprayer",E351)),"Sprayer",
ISNUMBER(SEARCH("mower",E351)),"Lawn Mower",
ISNUMBER(SEARCH("sweeper",E351)),"Lawn Sweeper",
OR(ISNUMBER(SEARCH("pruner",E351)),ISNUMBER(SEARCH("trimmer",E351)),ISNUMBER(SEARCH("pole saw",E351))),"Pruning Tools",
TRUE,"Other"
)</f>
        <v>Glue Traps</v>
      </c>
      <c r="J351" s="7" t="str">
        <f t="shared" si="86"/>
        <v>Rodent Control - Glue Traps</v>
      </c>
      <c r="K351" s="4">
        <v>50</v>
      </c>
      <c r="L351" s="4">
        <v>4.2</v>
      </c>
      <c r="M351" s="4">
        <v>355</v>
      </c>
      <c r="O351" s="4">
        <f>VLOOKUP(A351,[4]Sheet1!$A:$B,2,0)</f>
        <v>100</v>
      </c>
      <c r="P351" s="4">
        <f>VLOOKUP(A351,[4]Sheet1!$A:$C,3,0)</f>
        <v>50</v>
      </c>
      <c r="Q351" s="4">
        <f>VLOOKUP(A351,[4]Sheet1!$A:$D,4,0)</f>
        <v>50</v>
      </c>
      <c r="R351" s="4">
        <f>VLOOKUP(A351,[4]Sheet1!$A:$E,5,0)</f>
        <v>50</v>
      </c>
      <c r="S351" s="4">
        <f>VLOOKUP(A351,[4]Sheet1!$A:$F,6,0)</f>
        <v>100</v>
      </c>
      <c r="T351" s="4">
        <f>VLOOKUP(A351,[4]Sheet1!$A:$G,7,0)</f>
        <v>100</v>
      </c>
      <c r="U351" s="4">
        <f>VLOOKUP(A351,[4]Sheet1!$A:$H,8,0)</f>
        <v>100</v>
      </c>
      <c r="V351" s="4">
        <f>VLOOKUP(A351,[4]Sheet1!$A:$I,9,0)</f>
        <v>100</v>
      </c>
      <c r="W351" s="4">
        <f>VLOOKUP(A351,[4]Sheet1!$A:$J,10,0)</f>
        <v>100</v>
      </c>
      <c r="X351" s="4">
        <f>VLOOKUP(A351,[4]Sheet1!$A:$K,11,0)</f>
        <v>100</v>
      </c>
      <c r="Y351" s="4">
        <f>VLOOKUP(A351,[4]Sheet1!$A:$L,12,0)</f>
        <v>100</v>
      </c>
      <c r="Z351" s="4">
        <f>VLOOKUP(A351,[4]Sheet1!$A:$M,13,0)</f>
        <v>100</v>
      </c>
      <c r="AA351" s="4">
        <f t="shared" ref="AA351:AA361" si="96">SUM(O351:Z351)</f>
        <v>1050</v>
      </c>
      <c r="AB351" s="7">
        <f t="shared" si="87"/>
        <v>88</v>
      </c>
      <c r="AC351" s="15">
        <f t="shared" ref="AC351:AC361" si="97">AVERAGE(O351:Z351)</f>
        <v>87.5</v>
      </c>
      <c r="AD351" s="16">
        <f t="shared" ref="AD351:AD361" si="98">AG351*AA351</f>
        <v>26134.5</v>
      </c>
      <c r="AE351" s="16">
        <f t="shared" ref="AE351:AE361" si="99">AG351*AC351</f>
        <v>2177.875</v>
      </c>
      <c r="AF351" s="16">
        <v>8.6999999999999993</v>
      </c>
      <c r="AG351" s="16">
        <v>24.89</v>
      </c>
      <c r="AH351" s="15">
        <f t="shared" ref="AH351:AH361" si="100">0.1*AS351</f>
        <v>1.7066666666666622E-2</v>
      </c>
      <c r="AI351" s="15">
        <f t="shared" ref="AI351:AI361" si="101">0.35*AS351</f>
        <v>5.9733333333333173E-2</v>
      </c>
      <c r="AJ351" s="10">
        <v>0.5</v>
      </c>
      <c r="AK351" s="10">
        <v>0.5</v>
      </c>
      <c r="AL351" s="16">
        <v>8.6999999999999993</v>
      </c>
      <c r="AM351" s="9">
        <f t="shared" si="88"/>
        <v>3.7334999999999998</v>
      </c>
      <c r="AN351" s="9">
        <f t="shared" si="89"/>
        <v>0.74670000000000003</v>
      </c>
      <c r="AO351" s="9">
        <f t="shared" si="90"/>
        <v>4.9780000000000006</v>
      </c>
      <c r="AP351" s="9">
        <f t="shared" si="91"/>
        <v>0.49780000000000002</v>
      </c>
      <c r="AQ351" s="9">
        <f t="shared" si="92"/>
        <v>4.9780000000000006</v>
      </c>
      <c r="AR351" s="9">
        <f t="shared" si="93"/>
        <v>6.2225000000000001</v>
      </c>
      <c r="AS351" s="11">
        <f t="shared" si="94"/>
        <v>0.17066666666666622</v>
      </c>
      <c r="AT351" s="12">
        <f t="shared" si="95"/>
        <v>-0.65900000000000014</v>
      </c>
    </row>
    <row r="352" spans="1:46" ht="16.5" x14ac:dyDescent="0.4">
      <c r="A352" s="4" t="s">
        <v>1611</v>
      </c>
      <c r="B352" s="4" t="s">
        <v>1314</v>
      </c>
      <c r="C352" s="7" t="s">
        <v>1796</v>
      </c>
      <c r="D352" s="4" t="s">
        <v>1612</v>
      </c>
      <c r="E352" s="4" t="s">
        <v>1613</v>
      </c>
      <c r="F352" s="4" t="s">
        <v>1614</v>
      </c>
      <c r="G352" s="7" t="str">
        <f>VLOOKUP(A352,[1]done!$A:$I,9,0)</f>
        <v>Rodent</v>
      </c>
      <c r="H352" s="7" t="str" cm="1">
        <f t="array" ref="H352">_xlfn.IFS(
OR(ISNUMBER(SEARCH("mouse",E352)),ISNUMBER(SEARCH("rat",E352)),ISNUMBER(SEARCH("mice",E352)),ISNUMBER(SEARCH("rodent",E352))),"Rodent Control",
OR(ISNUMBER(SEARCH("fly",E352)),ISNUMBER(SEARCH("gnat",E352)),ISNUMBER(SEARCH("insect",E352)),ISNUMBER(SEARCH("mosquito",E352))),"Flying Insect Control",
OR(ISNUMBER(SEARCH("roach",E352)),ISNUMBER(SEARCH("ant",E352)),ISNUMBER(SEARCH("spider",E352)),ISNUMBER(SEARCH("cricket",E352)),ISNUMBER(SEARCH("scorpion",E352)),ISNUMBER(SEARCH("centipede",E352)),ISNUMBER(SEARCH("beetle",E352))),"Crawling Insect Control",
OR(ISNUMBER(SEARCH("tree",E352)),ISNUMBER(SEARCH("lantern",E352)),ISNUMBER(SEARCH("garden",E352)),ISNUMBER(SEARCH("plant",E352))),"Garden Pest Control",
OR(ISNUMBER(SEARCH("grass seed",E352)),ISNUMBER(SEARCH("seed mix",E352))),"Grass Seed",
OR(ISNUMBER(SEARCH("lawn food",E352)),ISNUMBER(SEARCH("fertilizer",E352))),"Lawn Fertilizer",
OR(ISNUMBER(SEARCH("patch",E352)),ISNUMBER(SEARCH("repair",E352)),ISNUMBER(SEARCH("thick'r",E352)),ISNUMBER(SEARCH("thick'r lawn",E352)),ISNUMBER(SEARCH("rapid grass",E352))),"Lawn Repair",
OR(ISNUMBER(SEARCH("weed",E352)),ISNUMBER(SEARCH("crabgrass",E352))),"Weed Control",
OR(ISNUMBER(SEARCH("fungicide",E352)),ISNUMBER(SEARCH("moss",E352))),"Disease &amp; Moss Control",
OR(ISNUMBER(SEARCH("plant food",E352)),ISNUMBER(SEARCH("miracid",E352))),"Plant Nutrition",
OR(ISNUMBER(SEARCH("perlite",E352))),"Soil Amendment",
OR(ISNUMBER(SEARCH("spreader",E352)),ISNUMBER(SEARCH("sprayer",E352)),ISNUMBER(SEARCH("mower",E352)),ISNUMBER(SEARCH("sweeper",E352)),ISNUMBER(SEARCH("pruner",E352)),ISNUMBER(SEARCH("trimmer",E352)),ISNUMBER(SEARCH("pole saw",E352))),"Garden Equipment",
TRUE,"Other"
)</f>
        <v>Rodent Control</v>
      </c>
      <c r="I352" s="7" t="str" cm="1">
        <f t="array" ref="I352">_xlfn.IFS(
OR(ISNUMBER(SEARCH("glue trap",E352)),ISNUMBER(SEARCH("glue board",E352))),"Glue Traps",
OR(ISNUMBER(SEARCH("snap trap",E352)),ISNUMBER(SEARCH("power-kill",E352)),ISNUMBER(SEARCH("wide pedal",E352)),ISNUMBER(SEARCH("metal pedal",E352))),"Snap Traps",
OR(ISNUMBER(SEARCH("electronic",E352)),ISNUMBER(SEARCH("zapper",E352))),"Electronic Traps",
OR(ISNUMBER(SEARCH("live catch",E352)),ISNUMBER(SEARCH("multi-catch",E352)),ISNUMBER(SEARCH("catch &amp; hold",E352)),ISNUMBER(SEARCH("tin cat",E352))),"Live Catch Traps",
OR(ISNUMBER(SEARCH("bait",E352)),ISNUMBER(SEARCH("poison",E352))),"Bait &amp; Poison",
ISNUMBER(SEARCH("repellent",E352)),"Repellents",
OR(ISNUMBER(SEARCH("fly trap",E352)),ISNUMBER(SEARCH("fly ribbon",E352)),ISNUMBER(SEARCH("fly stick",E352)),ISNUMBER(SEARCH("window fly",E352)),ISNUMBER(SEARCH("fly magnet",E352))),"Fly Traps",
OR(ISNUMBER(SEARCH("uv",E352)),ISNUMBER(SEARCH("fly light",E352)),ISNUMBER(SEARCH("plug-in",E352))),"UV Fly Traps",
ISNUMBER(SEARCH("roach",E352)),"Roach Traps",
ISNUMBER(SEARCH("ant",E352)),"Ant Traps",
ISNUMBER(SEARCH("spider",E352)),"Spider Traps",
ISNUMBER(SEARCH("mosquito",E352)),"Mosquito Traps",
ISNUMBER(SEARCH("beetle",E352)),"Beetle Traps",
ISNUMBER(SEARCH("lantern",E352)),"Lanternfly Control",
OR(ISNUMBER(SEARCH("tree shield",E352)),ISNUMBER(SEARCH("tree banding",E352)),ISNUMBER(SEARCH("insect barrier",E352))),"Tree Barriers",
OR(ISNUMBER(SEARCH("sun &amp; shade",E352)),ISNUMBER(SEARCH("sun and shade",E352))),"Sun &amp; Shade Mix",
ISNUMBER(SEARCH("tall fescue",E352)),"Tall Fescue",
ISNUMBER(SEARCH("bermudagrass",E352)),"Bermudagrass",
ISNUMBER(SEARCH("kentucky",E352)),"Kentucky Bluegrass",
ISNUMBER(SEARCH("zoysia",E352)),"Zoysia",
ISNUMBER(SEARCH("ryegrass",E352)),"Perennial Ryegrass",
ISNUMBER(SEARCH("centipede",E352)),"Centipede Grass",
ISNUMBER(SEARCH("dense shade",E352)),"Dense Shade Mix",
ISNUMBER(SEARCH("southern gold",E352)),"Southern Gold Mix",
ISNUMBER(SEARCH("heat-tolerant blue",E352)),"Heat-Tolerant Blue Mix",
ISNUMBER(SEARCH("high traffic",E352)),"High Traffic Mix",
ISNUMBER(SEARCH("quick fix",E352)),"Quick Fix Mix",
ISNUMBER(SEARCH("starter",E352)),"Starter Fertilizer",
ISNUMBER(SEARCH("weed &amp; feed",E352)),"Weed &amp; Feed",
ISNUMBER(SEARCH("lawn food",E352)),"Lawn Food",
ISNUMBER(SEARCH("triple action",E352)),"Triple Action Fertilizer",
ISNUMBER(SEARCH("green max",E352)),"Green Max Lawn Food",
ISNUMBER(SEARCH("patchmaster",E352)),"PatchMaster Repair",
ISNUMBER(SEARCH("ez seed",E352)),"EZ Seed Repair",
ISNUMBER(SEARCH("rapid grass",E352)),"Rapid Grass",
ISNUMBER(SEARCH("thick'r lawn",E352)),"Thick'R Lawn",
ISNUMBER(SEARCH("fungicide",E352)),"Fungicide",
ISNUMBER(SEARCH("moss",E352)),"Moss Control",
ISNUMBER(SEARCH("perlite",E352)),"Perlite",
ISNUMBER(SEARCH("plant food",E352)),"Plant Food",
ISNUMBER(SEARCH("spreader",E352)),"Spreader",
ISNUMBER(SEARCH("sprayer",E352)),"Sprayer",
ISNUMBER(SEARCH("mower",E352)),"Lawn Mower",
ISNUMBER(SEARCH("sweeper",E352)),"Lawn Sweeper",
OR(ISNUMBER(SEARCH("pruner",E352)),ISNUMBER(SEARCH("trimmer",E352)),ISNUMBER(SEARCH("pole saw",E352))),"Pruning Tools",
TRUE,"Other"
)</f>
        <v>Bait &amp; Poison</v>
      </c>
      <c r="J352" s="7" t="str">
        <f t="shared" si="86"/>
        <v>Rodent Control - Bait &amp; Poison</v>
      </c>
      <c r="K352" s="4">
        <v>50</v>
      </c>
      <c r="L352" s="4">
        <v>4.2</v>
      </c>
      <c r="M352" s="4">
        <v>180</v>
      </c>
      <c r="N352" s="4" t="s">
        <v>75</v>
      </c>
      <c r="O352" s="4">
        <f>VLOOKUP(A352,[4]Sheet1!$A:$B,2,0)</f>
        <v>0</v>
      </c>
      <c r="P352" s="4">
        <f>VLOOKUP(A352,[4]Sheet1!$A:$C,3,0)</f>
        <v>0</v>
      </c>
      <c r="Q352" s="4">
        <f>VLOOKUP(A352,[4]Sheet1!$A:$D,4,0)</f>
        <v>50</v>
      </c>
      <c r="R352" s="4">
        <f>VLOOKUP(A352,[4]Sheet1!$A:$E,5,0)</f>
        <v>50</v>
      </c>
      <c r="S352" s="4">
        <f>VLOOKUP(A352,[4]Sheet1!$A:$F,6,0)</f>
        <v>100</v>
      </c>
      <c r="T352" s="4">
        <f>VLOOKUP(A352,[4]Sheet1!$A:$G,7,0)</f>
        <v>100</v>
      </c>
      <c r="U352" s="4">
        <f>VLOOKUP(A352,[4]Sheet1!$A:$H,8,0)</f>
        <v>50</v>
      </c>
      <c r="V352" s="4">
        <f>VLOOKUP(A352,[4]Sheet1!$A:$I,9,0)</f>
        <v>50</v>
      </c>
      <c r="W352" s="4">
        <f>VLOOKUP(A352,[4]Sheet1!$A:$J,10,0)</f>
        <v>50</v>
      </c>
      <c r="X352" s="4">
        <f>VLOOKUP(A352,[4]Sheet1!$A:$K,11,0)</f>
        <v>50</v>
      </c>
      <c r="Y352" s="4">
        <f>VLOOKUP(A352,[4]Sheet1!$A:$L,12,0)</f>
        <v>50</v>
      </c>
      <c r="Z352" s="4">
        <f>VLOOKUP(A352,[4]Sheet1!$A:$M,13,0)</f>
        <v>0</v>
      </c>
      <c r="AA352" s="4">
        <f t="shared" si="96"/>
        <v>550</v>
      </c>
      <c r="AB352" s="7">
        <f t="shared" si="87"/>
        <v>46</v>
      </c>
      <c r="AC352" s="15">
        <f t="shared" si="97"/>
        <v>45.833333333333336</v>
      </c>
      <c r="AD352" s="16">
        <f t="shared" si="98"/>
        <v>6594.5</v>
      </c>
      <c r="AE352" s="16">
        <f t="shared" si="99"/>
        <v>549.54166666666674</v>
      </c>
      <c r="AF352" s="16">
        <v>6.02</v>
      </c>
      <c r="AG352" s="16">
        <v>11.99</v>
      </c>
      <c r="AH352" s="15">
        <f t="shared" si="100"/>
        <v>-0.14826666666666666</v>
      </c>
      <c r="AI352" s="15">
        <f t="shared" si="101"/>
        <v>-0.51893333333333325</v>
      </c>
      <c r="AJ352" s="10">
        <v>0.5</v>
      </c>
      <c r="AK352" s="10">
        <v>0.5</v>
      </c>
      <c r="AL352" s="16">
        <v>6.02</v>
      </c>
      <c r="AM352" s="9">
        <f t="shared" si="88"/>
        <v>1.7985</v>
      </c>
      <c r="AN352" s="9">
        <f t="shared" si="89"/>
        <v>0.35970000000000002</v>
      </c>
      <c r="AO352" s="9">
        <f t="shared" si="90"/>
        <v>2.3980000000000001</v>
      </c>
      <c r="AP352" s="9">
        <f t="shared" si="91"/>
        <v>0.23980000000000001</v>
      </c>
      <c r="AQ352" s="9">
        <f t="shared" si="92"/>
        <v>2.3980000000000001</v>
      </c>
      <c r="AR352" s="9">
        <f t="shared" si="93"/>
        <v>2.9975000000000001</v>
      </c>
      <c r="AS352" s="11">
        <f t="shared" si="94"/>
        <v>-1.4826666666666666</v>
      </c>
      <c r="AT352" s="12">
        <f t="shared" si="95"/>
        <v>-1.8823333333333332</v>
      </c>
    </row>
    <row r="353" spans="1:46" ht="16.5" x14ac:dyDescent="0.4">
      <c r="A353" s="4" t="s">
        <v>1615</v>
      </c>
      <c r="B353" s="4" t="s">
        <v>1314</v>
      </c>
      <c r="C353" s="7" t="s">
        <v>1796</v>
      </c>
      <c r="D353" s="4" t="s">
        <v>1616</v>
      </c>
      <c r="E353" s="4" t="s">
        <v>1617</v>
      </c>
      <c r="F353" s="4" t="s">
        <v>1618</v>
      </c>
      <c r="G353" s="7" t="str">
        <f>VLOOKUP(A353,[1]done!$A:$I,9,0)</f>
        <v>Rodent</v>
      </c>
      <c r="H353" s="7" t="str" cm="1">
        <f t="array" ref="H353">_xlfn.IFS(
OR(ISNUMBER(SEARCH("mouse",E353)),ISNUMBER(SEARCH("rat",E353)),ISNUMBER(SEARCH("mice",E353)),ISNUMBER(SEARCH("rodent",E353))),"Rodent Control",
OR(ISNUMBER(SEARCH("fly",E353)),ISNUMBER(SEARCH("gnat",E353)),ISNUMBER(SEARCH("insect",E353)),ISNUMBER(SEARCH("mosquito",E353))),"Flying Insect Control",
OR(ISNUMBER(SEARCH("roach",E353)),ISNUMBER(SEARCH("ant",E353)),ISNUMBER(SEARCH("spider",E353)),ISNUMBER(SEARCH("cricket",E353)),ISNUMBER(SEARCH("scorpion",E353)),ISNUMBER(SEARCH("centipede",E353)),ISNUMBER(SEARCH("beetle",E353))),"Crawling Insect Control",
OR(ISNUMBER(SEARCH("tree",E353)),ISNUMBER(SEARCH("lantern",E353)),ISNUMBER(SEARCH("garden",E353)),ISNUMBER(SEARCH("plant",E353))),"Garden Pest Control",
OR(ISNUMBER(SEARCH("grass seed",E353)),ISNUMBER(SEARCH("seed mix",E353))),"Grass Seed",
OR(ISNUMBER(SEARCH("lawn food",E353)),ISNUMBER(SEARCH("fertilizer",E353))),"Lawn Fertilizer",
OR(ISNUMBER(SEARCH("patch",E353)),ISNUMBER(SEARCH("repair",E353)),ISNUMBER(SEARCH("thick'r",E353)),ISNUMBER(SEARCH("thick'r lawn",E353)),ISNUMBER(SEARCH("rapid grass",E353))),"Lawn Repair",
OR(ISNUMBER(SEARCH("weed",E353)),ISNUMBER(SEARCH("crabgrass",E353))),"Weed Control",
OR(ISNUMBER(SEARCH("fungicide",E353)),ISNUMBER(SEARCH("moss",E353))),"Disease &amp; Moss Control",
OR(ISNUMBER(SEARCH("plant food",E353)),ISNUMBER(SEARCH("miracid",E353))),"Plant Nutrition",
OR(ISNUMBER(SEARCH("perlite",E353))),"Soil Amendment",
OR(ISNUMBER(SEARCH("spreader",E353)),ISNUMBER(SEARCH("sprayer",E353)),ISNUMBER(SEARCH("mower",E353)),ISNUMBER(SEARCH("sweeper",E353)),ISNUMBER(SEARCH("pruner",E353)),ISNUMBER(SEARCH("trimmer",E353)),ISNUMBER(SEARCH("pole saw",E353))),"Garden Equipment",
TRUE,"Other"
)</f>
        <v>Rodent Control</v>
      </c>
      <c r="I353" s="7" t="str" cm="1">
        <f t="array" ref="I353">_xlfn.IFS(
OR(ISNUMBER(SEARCH("glue trap",E353)),ISNUMBER(SEARCH("glue board",E353))),"Glue Traps",
OR(ISNUMBER(SEARCH("snap trap",E353)),ISNUMBER(SEARCH("power-kill",E353)),ISNUMBER(SEARCH("wide pedal",E353)),ISNUMBER(SEARCH("metal pedal",E353))),"Snap Traps",
OR(ISNUMBER(SEARCH("electronic",E353)),ISNUMBER(SEARCH("zapper",E353))),"Electronic Traps",
OR(ISNUMBER(SEARCH("live catch",E353)),ISNUMBER(SEARCH("multi-catch",E353)),ISNUMBER(SEARCH("catch &amp; hold",E353)),ISNUMBER(SEARCH("tin cat",E353))),"Live Catch Traps",
OR(ISNUMBER(SEARCH("bait",E353)),ISNUMBER(SEARCH("poison",E353))),"Bait &amp; Poison",
ISNUMBER(SEARCH("repellent",E353)),"Repellents",
OR(ISNUMBER(SEARCH("fly trap",E353)),ISNUMBER(SEARCH("fly ribbon",E353)),ISNUMBER(SEARCH("fly stick",E353)),ISNUMBER(SEARCH("window fly",E353)),ISNUMBER(SEARCH("fly magnet",E353))),"Fly Traps",
OR(ISNUMBER(SEARCH("uv",E353)),ISNUMBER(SEARCH("fly light",E353)),ISNUMBER(SEARCH("plug-in",E353))),"UV Fly Traps",
ISNUMBER(SEARCH("roach",E353)),"Roach Traps",
ISNUMBER(SEARCH("ant",E353)),"Ant Traps",
ISNUMBER(SEARCH("spider",E353)),"Spider Traps",
ISNUMBER(SEARCH("mosquito",E353)),"Mosquito Traps",
ISNUMBER(SEARCH("beetle",E353)),"Beetle Traps",
ISNUMBER(SEARCH("lantern",E353)),"Lanternfly Control",
OR(ISNUMBER(SEARCH("tree shield",E353)),ISNUMBER(SEARCH("tree banding",E353)),ISNUMBER(SEARCH("insect barrier",E353))),"Tree Barriers",
OR(ISNUMBER(SEARCH("sun &amp; shade",E353)),ISNUMBER(SEARCH("sun and shade",E353))),"Sun &amp; Shade Mix",
ISNUMBER(SEARCH("tall fescue",E353)),"Tall Fescue",
ISNUMBER(SEARCH("bermudagrass",E353)),"Bermudagrass",
ISNUMBER(SEARCH("kentucky",E353)),"Kentucky Bluegrass",
ISNUMBER(SEARCH("zoysia",E353)),"Zoysia",
ISNUMBER(SEARCH("ryegrass",E353)),"Perennial Ryegrass",
ISNUMBER(SEARCH("centipede",E353)),"Centipede Grass",
ISNUMBER(SEARCH("dense shade",E353)),"Dense Shade Mix",
ISNUMBER(SEARCH("southern gold",E353)),"Southern Gold Mix",
ISNUMBER(SEARCH("heat-tolerant blue",E353)),"Heat-Tolerant Blue Mix",
ISNUMBER(SEARCH("high traffic",E353)),"High Traffic Mix",
ISNUMBER(SEARCH("quick fix",E353)),"Quick Fix Mix",
ISNUMBER(SEARCH("starter",E353)),"Starter Fertilizer",
ISNUMBER(SEARCH("weed &amp; feed",E353)),"Weed &amp; Feed",
ISNUMBER(SEARCH("lawn food",E353)),"Lawn Food",
ISNUMBER(SEARCH("triple action",E353)),"Triple Action Fertilizer",
ISNUMBER(SEARCH("green max",E353)),"Green Max Lawn Food",
ISNUMBER(SEARCH("patchmaster",E353)),"PatchMaster Repair",
ISNUMBER(SEARCH("ez seed",E353)),"EZ Seed Repair",
ISNUMBER(SEARCH("rapid grass",E353)),"Rapid Grass",
ISNUMBER(SEARCH("thick'r lawn",E353)),"Thick'R Lawn",
ISNUMBER(SEARCH("fungicide",E353)),"Fungicide",
ISNUMBER(SEARCH("moss",E353)),"Moss Control",
ISNUMBER(SEARCH("perlite",E353)),"Perlite",
ISNUMBER(SEARCH("plant food",E353)),"Plant Food",
ISNUMBER(SEARCH("spreader",E353)),"Spreader",
ISNUMBER(SEARCH("sprayer",E353)),"Sprayer",
ISNUMBER(SEARCH("mower",E353)),"Lawn Mower",
ISNUMBER(SEARCH("sweeper",E353)),"Lawn Sweeper",
OR(ISNUMBER(SEARCH("pruner",E353)),ISNUMBER(SEARCH("trimmer",E353)),ISNUMBER(SEARCH("pole saw",E353))),"Pruning Tools",
TRUE,"Other"
)</f>
        <v>Snap Traps</v>
      </c>
      <c r="J353" s="7" t="str">
        <f t="shared" si="86"/>
        <v>Rodent Control - Snap Traps</v>
      </c>
      <c r="K353" s="4">
        <v>50</v>
      </c>
      <c r="L353" s="4">
        <v>4</v>
      </c>
      <c r="M353" s="4">
        <v>488</v>
      </c>
      <c r="O353" s="4">
        <f>VLOOKUP(A353,[4]Sheet1!$A:$B,2,0)</f>
        <v>900</v>
      </c>
      <c r="P353" s="4">
        <f>VLOOKUP(A353,[4]Sheet1!$A:$C,3,0)</f>
        <v>600</v>
      </c>
      <c r="Q353" s="4">
        <f>VLOOKUP(A353,[4]Sheet1!$A:$D,4,0)</f>
        <v>800</v>
      </c>
      <c r="R353" s="4">
        <f>VLOOKUP(A353,[4]Sheet1!$A:$E,5,0)</f>
        <v>700</v>
      </c>
      <c r="S353" s="4">
        <f>VLOOKUP(A353,[4]Sheet1!$A:$F,6,0)</f>
        <v>700</v>
      </c>
      <c r="T353" s="4">
        <f>VLOOKUP(A353,[4]Sheet1!$A:$G,7,0)</f>
        <v>800</v>
      </c>
      <c r="U353" s="4">
        <f>VLOOKUP(A353,[4]Sheet1!$A:$H,8,0)</f>
        <v>800</v>
      </c>
      <c r="V353" s="4">
        <f>VLOOKUP(A353,[4]Sheet1!$A:$I,9,0)</f>
        <v>1000</v>
      </c>
      <c r="W353" s="4">
        <f>VLOOKUP(A353,[4]Sheet1!$A:$J,10,0)</f>
        <v>50</v>
      </c>
      <c r="X353" s="4">
        <f>VLOOKUP(A353,[4]Sheet1!$A:$K,11,0)</f>
        <v>600</v>
      </c>
      <c r="Y353" s="4">
        <f>VLOOKUP(A353,[4]Sheet1!$A:$L,12,0)</f>
        <v>1000</v>
      </c>
      <c r="Z353" s="4">
        <f>VLOOKUP(A353,[4]Sheet1!$A:$M,13,0)</f>
        <v>1000</v>
      </c>
      <c r="AA353" s="4">
        <f t="shared" si="96"/>
        <v>8950</v>
      </c>
      <c r="AB353" s="7">
        <f t="shared" si="87"/>
        <v>746</v>
      </c>
      <c r="AC353" s="15">
        <f t="shared" si="97"/>
        <v>745.83333333333337</v>
      </c>
      <c r="AD353" s="16">
        <f t="shared" si="98"/>
        <v>64350.5</v>
      </c>
      <c r="AE353" s="16">
        <f t="shared" si="99"/>
        <v>5362.541666666667</v>
      </c>
      <c r="AF353" s="16">
        <v>3.82</v>
      </c>
      <c r="AG353" s="16">
        <v>7.19</v>
      </c>
      <c r="AH353" s="15">
        <f t="shared" si="100"/>
        <v>-0.12960000000000002</v>
      </c>
      <c r="AI353" s="15">
        <f t="shared" si="101"/>
        <v>-0.4536</v>
      </c>
      <c r="AJ353" s="10">
        <v>0.5</v>
      </c>
      <c r="AK353" s="10">
        <v>0.5</v>
      </c>
      <c r="AL353" s="16">
        <v>3.82</v>
      </c>
      <c r="AM353" s="9">
        <f t="shared" si="88"/>
        <v>1.0785</v>
      </c>
      <c r="AN353" s="9">
        <f t="shared" si="89"/>
        <v>0.2157</v>
      </c>
      <c r="AO353" s="9">
        <f t="shared" si="90"/>
        <v>1.4380000000000002</v>
      </c>
      <c r="AP353" s="9">
        <f t="shared" si="91"/>
        <v>0.14380000000000001</v>
      </c>
      <c r="AQ353" s="9">
        <f t="shared" si="92"/>
        <v>1.4380000000000002</v>
      </c>
      <c r="AR353" s="9">
        <f t="shared" si="93"/>
        <v>1.7975000000000001</v>
      </c>
      <c r="AS353" s="11">
        <f t="shared" si="94"/>
        <v>-1.296</v>
      </c>
      <c r="AT353" s="12">
        <f t="shared" si="95"/>
        <v>-1.5356666666666665</v>
      </c>
    </row>
    <row r="354" spans="1:46" ht="16.5" x14ac:dyDescent="0.4">
      <c r="A354" s="4" t="s">
        <v>1619</v>
      </c>
      <c r="B354" s="4" t="s">
        <v>1314</v>
      </c>
      <c r="C354" s="7" t="s">
        <v>1796</v>
      </c>
      <c r="D354" s="4" t="s">
        <v>1620</v>
      </c>
      <c r="E354" s="4" t="s">
        <v>1621</v>
      </c>
      <c r="F354" s="4" t="s">
        <v>1622</v>
      </c>
      <c r="G354" s="7" t="str">
        <f>VLOOKUP(A354,[1]done!$A:$I,9,0)</f>
        <v>Rodent</v>
      </c>
      <c r="H354" s="7" t="str" cm="1">
        <f t="array" ref="H354">_xlfn.IFS(
OR(ISNUMBER(SEARCH("mouse",E354)),ISNUMBER(SEARCH("rat",E354)),ISNUMBER(SEARCH("mice",E354)),ISNUMBER(SEARCH("rodent",E354))),"Rodent Control",
OR(ISNUMBER(SEARCH("fly",E354)),ISNUMBER(SEARCH("gnat",E354)),ISNUMBER(SEARCH("insect",E354)),ISNUMBER(SEARCH("mosquito",E354))),"Flying Insect Control",
OR(ISNUMBER(SEARCH("roach",E354)),ISNUMBER(SEARCH("ant",E354)),ISNUMBER(SEARCH("spider",E354)),ISNUMBER(SEARCH("cricket",E354)),ISNUMBER(SEARCH("scorpion",E354)),ISNUMBER(SEARCH("centipede",E354)),ISNUMBER(SEARCH("beetle",E354))),"Crawling Insect Control",
OR(ISNUMBER(SEARCH("tree",E354)),ISNUMBER(SEARCH("lantern",E354)),ISNUMBER(SEARCH("garden",E354)),ISNUMBER(SEARCH("plant",E354))),"Garden Pest Control",
OR(ISNUMBER(SEARCH("grass seed",E354)),ISNUMBER(SEARCH("seed mix",E354))),"Grass Seed",
OR(ISNUMBER(SEARCH("lawn food",E354)),ISNUMBER(SEARCH("fertilizer",E354))),"Lawn Fertilizer",
OR(ISNUMBER(SEARCH("patch",E354)),ISNUMBER(SEARCH("repair",E354)),ISNUMBER(SEARCH("thick'r",E354)),ISNUMBER(SEARCH("thick'r lawn",E354)),ISNUMBER(SEARCH("rapid grass",E354))),"Lawn Repair",
OR(ISNUMBER(SEARCH("weed",E354)),ISNUMBER(SEARCH("crabgrass",E354))),"Weed Control",
OR(ISNUMBER(SEARCH("fungicide",E354)),ISNUMBER(SEARCH("moss",E354))),"Disease &amp; Moss Control",
OR(ISNUMBER(SEARCH("plant food",E354)),ISNUMBER(SEARCH("miracid",E354))),"Plant Nutrition",
OR(ISNUMBER(SEARCH("perlite",E354))),"Soil Amendment",
OR(ISNUMBER(SEARCH("spreader",E354)),ISNUMBER(SEARCH("sprayer",E354)),ISNUMBER(SEARCH("mower",E354)),ISNUMBER(SEARCH("sweeper",E354)),ISNUMBER(SEARCH("pruner",E354)),ISNUMBER(SEARCH("trimmer",E354)),ISNUMBER(SEARCH("pole saw",E354))),"Garden Equipment",
TRUE,"Other"
)</f>
        <v>Rodent Control</v>
      </c>
      <c r="I354" s="7" t="str" cm="1">
        <f t="array" ref="I354">_xlfn.IFS(
OR(ISNUMBER(SEARCH("glue trap",E354)),ISNUMBER(SEARCH("glue board",E354))),"Glue Traps",
OR(ISNUMBER(SEARCH("snap trap",E354)),ISNUMBER(SEARCH("power-kill",E354)),ISNUMBER(SEARCH("wide pedal",E354)),ISNUMBER(SEARCH("metal pedal",E354))),"Snap Traps",
OR(ISNUMBER(SEARCH("electronic",E354)),ISNUMBER(SEARCH("zapper",E354))),"Electronic Traps",
OR(ISNUMBER(SEARCH("live catch",E354)),ISNUMBER(SEARCH("multi-catch",E354)),ISNUMBER(SEARCH("catch &amp; hold",E354)),ISNUMBER(SEARCH("tin cat",E354))),"Live Catch Traps",
OR(ISNUMBER(SEARCH("bait",E354)),ISNUMBER(SEARCH("poison",E354))),"Bait &amp; Poison",
ISNUMBER(SEARCH("repellent",E354)),"Repellents",
OR(ISNUMBER(SEARCH("fly trap",E354)),ISNUMBER(SEARCH("fly ribbon",E354)),ISNUMBER(SEARCH("fly stick",E354)),ISNUMBER(SEARCH("window fly",E354)),ISNUMBER(SEARCH("fly magnet",E354))),"Fly Traps",
OR(ISNUMBER(SEARCH("uv",E354)),ISNUMBER(SEARCH("fly light",E354)),ISNUMBER(SEARCH("plug-in",E354))),"UV Fly Traps",
ISNUMBER(SEARCH("roach",E354)),"Roach Traps",
ISNUMBER(SEARCH("ant",E354)),"Ant Traps",
ISNUMBER(SEARCH("spider",E354)),"Spider Traps",
ISNUMBER(SEARCH("mosquito",E354)),"Mosquito Traps",
ISNUMBER(SEARCH("beetle",E354)),"Beetle Traps",
ISNUMBER(SEARCH("lantern",E354)),"Lanternfly Control",
OR(ISNUMBER(SEARCH("tree shield",E354)),ISNUMBER(SEARCH("tree banding",E354)),ISNUMBER(SEARCH("insect barrier",E354))),"Tree Barriers",
OR(ISNUMBER(SEARCH("sun &amp; shade",E354)),ISNUMBER(SEARCH("sun and shade",E354))),"Sun &amp; Shade Mix",
ISNUMBER(SEARCH("tall fescue",E354)),"Tall Fescue",
ISNUMBER(SEARCH("bermudagrass",E354)),"Bermudagrass",
ISNUMBER(SEARCH("kentucky",E354)),"Kentucky Bluegrass",
ISNUMBER(SEARCH("zoysia",E354)),"Zoysia",
ISNUMBER(SEARCH("ryegrass",E354)),"Perennial Ryegrass",
ISNUMBER(SEARCH("centipede",E354)),"Centipede Grass",
ISNUMBER(SEARCH("dense shade",E354)),"Dense Shade Mix",
ISNUMBER(SEARCH("southern gold",E354)),"Southern Gold Mix",
ISNUMBER(SEARCH("heat-tolerant blue",E354)),"Heat-Tolerant Blue Mix",
ISNUMBER(SEARCH("high traffic",E354)),"High Traffic Mix",
ISNUMBER(SEARCH("quick fix",E354)),"Quick Fix Mix",
ISNUMBER(SEARCH("starter",E354)),"Starter Fertilizer",
ISNUMBER(SEARCH("weed &amp; feed",E354)),"Weed &amp; Feed",
ISNUMBER(SEARCH("lawn food",E354)),"Lawn Food",
ISNUMBER(SEARCH("triple action",E354)),"Triple Action Fertilizer",
ISNUMBER(SEARCH("green max",E354)),"Green Max Lawn Food",
ISNUMBER(SEARCH("patchmaster",E354)),"PatchMaster Repair",
ISNUMBER(SEARCH("ez seed",E354)),"EZ Seed Repair",
ISNUMBER(SEARCH("rapid grass",E354)),"Rapid Grass",
ISNUMBER(SEARCH("thick'r lawn",E354)),"Thick'R Lawn",
ISNUMBER(SEARCH("fungicide",E354)),"Fungicide",
ISNUMBER(SEARCH("moss",E354)),"Moss Control",
ISNUMBER(SEARCH("perlite",E354)),"Perlite",
ISNUMBER(SEARCH("plant food",E354)),"Plant Food",
ISNUMBER(SEARCH("spreader",E354)),"Spreader",
ISNUMBER(SEARCH("sprayer",E354)),"Sprayer",
ISNUMBER(SEARCH("mower",E354)),"Lawn Mower",
ISNUMBER(SEARCH("sweeper",E354)),"Lawn Sweeper",
OR(ISNUMBER(SEARCH("pruner",E354)),ISNUMBER(SEARCH("trimmer",E354)),ISNUMBER(SEARCH("pole saw",E354))),"Pruning Tools",
TRUE,"Other"
)</f>
        <v>Ant Traps</v>
      </c>
      <c r="J354" s="7" t="str">
        <f t="shared" si="86"/>
        <v>Rodent Control - Ant Traps</v>
      </c>
      <c r="K354" s="4">
        <v>50</v>
      </c>
      <c r="L354" s="4">
        <v>3.5</v>
      </c>
      <c r="M354" s="4">
        <v>4</v>
      </c>
      <c r="O354" s="4">
        <f>VLOOKUP(A354,[4]Sheet1!$A:$B,2,0)</f>
        <v>0</v>
      </c>
      <c r="P354" s="4">
        <f>VLOOKUP(A354,[4]Sheet1!$A:$C,3,0)</f>
        <v>0</v>
      </c>
      <c r="Q354" s="4">
        <f>VLOOKUP(A354,[4]Sheet1!$A:$D,4,0)</f>
        <v>0</v>
      </c>
      <c r="R354" s="4">
        <f>VLOOKUP(A354,[4]Sheet1!$A:$E,5,0)</f>
        <v>0</v>
      </c>
      <c r="S354" s="4">
        <f>VLOOKUP(A354,[4]Sheet1!$A:$F,6,0)</f>
        <v>0</v>
      </c>
      <c r="T354" s="4">
        <f>VLOOKUP(A354,[4]Sheet1!$A:$G,7,0)</f>
        <v>0</v>
      </c>
      <c r="U354" s="4">
        <f>VLOOKUP(A354,[4]Sheet1!$A:$H,8,0)</f>
        <v>0</v>
      </c>
      <c r="V354" s="4">
        <f>VLOOKUP(A354,[4]Sheet1!$A:$I,9,0)</f>
        <v>0</v>
      </c>
      <c r="W354" s="4">
        <f>VLOOKUP(A354,[4]Sheet1!$A:$J,10,0)</f>
        <v>50</v>
      </c>
      <c r="X354" s="4">
        <f>VLOOKUP(A354,[4]Sheet1!$A:$K,11,0)</f>
        <v>0</v>
      </c>
      <c r="Y354" s="4">
        <f>VLOOKUP(A354,[4]Sheet1!$A:$L,12,0)</f>
        <v>0</v>
      </c>
      <c r="Z354" s="4">
        <f>VLOOKUP(A354,[4]Sheet1!$A:$M,13,0)</f>
        <v>0</v>
      </c>
      <c r="AA354" s="4">
        <f t="shared" si="96"/>
        <v>50</v>
      </c>
      <c r="AB354" s="7">
        <f t="shared" si="87"/>
        <v>4</v>
      </c>
      <c r="AC354" s="15">
        <f t="shared" si="97"/>
        <v>4.166666666666667</v>
      </c>
      <c r="AD354" s="16">
        <f t="shared" si="98"/>
        <v>1655.9999999999998</v>
      </c>
      <c r="AE354" s="16">
        <f t="shared" si="99"/>
        <v>138</v>
      </c>
      <c r="AF354" s="16">
        <v>6.48</v>
      </c>
      <c r="AG354" s="16">
        <v>33.119999999999997</v>
      </c>
      <c r="AH354" s="15">
        <f t="shared" si="100"/>
        <v>0.38453333333333312</v>
      </c>
      <c r="AI354" s="15">
        <f t="shared" si="101"/>
        <v>1.3458666666666657</v>
      </c>
      <c r="AJ354" s="10">
        <v>0.5</v>
      </c>
      <c r="AK354" s="10">
        <v>0.5</v>
      </c>
      <c r="AL354" s="16">
        <v>6.48</v>
      </c>
      <c r="AM354" s="9">
        <f t="shared" si="88"/>
        <v>4.9679999999999991</v>
      </c>
      <c r="AN354" s="9">
        <f t="shared" si="89"/>
        <v>0.99359999999999993</v>
      </c>
      <c r="AO354" s="9">
        <f t="shared" si="90"/>
        <v>6.6239999999999997</v>
      </c>
      <c r="AP354" s="9">
        <f t="shared" si="91"/>
        <v>0.66239999999999999</v>
      </c>
      <c r="AQ354" s="9">
        <f t="shared" si="92"/>
        <v>6.6239999999999997</v>
      </c>
      <c r="AR354" s="9">
        <f t="shared" si="93"/>
        <v>8.2799999999999994</v>
      </c>
      <c r="AS354" s="11">
        <f t="shared" si="94"/>
        <v>3.8453333333333308</v>
      </c>
      <c r="AT354" s="12">
        <f t="shared" si="95"/>
        <v>2.7413333333333312</v>
      </c>
    </row>
    <row r="355" spans="1:46" ht="16.5" x14ac:dyDescent="0.4">
      <c r="A355" s="4" t="s">
        <v>1623</v>
      </c>
      <c r="B355" s="4" t="s">
        <v>1314</v>
      </c>
      <c r="C355" s="7" t="s">
        <v>1796</v>
      </c>
      <c r="D355" s="4" t="s">
        <v>1624</v>
      </c>
      <c r="E355" s="4" t="s">
        <v>1625</v>
      </c>
      <c r="F355" s="4" t="s">
        <v>1626</v>
      </c>
      <c r="G355" s="7" t="str">
        <f>VLOOKUP(A355,[1]done!$A:$I,9,0)</f>
        <v>Rodent</v>
      </c>
      <c r="H355" s="7" t="str" cm="1">
        <f t="array" ref="H355">_xlfn.IFS(
OR(ISNUMBER(SEARCH("mouse",E355)),ISNUMBER(SEARCH("rat",E355)),ISNUMBER(SEARCH("mice",E355)),ISNUMBER(SEARCH("rodent",E355))),"Rodent Control",
OR(ISNUMBER(SEARCH("fly",E355)),ISNUMBER(SEARCH("gnat",E355)),ISNUMBER(SEARCH("insect",E355)),ISNUMBER(SEARCH("mosquito",E355))),"Flying Insect Control",
OR(ISNUMBER(SEARCH("roach",E355)),ISNUMBER(SEARCH("ant",E355)),ISNUMBER(SEARCH("spider",E355)),ISNUMBER(SEARCH("cricket",E355)),ISNUMBER(SEARCH("scorpion",E355)),ISNUMBER(SEARCH("centipede",E355)),ISNUMBER(SEARCH("beetle",E355))),"Crawling Insect Control",
OR(ISNUMBER(SEARCH("tree",E355)),ISNUMBER(SEARCH("lantern",E355)),ISNUMBER(SEARCH("garden",E355)),ISNUMBER(SEARCH("plant",E355))),"Garden Pest Control",
OR(ISNUMBER(SEARCH("grass seed",E355)),ISNUMBER(SEARCH("seed mix",E355))),"Grass Seed",
OR(ISNUMBER(SEARCH("lawn food",E355)),ISNUMBER(SEARCH("fertilizer",E355))),"Lawn Fertilizer",
OR(ISNUMBER(SEARCH("patch",E355)),ISNUMBER(SEARCH("repair",E355)),ISNUMBER(SEARCH("thick'r",E355)),ISNUMBER(SEARCH("thick'r lawn",E355)),ISNUMBER(SEARCH("rapid grass",E355))),"Lawn Repair",
OR(ISNUMBER(SEARCH("weed",E355)),ISNUMBER(SEARCH("crabgrass",E355))),"Weed Control",
OR(ISNUMBER(SEARCH("fungicide",E355)),ISNUMBER(SEARCH("moss",E355))),"Disease &amp; Moss Control",
OR(ISNUMBER(SEARCH("plant food",E355)),ISNUMBER(SEARCH("miracid",E355))),"Plant Nutrition",
OR(ISNUMBER(SEARCH("perlite",E355))),"Soil Amendment",
OR(ISNUMBER(SEARCH("spreader",E355)),ISNUMBER(SEARCH("sprayer",E355)),ISNUMBER(SEARCH("mower",E355)),ISNUMBER(SEARCH("sweeper",E355)),ISNUMBER(SEARCH("pruner",E355)),ISNUMBER(SEARCH("trimmer",E355)),ISNUMBER(SEARCH("pole saw",E355))),"Garden Equipment",
TRUE,"Other"
)</f>
        <v>Rodent Control</v>
      </c>
      <c r="I355" s="7" t="str" cm="1">
        <f t="array" ref="I355">_xlfn.IFS(
OR(ISNUMBER(SEARCH("glue trap",E355)),ISNUMBER(SEARCH("glue board",E355))),"Glue Traps",
OR(ISNUMBER(SEARCH("snap trap",E355)),ISNUMBER(SEARCH("power-kill",E355)),ISNUMBER(SEARCH("wide pedal",E355)),ISNUMBER(SEARCH("metal pedal",E355))),"Snap Traps",
OR(ISNUMBER(SEARCH("electronic",E355)),ISNUMBER(SEARCH("zapper",E355))),"Electronic Traps",
OR(ISNUMBER(SEARCH("live catch",E355)),ISNUMBER(SEARCH("multi-catch",E355)),ISNUMBER(SEARCH("catch &amp; hold",E355)),ISNUMBER(SEARCH("tin cat",E355))),"Live Catch Traps",
OR(ISNUMBER(SEARCH("bait",E355)),ISNUMBER(SEARCH("poison",E355))),"Bait &amp; Poison",
ISNUMBER(SEARCH("repellent",E355)),"Repellents",
OR(ISNUMBER(SEARCH("fly trap",E355)),ISNUMBER(SEARCH("fly ribbon",E355)),ISNUMBER(SEARCH("fly stick",E355)),ISNUMBER(SEARCH("window fly",E355)),ISNUMBER(SEARCH("fly magnet",E355))),"Fly Traps",
OR(ISNUMBER(SEARCH("uv",E355)),ISNUMBER(SEARCH("fly light",E355)),ISNUMBER(SEARCH("plug-in",E355))),"UV Fly Traps",
ISNUMBER(SEARCH("roach",E355)),"Roach Traps",
ISNUMBER(SEARCH("ant",E355)),"Ant Traps",
ISNUMBER(SEARCH("spider",E355)),"Spider Traps",
ISNUMBER(SEARCH("mosquito",E355)),"Mosquito Traps",
ISNUMBER(SEARCH("beetle",E355)),"Beetle Traps",
ISNUMBER(SEARCH("lantern",E355)),"Lanternfly Control",
OR(ISNUMBER(SEARCH("tree shield",E355)),ISNUMBER(SEARCH("tree banding",E355)),ISNUMBER(SEARCH("insect barrier",E355))),"Tree Barriers",
OR(ISNUMBER(SEARCH("sun &amp; shade",E355)),ISNUMBER(SEARCH("sun and shade",E355))),"Sun &amp; Shade Mix",
ISNUMBER(SEARCH("tall fescue",E355)),"Tall Fescue",
ISNUMBER(SEARCH("bermudagrass",E355)),"Bermudagrass",
ISNUMBER(SEARCH("kentucky",E355)),"Kentucky Bluegrass",
ISNUMBER(SEARCH("zoysia",E355)),"Zoysia",
ISNUMBER(SEARCH("ryegrass",E355)),"Perennial Ryegrass",
ISNUMBER(SEARCH("centipede",E355)),"Centipede Grass",
ISNUMBER(SEARCH("dense shade",E355)),"Dense Shade Mix",
ISNUMBER(SEARCH("southern gold",E355)),"Southern Gold Mix",
ISNUMBER(SEARCH("heat-tolerant blue",E355)),"Heat-Tolerant Blue Mix",
ISNUMBER(SEARCH("high traffic",E355)),"High Traffic Mix",
ISNUMBER(SEARCH("quick fix",E355)),"Quick Fix Mix",
ISNUMBER(SEARCH("starter",E355)),"Starter Fertilizer",
ISNUMBER(SEARCH("weed &amp; feed",E355)),"Weed &amp; Feed",
ISNUMBER(SEARCH("lawn food",E355)),"Lawn Food",
ISNUMBER(SEARCH("triple action",E355)),"Triple Action Fertilizer",
ISNUMBER(SEARCH("green max",E355)),"Green Max Lawn Food",
ISNUMBER(SEARCH("patchmaster",E355)),"PatchMaster Repair",
ISNUMBER(SEARCH("ez seed",E355)),"EZ Seed Repair",
ISNUMBER(SEARCH("rapid grass",E355)),"Rapid Grass",
ISNUMBER(SEARCH("thick'r lawn",E355)),"Thick'R Lawn",
ISNUMBER(SEARCH("fungicide",E355)),"Fungicide",
ISNUMBER(SEARCH("moss",E355)),"Moss Control",
ISNUMBER(SEARCH("perlite",E355)),"Perlite",
ISNUMBER(SEARCH("plant food",E355)),"Plant Food",
ISNUMBER(SEARCH("spreader",E355)),"Spreader",
ISNUMBER(SEARCH("sprayer",E355)),"Sprayer",
ISNUMBER(SEARCH("mower",E355)),"Lawn Mower",
ISNUMBER(SEARCH("sweeper",E355)),"Lawn Sweeper",
OR(ISNUMBER(SEARCH("pruner",E355)),ISNUMBER(SEARCH("trimmer",E355)),ISNUMBER(SEARCH("pole saw",E355))),"Pruning Tools",
TRUE,"Other"
)</f>
        <v>Electronic Traps</v>
      </c>
      <c r="J355" s="7" t="str">
        <f t="shared" si="86"/>
        <v>Rodent Control - Electronic Traps</v>
      </c>
      <c r="K355" s="4">
        <v>50</v>
      </c>
      <c r="L355" s="4">
        <v>2.8</v>
      </c>
      <c r="M355" s="4">
        <v>285</v>
      </c>
      <c r="N355" s="4" t="s">
        <v>242</v>
      </c>
      <c r="O355" s="4">
        <f>VLOOKUP(A355,[4]Sheet1!$A:$B,2,0)</f>
        <v>50</v>
      </c>
      <c r="P355" s="4">
        <f>VLOOKUP(A355,[4]Sheet1!$A:$C,3,0)</f>
        <v>50</v>
      </c>
      <c r="Q355" s="4">
        <f>VLOOKUP(A355,[4]Sheet1!$A:$D,4,0)</f>
        <v>50</v>
      </c>
      <c r="R355" s="4">
        <f>VLOOKUP(A355,[4]Sheet1!$A:$E,5,0)</f>
        <v>50</v>
      </c>
      <c r="S355" s="4">
        <f>VLOOKUP(A355,[4]Sheet1!$A:$F,6,0)</f>
        <v>100</v>
      </c>
      <c r="T355" s="4">
        <f>VLOOKUP(A355,[4]Sheet1!$A:$G,7,0)</f>
        <v>100</v>
      </c>
      <c r="U355" s="4">
        <f>VLOOKUP(A355,[4]Sheet1!$A:$H,8,0)</f>
        <v>100</v>
      </c>
      <c r="V355" s="4">
        <f>VLOOKUP(A355,[4]Sheet1!$A:$I,9,0)</f>
        <v>50</v>
      </c>
      <c r="W355" s="4">
        <f>VLOOKUP(A355,[4]Sheet1!$A:$J,10,0)</f>
        <v>50</v>
      </c>
      <c r="X355" s="4">
        <f>VLOOKUP(A355,[4]Sheet1!$A:$K,11,0)</f>
        <v>50</v>
      </c>
      <c r="Y355" s="4">
        <f>VLOOKUP(A355,[4]Sheet1!$A:$L,12,0)</f>
        <v>50</v>
      </c>
      <c r="Z355" s="4">
        <f>VLOOKUP(A355,[4]Sheet1!$A:$M,13,0)</f>
        <v>100</v>
      </c>
      <c r="AA355" s="4">
        <f t="shared" si="96"/>
        <v>800</v>
      </c>
      <c r="AB355" s="7">
        <f t="shared" si="87"/>
        <v>67</v>
      </c>
      <c r="AC355" s="15">
        <f t="shared" si="97"/>
        <v>66.666666666666671</v>
      </c>
      <c r="AD355" s="16">
        <f t="shared" si="98"/>
        <v>53591.999999999993</v>
      </c>
      <c r="AE355" s="16">
        <f t="shared" si="99"/>
        <v>4466</v>
      </c>
      <c r="AF355" s="16">
        <v>7.5</v>
      </c>
      <c r="AG355" s="16">
        <v>66.989999999999995</v>
      </c>
      <c r="AH355" s="15">
        <f t="shared" si="100"/>
        <v>1.2197333333333331</v>
      </c>
      <c r="AI355" s="15">
        <f t="shared" si="101"/>
        <v>4.2690666666666655</v>
      </c>
      <c r="AJ355" s="10">
        <v>0.5</v>
      </c>
      <c r="AK355" s="10">
        <v>0.5</v>
      </c>
      <c r="AL355" s="16">
        <v>7.5</v>
      </c>
      <c r="AM355" s="9">
        <f t="shared" si="88"/>
        <v>10.048499999999999</v>
      </c>
      <c r="AN355" s="9">
        <f t="shared" si="89"/>
        <v>2.0096999999999996</v>
      </c>
      <c r="AO355" s="9">
        <f t="shared" si="90"/>
        <v>13.398</v>
      </c>
      <c r="AP355" s="9">
        <f t="shared" si="91"/>
        <v>1.3397999999999999</v>
      </c>
      <c r="AQ355" s="9">
        <f t="shared" si="92"/>
        <v>13.398</v>
      </c>
      <c r="AR355" s="9">
        <f t="shared" si="93"/>
        <v>16.747499999999999</v>
      </c>
      <c r="AS355" s="11">
        <f t="shared" si="94"/>
        <v>12.197333333333331</v>
      </c>
      <c r="AT355" s="12">
        <f t="shared" si="95"/>
        <v>9.9643333333333306</v>
      </c>
    </row>
    <row r="356" spans="1:46" ht="16.5" x14ac:dyDescent="0.4">
      <c r="A356" s="4" t="s">
        <v>1627</v>
      </c>
      <c r="B356" s="4" t="s">
        <v>1314</v>
      </c>
      <c r="C356" s="7" t="s">
        <v>1314</v>
      </c>
      <c r="D356" s="4" t="s">
        <v>1628</v>
      </c>
      <c r="E356" s="4" t="s">
        <v>1629</v>
      </c>
      <c r="F356" s="4" t="s">
        <v>1630</v>
      </c>
      <c r="G356" s="7" t="str">
        <f>VLOOKUP(A356,[1]done!$A:$I,9,0)</f>
        <v>Rodent</v>
      </c>
      <c r="H356" s="7" t="str" cm="1">
        <f t="array" ref="H356">_xlfn.IFS(
OR(ISNUMBER(SEARCH("mouse",E356)),ISNUMBER(SEARCH("rat",E356)),ISNUMBER(SEARCH("mice",E356)),ISNUMBER(SEARCH("rodent",E356))),"Rodent Control",
OR(ISNUMBER(SEARCH("fly",E356)),ISNUMBER(SEARCH("gnat",E356)),ISNUMBER(SEARCH("insect",E356)),ISNUMBER(SEARCH("mosquito",E356))),"Flying Insect Control",
OR(ISNUMBER(SEARCH("roach",E356)),ISNUMBER(SEARCH("ant",E356)),ISNUMBER(SEARCH("spider",E356)),ISNUMBER(SEARCH("cricket",E356)),ISNUMBER(SEARCH("scorpion",E356)),ISNUMBER(SEARCH("centipede",E356)),ISNUMBER(SEARCH("beetle",E356))),"Crawling Insect Control",
OR(ISNUMBER(SEARCH("tree",E356)),ISNUMBER(SEARCH("lantern",E356)),ISNUMBER(SEARCH("garden",E356)),ISNUMBER(SEARCH("plant",E356))),"Garden Pest Control",
OR(ISNUMBER(SEARCH("grass seed",E356)),ISNUMBER(SEARCH("seed mix",E356))),"Grass Seed",
OR(ISNUMBER(SEARCH("lawn food",E356)),ISNUMBER(SEARCH("fertilizer",E356))),"Lawn Fertilizer",
OR(ISNUMBER(SEARCH("patch",E356)),ISNUMBER(SEARCH("repair",E356)),ISNUMBER(SEARCH("thick'r",E356)),ISNUMBER(SEARCH("thick'r lawn",E356)),ISNUMBER(SEARCH("rapid grass",E356))),"Lawn Repair",
OR(ISNUMBER(SEARCH("weed",E356)),ISNUMBER(SEARCH("crabgrass",E356))),"Weed Control",
OR(ISNUMBER(SEARCH("fungicide",E356)),ISNUMBER(SEARCH("moss",E356))),"Disease &amp; Moss Control",
OR(ISNUMBER(SEARCH("plant food",E356)),ISNUMBER(SEARCH("miracid",E356))),"Plant Nutrition",
OR(ISNUMBER(SEARCH("perlite",E356))),"Soil Amendment",
OR(ISNUMBER(SEARCH("spreader",E356)),ISNUMBER(SEARCH("sprayer",E356)),ISNUMBER(SEARCH("mower",E356)),ISNUMBER(SEARCH("sweeper",E356)),ISNUMBER(SEARCH("pruner",E356)),ISNUMBER(SEARCH("trimmer",E356)),ISNUMBER(SEARCH("pole saw",E356))),"Garden Equipment",
TRUE,"Other"
)</f>
        <v>Rodent Control</v>
      </c>
      <c r="I356" s="7" t="str" cm="1">
        <f t="array" ref="I356">_xlfn.IFS(
OR(ISNUMBER(SEARCH("glue trap",E356)),ISNUMBER(SEARCH("glue board",E356))),"Glue Traps",
OR(ISNUMBER(SEARCH("snap trap",E356)),ISNUMBER(SEARCH("power-kill",E356)),ISNUMBER(SEARCH("wide pedal",E356)),ISNUMBER(SEARCH("metal pedal",E356))),"Snap Traps",
OR(ISNUMBER(SEARCH("electronic",E356)),ISNUMBER(SEARCH("zapper",E356))),"Electronic Traps",
OR(ISNUMBER(SEARCH("live catch",E356)),ISNUMBER(SEARCH("multi-catch",E356)),ISNUMBER(SEARCH("catch &amp; hold",E356)),ISNUMBER(SEARCH("tin cat",E356))),"Live Catch Traps",
OR(ISNUMBER(SEARCH("bait",E356)),ISNUMBER(SEARCH("poison",E356))),"Bait &amp; Poison",
ISNUMBER(SEARCH("repellent",E356)),"Repellents",
OR(ISNUMBER(SEARCH("fly trap",E356)),ISNUMBER(SEARCH("fly ribbon",E356)),ISNUMBER(SEARCH("fly stick",E356)),ISNUMBER(SEARCH("window fly",E356)),ISNUMBER(SEARCH("fly magnet",E356))),"Fly Traps",
OR(ISNUMBER(SEARCH("uv",E356)),ISNUMBER(SEARCH("fly light",E356)),ISNUMBER(SEARCH("plug-in",E356))),"UV Fly Traps",
ISNUMBER(SEARCH("roach",E356)),"Roach Traps",
ISNUMBER(SEARCH("ant",E356)),"Ant Traps",
ISNUMBER(SEARCH("spider",E356)),"Spider Traps",
ISNUMBER(SEARCH("mosquito",E356)),"Mosquito Traps",
ISNUMBER(SEARCH("beetle",E356)),"Beetle Traps",
ISNUMBER(SEARCH("lantern",E356)),"Lanternfly Control",
OR(ISNUMBER(SEARCH("tree shield",E356)),ISNUMBER(SEARCH("tree banding",E356)),ISNUMBER(SEARCH("insect barrier",E356))),"Tree Barriers",
OR(ISNUMBER(SEARCH("sun &amp; shade",E356)),ISNUMBER(SEARCH("sun and shade",E356))),"Sun &amp; Shade Mix",
ISNUMBER(SEARCH("tall fescue",E356)),"Tall Fescue",
ISNUMBER(SEARCH("bermudagrass",E356)),"Bermudagrass",
ISNUMBER(SEARCH("kentucky",E356)),"Kentucky Bluegrass",
ISNUMBER(SEARCH("zoysia",E356)),"Zoysia",
ISNUMBER(SEARCH("ryegrass",E356)),"Perennial Ryegrass",
ISNUMBER(SEARCH("centipede",E356)),"Centipede Grass",
ISNUMBER(SEARCH("dense shade",E356)),"Dense Shade Mix",
ISNUMBER(SEARCH("southern gold",E356)),"Southern Gold Mix",
ISNUMBER(SEARCH("heat-tolerant blue",E356)),"Heat-Tolerant Blue Mix",
ISNUMBER(SEARCH("high traffic",E356)),"High Traffic Mix",
ISNUMBER(SEARCH("quick fix",E356)),"Quick Fix Mix",
ISNUMBER(SEARCH("starter",E356)),"Starter Fertilizer",
ISNUMBER(SEARCH("weed &amp; feed",E356)),"Weed &amp; Feed",
ISNUMBER(SEARCH("lawn food",E356)),"Lawn Food",
ISNUMBER(SEARCH("triple action",E356)),"Triple Action Fertilizer",
ISNUMBER(SEARCH("green max",E356)),"Green Max Lawn Food",
ISNUMBER(SEARCH("patchmaster",E356)),"PatchMaster Repair",
ISNUMBER(SEARCH("ez seed",E356)),"EZ Seed Repair",
ISNUMBER(SEARCH("rapid grass",E356)),"Rapid Grass",
ISNUMBER(SEARCH("thick'r lawn",E356)),"Thick'R Lawn",
ISNUMBER(SEARCH("fungicide",E356)),"Fungicide",
ISNUMBER(SEARCH("moss",E356)),"Moss Control",
ISNUMBER(SEARCH("perlite",E356)),"Perlite",
ISNUMBER(SEARCH("plant food",E356)),"Plant Food",
ISNUMBER(SEARCH("spreader",E356)),"Spreader",
ISNUMBER(SEARCH("sprayer",E356)),"Sprayer",
ISNUMBER(SEARCH("mower",E356)),"Lawn Mower",
ISNUMBER(SEARCH("sweeper",E356)),"Lawn Sweeper",
OR(ISNUMBER(SEARCH("pruner",E356)),ISNUMBER(SEARCH("trimmer",E356)),ISNUMBER(SEARCH("pole saw",E356))),"Pruning Tools",
TRUE,"Other"
)</f>
        <v>Other</v>
      </c>
      <c r="J356" s="7" t="str">
        <f t="shared" si="86"/>
        <v>Rodent Control - Other</v>
      </c>
      <c r="K356" s="4">
        <v>50</v>
      </c>
      <c r="L356" s="4">
        <v>3.8</v>
      </c>
      <c r="M356" s="4">
        <v>436</v>
      </c>
      <c r="O356" s="4">
        <f>VLOOKUP(A356,[4]Sheet1!$A:$B,2,0)</f>
        <v>50</v>
      </c>
      <c r="P356" s="4">
        <f>VLOOKUP(A356,[4]Sheet1!$A:$C,3,0)</f>
        <v>50</v>
      </c>
      <c r="Q356" s="4">
        <f>VLOOKUP(A356,[4]Sheet1!$A:$D,4,0)</f>
        <v>0</v>
      </c>
      <c r="R356" s="4">
        <f>VLOOKUP(A356,[4]Sheet1!$A:$E,5,0)</f>
        <v>50</v>
      </c>
      <c r="S356" s="4">
        <f>VLOOKUP(A356,[4]Sheet1!$A:$F,6,0)</f>
        <v>50</v>
      </c>
      <c r="T356" s="4">
        <f>VLOOKUP(A356,[4]Sheet1!$A:$G,7,0)</f>
        <v>50</v>
      </c>
      <c r="U356" s="4">
        <f>VLOOKUP(A356,[4]Sheet1!$A:$H,8,0)</f>
        <v>50</v>
      </c>
      <c r="V356" s="4">
        <f>VLOOKUP(A356,[4]Sheet1!$A:$I,9,0)</f>
        <v>50</v>
      </c>
      <c r="W356" s="4">
        <f>VLOOKUP(A356,[4]Sheet1!$A:$J,10,0)</f>
        <v>100</v>
      </c>
      <c r="X356" s="4">
        <f>VLOOKUP(A356,[4]Sheet1!$A:$K,11,0)</f>
        <v>100</v>
      </c>
      <c r="Y356" s="4">
        <f>VLOOKUP(A356,[4]Sheet1!$A:$L,12,0)</f>
        <v>100</v>
      </c>
      <c r="Z356" s="4">
        <f>VLOOKUP(A356,[4]Sheet1!$A:$M,13,0)</f>
        <v>50</v>
      </c>
      <c r="AA356" s="4">
        <f t="shared" si="96"/>
        <v>700</v>
      </c>
      <c r="AB356" s="7">
        <f t="shared" si="87"/>
        <v>58</v>
      </c>
      <c r="AC356" s="15">
        <f t="shared" si="97"/>
        <v>58.333333333333336</v>
      </c>
      <c r="AD356" s="16">
        <f t="shared" si="98"/>
        <v>36393</v>
      </c>
      <c r="AE356" s="16">
        <f t="shared" si="99"/>
        <v>3032.7500000000005</v>
      </c>
      <c r="AF356" s="16">
        <v>5.88</v>
      </c>
      <c r="AG356" s="16">
        <v>51.99</v>
      </c>
      <c r="AH356" s="15">
        <f t="shared" si="100"/>
        <v>0.9277333333333333</v>
      </c>
      <c r="AI356" s="15">
        <f t="shared" si="101"/>
        <v>3.2470666666666665</v>
      </c>
      <c r="AJ356" s="10">
        <v>0.5</v>
      </c>
      <c r="AK356" s="10">
        <v>0.5</v>
      </c>
      <c r="AL356" s="16">
        <v>5.88</v>
      </c>
      <c r="AM356" s="9">
        <f t="shared" si="88"/>
        <v>7.7984999999999998</v>
      </c>
      <c r="AN356" s="9">
        <f t="shared" si="89"/>
        <v>1.5597000000000001</v>
      </c>
      <c r="AO356" s="9">
        <f t="shared" si="90"/>
        <v>10.398000000000001</v>
      </c>
      <c r="AP356" s="9">
        <f t="shared" si="91"/>
        <v>1.0398000000000001</v>
      </c>
      <c r="AQ356" s="9">
        <f t="shared" si="92"/>
        <v>10.398000000000001</v>
      </c>
      <c r="AR356" s="9">
        <f t="shared" si="93"/>
        <v>12.9975</v>
      </c>
      <c r="AS356" s="11">
        <f t="shared" si="94"/>
        <v>9.277333333333333</v>
      </c>
      <c r="AT356" s="12">
        <f t="shared" si="95"/>
        <v>7.5443333333333333</v>
      </c>
    </row>
    <row r="357" spans="1:46" ht="16.5" x14ac:dyDescent="0.4">
      <c r="A357" s="4" t="s">
        <v>1631</v>
      </c>
      <c r="B357" s="4" t="s">
        <v>1314</v>
      </c>
      <c r="C357" s="7" t="s">
        <v>1796</v>
      </c>
      <c r="D357" s="4" t="s">
        <v>1632</v>
      </c>
      <c r="E357" s="4" t="s">
        <v>1633</v>
      </c>
      <c r="F357" s="4" t="s">
        <v>1634</v>
      </c>
      <c r="G357" s="7" t="str">
        <f>VLOOKUP(A357,[1]done!$A:$I,9,0)</f>
        <v>Rodent</v>
      </c>
      <c r="H357" s="7" t="str" cm="1">
        <f t="array" ref="H357">_xlfn.IFS(
OR(ISNUMBER(SEARCH("mouse",E357)),ISNUMBER(SEARCH("rat",E357)),ISNUMBER(SEARCH("mice",E357)),ISNUMBER(SEARCH("rodent",E357))),"Rodent Control",
OR(ISNUMBER(SEARCH("fly",E357)),ISNUMBER(SEARCH("gnat",E357)),ISNUMBER(SEARCH("insect",E357)),ISNUMBER(SEARCH("mosquito",E357))),"Flying Insect Control",
OR(ISNUMBER(SEARCH("roach",E357)),ISNUMBER(SEARCH("ant",E357)),ISNUMBER(SEARCH("spider",E357)),ISNUMBER(SEARCH("cricket",E357)),ISNUMBER(SEARCH("scorpion",E357)),ISNUMBER(SEARCH("centipede",E357)),ISNUMBER(SEARCH("beetle",E357))),"Crawling Insect Control",
OR(ISNUMBER(SEARCH("tree",E357)),ISNUMBER(SEARCH("lantern",E357)),ISNUMBER(SEARCH("garden",E357)),ISNUMBER(SEARCH("plant",E357))),"Garden Pest Control",
OR(ISNUMBER(SEARCH("grass seed",E357)),ISNUMBER(SEARCH("seed mix",E357))),"Grass Seed",
OR(ISNUMBER(SEARCH("lawn food",E357)),ISNUMBER(SEARCH("fertilizer",E357))),"Lawn Fertilizer",
OR(ISNUMBER(SEARCH("patch",E357)),ISNUMBER(SEARCH("repair",E357)),ISNUMBER(SEARCH("thick'r",E357)),ISNUMBER(SEARCH("thick'r lawn",E357)),ISNUMBER(SEARCH("rapid grass",E357))),"Lawn Repair",
OR(ISNUMBER(SEARCH("weed",E357)),ISNUMBER(SEARCH("crabgrass",E357))),"Weed Control",
OR(ISNUMBER(SEARCH("fungicide",E357)),ISNUMBER(SEARCH("moss",E357))),"Disease &amp; Moss Control",
OR(ISNUMBER(SEARCH("plant food",E357)),ISNUMBER(SEARCH("miracid",E357))),"Plant Nutrition",
OR(ISNUMBER(SEARCH("perlite",E357))),"Soil Amendment",
OR(ISNUMBER(SEARCH("spreader",E357)),ISNUMBER(SEARCH("sprayer",E357)),ISNUMBER(SEARCH("mower",E357)),ISNUMBER(SEARCH("sweeper",E357)),ISNUMBER(SEARCH("pruner",E357)),ISNUMBER(SEARCH("trimmer",E357)),ISNUMBER(SEARCH("pole saw",E357))),"Garden Equipment",
TRUE,"Other"
)</f>
        <v>Rodent Control</v>
      </c>
      <c r="I357" s="7" t="str" cm="1">
        <f t="array" ref="I357">_xlfn.IFS(
OR(ISNUMBER(SEARCH("glue trap",E357)),ISNUMBER(SEARCH("glue board",E357))),"Glue Traps",
OR(ISNUMBER(SEARCH("snap trap",E357)),ISNUMBER(SEARCH("power-kill",E357)),ISNUMBER(SEARCH("wide pedal",E357)),ISNUMBER(SEARCH("metal pedal",E357))),"Snap Traps",
OR(ISNUMBER(SEARCH("electronic",E357)),ISNUMBER(SEARCH("zapper",E357))),"Electronic Traps",
OR(ISNUMBER(SEARCH("live catch",E357)),ISNUMBER(SEARCH("multi-catch",E357)),ISNUMBER(SEARCH("catch &amp; hold",E357)),ISNUMBER(SEARCH("tin cat",E357))),"Live Catch Traps",
OR(ISNUMBER(SEARCH("bait",E357)),ISNUMBER(SEARCH("poison",E357))),"Bait &amp; Poison",
ISNUMBER(SEARCH("repellent",E357)),"Repellents",
OR(ISNUMBER(SEARCH("fly trap",E357)),ISNUMBER(SEARCH("fly ribbon",E357)),ISNUMBER(SEARCH("fly stick",E357)),ISNUMBER(SEARCH("window fly",E357)),ISNUMBER(SEARCH("fly magnet",E357))),"Fly Traps",
OR(ISNUMBER(SEARCH("uv",E357)),ISNUMBER(SEARCH("fly light",E357)),ISNUMBER(SEARCH("plug-in",E357))),"UV Fly Traps",
ISNUMBER(SEARCH("roach",E357)),"Roach Traps",
ISNUMBER(SEARCH("ant",E357)),"Ant Traps",
ISNUMBER(SEARCH("spider",E357)),"Spider Traps",
ISNUMBER(SEARCH("mosquito",E357)),"Mosquito Traps",
ISNUMBER(SEARCH("beetle",E357)),"Beetle Traps",
ISNUMBER(SEARCH("lantern",E357)),"Lanternfly Control",
OR(ISNUMBER(SEARCH("tree shield",E357)),ISNUMBER(SEARCH("tree banding",E357)),ISNUMBER(SEARCH("insect barrier",E357))),"Tree Barriers",
OR(ISNUMBER(SEARCH("sun &amp; shade",E357)),ISNUMBER(SEARCH("sun and shade",E357))),"Sun &amp; Shade Mix",
ISNUMBER(SEARCH("tall fescue",E357)),"Tall Fescue",
ISNUMBER(SEARCH("bermudagrass",E357)),"Bermudagrass",
ISNUMBER(SEARCH("kentucky",E357)),"Kentucky Bluegrass",
ISNUMBER(SEARCH("zoysia",E357)),"Zoysia",
ISNUMBER(SEARCH("ryegrass",E357)),"Perennial Ryegrass",
ISNUMBER(SEARCH("centipede",E357)),"Centipede Grass",
ISNUMBER(SEARCH("dense shade",E357)),"Dense Shade Mix",
ISNUMBER(SEARCH("southern gold",E357)),"Southern Gold Mix",
ISNUMBER(SEARCH("heat-tolerant blue",E357)),"Heat-Tolerant Blue Mix",
ISNUMBER(SEARCH("high traffic",E357)),"High Traffic Mix",
ISNUMBER(SEARCH("quick fix",E357)),"Quick Fix Mix",
ISNUMBER(SEARCH("starter",E357)),"Starter Fertilizer",
ISNUMBER(SEARCH("weed &amp; feed",E357)),"Weed &amp; Feed",
ISNUMBER(SEARCH("lawn food",E357)),"Lawn Food",
ISNUMBER(SEARCH("triple action",E357)),"Triple Action Fertilizer",
ISNUMBER(SEARCH("green max",E357)),"Green Max Lawn Food",
ISNUMBER(SEARCH("patchmaster",E357)),"PatchMaster Repair",
ISNUMBER(SEARCH("ez seed",E357)),"EZ Seed Repair",
ISNUMBER(SEARCH("rapid grass",E357)),"Rapid Grass",
ISNUMBER(SEARCH("thick'r lawn",E357)),"Thick'R Lawn",
ISNUMBER(SEARCH("fungicide",E357)),"Fungicide",
ISNUMBER(SEARCH("moss",E357)),"Moss Control",
ISNUMBER(SEARCH("perlite",E357)),"Perlite",
ISNUMBER(SEARCH("plant food",E357)),"Plant Food",
ISNUMBER(SEARCH("spreader",E357)),"Spreader",
ISNUMBER(SEARCH("sprayer",E357)),"Sprayer",
ISNUMBER(SEARCH("mower",E357)),"Lawn Mower",
ISNUMBER(SEARCH("sweeper",E357)),"Lawn Sweeper",
OR(ISNUMBER(SEARCH("pruner",E357)),ISNUMBER(SEARCH("trimmer",E357)),ISNUMBER(SEARCH("pole saw",E357))),"Pruning Tools",
TRUE,"Other"
)</f>
        <v>Live Catch Traps</v>
      </c>
      <c r="J357" s="7" t="str">
        <f t="shared" si="86"/>
        <v>Rodent Control - Live Catch Traps</v>
      </c>
      <c r="K357" s="4">
        <v>50</v>
      </c>
      <c r="L357" s="4">
        <v>3.6</v>
      </c>
      <c r="M357" s="4">
        <v>57</v>
      </c>
      <c r="N357" s="4" t="s">
        <v>493</v>
      </c>
      <c r="O357" s="4">
        <f>VLOOKUP(A357,[4]Sheet1!$A:$B,2,0)</f>
        <v>0</v>
      </c>
      <c r="P357" s="4">
        <f>VLOOKUP(A357,[4]Sheet1!$A:$C,3,0)</f>
        <v>0</v>
      </c>
      <c r="Q357" s="4">
        <f>VLOOKUP(A357,[4]Sheet1!$A:$D,4,0)</f>
        <v>50</v>
      </c>
      <c r="R357" s="4">
        <f>VLOOKUP(A357,[4]Sheet1!$A:$E,5,0)</f>
        <v>50</v>
      </c>
      <c r="S357" s="4">
        <f>VLOOKUP(A357,[4]Sheet1!$A:$F,6,0)</f>
        <v>0</v>
      </c>
      <c r="T357" s="4">
        <f>VLOOKUP(A357,[4]Sheet1!$A:$G,7,0)</f>
        <v>50</v>
      </c>
      <c r="U357" s="4">
        <f>VLOOKUP(A357,[4]Sheet1!$A:$H,8,0)</f>
        <v>0</v>
      </c>
      <c r="V357" s="4">
        <f>VLOOKUP(A357,[4]Sheet1!$A:$I,9,0)</f>
        <v>50</v>
      </c>
      <c r="W357" s="4">
        <f>VLOOKUP(A357,[4]Sheet1!$A:$J,10,0)</f>
        <v>50</v>
      </c>
      <c r="X357" s="4">
        <f>VLOOKUP(A357,[4]Sheet1!$A:$K,11,0)</f>
        <v>0</v>
      </c>
      <c r="Y357" s="4">
        <f>VLOOKUP(A357,[4]Sheet1!$A:$L,12,0)</f>
        <v>0</v>
      </c>
      <c r="Z357" s="4">
        <f>VLOOKUP(A357,[4]Sheet1!$A:$M,13,0)</f>
        <v>0</v>
      </c>
      <c r="AA357" s="4">
        <f t="shared" si="96"/>
        <v>250</v>
      </c>
      <c r="AB357" s="7">
        <f t="shared" si="87"/>
        <v>21</v>
      </c>
      <c r="AC357" s="15">
        <f t="shared" si="97"/>
        <v>20.833333333333332</v>
      </c>
      <c r="AD357" s="16">
        <f t="shared" si="98"/>
        <v>1365</v>
      </c>
      <c r="AE357" s="16">
        <f t="shared" si="99"/>
        <v>113.74999999999999</v>
      </c>
      <c r="AF357" s="16">
        <v>3.01</v>
      </c>
      <c r="AG357" s="16">
        <v>5.46</v>
      </c>
      <c r="AH357" s="15">
        <f t="shared" si="100"/>
        <v>-0.12173333333333335</v>
      </c>
      <c r="AI357" s="15">
        <f t="shared" si="101"/>
        <v>-0.42606666666666665</v>
      </c>
      <c r="AJ357" s="10">
        <v>0.5</v>
      </c>
      <c r="AK357" s="10">
        <v>0.5</v>
      </c>
      <c r="AL357" s="16">
        <v>3.01</v>
      </c>
      <c r="AM357" s="9">
        <f t="shared" si="88"/>
        <v>0.81899999999999995</v>
      </c>
      <c r="AN357" s="9">
        <f t="shared" si="89"/>
        <v>0.1638</v>
      </c>
      <c r="AO357" s="9">
        <f t="shared" si="90"/>
        <v>1.0920000000000001</v>
      </c>
      <c r="AP357" s="9">
        <f t="shared" si="91"/>
        <v>0.10920000000000001</v>
      </c>
      <c r="AQ357" s="9">
        <f t="shared" si="92"/>
        <v>1.0920000000000001</v>
      </c>
      <c r="AR357" s="9">
        <f t="shared" si="93"/>
        <v>1.365</v>
      </c>
      <c r="AS357" s="11">
        <f t="shared" si="94"/>
        <v>-1.2173333333333334</v>
      </c>
      <c r="AT357" s="12">
        <f t="shared" si="95"/>
        <v>-1.3993333333333335</v>
      </c>
    </row>
    <row r="358" spans="1:46" ht="16.5" x14ac:dyDescent="0.4">
      <c r="A358" s="4" t="s">
        <v>1635</v>
      </c>
      <c r="B358" s="4" t="s">
        <v>1314</v>
      </c>
      <c r="C358" s="7">
        <v>0</v>
      </c>
      <c r="D358" s="4" t="s">
        <v>1636</v>
      </c>
      <c r="E358" s="4" t="s">
        <v>1637</v>
      </c>
      <c r="F358" s="4" t="s">
        <v>1638</v>
      </c>
      <c r="G358" s="7" t="str">
        <f>VLOOKUP(A358,[1]done!$A:$I,9,0)</f>
        <v>Rodent</v>
      </c>
      <c r="H358" s="7" t="str" cm="1">
        <f t="array" ref="H358">_xlfn.IFS(
OR(ISNUMBER(SEARCH("mouse",E358)),ISNUMBER(SEARCH("rat",E358)),ISNUMBER(SEARCH("mice",E358)),ISNUMBER(SEARCH("rodent",E358))),"Rodent Control",
OR(ISNUMBER(SEARCH("fly",E358)),ISNUMBER(SEARCH("gnat",E358)),ISNUMBER(SEARCH("insect",E358)),ISNUMBER(SEARCH("mosquito",E358))),"Flying Insect Control",
OR(ISNUMBER(SEARCH("roach",E358)),ISNUMBER(SEARCH("ant",E358)),ISNUMBER(SEARCH("spider",E358)),ISNUMBER(SEARCH("cricket",E358)),ISNUMBER(SEARCH("scorpion",E358)),ISNUMBER(SEARCH("centipede",E358)),ISNUMBER(SEARCH("beetle",E358))),"Crawling Insect Control",
OR(ISNUMBER(SEARCH("tree",E358)),ISNUMBER(SEARCH("lantern",E358)),ISNUMBER(SEARCH("garden",E358)),ISNUMBER(SEARCH("plant",E358))),"Garden Pest Control",
OR(ISNUMBER(SEARCH("grass seed",E358)),ISNUMBER(SEARCH("seed mix",E358))),"Grass Seed",
OR(ISNUMBER(SEARCH("lawn food",E358)),ISNUMBER(SEARCH("fertilizer",E358))),"Lawn Fertilizer",
OR(ISNUMBER(SEARCH("patch",E358)),ISNUMBER(SEARCH("repair",E358)),ISNUMBER(SEARCH("thick'r",E358)),ISNUMBER(SEARCH("thick'r lawn",E358)),ISNUMBER(SEARCH("rapid grass",E358))),"Lawn Repair",
OR(ISNUMBER(SEARCH("weed",E358)),ISNUMBER(SEARCH("crabgrass",E358))),"Weed Control",
OR(ISNUMBER(SEARCH("fungicide",E358)),ISNUMBER(SEARCH("moss",E358))),"Disease &amp; Moss Control",
OR(ISNUMBER(SEARCH("plant food",E358)),ISNUMBER(SEARCH("miracid",E358))),"Plant Nutrition",
OR(ISNUMBER(SEARCH("perlite",E358))),"Soil Amendment",
OR(ISNUMBER(SEARCH("spreader",E358)),ISNUMBER(SEARCH("sprayer",E358)),ISNUMBER(SEARCH("mower",E358)),ISNUMBER(SEARCH("sweeper",E358)),ISNUMBER(SEARCH("pruner",E358)),ISNUMBER(SEARCH("trimmer",E358)),ISNUMBER(SEARCH("pole saw",E358))),"Garden Equipment",
TRUE,"Other"
)</f>
        <v>Rodent Control</v>
      </c>
      <c r="I358" s="7" t="str" cm="1">
        <f t="array" ref="I358">_xlfn.IFS(
OR(ISNUMBER(SEARCH("glue trap",E358)),ISNUMBER(SEARCH("glue board",E358))),"Glue Traps",
OR(ISNUMBER(SEARCH("snap trap",E358)),ISNUMBER(SEARCH("power-kill",E358)),ISNUMBER(SEARCH("wide pedal",E358)),ISNUMBER(SEARCH("metal pedal",E358))),"Snap Traps",
OR(ISNUMBER(SEARCH("electronic",E358)),ISNUMBER(SEARCH("zapper",E358))),"Electronic Traps",
OR(ISNUMBER(SEARCH("live catch",E358)),ISNUMBER(SEARCH("multi-catch",E358)),ISNUMBER(SEARCH("catch &amp; hold",E358)),ISNUMBER(SEARCH("tin cat",E358))),"Live Catch Traps",
OR(ISNUMBER(SEARCH("bait",E358)),ISNUMBER(SEARCH("poison",E358))),"Bait &amp; Poison",
ISNUMBER(SEARCH("repellent",E358)),"Repellents",
OR(ISNUMBER(SEARCH("fly trap",E358)),ISNUMBER(SEARCH("fly ribbon",E358)),ISNUMBER(SEARCH("fly stick",E358)),ISNUMBER(SEARCH("window fly",E358)),ISNUMBER(SEARCH("fly magnet",E358))),"Fly Traps",
OR(ISNUMBER(SEARCH("uv",E358)),ISNUMBER(SEARCH("fly light",E358)),ISNUMBER(SEARCH("plug-in",E358))),"UV Fly Traps",
ISNUMBER(SEARCH("roach",E358)),"Roach Traps",
ISNUMBER(SEARCH("ant",E358)),"Ant Traps",
ISNUMBER(SEARCH("spider",E358)),"Spider Traps",
ISNUMBER(SEARCH("mosquito",E358)),"Mosquito Traps",
ISNUMBER(SEARCH("beetle",E358)),"Beetle Traps",
ISNUMBER(SEARCH("lantern",E358)),"Lanternfly Control",
OR(ISNUMBER(SEARCH("tree shield",E358)),ISNUMBER(SEARCH("tree banding",E358)),ISNUMBER(SEARCH("insect barrier",E358))),"Tree Barriers",
OR(ISNUMBER(SEARCH("sun &amp; shade",E358)),ISNUMBER(SEARCH("sun and shade",E358))),"Sun &amp; Shade Mix",
ISNUMBER(SEARCH("tall fescue",E358)),"Tall Fescue",
ISNUMBER(SEARCH("bermudagrass",E358)),"Bermudagrass",
ISNUMBER(SEARCH("kentucky",E358)),"Kentucky Bluegrass",
ISNUMBER(SEARCH("zoysia",E358)),"Zoysia",
ISNUMBER(SEARCH("ryegrass",E358)),"Perennial Ryegrass",
ISNUMBER(SEARCH("centipede",E358)),"Centipede Grass",
ISNUMBER(SEARCH("dense shade",E358)),"Dense Shade Mix",
ISNUMBER(SEARCH("southern gold",E358)),"Southern Gold Mix",
ISNUMBER(SEARCH("heat-tolerant blue",E358)),"Heat-Tolerant Blue Mix",
ISNUMBER(SEARCH("high traffic",E358)),"High Traffic Mix",
ISNUMBER(SEARCH("quick fix",E358)),"Quick Fix Mix",
ISNUMBER(SEARCH("starter",E358)),"Starter Fertilizer",
ISNUMBER(SEARCH("weed &amp; feed",E358)),"Weed &amp; Feed",
ISNUMBER(SEARCH("lawn food",E358)),"Lawn Food",
ISNUMBER(SEARCH("triple action",E358)),"Triple Action Fertilizer",
ISNUMBER(SEARCH("green max",E358)),"Green Max Lawn Food",
ISNUMBER(SEARCH("patchmaster",E358)),"PatchMaster Repair",
ISNUMBER(SEARCH("ez seed",E358)),"EZ Seed Repair",
ISNUMBER(SEARCH("rapid grass",E358)),"Rapid Grass",
ISNUMBER(SEARCH("thick'r lawn",E358)),"Thick'R Lawn",
ISNUMBER(SEARCH("fungicide",E358)),"Fungicide",
ISNUMBER(SEARCH("moss",E358)),"Moss Control",
ISNUMBER(SEARCH("perlite",E358)),"Perlite",
ISNUMBER(SEARCH("plant food",E358)),"Plant Food",
ISNUMBER(SEARCH("spreader",E358)),"Spreader",
ISNUMBER(SEARCH("sprayer",E358)),"Sprayer",
ISNUMBER(SEARCH("mower",E358)),"Lawn Mower",
ISNUMBER(SEARCH("sweeper",E358)),"Lawn Sweeper",
OR(ISNUMBER(SEARCH("pruner",E358)),ISNUMBER(SEARCH("trimmer",E358)),ISNUMBER(SEARCH("pole saw",E358))),"Pruning Tools",
TRUE,"Other"
)</f>
        <v>Other</v>
      </c>
      <c r="J358" s="7" t="str">
        <f t="shared" si="86"/>
        <v>Rodent Control - Other</v>
      </c>
      <c r="K358" s="4">
        <v>50</v>
      </c>
      <c r="L358" s="4">
        <v>3.8</v>
      </c>
      <c r="M358" s="4">
        <v>40</v>
      </c>
      <c r="O358" s="4">
        <f>VLOOKUP(A358,[4]Sheet1!$A:$B,2,0)</f>
        <v>0</v>
      </c>
      <c r="P358" s="4">
        <f>VLOOKUP(A358,[4]Sheet1!$A:$C,3,0)</f>
        <v>0</v>
      </c>
      <c r="Q358" s="4">
        <f>VLOOKUP(A358,[4]Sheet1!$A:$D,4,0)</f>
        <v>0</v>
      </c>
      <c r="R358" s="4">
        <f>VLOOKUP(A358,[4]Sheet1!$A:$E,5,0)</f>
        <v>0</v>
      </c>
      <c r="S358" s="4">
        <f>VLOOKUP(A358,[4]Sheet1!$A:$F,6,0)</f>
        <v>0</v>
      </c>
      <c r="T358" s="4">
        <f>VLOOKUP(A358,[4]Sheet1!$A:$G,7,0)</f>
        <v>0</v>
      </c>
      <c r="U358" s="4">
        <f>VLOOKUP(A358,[4]Sheet1!$A:$H,8,0)</f>
        <v>50</v>
      </c>
      <c r="V358" s="4">
        <f>VLOOKUP(A358,[4]Sheet1!$A:$I,9,0)</f>
        <v>50</v>
      </c>
      <c r="W358" s="4">
        <f>VLOOKUP(A358,[4]Sheet1!$A:$J,10,0)</f>
        <v>50</v>
      </c>
      <c r="X358" s="4">
        <f>VLOOKUP(A358,[4]Sheet1!$A:$K,11,0)</f>
        <v>0</v>
      </c>
      <c r="Y358" s="4">
        <f>VLOOKUP(A358,[4]Sheet1!$A:$L,12,0)</f>
        <v>0</v>
      </c>
      <c r="Z358" s="4">
        <f>VLOOKUP(A358,[4]Sheet1!$A:$M,13,0)</f>
        <v>0</v>
      </c>
      <c r="AA358" s="4">
        <f t="shared" si="96"/>
        <v>150</v>
      </c>
      <c r="AB358" s="7">
        <f t="shared" si="87"/>
        <v>13</v>
      </c>
      <c r="AC358" s="15">
        <f t="shared" si="97"/>
        <v>12.5</v>
      </c>
      <c r="AD358" s="16">
        <f t="shared" si="98"/>
        <v>1684.5</v>
      </c>
      <c r="AE358" s="16">
        <f t="shared" si="99"/>
        <v>140.375</v>
      </c>
      <c r="AF358" s="16">
        <v>4.09</v>
      </c>
      <c r="AG358" s="16">
        <v>11.23</v>
      </c>
      <c r="AH358" s="15">
        <f t="shared" si="100"/>
        <v>-3.9866666666666634E-2</v>
      </c>
      <c r="AI358" s="15">
        <f t="shared" si="101"/>
        <v>-0.13953333333333318</v>
      </c>
      <c r="AJ358" s="10">
        <v>0.5</v>
      </c>
      <c r="AK358" s="10">
        <v>0.5</v>
      </c>
      <c r="AL358" s="16">
        <v>4.09</v>
      </c>
      <c r="AM358" s="9">
        <f t="shared" si="88"/>
        <v>1.6845000000000001</v>
      </c>
      <c r="AN358" s="9">
        <f t="shared" si="89"/>
        <v>0.33689999999999998</v>
      </c>
      <c r="AO358" s="9">
        <f t="shared" si="90"/>
        <v>2.246</v>
      </c>
      <c r="AP358" s="9">
        <f t="shared" si="91"/>
        <v>0.22460000000000002</v>
      </c>
      <c r="AQ358" s="9">
        <f t="shared" si="92"/>
        <v>2.246</v>
      </c>
      <c r="AR358" s="9">
        <f t="shared" si="93"/>
        <v>2.8075000000000001</v>
      </c>
      <c r="AS358" s="11">
        <f t="shared" si="94"/>
        <v>-0.39866666666666628</v>
      </c>
      <c r="AT358" s="12">
        <f t="shared" si="95"/>
        <v>-0.77299999999999969</v>
      </c>
    </row>
    <row r="359" spans="1:46" ht="16.5" x14ac:dyDescent="0.4">
      <c r="A359" s="4" t="s">
        <v>1639</v>
      </c>
      <c r="B359" s="4" t="s">
        <v>1314</v>
      </c>
      <c r="C359" s="7">
        <v>0</v>
      </c>
      <c r="D359" s="4" t="s">
        <v>1640</v>
      </c>
      <c r="E359" s="4" t="s">
        <v>1641</v>
      </c>
      <c r="F359" s="4" t="s">
        <v>1642</v>
      </c>
      <c r="G359" s="7" t="str">
        <f>VLOOKUP(A359,[1]done!$A:$I,9,0)</f>
        <v>Rodent</v>
      </c>
      <c r="H359" s="7" t="str" cm="1">
        <f t="array" ref="H359">_xlfn.IFS(
OR(ISNUMBER(SEARCH("mouse",E359)),ISNUMBER(SEARCH("rat",E359)),ISNUMBER(SEARCH("mice",E359)),ISNUMBER(SEARCH("rodent",E359))),"Rodent Control",
OR(ISNUMBER(SEARCH("fly",E359)),ISNUMBER(SEARCH("gnat",E359)),ISNUMBER(SEARCH("insect",E359)),ISNUMBER(SEARCH("mosquito",E359))),"Flying Insect Control",
OR(ISNUMBER(SEARCH("roach",E359)),ISNUMBER(SEARCH("ant",E359)),ISNUMBER(SEARCH("spider",E359)),ISNUMBER(SEARCH("cricket",E359)),ISNUMBER(SEARCH("scorpion",E359)),ISNUMBER(SEARCH("centipede",E359)),ISNUMBER(SEARCH("beetle",E359))),"Crawling Insect Control",
OR(ISNUMBER(SEARCH("tree",E359)),ISNUMBER(SEARCH("lantern",E359)),ISNUMBER(SEARCH("garden",E359)),ISNUMBER(SEARCH("plant",E359))),"Garden Pest Control",
OR(ISNUMBER(SEARCH("grass seed",E359)),ISNUMBER(SEARCH("seed mix",E359))),"Grass Seed",
OR(ISNUMBER(SEARCH("lawn food",E359)),ISNUMBER(SEARCH("fertilizer",E359))),"Lawn Fertilizer",
OR(ISNUMBER(SEARCH("patch",E359)),ISNUMBER(SEARCH("repair",E359)),ISNUMBER(SEARCH("thick'r",E359)),ISNUMBER(SEARCH("thick'r lawn",E359)),ISNUMBER(SEARCH("rapid grass",E359))),"Lawn Repair",
OR(ISNUMBER(SEARCH("weed",E359)),ISNUMBER(SEARCH("crabgrass",E359))),"Weed Control",
OR(ISNUMBER(SEARCH("fungicide",E359)),ISNUMBER(SEARCH("moss",E359))),"Disease &amp; Moss Control",
OR(ISNUMBER(SEARCH("plant food",E359)),ISNUMBER(SEARCH("miracid",E359))),"Plant Nutrition",
OR(ISNUMBER(SEARCH("perlite",E359))),"Soil Amendment",
OR(ISNUMBER(SEARCH("spreader",E359)),ISNUMBER(SEARCH("sprayer",E359)),ISNUMBER(SEARCH("mower",E359)),ISNUMBER(SEARCH("sweeper",E359)),ISNUMBER(SEARCH("pruner",E359)),ISNUMBER(SEARCH("trimmer",E359)),ISNUMBER(SEARCH("pole saw",E359))),"Garden Equipment",
TRUE,"Other"
)</f>
        <v>Other</v>
      </c>
      <c r="I359" s="7" t="str" cm="1">
        <f t="array" ref="I359">_xlfn.IFS(
OR(ISNUMBER(SEARCH("glue trap",E359)),ISNUMBER(SEARCH("glue board",E359))),"Glue Traps",
OR(ISNUMBER(SEARCH("snap trap",E359)),ISNUMBER(SEARCH("power-kill",E359)),ISNUMBER(SEARCH("wide pedal",E359)),ISNUMBER(SEARCH("metal pedal",E359))),"Snap Traps",
OR(ISNUMBER(SEARCH("electronic",E359)),ISNUMBER(SEARCH("zapper",E359))),"Electronic Traps",
OR(ISNUMBER(SEARCH("live catch",E359)),ISNUMBER(SEARCH("multi-catch",E359)),ISNUMBER(SEARCH("catch &amp; hold",E359)),ISNUMBER(SEARCH("tin cat",E359))),"Live Catch Traps",
OR(ISNUMBER(SEARCH("bait",E359)),ISNUMBER(SEARCH("poison",E359))),"Bait &amp; Poison",
ISNUMBER(SEARCH("repellent",E359)),"Repellents",
OR(ISNUMBER(SEARCH("fly trap",E359)),ISNUMBER(SEARCH("fly ribbon",E359)),ISNUMBER(SEARCH("fly stick",E359)),ISNUMBER(SEARCH("window fly",E359)),ISNUMBER(SEARCH("fly magnet",E359))),"Fly Traps",
OR(ISNUMBER(SEARCH("uv",E359)),ISNUMBER(SEARCH("fly light",E359)),ISNUMBER(SEARCH("plug-in",E359))),"UV Fly Traps",
ISNUMBER(SEARCH("roach",E359)),"Roach Traps",
ISNUMBER(SEARCH("ant",E359)),"Ant Traps",
ISNUMBER(SEARCH("spider",E359)),"Spider Traps",
ISNUMBER(SEARCH("mosquito",E359)),"Mosquito Traps",
ISNUMBER(SEARCH("beetle",E359)),"Beetle Traps",
ISNUMBER(SEARCH("lantern",E359)),"Lanternfly Control",
OR(ISNUMBER(SEARCH("tree shield",E359)),ISNUMBER(SEARCH("tree banding",E359)),ISNUMBER(SEARCH("insect barrier",E359))),"Tree Barriers",
OR(ISNUMBER(SEARCH("sun &amp; shade",E359)),ISNUMBER(SEARCH("sun and shade",E359))),"Sun &amp; Shade Mix",
ISNUMBER(SEARCH("tall fescue",E359)),"Tall Fescue",
ISNUMBER(SEARCH("bermudagrass",E359)),"Bermudagrass",
ISNUMBER(SEARCH("kentucky",E359)),"Kentucky Bluegrass",
ISNUMBER(SEARCH("zoysia",E359)),"Zoysia",
ISNUMBER(SEARCH("ryegrass",E359)),"Perennial Ryegrass",
ISNUMBER(SEARCH("centipede",E359)),"Centipede Grass",
ISNUMBER(SEARCH("dense shade",E359)),"Dense Shade Mix",
ISNUMBER(SEARCH("southern gold",E359)),"Southern Gold Mix",
ISNUMBER(SEARCH("heat-tolerant blue",E359)),"Heat-Tolerant Blue Mix",
ISNUMBER(SEARCH("high traffic",E359)),"High Traffic Mix",
ISNUMBER(SEARCH("quick fix",E359)),"Quick Fix Mix",
ISNUMBER(SEARCH("starter",E359)),"Starter Fertilizer",
ISNUMBER(SEARCH("weed &amp; feed",E359)),"Weed &amp; Feed",
ISNUMBER(SEARCH("lawn food",E359)),"Lawn Food",
ISNUMBER(SEARCH("triple action",E359)),"Triple Action Fertilizer",
ISNUMBER(SEARCH("green max",E359)),"Green Max Lawn Food",
ISNUMBER(SEARCH("patchmaster",E359)),"PatchMaster Repair",
ISNUMBER(SEARCH("ez seed",E359)),"EZ Seed Repair",
ISNUMBER(SEARCH("rapid grass",E359)),"Rapid Grass",
ISNUMBER(SEARCH("thick'r lawn",E359)),"Thick'R Lawn",
ISNUMBER(SEARCH("fungicide",E359)),"Fungicide",
ISNUMBER(SEARCH("moss",E359)),"Moss Control",
ISNUMBER(SEARCH("perlite",E359)),"Perlite",
ISNUMBER(SEARCH("plant food",E359)),"Plant Food",
ISNUMBER(SEARCH("spreader",E359)),"Spreader",
ISNUMBER(SEARCH("sprayer",E359)),"Sprayer",
ISNUMBER(SEARCH("mower",E359)),"Lawn Mower",
ISNUMBER(SEARCH("sweeper",E359)),"Lawn Sweeper",
OR(ISNUMBER(SEARCH("pruner",E359)),ISNUMBER(SEARCH("trimmer",E359)),ISNUMBER(SEARCH("pole saw",E359))),"Pruning Tools",
TRUE,"Other"
)</f>
        <v>Bait &amp; Poison</v>
      </c>
      <c r="J359" s="7" t="str">
        <f t="shared" si="86"/>
        <v>Other - Bait &amp; Poison</v>
      </c>
      <c r="K359" s="4">
        <v>50</v>
      </c>
      <c r="L359" s="4">
        <v>4.2</v>
      </c>
      <c r="M359" s="4">
        <v>13</v>
      </c>
      <c r="O359" s="4">
        <f>VLOOKUP(A359,[4]Sheet1!$A:$B,2,0)</f>
        <v>0</v>
      </c>
      <c r="P359" s="4">
        <f>VLOOKUP(A359,[4]Sheet1!$A:$C,3,0)</f>
        <v>0</v>
      </c>
      <c r="Q359" s="4">
        <f>VLOOKUP(A359,[4]Sheet1!$A:$D,4,0)</f>
        <v>0</v>
      </c>
      <c r="R359" s="4">
        <f>VLOOKUP(A359,[4]Sheet1!$A:$E,5,0)</f>
        <v>50</v>
      </c>
      <c r="S359" s="4">
        <f>VLOOKUP(A359,[4]Sheet1!$A:$F,6,0)</f>
        <v>100</v>
      </c>
      <c r="T359" s="4">
        <f>VLOOKUP(A359,[4]Sheet1!$A:$G,7,0)</f>
        <v>100</v>
      </c>
      <c r="U359" s="4">
        <f>VLOOKUP(A359,[4]Sheet1!$A:$H,8,0)</f>
        <v>100</v>
      </c>
      <c r="V359" s="4">
        <f>VLOOKUP(A359,[4]Sheet1!$A:$I,9,0)</f>
        <v>50</v>
      </c>
      <c r="W359" s="4">
        <f>VLOOKUP(A359,[4]Sheet1!$A:$J,10,0)</f>
        <v>50</v>
      </c>
      <c r="X359" s="4">
        <f>VLOOKUP(A359,[4]Sheet1!$A:$K,11,0)</f>
        <v>0</v>
      </c>
      <c r="Y359" s="4">
        <f>VLOOKUP(A359,[4]Sheet1!$A:$L,12,0)</f>
        <v>0</v>
      </c>
      <c r="Z359" s="4">
        <f>VLOOKUP(A359,[4]Sheet1!$A:$M,13,0)</f>
        <v>0</v>
      </c>
      <c r="AA359" s="4">
        <f t="shared" si="96"/>
        <v>450</v>
      </c>
      <c r="AB359" s="7">
        <f t="shared" si="87"/>
        <v>38</v>
      </c>
      <c r="AC359" s="15">
        <f t="shared" si="97"/>
        <v>37.5</v>
      </c>
      <c r="AD359" s="16">
        <f t="shared" si="98"/>
        <v>16969.5</v>
      </c>
      <c r="AE359" s="16">
        <f t="shared" si="99"/>
        <v>1414.125</v>
      </c>
      <c r="AF359" s="16">
        <v>6.31</v>
      </c>
      <c r="AG359" s="16">
        <v>37.71</v>
      </c>
      <c r="AH359" s="15">
        <f t="shared" si="100"/>
        <v>0.51826666666666676</v>
      </c>
      <c r="AI359" s="15">
        <f t="shared" si="101"/>
        <v>1.8139333333333336</v>
      </c>
      <c r="AJ359" s="10">
        <v>0.5</v>
      </c>
      <c r="AK359" s="10">
        <v>0.5</v>
      </c>
      <c r="AL359" s="16">
        <v>6.31</v>
      </c>
      <c r="AM359" s="9">
        <f t="shared" si="88"/>
        <v>5.6565000000000003</v>
      </c>
      <c r="AN359" s="9">
        <f t="shared" si="89"/>
        <v>1.1313</v>
      </c>
      <c r="AO359" s="9">
        <f t="shared" si="90"/>
        <v>7.5420000000000007</v>
      </c>
      <c r="AP359" s="9">
        <f t="shared" si="91"/>
        <v>0.75419999999999998</v>
      </c>
      <c r="AQ359" s="9">
        <f t="shared" si="92"/>
        <v>7.5420000000000007</v>
      </c>
      <c r="AR359" s="9">
        <f t="shared" si="93"/>
        <v>9.4275000000000002</v>
      </c>
      <c r="AS359" s="11">
        <f t="shared" si="94"/>
        <v>5.1826666666666679</v>
      </c>
      <c r="AT359" s="12">
        <f t="shared" si="95"/>
        <v>3.9256666666666682</v>
      </c>
    </row>
    <row r="360" spans="1:46" ht="16.5" x14ac:dyDescent="0.4">
      <c r="A360" s="4" t="s">
        <v>1643</v>
      </c>
      <c r="B360" s="4" t="s">
        <v>1314</v>
      </c>
      <c r="C360" s="7">
        <v>0</v>
      </c>
      <c r="D360" s="4" t="s">
        <v>1644</v>
      </c>
      <c r="E360" s="4" t="s">
        <v>1645</v>
      </c>
      <c r="F360" s="4" t="s">
        <v>1646</v>
      </c>
      <c r="G360" s="7" t="str">
        <f>VLOOKUP(A360,[1]done!$A:$I,9,0)</f>
        <v>Rodent</v>
      </c>
      <c r="H360" s="7" t="str" cm="1">
        <f t="array" ref="H360">_xlfn.IFS(
OR(ISNUMBER(SEARCH("mouse",E360)),ISNUMBER(SEARCH("rat",E360)),ISNUMBER(SEARCH("mice",E360)),ISNUMBER(SEARCH("rodent",E360))),"Rodent Control",
OR(ISNUMBER(SEARCH("fly",E360)),ISNUMBER(SEARCH("gnat",E360)),ISNUMBER(SEARCH("insect",E360)),ISNUMBER(SEARCH("mosquito",E360))),"Flying Insect Control",
OR(ISNUMBER(SEARCH("roach",E360)),ISNUMBER(SEARCH("ant",E360)),ISNUMBER(SEARCH("spider",E360)),ISNUMBER(SEARCH("cricket",E360)),ISNUMBER(SEARCH("scorpion",E360)),ISNUMBER(SEARCH("centipede",E360)),ISNUMBER(SEARCH("beetle",E360))),"Crawling Insect Control",
OR(ISNUMBER(SEARCH("tree",E360)),ISNUMBER(SEARCH("lantern",E360)),ISNUMBER(SEARCH("garden",E360)),ISNUMBER(SEARCH("plant",E360))),"Garden Pest Control",
OR(ISNUMBER(SEARCH("grass seed",E360)),ISNUMBER(SEARCH("seed mix",E360))),"Grass Seed",
OR(ISNUMBER(SEARCH("lawn food",E360)),ISNUMBER(SEARCH("fertilizer",E360))),"Lawn Fertilizer",
OR(ISNUMBER(SEARCH("patch",E360)),ISNUMBER(SEARCH("repair",E360)),ISNUMBER(SEARCH("thick'r",E360)),ISNUMBER(SEARCH("thick'r lawn",E360)),ISNUMBER(SEARCH("rapid grass",E360))),"Lawn Repair",
OR(ISNUMBER(SEARCH("weed",E360)),ISNUMBER(SEARCH("crabgrass",E360))),"Weed Control",
OR(ISNUMBER(SEARCH("fungicide",E360)),ISNUMBER(SEARCH("moss",E360))),"Disease &amp; Moss Control",
OR(ISNUMBER(SEARCH("plant food",E360)),ISNUMBER(SEARCH("miracid",E360))),"Plant Nutrition",
OR(ISNUMBER(SEARCH("perlite",E360))),"Soil Amendment",
OR(ISNUMBER(SEARCH("spreader",E360)),ISNUMBER(SEARCH("sprayer",E360)),ISNUMBER(SEARCH("mower",E360)),ISNUMBER(SEARCH("sweeper",E360)),ISNUMBER(SEARCH("pruner",E360)),ISNUMBER(SEARCH("trimmer",E360)),ISNUMBER(SEARCH("pole saw",E360))),"Garden Equipment",
TRUE,"Other"
)</f>
        <v>Other</v>
      </c>
      <c r="I360" s="7" t="str" cm="1">
        <f t="array" ref="I360">_xlfn.IFS(
OR(ISNUMBER(SEARCH("glue trap",E360)),ISNUMBER(SEARCH("glue board",E360))),"Glue Traps",
OR(ISNUMBER(SEARCH("snap trap",E360)),ISNUMBER(SEARCH("power-kill",E360)),ISNUMBER(SEARCH("wide pedal",E360)),ISNUMBER(SEARCH("metal pedal",E360))),"Snap Traps",
OR(ISNUMBER(SEARCH("electronic",E360)),ISNUMBER(SEARCH("zapper",E360))),"Electronic Traps",
OR(ISNUMBER(SEARCH("live catch",E360)),ISNUMBER(SEARCH("multi-catch",E360)),ISNUMBER(SEARCH("catch &amp; hold",E360)),ISNUMBER(SEARCH("tin cat",E360))),"Live Catch Traps",
OR(ISNUMBER(SEARCH("bait",E360)),ISNUMBER(SEARCH("poison",E360))),"Bait &amp; Poison",
ISNUMBER(SEARCH("repellent",E360)),"Repellents",
OR(ISNUMBER(SEARCH("fly trap",E360)),ISNUMBER(SEARCH("fly ribbon",E360)),ISNUMBER(SEARCH("fly stick",E360)),ISNUMBER(SEARCH("window fly",E360)),ISNUMBER(SEARCH("fly magnet",E360))),"Fly Traps",
OR(ISNUMBER(SEARCH("uv",E360)),ISNUMBER(SEARCH("fly light",E360)),ISNUMBER(SEARCH("plug-in",E360))),"UV Fly Traps",
ISNUMBER(SEARCH("roach",E360)),"Roach Traps",
ISNUMBER(SEARCH("ant",E360)),"Ant Traps",
ISNUMBER(SEARCH("spider",E360)),"Spider Traps",
ISNUMBER(SEARCH("mosquito",E360)),"Mosquito Traps",
ISNUMBER(SEARCH("beetle",E360)),"Beetle Traps",
ISNUMBER(SEARCH("lantern",E360)),"Lanternfly Control",
OR(ISNUMBER(SEARCH("tree shield",E360)),ISNUMBER(SEARCH("tree banding",E360)),ISNUMBER(SEARCH("insect barrier",E360))),"Tree Barriers",
OR(ISNUMBER(SEARCH("sun &amp; shade",E360)),ISNUMBER(SEARCH("sun and shade",E360))),"Sun &amp; Shade Mix",
ISNUMBER(SEARCH("tall fescue",E360)),"Tall Fescue",
ISNUMBER(SEARCH("bermudagrass",E360)),"Bermudagrass",
ISNUMBER(SEARCH("kentucky",E360)),"Kentucky Bluegrass",
ISNUMBER(SEARCH("zoysia",E360)),"Zoysia",
ISNUMBER(SEARCH("ryegrass",E360)),"Perennial Ryegrass",
ISNUMBER(SEARCH("centipede",E360)),"Centipede Grass",
ISNUMBER(SEARCH("dense shade",E360)),"Dense Shade Mix",
ISNUMBER(SEARCH("southern gold",E360)),"Southern Gold Mix",
ISNUMBER(SEARCH("heat-tolerant blue",E360)),"Heat-Tolerant Blue Mix",
ISNUMBER(SEARCH("high traffic",E360)),"High Traffic Mix",
ISNUMBER(SEARCH("quick fix",E360)),"Quick Fix Mix",
ISNUMBER(SEARCH("starter",E360)),"Starter Fertilizer",
ISNUMBER(SEARCH("weed &amp; feed",E360)),"Weed &amp; Feed",
ISNUMBER(SEARCH("lawn food",E360)),"Lawn Food",
ISNUMBER(SEARCH("triple action",E360)),"Triple Action Fertilizer",
ISNUMBER(SEARCH("green max",E360)),"Green Max Lawn Food",
ISNUMBER(SEARCH("patchmaster",E360)),"PatchMaster Repair",
ISNUMBER(SEARCH("ez seed",E360)),"EZ Seed Repair",
ISNUMBER(SEARCH("rapid grass",E360)),"Rapid Grass",
ISNUMBER(SEARCH("thick'r lawn",E360)),"Thick'R Lawn",
ISNUMBER(SEARCH("fungicide",E360)),"Fungicide",
ISNUMBER(SEARCH("moss",E360)),"Moss Control",
ISNUMBER(SEARCH("perlite",E360)),"Perlite",
ISNUMBER(SEARCH("plant food",E360)),"Plant Food",
ISNUMBER(SEARCH("spreader",E360)),"Spreader",
ISNUMBER(SEARCH("sprayer",E360)),"Sprayer",
ISNUMBER(SEARCH("mower",E360)),"Lawn Mower",
ISNUMBER(SEARCH("sweeper",E360)),"Lawn Sweeper",
OR(ISNUMBER(SEARCH("pruner",E360)),ISNUMBER(SEARCH("trimmer",E360)),ISNUMBER(SEARCH("pole saw",E360))),"Pruning Tools",
TRUE,"Other"
)</f>
        <v>Glue Traps</v>
      </c>
      <c r="J360" s="7" t="str">
        <f t="shared" si="86"/>
        <v>Other - Glue Traps</v>
      </c>
      <c r="K360" s="4">
        <v>50</v>
      </c>
      <c r="L360" s="4">
        <v>4.5999999999999996</v>
      </c>
      <c r="M360" s="4">
        <v>334</v>
      </c>
      <c r="O360" s="4">
        <f>VLOOKUP(A360,[4]Sheet1!$A:$B,2,0)</f>
        <v>0</v>
      </c>
      <c r="P360" s="4">
        <f>VLOOKUP(A360,[4]Sheet1!$A:$C,3,0)</f>
        <v>0</v>
      </c>
      <c r="Q360" s="4">
        <f>VLOOKUP(A360,[4]Sheet1!$A:$D,4,0)</f>
        <v>0</v>
      </c>
      <c r="R360" s="4">
        <f>VLOOKUP(A360,[4]Sheet1!$A:$E,5,0)</f>
        <v>0</v>
      </c>
      <c r="S360" s="4">
        <f>VLOOKUP(A360,[4]Sheet1!$A:$F,6,0)</f>
        <v>0</v>
      </c>
      <c r="T360" s="4">
        <f>VLOOKUP(A360,[4]Sheet1!$A:$G,7,0)</f>
        <v>0</v>
      </c>
      <c r="U360" s="4">
        <f>VLOOKUP(A360,[4]Sheet1!$A:$H,8,0)</f>
        <v>50</v>
      </c>
      <c r="V360" s="4">
        <f>VLOOKUP(A360,[4]Sheet1!$A:$I,9,0)</f>
        <v>0</v>
      </c>
      <c r="W360" s="4">
        <f>VLOOKUP(A360,[4]Sheet1!$A:$J,10,0)</f>
        <v>50</v>
      </c>
      <c r="X360" s="4">
        <f>VLOOKUP(A360,[4]Sheet1!$A:$K,11,0)</f>
        <v>0</v>
      </c>
      <c r="Y360" s="4">
        <f>VLOOKUP(A360,[4]Sheet1!$A:$L,12,0)</f>
        <v>0</v>
      </c>
      <c r="Z360" s="4">
        <f>VLOOKUP(A360,[4]Sheet1!$A:$M,13,0)</f>
        <v>0</v>
      </c>
      <c r="AA360" s="4">
        <f t="shared" si="96"/>
        <v>100</v>
      </c>
      <c r="AB360" s="7">
        <f t="shared" si="87"/>
        <v>8</v>
      </c>
      <c r="AC360" s="15">
        <f t="shared" si="97"/>
        <v>8.3333333333333339</v>
      </c>
      <c r="AD360" s="16">
        <f t="shared" si="98"/>
        <v>2942</v>
      </c>
      <c r="AE360" s="16">
        <f t="shared" si="99"/>
        <v>245.16666666666669</v>
      </c>
      <c r="AF360" s="16">
        <v>7.07</v>
      </c>
      <c r="AG360" s="16">
        <v>29.42</v>
      </c>
      <c r="AH360" s="15">
        <f t="shared" si="100"/>
        <v>0.24653333333333338</v>
      </c>
      <c r="AI360" s="15">
        <f t="shared" si="101"/>
        <v>0.86286666666666667</v>
      </c>
      <c r="AJ360" s="10">
        <v>0.5</v>
      </c>
      <c r="AK360" s="10">
        <v>0.5</v>
      </c>
      <c r="AL360" s="16">
        <v>7.07</v>
      </c>
      <c r="AM360" s="9">
        <f t="shared" si="88"/>
        <v>4.4130000000000003</v>
      </c>
      <c r="AN360" s="9">
        <f t="shared" si="89"/>
        <v>0.88260000000000005</v>
      </c>
      <c r="AO360" s="9">
        <f t="shared" si="90"/>
        <v>5.8840000000000003</v>
      </c>
      <c r="AP360" s="9">
        <f t="shared" si="91"/>
        <v>0.58840000000000003</v>
      </c>
      <c r="AQ360" s="9">
        <f t="shared" si="92"/>
        <v>5.8840000000000003</v>
      </c>
      <c r="AR360" s="9">
        <f t="shared" si="93"/>
        <v>7.3550000000000004</v>
      </c>
      <c r="AS360" s="11">
        <f t="shared" si="94"/>
        <v>2.4653333333333336</v>
      </c>
      <c r="AT360" s="12">
        <f t="shared" si="95"/>
        <v>1.4846666666666668</v>
      </c>
    </row>
    <row r="361" spans="1:46" ht="16.5" x14ac:dyDescent="0.4">
      <c r="A361" s="4" t="s">
        <v>1647</v>
      </c>
      <c r="B361" s="4" t="s">
        <v>1314</v>
      </c>
      <c r="C361" s="7" t="s">
        <v>1314</v>
      </c>
      <c r="D361" s="4" t="s">
        <v>1648</v>
      </c>
      <c r="E361" s="4" t="s">
        <v>1649</v>
      </c>
      <c r="F361" s="4" t="s">
        <v>1650</v>
      </c>
      <c r="G361" s="7" t="str">
        <f>VLOOKUP(A361,[1]done!$A:$I,9,0)</f>
        <v>Mosquito/Fly</v>
      </c>
      <c r="H361" s="7" t="str" cm="1">
        <f t="array" ref="H361">_xlfn.IFS(
OR(ISNUMBER(SEARCH("mouse",E361)),ISNUMBER(SEARCH("rat",E361)),ISNUMBER(SEARCH("mice",E361)),ISNUMBER(SEARCH("rodent",E361))),"Rodent Control",
OR(ISNUMBER(SEARCH("fly",E361)),ISNUMBER(SEARCH("gnat",E361)),ISNUMBER(SEARCH("insect",E361)),ISNUMBER(SEARCH("mosquito",E361))),"Flying Insect Control",
OR(ISNUMBER(SEARCH("roach",E361)),ISNUMBER(SEARCH("ant",E361)),ISNUMBER(SEARCH("spider",E361)),ISNUMBER(SEARCH("cricket",E361)),ISNUMBER(SEARCH("scorpion",E361)),ISNUMBER(SEARCH("centipede",E361)),ISNUMBER(SEARCH("beetle",E361))),"Crawling Insect Control",
OR(ISNUMBER(SEARCH("tree",E361)),ISNUMBER(SEARCH("lantern",E361)),ISNUMBER(SEARCH("garden",E361)),ISNUMBER(SEARCH("plant",E361))),"Garden Pest Control",
OR(ISNUMBER(SEARCH("grass seed",E361)),ISNUMBER(SEARCH("seed mix",E361))),"Grass Seed",
OR(ISNUMBER(SEARCH("lawn food",E361)),ISNUMBER(SEARCH("fertilizer",E361))),"Lawn Fertilizer",
OR(ISNUMBER(SEARCH("patch",E361)),ISNUMBER(SEARCH("repair",E361)),ISNUMBER(SEARCH("thick'r",E361)),ISNUMBER(SEARCH("thick'r lawn",E361)),ISNUMBER(SEARCH("rapid grass",E361))),"Lawn Repair",
OR(ISNUMBER(SEARCH("weed",E361)),ISNUMBER(SEARCH("crabgrass",E361))),"Weed Control",
OR(ISNUMBER(SEARCH("fungicide",E361)),ISNUMBER(SEARCH("moss",E361))),"Disease &amp; Moss Control",
OR(ISNUMBER(SEARCH("plant food",E361)),ISNUMBER(SEARCH("miracid",E361))),"Plant Nutrition",
OR(ISNUMBER(SEARCH("perlite",E361))),"Soil Amendment",
OR(ISNUMBER(SEARCH("spreader",E361)),ISNUMBER(SEARCH("sprayer",E361)),ISNUMBER(SEARCH("mower",E361)),ISNUMBER(SEARCH("sweeper",E361)),ISNUMBER(SEARCH("pruner",E361)),ISNUMBER(SEARCH("trimmer",E361)),ISNUMBER(SEARCH("pole saw",E361))),"Garden Equipment",
TRUE,"Other"
)</f>
        <v>Flying Insect Control</v>
      </c>
      <c r="I361" s="7" t="str" cm="1">
        <f t="array" ref="I361">_xlfn.IFS(
OR(ISNUMBER(SEARCH("glue trap",E361)),ISNUMBER(SEARCH("glue board",E361))),"Glue Traps",
OR(ISNUMBER(SEARCH("snap trap",E361)),ISNUMBER(SEARCH("power-kill",E361)),ISNUMBER(SEARCH("wide pedal",E361)),ISNUMBER(SEARCH("metal pedal",E361))),"Snap Traps",
OR(ISNUMBER(SEARCH("electronic",E361)),ISNUMBER(SEARCH("zapper",E361))),"Electronic Traps",
OR(ISNUMBER(SEARCH("live catch",E361)),ISNUMBER(SEARCH("multi-catch",E361)),ISNUMBER(SEARCH("catch &amp; hold",E361)),ISNUMBER(SEARCH("tin cat",E361))),"Live Catch Traps",
OR(ISNUMBER(SEARCH("bait",E361)),ISNUMBER(SEARCH("poison",E361))),"Bait &amp; Poison",
ISNUMBER(SEARCH("repellent",E361)),"Repellents",
OR(ISNUMBER(SEARCH("fly trap",E361)),ISNUMBER(SEARCH("fly ribbon",E361)),ISNUMBER(SEARCH("fly stick",E361)),ISNUMBER(SEARCH("window fly",E361)),ISNUMBER(SEARCH("fly magnet",E361))),"Fly Traps",
OR(ISNUMBER(SEARCH("uv",E361)),ISNUMBER(SEARCH("fly light",E361)),ISNUMBER(SEARCH("plug-in",E361))),"UV Fly Traps",
ISNUMBER(SEARCH("roach",E361)),"Roach Traps",
ISNUMBER(SEARCH("ant",E361)),"Ant Traps",
ISNUMBER(SEARCH("spider",E361)),"Spider Traps",
ISNUMBER(SEARCH("mosquito",E361)),"Mosquito Traps",
ISNUMBER(SEARCH("beetle",E361)),"Beetle Traps",
ISNUMBER(SEARCH("lantern",E361)),"Lanternfly Control",
OR(ISNUMBER(SEARCH("tree shield",E361)),ISNUMBER(SEARCH("tree banding",E361)),ISNUMBER(SEARCH("insect barrier",E361))),"Tree Barriers",
OR(ISNUMBER(SEARCH("sun &amp; shade",E361)),ISNUMBER(SEARCH("sun and shade",E361))),"Sun &amp; Shade Mix",
ISNUMBER(SEARCH("tall fescue",E361)),"Tall Fescue",
ISNUMBER(SEARCH("bermudagrass",E361)),"Bermudagrass",
ISNUMBER(SEARCH("kentucky",E361)),"Kentucky Bluegrass",
ISNUMBER(SEARCH("zoysia",E361)),"Zoysia",
ISNUMBER(SEARCH("ryegrass",E361)),"Perennial Ryegrass",
ISNUMBER(SEARCH("centipede",E361)),"Centipede Grass",
ISNUMBER(SEARCH("dense shade",E361)),"Dense Shade Mix",
ISNUMBER(SEARCH("southern gold",E361)),"Southern Gold Mix",
ISNUMBER(SEARCH("heat-tolerant blue",E361)),"Heat-Tolerant Blue Mix",
ISNUMBER(SEARCH("high traffic",E361)),"High Traffic Mix",
ISNUMBER(SEARCH("quick fix",E361)),"Quick Fix Mix",
ISNUMBER(SEARCH("starter",E361)),"Starter Fertilizer",
ISNUMBER(SEARCH("weed &amp; feed",E361)),"Weed &amp; Feed",
ISNUMBER(SEARCH("lawn food",E361)),"Lawn Food",
ISNUMBER(SEARCH("triple action",E361)),"Triple Action Fertilizer",
ISNUMBER(SEARCH("green max",E361)),"Green Max Lawn Food",
ISNUMBER(SEARCH("patchmaster",E361)),"PatchMaster Repair",
ISNUMBER(SEARCH("ez seed",E361)),"EZ Seed Repair",
ISNUMBER(SEARCH("rapid grass",E361)),"Rapid Grass",
ISNUMBER(SEARCH("thick'r lawn",E361)),"Thick'R Lawn",
ISNUMBER(SEARCH("fungicide",E361)),"Fungicide",
ISNUMBER(SEARCH("moss",E361)),"Moss Control",
ISNUMBER(SEARCH("perlite",E361)),"Perlite",
ISNUMBER(SEARCH("plant food",E361)),"Plant Food",
ISNUMBER(SEARCH("spreader",E361)),"Spreader",
ISNUMBER(SEARCH("sprayer",E361)),"Sprayer",
ISNUMBER(SEARCH("mower",E361)),"Lawn Mower",
ISNUMBER(SEARCH("sweeper",E361)),"Lawn Sweeper",
OR(ISNUMBER(SEARCH("pruner",E361)),ISNUMBER(SEARCH("trimmer",E361)),ISNUMBER(SEARCH("pole saw",E361))),"Pruning Tools",
TRUE,"Other"
)</f>
        <v>Bait &amp; Poison</v>
      </c>
      <c r="J361" s="7" t="str">
        <f t="shared" si="86"/>
        <v>Flying Insect Control - Bait &amp; Poison</v>
      </c>
      <c r="K361" s="4">
        <v>50</v>
      </c>
      <c r="L361" s="4">
        <v>4.4000000000000004</v>
      </c>
      <c r="M361" s="4">
        <v>3545</v>
      </c>
      <c r="N361" s="4" t="s">
        <v>1651</v>
      </c>
      <c r="O361" s="4">
        <f>VLOOKUP(A361,[4]Sheet1!$A:$B,2,0)</f>
        <v>0</v>
      </c>
      <c r="P361" s="4">
        <f>VLOOKUP(A361,[4]Sheet1!$A:$C,3,0)</f>
        <v>0</v>
      </c>
      <c r="Q361" s="4">
        <f>VLOOKUP(A361,[4]Sheet1!$A:$D,4,0)</f>
        <v>0</v>
      </c>
      <c r="R361" s="4">
        <f>VLOOKUP(A361,[4]Sheet1!$A:$E,5,0)</f>
        <v>50</v>
      </c>
      <c r="S361" s="4">
        <f>VLOOKUP(A361,[4]Sheet1!$A:$F,6,0)</f>
        <v>50</v>
      </c>
      <c r="T361" s="4">
        <f>VLOOKUP(A361,[4]Sheet1!$A:$G,7,0)</f>
        <v>100</v>
      </c>
      <c r="U361" s="4">
        <f>VLOOKUP(A361,[4]Sheet1!$A:$H,8,0)</f>
        <v>100</v>
      </c>
      <c r="V361" s="4">
        <f>VLOOKUP(A361,[4]Sheet1!$A:$I,9,0)</f>
        <v>50</v>
      </c>
      <c r="W361" s="4">
        <f>VLOOKUP(A361,[4]Sheet1!$A:$J,10,0)</f>
        <v>50</v>
      </c>
      <c r="X361" s="4">
        <f>VLOOKUP(A361,[4]Sheet1!$A:$K,11,0)</f>
        <v>0</v>
      </c>
      <c r="Y361" s="4">
        <f>VLOOKUP(A361,[4]Sheet1!$A:$L,12,0)</f>
        <v>100</v>
      </c>
      <c r="Z361" s="4">
        <f>VLOOKUP(A361,[4]Sheet1!$A:$M,13,0)</f>
        <v>50</v>
      </c>
      <c r="AA361" s="4">
        <f t="shared" si="96"/>
        <v>550</v>
      </c>
      <c r="AB361" s="7">
        <f t="shared" si="87"/>
        <v>46</v>
      </c>
      <c r="AC361" s="15">
        <f t="shared" si="97"/>
        <v>45.833333333333336</v>
      </c>
      <c r="AD361" s="16">
        <f t="shared" si="98"/>
        <v>14355</v>
      </c>
      <c r="AE361" s="16">
        <f t="shared" si="99"/>
        <v>1196.2500000000002</v>
      </c>
      <c r="AF361" s="16">
        <v>7.38</v>
      </c>
      <c r="AG361" s="16">
        <v>26.1</v>
      </c>
      <c r="AH361" s="15">
        <f t="shared" si="100"/>
        <v>0.13733333333333331</v>
      </c>
      <c r="AI361" s="15">
        <f t="shared" si="101"/>
        <v>0.48066666666666652</v>
      </c>
      <c r="AJ361" s="10">
        <v>0.5</v>
      </c>
      <c r="AK361" s="10">
        <v>0.5</v>
      </c>
      <c r="AL361" s="16">
        <v>7.38</v>
      </c>
      <c r="AM361" s="9">
        <f t="shared" si="88"/>
        <v>3.915</v>
      </c>
      <c r="AN361" s="9">
        <f t="shared" si="89"/>
        <v>0.78300000000000003</v>
      </c>
      <c r="AO361" s="9">
        <f t="shared" si="90"/>
        <v>5.2200000000000006</v>
      </c>
      <c r="AP361" s="9">
        <f t="shared" si="91"/>
        <v>0.52200000000000002</v>
      </c>
      <c r="AQ361" s="9">
        <f t="shared" si="92"/>
        <v>5.2200000000000006</v>
      </c>
      <c r="AR361" s="9">
        <f t="shared" si="93"/>
        <v>6.5250000000000004</v>
      </c>
      <c r="AS361" s="11">
        <f t="shared" si="94"/>
        <v>1.3733333333333331</v>
      </c>
      <c r="AT361" s="12">
        <f t="shared" si="95"/>
        <v>0.5033333333333333</v>
      </c>
    </row>
    <row r="362" spans="1:46" ht="16.5" x14ac:dyDescent="0.4">
      <c r="A362" s="4" t="s">
        <v>1652</v>
      </c>
      <c r="B362" s="4" t="s">
        <v>1653</v>
      </c>
      <c r="C362" s="7" t="s">
        <v>1653</v>
      </c>
      <c r="D362" s="4" t="s">
        <v>1654</v>
      </c>
      <c r="E362" s="4" t="s">
        <v>1655</v>
      </c>
      <c r="F362" s="4" t="s">
        <v>1656</v>
      </c>
      <c r="G362" s="7" t="str">
        <f>VLOOKUP(A362,[1]done!$A:$I,9,0)</f>
        <v>Mosquito/Fly</v>
      </c>
      <c r="H362" s="7" t="str" cm="1">
        <f t="array" ref="H362">_xlfn.IFS(
OR(ISNUMBER(SEARCH("mouse",E362)),ISNUMBER(SEARCH("rat",E362)),ISNUMBER(SEARCH("mice",E362)),ISNUMBER(SEARCH("rodent",E362))),"Rodent Control",
OR(ISNUMBER(SEARCH("fly",E362)),ISNUMBER(SEARCH("gnat",E362)),ISNUMBER(SEARCH("insect",E362)),ISNUMBER(SEARCH("mosquito",E362))),"Flying Insect Control",
OR(ISNUMBER(SEARCH("roach",E362)),ISNUMBER(SEARCH("ant",E362)),ISNUMBER(SEARCH("spider",E362)),ISNUMBER(SEARCH("cricket",E362)),ISNUMBER(SEARCH("scorpion",E362)),ISNUMBER(SEARCH("centipede",E362)),ISNUMBER(SEARCH("beetle",E362))),"Crawling Insect Control",
OR(ISNUMBER(SEARCH("tree",E362)),ISNUMBER(SEARCH("lantern",E362)),ISNUMBER(SEARCH("garden",E362)),ISNUMBER(SEARCH("plant",E362))),"Garden Pest Control",
OR(ISNUMBER(SEARCH("grass seed",E362)),ISNUMBER(SEARCH("seed mix",E362))),"Grass Seed",
OR(ISNUMBER(SEARCH("lawn food",E362)),ISNUMBER(SEARCH("fertilizer",E362))),"Lawn Fertilizer",
OR(ISNUMBER(SEARCH("patch",E362)),ISNUMBER(SEARCH("repair",E362)),ISNUMBER(SEARCH("thick'r",E362)),ISNUMBER(SEARCH("thick'r lawn",E362)),ISNUMBER(SEARCH("rapid grass",E362))),"Lawn Repair",
OR(ISNUMBER(SEARCH("weed",E362)),ISNUMBER(SEARCH("crabgrass",E362))),"Weed Control",
OR(ISNUMBER(SEARCH("fungicide",E362)),ISNUMBER(SEARCH("moss",E362))),"Disease &amp; Moss Control",
OR(ISNUMBER(SEARCH("plant food",E362)),ISNUMBER(SEARCH("miracid",E362))),"Plant Nutrition",
OR(ISNUMBER(SEARCH("perlite",E362))),"Soil Amendment",
OR(ISNUMBER(SEARCH("spreader",E362)),ISNUMBER(SEARCH("sprayer",E362)),ISNUMBER(SEARCH("mower",E362)),ISNUMBER(SEARCH("sweeper",E362)),ISNUMBER(SEARCH("pruner",E362)),ISNUMBER(SEARCH("trimmer",E362)),ISNUMBER(SEARCH("pole saw",E362))),"Garden Equipment",
TRUE,"Other"
)</f>
        <v>Flying Insect Control</v>
      </c>
      <c r="I362" s="7" t="str" cm="1">
        <f t="array" ref="I362">_xlfn.IFS(
OR(ISNUMBER(SEARCH("glue trap",E362)),ISNUMBER(SEARCH("glue board",E362))),"Glue Traps",
OR(ISNUMBER(SEARCH("snap trap",E362)),ISNUMBER(SEARCH("power-kill",E362)),ISNUMBER(SEARCH("wide pedal",E362)),ISNUMBER(SEARCH("metal pedal",E362))),"Snap Traps",
OR(ISNUMBER(SEARCH("electronic",E362)),ISNUMBER(SEARCH("zapper",E362))),"Electronic Traps",
OR(ISNUMBER(SEARCH("live catch",E362)),ISNUMBER(SEARCH("multi-catch",E362)),ISNUMBER(SEARCH("catch &amp; hold",E362)),ISNUMBER(SEARCH("tin cat",E362))),"Live Catch Traps",
OR(ISNUMBER(SEARCH("bait",E362)),ISNUMBER(SEARCH("poison",E362))),"Bait &amp; Poison",
ISNUMBER(SEARCH("repellent",E362)),"Repellents",
OR(ISNUMBER(SEARCH("fly trap",E362)),ISNUMBER(SEARCH("fly ribbon",E362)),ISNUMBER(SEARCH("fly stick",E362)),ISNUMBER(SEARCH("window fly",E362)),ISNUMBER(SEARCH("fly magnet",E362))),"Fly Traps",
OR(ISNUMBER(SEARCH("uv",E362)),ISNUMBER(SEARCH("fly light",E362)),ISNUMBER(SEARCH("plug-in",E362))),"UV Fly Traps",
ISNUMBER(SEARCH("roach",E362)),"Roach Traps",
ISNUMBER(SEARCH("ant",E362)),"Ant Traps",
ISNUMBER(SEARCH("spider",E362)),"Spider Traps",
ISNUMBER(SEARCH("mosquito",E362)),"Mosquito Traps",
ISNUMBER(SEARCH("beetle",E362)),"Beetle Traps",
ISNUMBER(SEARCH("lantern",E362)),"Lanternfly Control",
OR(ISNUMBER(SEARCH("tree shield",E362)),ISNUMBER(SEARCH("tree banding",E362)),ISNUMBER(SEARCH("insect barrier",E362))),"Tree Barriers",
OR(ISNUMBER(SEARCH("sun &amp; shade",E362)),ISNUMBER(SEARCH("sun and shade",E362))),"Sun &amp; Shade Mix",
ISNUMBER(SEARCH("tall fescue",E362)),"Tall Fescue",
ISNUMBER(SEARCH("bermudagrass",E362)),"Bermudagrass",
ISNUMBER(SEARCH("kentucky",E362)),"Kentucky Bluegrass",
ISNUMBER(SEARCH("zoysia",E362)),"Zoysia",
ISNUMBER(SEARCH("ryegrass",E362)),"Perennial Ryegrass",
ISNUMBER(SEARCH("centipede",E362)),"Centipede Grass",
ISNUMBER(SEARCH("dense shade",E362)),"Dense Shade Mix",
ISNUMBER(SEARCH("southern gold",E362)),"Southern Gold Mix",
ISNUMBER(SEARCH("heat-tolerant blue",E362)),"Heat-Tolerant Blue Mix",
ISNUMBER(SEARCH("high traffic",E362)),"High Traffic Mix",
ISNUMBER(SEARCH("quick fix",E362)),"Quick Fix Mix",
ISNUMBER(SEARCH("starter",E362)),"Starter Fertilizer",
ISNUMBER(SEARCH("weed &amp; feed",E362)),"Weed &amp; Feed",
ISNUMBER(SEARCH("lawn food",E362)),"Lawn Food",
ISNUMBER(SEARCH("triple action",E362)),"Triple Action Fertilizer",
ISNUMBER(SEARCH("green max",E362)),"Green Max Lawn Food",
ISNUMBER(SEARCH("patchmaster",E362)),"PatchMaster Repair",
ISNUMBER(SEARCH("ez seed",E362)),"EZ Seed Repair",
ISNUMBER(SEARCH("rapid grass",E362)),"Rapid Grass",
ISNUMBER(SEARCH("thick'r lawn",E362)),"Thick'R Lawn",
ISNUMBER(SEARCH("fungicide",E362)),"Fungicide",
ISNUMBER(SEARCH("moss",E362)),"Moss Control",
ISNUMBER(SEARCH("perlite",E362)),"Perlite",
ISNUMBER(SEARCH("plant food",E362)),"Plant Food",
ISNUMBER(SEARCH("spreader",E362)),"Spreader",
ISNUMBER(SEARCH("sprayer",E362)),"Sprayer",
ISNUMBER(SEARCH("mower",E362)),"Lawn Mower",
ISNUMBER(SEARCH("sweeper",E362)),"Lawn Sweeper",
OR(ISNUMBER(SEARCH("pruner",E362)),ISNUMBER(SEARCH("trimmer",E362)),ISNUMBER(SEARCH("pole saw",E362))),"Pruning Tools",
TRUE,"Other"
)</f>
        <v>Other</v>
      </c>
      <c r="J362" s="7" t="str">
        <f t="shared" si="86"/>
        <v>Flying Insect Control - Other</v>
      </c>
      <c r="K362" s="4">
        <v>100000</v>
      </c>
      <c r="L362" s="4">
        <v>4.8</v>
      </c>
      <c r="M362" s="4">
        <v>37062</v>
      </c>
      <c r="O362" s="4">
        <f>VLOOKUP(A362,[5]Sheet1!$A:$B,2,0)</f>
        <v>20000</v>
      </c>
      <c r="P362" s="4">
        <f>VLOOKUP(A362,[5]Sheet1!$A:$C,3,0)</f>
        <v>20000</v>
      </c>
      <c r="Q362" s="4">
        <f>VLOOKUP(A362,[5]Sheet1!$A:$D,4,0)</f>
        <v>30000</v>
      </c>
      <c r="R362" s="4">
        <f>VLOOKUP(A362,[5]Sheet1!$A:$E,5,0)</f>
        <v>80000</v>
      </c>
      <c r="S362" s="4">
        <f>VLOOKUP(A362,[5]Sheet1!$A:$F,6,0)</f>
        <v>90000</v>
      </c>
      <c r="T362" s="4">
        <f>VLOOKUP(A362,[5]Sheet1!$A:$G,7,0)</f>
        <v>100000</v>
      </c>
      <c r="U362" s="4">
        <f>VLOOKUP(A362,[5]Sheet1!$A:$H,8,0)</f>
        <v>100000</v>
      </c>
      <c r="V362" s="4">
        <f>VLOOKUP(A362,[5]Sheet1!$A:$I,9,0)</f>
        <v>100000</v>
      </c>
      <c r="W362" s="4">
        <f>VLOOKUP(A362,[5]Sheet1!$A:$J,10,0)</f>
        <v>100000</v>
      </c>
      <c r="X362" s="4">
        <f>VLOOKUP(A362,[5]Sheet1!$A:$L,11,0)</f>
        <v>100000</v>
      </c>
      <c r="Y362" s="4">
        <f>VLOOKUP(A362,[5]Sheet1!$A:$L,12,0)</f>
        <v>40000</v>
      </c>
      <c r="Z362" s="4">
        <f>VLOOKUP(A362,[5]Sheet1!$A:$M,13,0)</f>
        <v>30000</v>
      </c>
      <c r="AA362" s="4">
        <f>SUM(O362:Z362)</f>
        <v>810000</v>
      </c>
      <c r="AB362" s="7">
        <f t="shared" si="87"/>
        <v>67500</v>
      </c>
      <c r="AC362" s="15">
        <f>AVERAGE(O362:Z362)</f>
        <v>67500</v>
      </c>
      <c r="AD362" s="16">
        <f>AG362*AA362</f>
        <v>12125700</v>
      </c>
      <c r="AE362" s="16">
        <f>AG362*AC362</f>
        <v>1010475</v>
      </c>
      <c r="AF362" s="16">
        <v>4.76</v>
      </c>
      <c r="AG362" s="16">
        <v>14.97</v>
      </c>
      <c r="AH362" s="15">
        <f>0.1*AS362</f>
        <v>1.5199999999999957E-2</v>
      </c>
      <c r="AI362" s="15">
        <f>0.35*AS362</f>
        <v>5.3199999999999838E-2</v>
      </c>
      <c r="AJ362" s="10">
        <v>0.5</v>
      </c>
      <c r="AK362" s="10">
        <v>0.5</v>
      </c>
      <c r="AL362" s="16">
        <v>4.76</v>
      </c>
      <c r="AM362" s="9">
        <f t="shared" si="88"/>
        <v>2.2454999999999998</v>
      </c>
      <c r="AN362" s="9">
        <f t="shared" si="89"/>
        <v>0.4491</v>
      </c>
      <c r="AO362" s="9">
        <f t="shared" si="90"/>
        <v>2.9940000000000002</v>
      </c>
      <c r="AP362" s="9">
        <f t="shared" si="91"/>
        <v>0.2994</v>
      </c>
      <c r="AQ362" s="9">
        <f t="shared" si="92"/>
        <v>2.9940000000000002</v>
      </c>
      <c r="AR362" s="9">
        <f t="shared" si="93"/>
        <v>3.7425000000000002</v>
      </c>
      <c r="AS362" s="11">
        <f t="shared" si="94"/>
        <v>0.15199999999999955</v>
      </c>
      <c r="AT362" s="12">
        <f t="shared" si="95"/>
        <v>-0.34700000000000042</v>
      </c>
    </row>
    <row r="363" spans="1:46" ht="16.5" x14ac:dyDescent="0.4">
      <c r="A363" s="4" t="s">
        <v>1657</v>
      </c>
      <c r="B363" s="4" t="s">
        <v>1653</v>
      </c>
      <c r="C363" s="7" t="s">
        <v>1653</v>
      </c>
      <c r="D363" s="4" t="s">
        <v>1658</v>
      </c>
      <c r="E363" s="4" t="s">
        <v>1659</v>
      </c>
      <c r="F363" s="4" t="s">
        <v>1660</v>
      </c>
      <c r="G363" s="7" t="str">
        <f>VLOOKUP(A363,[1]done!$A:$I,9,0)</f>
        <v>Mosquito/Fly</v>
      </c>
      <c r="H363" s="7" t="str" cm="1">
        <f t="array" ref="H363">_xlfn.IFS(
OR(ISNUMBER(SEARCH("mouse",E363)),ISNUMBER(SEARCH("rat",E363)),ISNUMBER(SEARCH("mice",E363)),ISNUMBER(SEARCH("rodent",E363))),"Rodent Control",
OR(ISNUMBER(SEARCH("fly",E363)),ISNUMBER(SEARCH("gnat",E363)),ISNUMBER(SEARCH("insect",E363)),ISNUMBER(SEARCH("mosquito",E363))),"Flying Insect Control",
OR(ISNUMBER(SEARCH("roach",E363)),ISNUMBER(SEARCH("ant",E363)),ISNUMBER(SEARCH("spider",E363)),ISNUMBER(SEARCH("cricket",E363)),ISNUMBER(SEARCH("scorpion",E363)),ISNUMBER(SEARCH("centipede",E363)),ISNUMBER(SEARCH("beetle",E363))),"Crawling Insect Control",
OR(ISNUMBER(SEARCH("tree",E363)),ISNUMBER(SEARCH("lantern",E363)),ISNUMBER(SEARCH("garden",E363)),ISNUMBER(SEARCH("plant",E363))),"Garden Pest Control",
OR(ISNUMBER(SEARCH("grass seed",E363)),ISNUMBER(SEARCH("seed mix",E363))),"Grass Seed",
OR(ISNUMBER(SEARCH("lawn food",E363)),ISNUMBER(SEARCH("fertilizer",E363))),"Lawn Fertilizer",
OR(ISNUMBER(SEARCH("patch",E363)),ISNUMBER(SEARCH("repair",E363)),ISNUMBER(SEARCH("thick'r",E363)),ISNUMBER(SEARCH("thick'r lawn",E363)),ISNUMBER(SEARCH("rapid grass",E363))),"Lawn Repair",
OR(ISNUMBER(SEARCH("weed",E363)),ISNUMBER(SEARCH("crabgrass",E363))),"Weed Control",
OR(ISNUMBER(SEARCH("fungicide",E363)),ISNUMBER(SEARCH("moss",E363))),"Disease &amp; Moss Control",
OR(ISNUMBER(SEARCH("plant food",E363)),ISNUMBER(SEARCH("miracid",E363))),"Plant Nutrition",
OR(ISNUMBER(SEARCH("perlite",E363))),"Soil Amendment",
OR(ISNUMBER(SEARCH("spreader",E363)),ISNUMBER(SEARCH("sprayer",E363)),ISNUMBER(SEARCH("mower",E363)),ISNUMBER(SEARCH("sweeper",E363)),ISNUMBER(SEARCH("pruner",E363)),ISNUMBER(SEARCH("trimmer",E363)),ISNUMBER(SEARCH("pole saw",E363))),"Garden Equipment",
TRUE,"Other"
)</f>
        <v>Flying Insect Control</v>
      </c>
      <c r="I363" s="7" t="str" cm="1">
        <f t="array" ref="I363">_xlfn.IFS(
OR(ISNUMBER(SEARCH("glue trap",E363)),ISNUMBER(SEARCH("glue board",E363))),"Glue Traps",
OR(ISNUMBER(SEARCH("snap trap",E363)),ISNUMBER(SEARCH("power-kill",E363)),ISNUMBER(SEARCH("wide pedal",E363)),ISNUMBER(SEARCH("metal pedal",E363))),"Snap Traps",
OR(ISNUMBER(SEARCH("electronic",E363)),ISNUMBER(SEARCH("zapper",E363))),"Electronic Traps",
OR(ISNUMBER(SEARCH("live catch",E363)),ISNUMBER(SEARCH("multi-catch",E363)),ISNUMBER(SEARCH("catch &amp; hold",E363)),ISNUMBER(SEARCH("tin cat",E363))),"Live Catch Traps",
OR(ISNUMBER(SEARCH("bait",E363)),ISNUMBER(SEARCH("poison",E363))),"Bait &amp; Poison",
ISNUMBER(SEARCH("repellent",E363)),"Repellents",
OR(ISNUMBER(SEARCH("fly trap",E363)),ISNUMBER(SEARCH("fly ribbon",E363)),ISNUMBER(SEARCH("fly stick",E363)),ISNUMBER(SEARCH("window fly",E363)),ISNUMBER(SEARCH("fly magnet",E363))),"Fly Traps",
OR(ISNUMBER(SEARCH("uv",E363)),ISNUMBER(SEARCH("fly light",E363)),ISNUMBER(SEARCH("plug-in",E363))),"UV Fly Traps",
ISNUMBER(SEARCH("roach",E363)),"Roach Traps",
ISNUMBER(SEARCH("ant",E363)),"Ant Traps",
ISNUMBER(SEARCH("spider",E363)),"Spider Traps",
ISNUMBER(SEARCH("mosquito",E363)),"Mosquito Traps",
ISNUMBER(SEARCH("beetle",E363)),"Beetle Traps",
ISNUMBER(SEARCH("lantern",E363)),"Lanternfly Control",
OR(ISNUMBER(SEARCH("tree shield",E363)),ISNUMBER(SEARCH("tree banding",E363)),ISNUMBER(SEARCH("insect barrier",E363))),"Tree Barriers",
OR(ISNUMBER(SEARCH("sun &amp; shade",E363)),ISNUMBER(SEARCH("sun and shade",E363))),"Sun &amp; Shade Mix",
ISNUMBER(SEARCH("tall fescue",E363)),"Tall Fescue",
ISNUMBER(SEARCH("bermudagrass",E363)),"Bermudagrass",
ISNUMBER(SEARCH("kentucky",E363)),"Kentucky Bluegrass",
ISNUMBER(SEARCH("zoysia",E363)),"Zoysia",
ISNUMBER(SEARCH("ryegrass",E363)),"Perennial Ryegrass",
ISNUMBER(SEARCH("centipede",E363)),"Centipede Grass",
ISNUMBER(SEARCH("dense shade",E363)),"Dense Shade Mix",
ISNUMBER(SEARCH("southern gold",E363)),"Southern Gold Mix",
ISNUMBER(SEARCH("heat-tolerant blue",E363)),"Heat-Tolerant Blue Mix",
ISNUMBER(SEARCH("high traffic",E363)),"High Traffic Mix",
ISNUMBER(SEARCH("quick fix",E363)),"Quick Fix Mix",
ISNUMBER(SEARCH("starter",E363)),"Starter Fertilizer",
ISNUMBER(SEARCH("weed &amp; feed",E363)),"Weed &amp; Feed",
ISNUMBER(SEARCH("lawn food",E363)),"Lawn Food",
ISNUMBER(SEARCH("triple action",E363)),"Triple Action Fertilizer",
ISNUMBER(SEARCH("green max",E363)),"Green Max Lawn Food",
ISNUMBER(SEARCH("patchmaster",E363)),"PatchMaster Repair",
ISNUMBER(SEARCH("ez seed",E363)),"EZ Seed Repair",
ISNUMBER(SEARCH("rapid grass",E363)),"Rapid Grass",
ISNUMBER(SEARCH("thick'r lawn",E363)),"Thick'R Lawn",
ISNUMBER(SEARCH("fungicide",E363)),"Fungicide",
ISNUMBER(SEARCH("moss",E363)),"Moss Control",
ISNUMBER(SEARCH("perlite",E363)),"Perlite",
ISNUMBER(SEARCH("plant food",E363)),"Plant Food",
ISNUMBER(SEARCH("spreader",E363)),"Spreader",
ISNUMBER(SEARCH("sprayer",E363)),"Sprayer",
ISNUMBER(SEARCH("mower",E363)),"Lawn Mower",
ISNUMBER(SEARCH("sweeper",E363)),"Lawn Sweeper",
OR(ISNUMBER(SEARCH("pruner",E363)),ISNUMBER(SEARCH("trimmer",E363)),ISNUMBER(SEARCH("pole saw",E363))),"Pruning Tools",
TRUE,"Other"
)</f>
        <v>UV Fly Traps</v>
      </c>
      <c r="J363" s="7" t="str">
        <f t="shared" si="86"/>
        <v>Flying Insect Control - UV Fly Traps</v>
      </c>
      <c r="K363" s="4">
        <v>100000</v>
      </c>
      <c r="L363" s="4">
        <v>4.2</v>
      </c>
      <c r="M363" s="4">
        <v>56189</v>
      </c>
      <c r="N363" s="4" t="s">
        <v>1661</v>
      </c>
      <c r="O363" s="4">
        <f>VLOOKUP(A363,[5]Sheet1!$A:$B,2,0)</f>
        <v>10000</v>
      </c>
      <c r="P363" s="4">
        <f>VLOOKUP(A363,[5]Sheet1!$A:$C,3,0)</f>
        <v>7500</v>
      </c>
      <c r="Q363" s="4">
        <f>VLOOKUP(A363,[5]Sheet1!$A:$D,4,0)</f>
        <v>10000</v>
      </c>
      <c r="R363" s="4">
        <f>VLOOKUP(A363,[5]Sheet1!$A:$E,5,0)</f>
        <v>20000</v>
      </c>
      <c r="S363" s="4">
        <f>VLOOKUP(A363,[5]Sheet1!$A:$F,6,0)</f>
        <v>30000</v>
      </c>
      <c r="T363" s="4">
        <f>VLOOKUP(A363,[5]Sheet1!$A:$G,7,0)</f>
        <v>100000</v>
      </c>
      <c r="U363" s="4">
        <f>VLOOKUP(A363,[5]Sheet1!$A:$H,8,0)</f>
        <v>100000</v>
      </c>
      <c r="V363" s="4">
        <f>VLOOKUP(A363,[5]Sheet1!$A:$I,9,0)</f>
        <v>100000</v>
      </c>
      <c r="W363" s="4">
        <f>VLOOKUP(A363,[5]Sheet1!$A:$J,10,0)</f>
        <v>100000</v>
      </c>
      <c r="X363" s="4">
        <f>VLOOKUP(A363,[5]Sheet1!$A:$L,11,0)</f>
        <v>100000</v>
      </c>
      <c r="Y363" s="4">
        <f>VLOOKUP(A363,[5]Sheet1!$A:$L,12,0)</f>
        <v>40000</v>
      </c>
      <c r="Z363" s="4">
        <f>VLOOKUP(A363,[5]Sheet1!$A:$M,13,0)</f>
        <v>10000</v>
      </c>
      <c r="AA363" s="4">
        <f t="shared" ref="AA363:AA426" si="102">SUM(O363:Z363)</f>
        <v>627500</v>
      </c>
      <c r="AB363" s="7">
        <f t="shared" si="87"/>
        <v>52292</v>
      </c>
      <c r="AC363" s="15">
        <f t="shared" ref="AC363:AC426" si="103">AVERAGE(O363:Z363)</f>
        <v>52291.666666666664</v>
      </c>
      <c r="AD363" s="16">
        <f t="shared" ref="AD363:AD426" si="104">AG363*AA363</f>
        <v>12079375</v>
      </c>
      <c r="AE363" s="16">
        <f t="shared" ref="AE363:AE426" si="105">AG363*AC363</f>
        <v>1006614.5833333333</v>
      </c>
      <c r="AF363" s="16">
        <v>4.76</v>
      </c>
      <c r="AG363" s="16">
        <v>19.25</v>
      </c>
      <c r="AH363" s="15">
        <f t="shared" ref="AH363:AH426" si="106">0.1*AS363</f>
        <v>0.12933333333333327</v>
      </c>
      <c r="AI363" s="15">
        <f t="shared" ref="AI363:AI426" si="107">0.35*AS363</f>
        <v>0.45266666666666644</v>
      </c>
      <c r="AJ363" s="10">
        <v>0.5</v>
      </c>
      <c r="AK363" s="10">
        <v>0.5</v>
      </c>
      <c r="AL363" s="16">
        <v>4.76</v>
      </c>
      <c r="AM363" s="9">
        <f t="shared" si="88"/>
        <v>2.8874999999999997</v>
      </c>
      <c r="AN363" s="9">
        <f t="shared" si="89"/>
        <v>0.57750000000000001</v>
      </c>
      <c r="AO363" s="9">
        <f t="shared" si="90"/>
        <v>3.85</v>
      </c>
      <c r="AP363" s="9">
        <f t="shared" si="91"/>
        <v>0.38500000000000001</v>
      </c>
      <c r="AQ363" s="9">
        <f t="shared" si="92"/>
        <v>3.85</v>
      </c>
      <c r="AR363" s="9">
        <f t="shared" si="93"/>
        <v>4.8125</v>
      </c>
      <c r="AS363" s="11">
        <f t="shared" si="94"/>
        <v>1.2933333333333328</v>
      </c>
      <c r="AT363" s="12">
        <f t="shared" si="95"/>
        <v>0.65166666666666606</v>
      </c>
    </row>
    <row r="364" spans="1:46" ht="16.5" x14ac:dyDescent="0.4">
      <c r="A364" s="4" t="s">
        <v>1662</v>
      </c>
      <c r="B364" s="4" t="s">
        <v>1653</v>
      </c>
      <c r="C364" s="7" t="s">
        <v>1653</v>
      </c>
      <c r="D364" s="4" t="s">
        <v>1663</v>
      </c>
      <c r="E364" s="4" t="s">
        <v>1664</v>
      </c>
      <c r="F364" s="4" t="s">
        <v>1665</v>
      </c>
      <c r="G364" s="7" t="str">
        <f>VLOOKUP(A364,[1]done!$A:$I,9,0)</f>
        <v>Mosquito/Fly</v>
      </c>
      <c r="H364" s="7" t="str" cm="1">
        <f t="array" ref="H364">_xlfn.IFS(
OR(ISNUMBER(SEARCH("mouse",E364)),ISNUMBER(SEARCH("rat",E364)),ISNUMBER(SEARCH("mice",E364)),ISNUMBER(SEARCH("rodent",E364))),"Rodent Control",
OR(ISNUMBER(SEARCH("fly",E364)),ISNUMBER(SEARCH("gnat",E364)),ISNUMBER(SEARCH("insect",E364)),ISNUMBER(SEARCH("mosquito",E364))),"Flying Insect Control",
OR(ISNUMBER(SEARCH("roach",E364)),ISNUMBER(SEARCH("ant",E364)),ISNUMBER(SEARCH("spider",E364)),ISNUMBER(SEARCH("cricket",E364)),ISNUMBER(SEARCH("scorpion",E364)),ISNUMBER(SEARCH("centipede",E364)),ISNUMBER(SEARCH("beetle",E364))),"Crawling Insect Control",
OR(ISNUMBER(SEARCH("tree",E364)),ISNUMBER(SEARCH("lantern",E364)),ISNUMBER(SEARCH("garden",E364)),ISNUMBER(SEARCH("plant",E364))),"Garden Pest Control",
OR(ISNUMBER(SEARCH("grass seed",E364)),ISNUMBER(SEARCH("seed mix",E364))),"Grass Seed",
OR(ISNUMBER(SEARCH("lawn food",E364)),ISNUMBER(SEARCH("fertilizer",E364))),"Lawn Fertilizer",
OR(ISNUMBER(SEARCH("patch",E364)),ISNUMBER(SEARCH("repair",E364)),ISNUMBER(SEARCH("thick'r",E364)),ISNUMBER(SEARCH("thick'r lawn",E364)),ISNUMBER(SEARCH("rapid grass",E364))),"Lawn Repair",
OR(ISNUMBER(SEARCH("weed",E364)),ISNUMBER(SEARCH("crabgrass",E364))),"Weed Control",
OR(ISNUMBER(SEARCH("fungicide",E364)),ISNUMBER(SEARCH("moss",E364))),"Disease &amp; Moss Control",
OR(ISNUMBER(SEARCH("plant food",E364)),ISNUMBER(SEARCH("miracid",E364))),"Plant Nutrition",
OR(ISNUMBER(SEARCH("perlite",E364))),"Soil Amendment",
OR(ISNUMBER(SEARCH("spreader",E364)),ISNUMBER(SEARCH("sprayer",E364)),ISNUMBER(SEARCH("mower",E364)),ISNUMBER(SEARCH("sweeper",E364)),ISNUMBER(SEARCH("pruner",E364)),ISNUMBER(SEARCH("trimmer",E364)),ISNUMBER(SEARCH("pole saw",E364))),"Garden Equipment",
TRUE,"Other"
)</f>
        <v>Flying Insect Control</v>
      </c>
      <c r="I364" s="7" t="str" cm="1">
        <f t="array" ref="I364">_xlfn.IFS(
OR(ISNUMBER(SEARCH("glue trap",E364)),ISNUMBER(SEARCH("glue board",E364))),"Glue Traps",
OR(ISNUMBER(SEARCH("snap trap",E364)),ISNUMBER(SEARCH("power-kill",E364)),ISNUMBER(SEARCH("wide pedal",E364)),ISNUMBER(SEARCH("metal pedal",E364))),"Snap Traps",
OR(ISNUMBER(SEARCH("electronic",E364)),ISNUMBER(SEARCH("zapper",E364))),"Electronic Traps",
OR(ISNUMBER(SEARCH("live catch",E364)),ISNUMBER(SEARCH("multi-catch",E364)),ISNUMBER(SEARCH("catch &amp; hold",E364)),ISNUMBER(SEARCH("tin cat",E364))),"Live Catch Traps",
OR(ISNUMBER(SEARCH("bait",E364)),ISNUMBER(SEARCH("poison",E364))),"Bait &amp; Poison",
ISNUMBER(SEARCH("repellent",E364)),"Repellents",
OR(ISNUMBER(SEARCH("fly trap",E364)),ISNUMBER(SEARCH("fly ribbon",E364)),ISNUMBER(SEARCH("fly stick",E364)),ISNUMBER(SEARCH("window fly",E364)),ISNUMBER(SEARCH("fly magnet",E364))),"Fly Traps",
OR(ISNUMBER(SEARCH("uv",E364)),ISNUMBER(SEARCH("fly light",E364)),ISNUMBER(SEARCH("plug-in",E364))),"UV Fly Traps",
ISNUMBER(SEARCH("roach",E364)),"Roach Traps",
ISNUMBER(SEARCH("ant",E364)),"Ant Traps",
ISNUMBER(SEARCH("spider",E364)),"Spider Traps",
ISNUMBER(SEARCH("mosquito",E364)),"Mosquito Traps",
ISNUMBER(SEARCH("beetle",E364)),"Beetle Traps",
ISNUMBER(SEARCH("lantern",E364)),"Lanternfly Control",
OR(ISNUMBER(SEARCH("tree shield",E364)),ISNUMBER(SEARCH("tree banding",E364)),ISNUMBER(SEARCH("insect barrier",E364))),"Tree Barriers",
OR(ISNUMBER(SEARCH("sun &amp; shade",E364)),ISNUMBER(SEARCH("sun and shade",E364))),"Sun &amp; Shade Mix",
ISNUMBER(SEARCH("tall fescue",E364)),"Tall Fescue",
ISNUMBER(SEARCH("bermudagrass",E364)),"Bermudagrass",
ISNUMBER(SEARCH("kentucky",E364)),"Kentucky Bluegrass",
ISNUMBER(SEARCH("zoysia",E364)),"Zoysia",
ISNUMBER(SEARCH("ryegrass",E364)),"Perennial Ryegrass",
ISNUMBER(SEARCH("centipede",E364)),"Centipede Grass",
ISNUMBER(SEARCH("dense shade",E364)),"Dense Shade Mix",
ISNUMBER(SEARCH("southern gold",E364)),"Southern Gold Mix",
ISNUMBER(SEARCH("heat-tolerant blue",E364)),"Heat-Tolerant Blue Mix",
ISNUMBER(SEARCH("high traffic",E364)),"High Traffic Mix",
ISNUMBER(SEARCH("quick fix",E364)),"Quick Fix Mix",
ISNUMBER(SEARCH("starter",E364)),"Starter Fertilizer",
ISNUMBER(SEARCH("weed &amp; feed",E364)),"Weed &amp; Feed",
ISNUMBER(SEARCH("lawn food",E364)),"Lawn Food",
ISNUMBER(SEARCH("triple action",E364)),"Triple Action Fertilizer",
ISNUMBER(SEARCH("green max",E364)),"Green Max Lawn Food",
ISNUMBER(SEARCH("patchmaster",E364)),"PatchMaster Repair",
ISNUMBER(SEARCH("ez seed",E364)),"EZ Seed Repair",
ISNUMBER(SEARCH("rapid grass",E364)),"Rapid Grass",
ISNUMBER(SEARCH("thick'r lawn",E364)),"Thick'R Lawn",
ISNUMBER(SEARCH("fungicide",E364)),"Fungicide",
ISNUMBER(SEARCH("moss",E364)),"Moss Control",
ISNUMBER(SEARCH("perlite",E364)),"Perlite",
ISNUMBER(SEARCH("plant food",E364)),"Plant Food",
ISNUMBER(SEARCH("spreader",E364)),"Spreader",
ISNUMBER(SEARCH("sprayer",E364)),"Sprayer",
ISNUMBER(SEARCH("mower",E364)),"Lawn Mower",
ISNUMBER(SEARCH("sweeper",E364)),"Lawn Sweeper",
OR(ISNUMBER(SEARCH("pruner",E364)),ISNUMBER(SEARCH("trimmer",E364)),ISNUMBER(SEARCH("pole saw",E364))),"Pruning Tools",
TRUE,"Other"
)</f>
        <v>Other</v>
      </c>
      <c r="J364" s="7" t="str">
        <f t="shared" si="86"/>
        <v>Flying Insect Control - Other</v>
      </c>
      <c r="K364" s="4">
        <v>80000</v>
      </c>
      <c r="L364" s="4">
        <v>4.8</v>
      </c>
      <c r="M364" s="4">
        <v>9247</v>
      </c>
      <c r="O364" s="4">
        <f>VLOOKUP(A364,[5]Sheet1!$A:$B,2,0)</f>
        <v>10000</v>
      </c>
      <c r="P364" s="4">
        <f>VLOOKUP(A364,[5]Sheet1!$A:$C,3,0)</f>
        <v>10000</v>
      </c>
      <c r="Q364" s="4">
        <f>VLOOKUP(A364,[5]Sheet1!$A:$D,4,0)</f>
        <v>20000</v>
      </c>
      <c r="R364" s="4">
        <f>VLOOKUP(A364,[5]Sheet1!$A:$E,5,0)</f>
        <v>30000</v>
      </c>
      <c r="S364" s="4">
        <f>VLOOKUP(A364,[5]Sheet1!$A:$F,6,0)</f>
        <v>50000</v>
      </c>
      <c r="T364" s="4">
        <f>VLOOKUP(A364,[5]Sheet1!$A:$G,7,0)</f>
        <v>50000</v>
      </c>
      <c r="U364" s="4">
        <f>VLOOKUP(A364,[5]Sheet1!$A:$H,8,0)</f>
        <v>30000</v>
      </c>
      <c r="V364" s="4">
        <f>VLOOKUP(A364,[5]Sheet1!$A:$I,9,0)</f>
        <v>30000</v>
      </c>
      <c r="W364" s="4">
        <f>VLOOKUP(A364,[5]Sheet1!$A:$J,10,0)</f>
        <v>80000</v>
      </c>
      <c r="X364" s="4">
        <f>VLOOKUP(A364,[5]Sheet1!$A:$L,11,0)</f>
        <v>80000</v>
      </c>
      <c r="Y364" s="4">
        <f>VLOOKUP(A364,[5]Sheet1!$A:$L,12,0)</f>
        <v>30000</v>
      </c>
      <c r="Z364" s="4">
        <f>VLOOKUP(A364,[5]Sheet1!$A:$M,13,0)</f>
        <v>10000</v>
      </c>
      <c r="AA364" s="4">
        <f t="shared" si="102"/>
        <v>430000</v>
      </c>
      <c r="AB364" s="7">
        <f t="shared" si="87"/>
        <v>35833</v>
      </c>
      <c r="AC364" s="15">
        <f t="shared" si="103"/>
        <v>35833.333333333336</v>
      </c>
      <c r="AD364" s="16">
        <f t="shared" si="104"/>
        <v>9447100</v>
      </c>
      <c r="AE364" s="16">
        <f t="shared" si="105"/>
        <v>787258.33333333337</v>
      </c>
      <c r="AF364" s="16">
        <v>4.76</v>
      </c>
      <c r="AG364" s="16">
        <v>21.97</v>
      </c>
      <c r="AH364" s="15">
        <f t="shared" si="106"/>
        <v>0.20186666666666661</v>
      </c>
      <c r="AI364" s="15">
        <f t="shared" si="107"/>
        <v>0.70653333333333301</v>
      </c>
      <c r="AJ364" s="10">
        <v>0.5</v>
      </c>
      <c r="AK364" s="10">
        <v>0.5</v>
      </c>
      <c r="AL364" s="16">
        <v>4.76</v>
      </c>
      <c r="AM364" s="9">
        <f t="shared" si="88"/>
        <v>3.2954999999999997</v>
      </c>
      <c r="AN364" s="9">
        <f t="shared" si="89"/>
        <v>0.65909999999999991</v>
      </c>
      <c r="AO364" s="9">
        <f t="shared" si="90"/>
        <v>4.3940000000000001</v>
      </c>
      <c r="AP364" s="9">
        <f t="shared" si="91"/>
        <v>0.43940000000000001</v>
      </c>
      <c r="AQ364" s="9">
        <f t="shared" si="92"/>
        <v>4.3940000000000001</v>
      </c>
      <c r="AR364" s="9">
        <f t="shared" si="93"/>
        <v>5.4924999999999997</v>
      </c>
      <c r="AS364" s="11">
        <f t="shared" si="94"/>
        <v>2.0186666666666659</v>
      </c>
      <c r="AT364" s="12">
        <f t="shared" si="95"/>
        <v>1.2863333333333327</v>
      </c>
    </row>
    <row r="365" spans="1:46" ht="16.5" x14ac:dyDescent="0.4">
      <c r="A365" s="4" t="s">
        <v>1666</v>
      </c>
      <c r="B365" s="4" t="s">
        <v>1653</v>
      </c>
      <c r="C365" s="7" t="s">
        <v>1653</v>
      </c>
      <c r="D365" s="4" t="s">
        <v>1667</v>
      </c>
      <c r="E365" s="4" t="s">
        <v>1668</v>
      </c>
      <c r="F365" s="4" t="s">
        <v>1669</v>
      </c>
      <c r="G365" s="7" t="str">
        <f>VLOOKUP(A365,[1]done!$A:$I,9,0)</f>
        <v>Mosquito/Fly</v>
      </c>
      <c r="H365" s="7" t="str" cm="1">
        <f t="array" ref="H365">_xlfn.IFS(
OR(ISNUMBER(SEARCH("mouse",E365)),ISNUMBER(SEARCH("rat",E365)),ISNUMBER(SEARCH("mice",E365)),ISNUMBER(SEARCH("rodent",E365))),"Rodent Control",
OR(ISNUMBER(SEARCH("fly",E365)),ISNUMBER(SEARCH("gnat",E365)),ISNUMBER(SEARCH("insect",E365)),ISNUMBER(SEARCH("mosquito",E365))),"Flying Insect Control",
OR(ISNUMBER(SEARCH("roach",E365)),ISNUMBER(SEARCH("ant",E365)),ISNUMBER(SEARCH("spider",E365)),ISNUMBER(SEARCH("cricket",E365)),ISNUMBER(SEARCH("scorpion",E365)),ISNUMBER(SEARCH("centipede",E365)),ISNUMBER(SEARCH("beetle",E365))),"Crawling Insect Control",
OR(ISNUMBER(SEARCH("tree",E365)),ISNUMBER(SEARCH("lantern",E365)),ISNUMBER(SEARCH("garden",E365)),ISNUMBER(SEARCH("plant",E365))),"Garden Pest Control",
OR(ISNUMBER(SEARCH("grass seed",E365)),ISNUMBER(SEARCH("seed mix",E365))),"Grass Seed",
OR(ISNUMBER(SEARCH("lawn food",E365)),ISNUMBER(SEARCH("fertilizer",E365))),"Lawn Fertilizer",
OR(ISNUMBER(SEARCH("patch",E365)),ISNUMBER(SEARCH("repair",E365)),ISNUMBER(SEARCH("thick'r",E365)),ISNUMBER(SEARCH("thick'r lawn",E365)),ISNUMBER(SEARCH("rapid grass",E365))),"Lawn Repair",
OR(ISNUMBER(SEARCH("weed",E365)),ISNUMBER(SEARCH("crabgrass",E365))),"Weed Control",
OR(ISNUMBER(SEARCH("fungicide",E365)),ISNUMBER(SEARCH("moss",E365))),"Disease &amp; Moss Control",
OR(ISNUMBER(SEARCH("plant food",E365)),ISNUMBER(SEARCH("miracid",E365))),"Plant Nutrition",
OR(ISNUMBER(SEARCH("perlite",E365))),"Soil Amendment",
OR(ISNUMBER(SEARCH("spreader",E365)),ISNUMBER(SEARCH("sprayer",E365)),ISNUMBER(SEARCH("mower",E365)),ISNUMBER(SEARCH("sweeper",E365)),ISNUMBER(SEARCH("pruner",E365)),ISNUMBER(SEARCH("trimmer",E365)),ISNUMBER(SEARCH("pole saw",E365))),"Garden Equipment",
TRUE,"Other"
)</f>
        <v>Flying Insect Control</v>
      </c>
      <c r="I365" s="7" t="str" cm="1">
        <f t="array" ref="I365">_xlfn.IFS(
OR(ISNUMBER(SEARCH("glue trap",E365)),ISNUMBER(SEARCH("glue board",E365))),"Glue Traps",
OR(ISNUMBER(SEARCH("snap trap",E365)),ISNUMBER(SEARCH("power-kill",E365)),ISNUMBER(SEARCH("wide pedal",E365)),ISNUMBER(SEARCH("metal pedal",E365))),"Snap Traps",
OR(ISNUMBER(SEARCH("electronic",E365)),ISNUMBER(SEARCH("zapper",E365))),"Electronic Traps",
OR(ISNUMBER(SEARCH("live catch",E365)),ISNUMBER(SEARCH("multi-catch",E365)),ISNUMBER(SEARCH("catch &amp; hold",E365)),ISNUMBER(SEARCH("tin cat",E365))),"Live Catch Traps",
OR(ISNUMBER(SEARCH("bait",E365)),ISNUMBER(SEARCH("poison",E365))),"Bait &amp; Poison",
ISNUMBER(SEARCH("repellent",E365)),"Repellents",
OR(ISNUMBER(SEARCH("fly trap",E365)),ISNUMBER(SEARCH("fly ribbon",E365)),ISNUMBER(SEARCH("fly stick",E365)),ISNUMBER(SEARCH("window fly",E365)),ISNUMBER(SEARCH("fly magnet",E365))),"Fly Traps",
OR(ISNUMBER(SEARCH("uv",E365)),ISNUMBER(SEARCH("fly light",E365)),ISNUMBER(SEARCH("plug-in",E365))),"UV Fly Traps",
ISNUMBER(SEARCH("roach",E365)),"Roach Traps",
ISNUMBER(SEARCH("ant",E365)),"Ant Traps",
ISNUMBER(SEARCH("spider",E365)),"Spider Traps",
ISNUMBER(SEARCH("mosquito",E365)),"Mosquito Traps",
ISNUMBER(SEARCH("beetle",E365)),"Beetle Traps",
ISNUMBER(SEARCH("lantern",E365)),"Lanternfly Control",
OR(ISNUMBER(SEARCH("tree shield",E365)),ISNUMBER(SEARCH("tree banding",E365)),ISNUMBER(SEARCH("insect barrier",E365))),"Tree Barriers",
OR(ISNUMBER(SEARCH("sun &amp; shade",E365)),ISNUMBER(SEARCH("sun and shade",E365))),"Sun &amp; Shade Mix",
ISNUMBER(SEARCH("tall fescue",E365)),"Tall Fescue",
ISNUMBER(SEARCH("bermudagrass",E365)),"Bermudagrass",
ISNUMBER(SEARCH("kentucky",E365)),"Kentucky Bluegrass",
ISNUMBER(SEARCH("zoysia",E365)),"Zoysia",
ISNUMBER(SEARCH("ryegrass",E365)),"Perennial Ryegrass",
ISNUMBER(SEARCH("centipede",E365)),"Centipede Grass",
ISNUMBER(SEARCH("dense shade",E365)),"Dense Shade Mix",
ISNUMBER(SEARCH("southern gold",E365)),"Southern Gold Mix",
ISNUMBER(SEARCH("heat-tolerant blue",E365)),"Heat-Tolerant Blue Mix",
ISNUMBER(SEARCH("high traffic",E365)),"High Traffic Mix",
ISNUMBER(SEARCH("quick fix",E365)),"Quick Fix Mix",
ISNUMBER(SEARCH("starter",E365)),"Starter Fertilizer",
ISNUMBER(SEARCH("weed &amp; feed",E365)),"Weed &amp; Feed",
ISNUMBER(SEARCH("lawn food",E365)),"Lawn Food",
ISNUMBER(SEARCH("triple action",E365)),"Triple Action Fertilizer",
ISNUMBER(SEARCH("green max",E365)),"Green Max Lawn Food",
ISNUMBER(SEARCH("patchmaster",E365)),"PatchMaster Repair",
ISNUMBER(SEARCH("ez seed",E365)),"EZ Seed Repair",
ISNUMBER(SEARCH("rapid grass",E365)),"Rapid Grass",
ISNUMBER(SEARCH("thick'r lawn",E365)),"Thick'R Lawn",
ISNUMBER(SEARCH("fungicide",E365)),"Fungicide",
ISNUMBER(SEARCH("moss",E365)),"Moss Control",
ISNUMBER(SEARCH("perlite",E365)),"Perlite",
ISNUMBER(SEARCH("plant food",E365)),"Plant Food",
ISNUMBER(SEARCH("spreader",E365)),"Spreader",
ISNUMBER(SEARCH("sprayer",E365)),"Sprayer",
ISNUMBER(SEARCH("mower",E365)),"Lawn Mower",
ISNUMBER(SEARCH("sweeper",E365)),"Lawn Sweeper",
OR(ISNUMBER(SEARCH("pruner",E365)),ISNUMBER(SEARCH("trimmer",E365)),ISNUMBER(SEARCH("pole saw",E365))),"Pruning Tools",
TRUE,"Other"
)</f>
        <v>UV Fly Traps</v>
      </c>
      <c r="J365" s="7" t="str">
        <f t="shared" si="86"/>
        <v>Flying Insect Control - UV Fly Traps</v>
      </c>
      <c r="K365" s="4">
        <v>80000</v>
      </c>
      <c r="L365" s="4">
        <v>4.2</v>
      </c>
      <c r="M365" s="4">
        <v>33520</v>
      </c>
      <c r="N365" s="4" t="s">
        <v>1670</v>
      </c>
      <c r="O365" s="4">
        <f>VLOOKUP(A365,[5]Sheet1!$A:$B,2,0)</f>
        <v>10000</v>
      </c>
      <c r="P365" s="4">
        <f>VLOOKUP(A365,[5]Sheet1!$A:$C,3,0)</f>
        <v>10000</v>
      </c>
      <c r="Q365" s="4">
        <f>VLOOKUP(A365,[5]Sheet1!$A:$D,4,0)</f>
        <v>10000</v>
      </c>
      <c r="R365" s="4">
        <f>VLOOKUP(A365,[5]Sheet1!$A:$E,5,0)</f>
        <v>60000</v>
      </c>
      <c r="S365" s="4">
        <f>VLOOKUP(A365,[5]Sheet1!$A:$F,6,0)</f>
        <v>80000</v>
      </c>
      <c r="T365" s="4">
        <f>VLOOKUP(A365,[5]Sheet1!$A:$G,7,0)</f>
        <v>100000</v>
      </c>
      <c r="U365" s="4">
        <f>VLOOKUP(A365,[5]Sheet1!$A:$H,8,0)</f>
        <v>100000</v>
      </c>
      <c r="V365" s="4">
        <f>VLOOKUP(A365,[5]Sheet1!$A:$I,9,0)</f>
        <v>70000</v>
      </c>
      <c r="W365" s="4">
        <f>VLOOKUP(A365,[5]Sheet1!$A:$J,10,0)</f>
        <v>80000</v>
      </c>
      <c r="X365" s="4">
        <f>VLOOKUP(A365,[5]Sheet1!$A:$L,11,0)</f>
        <v>80000</v>
      </c>
      <c r="Y365" s="4">
        <f>VLOOKUP(A365,[5]Sheet1!$A:$L,12,0)</f>
        <v>70000</v>
      </c>
      <c r="Z365" s="4">
        <f>VLOOKUP(A365,[5]Sheet1!$A:$M,13,0)</f>
        <v>10000</v>
      </c>
      <c r="AA365" s="4">
        <f t="shared" si="102"/>
        <v>680000</v>
      </c>
      <c r="AB365" s="7">
        <f t="shared" si="87"/>
        <v>56667</v>
      </c>
      <c r="AC365" s="15">
        <f t="shared" si="103"/>
        <v>56666.666666666664</v>
      </c>
      <c r="AD365" s="16">
        <f t="shared" si="104"/>
        <v>17333200</v>
      </c>
      <c r="AE365" s="16">
        <f t="shared" si="105"/>
        <v>1444433.3333333333</v>
      </c>
      <c r="AF365" s="16">
        <v>5.61</v>
      </c>
      <c r="AG365" s="16">
        <v>25.49</v>
      </c>
      <c r="AH365" s="15">
        <f t="shared" si="106"/>
        <v>0.23906666666666651</v>
      </c>
      <c r="AI365" s="15">
        <f t="shared" si="107"/>
        <v>0.83673333333333266</v>
      </c>
      <c r="AJ365" s="10">
        <v>0.5</v>
      </c>
      <c r="AK365" s="10">
        <v>0.5</v>
      </c>
      <c r="AL365" s="16">
        <v>5.61</v>
      </c>
      <c r="AM365" s="9">
        <f t="shared" si="88"/>
        <v>3.8234999999999997</v>
      </c>
      <c r="AN365" s="9">
        <f t="shared" si="89"/>
        <v>0.76469999999999994</v>
      </c>
      <c r="AO365" s="9">
        <f t="shared" si="90"/>
        <v>5.0979999999999999</v>
      </c>
      <c r="AP365" s="9">
        <f t="shared" si="91"/>
        <v>0.50980000000000003</v>
      </c>
      <c r="AQ365" s="9">
        <f t="shared" si="92"/>
        <v>5.0979999999999999</v>
      </c>
      <c r="AR365" s="9">
        <f t="shared" si="93"/>
        <v>6.3724999999999996</v>
      </c>
      <c r="AS365" s="11">
        <f t="shared" si="94"/>
        <v>2.3906666666666649</v>
      </c>
      <c r="AT365" s="12">
        <f t="shared" si="95"/>
        <v>1.5409999999999986</v>
      </c>
    </row>
    <row r="366" spans="1:46" ht="16.5" x14ac:dyDescent="0.4">
      <c r="A366" s="4" t="s">
        <v>1671</v>
      </c>
      <c r="B366" s="4" t="s">
        <v>1653</v>
      </c>
      <c r="C366" s="7" t="s">
        <v>1653</v>
      </c>
      <c r="D366" s="4" t="s">
        <v>1672</v>
      </c>
      <c r="E366" s="4" t="s">
        <v>1673</v>
      </c>
      <c r="F366" s="4" t="s">
        <v>1674</v>
      </c>
      <c r="G366" s="7" t="str">
        <f>VLOOKUP(A366,[1]done!$A:$I,9,0)</f>
        <v>Mosquito/Fly</v>
      </c>
      <c r="H366" s="7" t="str" cm="1">
        <f t="array" ref="H366">_xlfn.IFS(
OR(ISNUMBER(SEARCH("mouse",E366)),ISNUMBER(SEARCH("rat",E366)),ISNUMBER(SEARCH("mice",E366)),ISNUMBER(SEARCH("rodent",E366))),"Rodent Control",
OR(ISNUMBER(SEARCH("fly",E366)),ISNUMBER(SEARCH("gnat",E366)),ISNUMBER(SEARCH("insect",E366)),ISNUMBER(SEARCH("mosquito",E366))),"Flying Insect Control",
OR(ISNUMBER(SEARCH("roach",E366)),ISNUMBER(SEARCH("ant",E366)),ISNUMBER(SEARCH("spider",E366)),ISNUMBER(SEARCH("cricket",E366)),ISNUMBER(SEARCH("scorpion",E366)),ISNUMBER(SEARCH("centipede",E366)),ISNUMBER(SEARCH("beetle",E366))),"Crawling Insect Control",
OR(ISNUMBER(SEARCH("tree",E366)),ISNUMBER(SEARCH("lantern",E366)),ISNUMBER(SEARCH("garden",E366)),ISNUMBER(SEARCH("plant",E366))),"Garden Pest Control",
OR(ISNUMBER(SEARCH("grass seed",E366)),ISNUMBER(SEARCH("seed mix",E366))),"Grass Seed",
OR(ISNUMBER(SEARCH("lawn food",E366)),ISNUMBER(SEARCH("fertilizer",E366))),"Lawn Fertilizer",
OR(ISNUMBER(SEARCH("patch",E366)),ISNUMBER(SEARCH("repair",E366)),ISNUMBER(SEARCH("thick'r",E366)),ISNUMBER(SEARCH("thick'r lawn",E366)),ISNUMBER(SEARCH("rapid grass",E366))),"Lawn Repair",
OR(ISNUMBER(SEARCH("weed",E366)),ISNUMBER(SEARCH("crabgrass",E366))),"Weed Control",
OR(ISNUMBER(SEARCH("fungicide",E366)),ISNUMBER(SEARCH("moss",E366))),"Disease &amp; Moss Control",
OR(ISNUMBER(SEARCH("plant food",E366)),ISNUMBER(SEARCH("miracid",E366))),"Plant Nutrition",
OR(ISNUMBER(SEARCH("perlite",E366))),"Soil Amendment",
OR(ISNUMBER(SEARCH("spreader",E366)),ISNUMBER(SEARCH("sprayer",E366)),ISNUMBER(SEARCH("mower",E366)),ISNUMBER(SEARCH("sweeper",E366)),ISNUMBER(SEARCH("pruner",E366)),ISNUMBER(SEARCH("trimmer",E366)),ISNUMBER(SEARCH("pole saw",E366))),"Garden Equipment",
TRUE,"Other"
)</f>
        <v>Flying Insect Control</v>
      </c>
      <c r="I366" s="7" t="str" cm="1">
        <f t="array" ref="I366">_xlfn.IFS(
OR(ISNUMBER(SEARCH("glue trap",E366)),ISNUMBER(SEARCH("glue board",E366))),"Glue Traps",
OR(ISNUMBER(SEARCH("snap trap",E366)),ISNUMBER(SEARCH("power-kill",E366)),ISNUMBER(SEARCH("wide pedal",E366)),ISNUMBER(SEARCH("metal pedal",E366))),"Snap Traps",
OR(ISNUMBER(SEARCH("electronic",E366)),ISNUMBER(SEARCH("zapper",E366))),"Electronic Traps",
OR(ISNUMBER(SEARCH("live catch",E366)),ISNUMBER(SEARCH("multi-catch",E366)),ISNUMBER(SEARCH("catch &amp; hold",E366)),ISNUMBER(SEARCH("tin cat",E366))),"Live Catch Traps",
OR(ISNUMBER(SEARCH("bait",E366)),ISNUMBER(SEARCH("poison",E366))),"Bait &amp; Poison",
ISNUMBER(SEARCH("repellent",E366)),"Repellents",
OR(ISNUMBER(SEARCH("fly trap",E366)),ISNUMBER(SEARCH("fly ribbon",E366)),ISNUMBER(SEARCH("fly stick",E366)),ISNUMBER(SEARCH("window fly",E366)),ISNUMBER(SEARCH("fly magnet",E366))),"Fly Traps",
OR(ISNUMBER(SEARCH("uv",E366)),ISNUMBER(SEARCH("fly light",E366)),ISNUMBER(SEARCH("plug-in",E366))),"UV Fly Traps",
ISNUMBER(SEARCH("roach",E366)),"Roach Traps",
ISNUMBER(SEARCH("ant",E366)),"Ant Traps",
ISNUMBER(SEARCH("spider",E366)),"Spider Traps",
ISNUMBER(SEARCH("mosquito",E366)),"Mosquito Traps",
ISNUMBER(SEARCH("beetle",E366)),"Beetle Traps",
ISNUMBER(SEARCH("lantern",E366)),"Lanternfly Control",
OR(ISNUMBER(SEARCH("tree shield",E366)),ISNUMBER(SEARCH("tree banding",E366)),ISNUMBER(SEARCH("insect barrier",E366))),"Tree Barriers",
OR(ISNUMBER(SEARCH("sun &amp; shade",E366)),ISNUMBER(SEARCH("sun and shade",E366))),"Sun &amp; Shade Mix",
ISNUMBER(SEARCH("tall fescue",E366)),"Tall Fescue",
ISNUMBER(SEARCH("bermudagrass",E366)),"Bermudagrass",
ISNUMBER(SEARCH("kentucky",E366)),"Kentucky Bluegrass",
ISNUMBER(SEARCH("zoysia",E366)),"Zoysia",
ISNUMBER(SEARCH("ryegrass",E366)),"Perennial Ryegrass",
ISNUMBER(SEARCH("centipede",E366)),"Centipede Grass",
ISNUMBER(SEARCH("dense shade",E366)),"Dense Shade Mix",
ISNUMBER(SEARCH("southern gold",E366)),"Southern Gold Mix",
ISNUMBER(SEARCH("heat-tolerant blue",E366)),"Heat-Tolerant Blue Mix",
ISNUMBER(SEARCH("high traffic",E366)),"High Traffic Mix",
ISNUMBER(SEARCH("quick fix",E366)),"Quick Fix Mix",
ISNUMBER(SEARCH("starter",E366)),"Starter Fertilizer",
ISNUMBER(SEARCH("weed &amp; feed",E366)),"Weed &amp; Feed",
ISNUMBER(SEARCH("lawn food",E366)),"Lawn Food",
ISNUMBER(SEARCH("triple action",E366)),"Triple Action Fertilizer",
ISNUMBER(SEARCH("green max",E366)),"Green Max Lawn Food",
ISNUMBER(SEARCH("patchmaster",E366)),"PatchMaster Repair",
ISNUMBER(SEARCH("ez seed",E366)),"EZ Seed Repair",
ISNUMBER(SEARCH("rapid grass",E366)),"Rapid Grass",
ISNUMBER(SEARCH("thick'r lawn",E366)),"Thick'R Lawn",
ISNUMBER(SEARCH("fungicide",E366)),"Fungicide",
ISNUMBER(SEARCH("moss",E366)),"Moss Control",
ISNUMBER(SEARCH("perlite",E366)),"Perlite",
ISNUMBER(SEARCH("plant food",E366)),"Plant Food",
ISNUMBER(SEARCH("spreader",E366)),"Spreader",
ISNUMBER(SEARCH("sprayer",E366)),"Sprayer",
ISNUMBER(SEARCH("mower",E366)),"Lawn Mower",
ISNUMBER(SEARCH("sweeper",E366)),"Lawn Sweeper",
OR(ISNUMBER(SEARCH("pruner",E366)),ISNUMBER(SEARCH("trimmer",E366)),ISNUMBER(SEARCH("pole saw",E366))),"Pruning Tools",
TRUE,"Other"
)</f>
        <v>UV Fly Traps</v>
      </c>
      <c r="J366" s="7" t="str">
        <f t="shared" si="86"/>
        <v>Flying Insect Control - UV Fly Traps</v>
      </c>
      <c r="K366" s="4">
        <v>50000</v>
      </c>
      <c r="L366" s="4">
        <v>4.3</v>
      </c>
      <c r="M366" s="4">
        <v>27981</v>
      </c>
      <c r="N366" s="4" t="s">
        <v>1675</v>
      </c>
      <c r="O366" s="4">
        <f>VLOOKUP(A366,[5]Sheet1!$A:$B,2,0)</f>
        <v>10000</v>
      </c>
      <c r="P366" s="4">
        <f>VLOOKUP(A366,[5]Sheet1!$A:$C,3,0)</f>
        <v>10000</v>
      </c>
      <c r="Q366" s="4">
        <f>VLOOKUP(A366,[5]Sheet1!$A:$D,4,0)</f>
        <v>10000</v>
      </c>
      <c r="R366" s="4">
        <f>VLOOKUP(A366,[5]Sheet1!$A:$E,5,0)</f>
        <v>30000</v>
      </c>
      <c r="S366" s="4">
        <f>VLOOKUP(A366,[5]Sheet1!$A:$F,6,0)</f>
        <v>30000</v>
      </c>
      <c r="T366" s="4">
        <f>VLOOKUP(A366,[5]Sheet1!$A:$G,7,0)</f>
        <v>40000</v>
      </c>
      <c r="U366" s="4">
        <f>VLOOKUP(A366,[5]Sheet1!$A:$H,8,0)</f>
        <v>70000</v>
      </c>
      <c r="V366" s="4">
        <f>VLOOKUP(A366,[5]Sheet1!$A:$I,9,0)</f>
        <v>70000</v>
      </c>
      <c r="W366" s="4">
        <f>VLOOKUP(A366,[5]Sheet1!$A:$J,10,0)</f>
        <v>50000</v>
      </c>
      <c r="X366" s="4">
        <f>VLOOKUP(A366,[5]Sheet1!$A:$L,11,0)</f>
        <v>70000</v>
      </c>
      <c r="Y366" s="4">
        <f>VLOOKUP(A366,[5]Sheet1!$A:$L,12,0)</f>
        <v>20000</v>
      </c>
      <c r="Z366" s="4">
        <f>VLOOKUP(A366,[5]Sheet1!$A:$M,13,0)</f>
        <v>10000</v>
      </c>
      <c r="AA366" s="4">
        <f t="shared" si="102"/>
        <v>420000</v>
      </c>
      <c r="AB366" s="7">
        <f t="shared" si="87"/>
        <v>35000</v>
      </c>
      <c r="AC366" s="15">
        <f t="shared" si="103"/>
        <v>35000</v>
      </c>
      <c r="AD366" s="16">
        <f t="shared" si="104"/>
        <v>14695800</v>
      </c>
      <c r="AE366" s="16">
        <f t="shared" si="105"/>
        <v>1224650</v>
      </c>
      <c r="AF366" s="16">
        <v>4.76</v>
      </c>
      <c r="AG366" s="16">
        <v>34.99</v>
      </c>
      <c r="AH366" s="15">
        <f t="shared" si="106"/>
        <v>0.54906666666666659</v>
      </c>
      <c r="AI366" s="15">
        <f t="shared" si="107"/>
        <v>1.9217333333333328</v>
      </c>
      <c r="AJ366" s="10">
        <v>0.5</v>
      </c>
      <c r="AK366" s="10">
        <v>0.5</v>
      </c>
      <c r="AL366" s="16">
        <v>4.76</v>
      </c>
      <c r="AM366" s="9">
        <f t="shared" si="88"/>
        <v>5.2484999999999999</v>
      </c>
      <c r="AN366" s="9">
        <f t="shared" si="89"/>
        <v>1.0497000000000001</v>
      </c>
      <c r="AO366" s="9">
        <f t="shared" si="90"/>
        <v>6.9980000000000011</v>
      </c>
      <c r="AP366" s="9">
        <f t="shared" si="91"/>
        <v>0.69980000000000009</v>
      </c>
      <c r="AQ366" s="9">
        <f t="shared" si="92"/>
        <v>6.9980000000000011</v>
      </c>
      <c r="AR366" s="9">
        <f t="shared" si="93"/>
        <v>8.7475000000000005</v>
      </c>
      <c r="AS366" s="11">
        <f t="shared" si="94"/>
        <v>5.4906666666666659</v>
      </c>
      <c r="AT366" s="12">
        <f t="shared" si="95"/>
        <v>4.3243333333333327</v>
      </c>
    </row>
    <row r="367" spans="1:46" ht="16.5" x14ac:dyDescent="0.4">
      <c r="A367" s="4" t="s">
        <v>1676</v>
      </c>
      <c r="B367" s="4" t="s">
        <v>1653</v>
      </c>
      <c r="C367" s="7" t="s">
        <v>1653</v>
      </c>
      <c r="D367" s="4" t="s">
        <v>1677</v>
      </c>
      <c r="E367" s="4" t="s">
        <v>1678</v>
      </c>
      <c r="F367" s="4" t="s">
        <v>1679</v>
      </c>
      <c r="G367" s="7" t="str">
        <f>VLOOKUP(A367,[1]done!$A:$I,9,0)</f>
        <v>Mosquito/Fly</v>
      </c>
      <c r="H367" s="7" t="str" cm="1">
        <f t="array" ref="H367">_xlfn.IFS(
OR(ISNUMBER(SEARCH("mouse",E367)),ISNUMBER(SEARCH("rat",E367)),ISNUMBER(SEARCH("mice",E367)),ISNUMBER(SEARCH("rodent",E367))),"Rodent Control",
OR(ISNUMBER(SEARCH("fly",E367)),ISNUMBER(SEARCH("gnat",E367)),ISNUMBER(SEARCH("insect",E367)),ISNUMBER(SEARCH("mosquito",E367))),"Flying Insect Control",
OR(ISNUMBER(SEARCH("roach",E367)),ISNUMBER(SEARCH("ant",E367)),ISNUMBER(SEARCH("spider",E367)),ISNUMBER(SEARCH("cricket",E367)),ISNUMBER(SEARCH("scorpion",E367)),ISNUMBER(SEARCH("centipede",E367)),ISNUMBER(SEARCH("beetle",E367))),"Crawling Insect Control",
OR(ISNUMBER(SEARCH("tree",E367)),ISNUMBER(SEARCH("lantern",E367)),ISNUMBER(SEARCH("garden",E367)),ISNUMBER(SEARCH("plant",E367))),"Garden Pest Control",
OR(ISNUMBER(SEARCH("grass seed",E367)),ISNUMBER(SEARCH("seed mix",E367))),"Grass Seed",
OR(ISNUMBER(SEARCH("lawn food",E367)),ISNUMBER(SEARCH("fertilizer",E367))),"Lawn Fertilizer",
OR(ISNUMBER(SEARCH("patch",E367)),ISNUMBER(SEARCH("repair",E367)),ISNUMBER(SEARCH("thick'r",E367)),ISNUMBER(SEARCH("thick'r lawn",E367)),ISNUMBER(SEARCH("rapid grass",E367))),"Lawn Repair",
OR(ISNUMBER(SEARCH("weed",E367)),ISNUMBER(SEARCH("crabgrass",E367))),"Weed Control",
OR(ISNUMBER(SEARCH("fungicide",E367)),ISNUMBER(SEARCH("moss",E367))),"Disease &amp; Moss Control",
OR(ISNUMBER(SEARCH("plant food",E367)),ISNUMBER(SEARCH("miracid",E367))),"Plant Nutrition",
OR(ISNUMBER(SEARCH("perlite",E367))),"Soil Amendment",
OR(ISNUMBER(SEARCH("spreader",E367)),ISNUMBER(SEARCH("sprayer",E367)),ISNUMBER(SEARCH("mower",E367)),ISNUMBER(SEARCH("sweeper",E367)),ISNUMBER(SEARCH("pruner",E367)),ISNUMBER(SEARCH("trimmer",E367)),ISNUMBER(SEARCH("pole saw",E367))),"Garden Equipment",
TRUE,"Other"
)</f>
        <v>Flying Insect Control</v>
      </c>
      <c r="I367" s="7" t="str" cm="1">
        <f t="array" ref="I367">_xlfn.IFS(
OR(ISNUMBER(SEARCH("glue trap",E367)),ISNUMBER(SEARCH("glue board",E367))),"Glue Traps",
OR(ISNUMBER(SEARCH("snap trap",E367)),ISNUMBER(SEARCH("power-kill",E367)),ISNUMBER(SEARCH("wide pedal",E367)),ISNUMBER(SEARCH("metal pedal",E367))),"Snap Traps",
OR(ISNUMBER(SEARCH("electronic",E367)),ISNUMBER(SEARCH("zapper",E367))),"Electronic Traps",
OR(ISNUMBER(SEARCH("live catch",E367)),ISNUMBER(SEARCH("multi-catch",E367)),ISNUMBER(SEARCH("catch &amp; hold",E367)),ISNUMBER(SEARCH("tin cat",E367))),"Live Catch Traps",
OR(ISNUMBER(SEARCH("bait",E367)),ISNUMBER(SEARCH("poison",E367))),"Bait &amp; Poison",
ISNUMBER(SEARCH("repellent",E367)),"Repellents",
OR(ISNUMBER(SEARCH("fly trap",E367)),ISNUMBER(SEARCH("fly ribbon",E367)),ISNUMBER(SEARCH("fly stick",E367)),ISNUMBER(SEARCH("window fly",E367)),ISNUMBER(SEARCH("fly magnet",E367))),"Fly Traps",
OR(ISNUMBER(SEARCH("uv",E367)),ISNUMBER(SEARCH("fly light",E367)),ISNUMBER(SEARCH("plug-in",E367))),"UV Fly Traps",
ISNUMBER(SEARCH("roach",E367)),"Roach Traps",
ISNUMBER(SEARCH("ant",E367)),"Ant Traps",
ISNUMBER(SEARCH("spider",E367)),"Spider Traps",
ISNUMBER(SEARCH("mosquito",E367)),"Mosquito Traps",
ISNUMBER(SEARCH("beetle",E367)),"Beetle Traps",
ISNUMBER(SEARCH("lantern",E367)),"Lanternfly Control",
OR(ISNUMBER(SEARCH("tree shield",E367)),ISNUMBER(SEARCH("tree banding",E367)),ISNUMBER(SEARCH("insect barrier",E367))),"Tree Barriers",
OR(ISNUMBER(SEARCH("sun &amp; shade",E367)),ISNUMBER(SEARCH("sun and shade",E367))),"Sun &amp; Shade Mix",
ISNUMBER(SEARCH("tall fescue",E367)),"Tall Fescue",
ISNUMBER(SEARCH("bermudagrass",E367)),"Bermudagrass",
ISNUMBER(SEARCH("kentucky",E367)),"Kentucky Bluegrass",
ISNUMBER(SEARCH("zoysia",E367)),"Zoysia",
ISNUMBER(SEARCH("ryegrass",E367)),"Perennial Ryegrass",
ISNUMBER(SEARCH("centipede",E367)),"Centipede Grass",
ISNUMBER(SEARCH("dense shade",E367)),"Dense Shade Mix",
ISNUMBER(SEARCH("southern gold",E367)),"Southern Gold Mix",
ISNUMBER(SEARCH("heat-tolerant blue",E367)),"Heat-Tolerant Blue Mix",
ISNUMBER(SEARCH("high traffic",E367)),"High Traffic Mix",
ISNUMBER(SEARCH("quick fix",E367)),"Quick Fix Mix",
ISNUMBER(SEARCH("starter",E367)),"Starter Fertilizer",
ISNUMBER(SEARCH("weed &amp; feed",E367)),"Weed &amp; Feed",
ISNUMBER(SEARCH("lawn food",E367)),"Lawn Food",
ISNUMBER(SEARCH("triple action",E367)),"Triple Action Fertilizer",
ISNUMBER(SEARCH("green max",E367)),"Green Max Lawn Food",
ISNUMBER(SEARCH("patchmaster",E367)),"PatchMaster Repair",
ISNUMBER(SEARCH("ez seed",E367)),"EZ Seed Repair",
ISNUMBER(SEARCH("rapid grass",E367)),"Rapid Grass",
ISNUMBER(SEARCH("thick'r lawn",E367)),"Thick'R Lawn",
ISNUMBER(SEARCH("fungicide",E367)),"Fungicide",
ISNUMBER(SEARCH("moss",E367)),"Moss Control",
ISNUMBER(SEARCH("perlite",E367)),"Perlite",
ISNUMBER(SEARCH("plant food",E367)),"Plant Food",
ISNUMBER(SEARCH("spreader",E367)),"Spreader",
ISNUMBER(SEARCH("sprayer",E367)),"Sprayer",
ISNUMBER(SEARCH("mower",E367)),"Lawn Mower",
ISNUMBER(SEARCH("sweeper",E367)),"Lawn Sweeper",
OR(ISNUMBER(SEARCH("pruner",E367)),ISNUMBER(SEARCH("trimmer",E367)),ISNUMBER(SEARCH("pole saw",E367))),"Pruning Tools",
TRUE,"Other"
)</f>
        <v>Other</v>
      </c>
      <c r="J367" s="7" t="str">
        <f t="shared" si="86"/>
        <v>Flying Insect Control - Other</v>
      </c>
      <c r="K367" s="4">
        <v>20000</v>
      </c>
      <c r="L367" s="4">
        <v>4.8</v>
      </c>
      <c r="M367" s="4">
        <v>2660</v>
      </c>
      <c r="O367" s="4">
        <f>VLOOKUP(A367,[5]Sheet1!$A:$B,2,0)</f>
        <v>2000</v>
      </c>
      <c r="P367" s="4">
        <f>VLOOKUP(A367,[5]Sheet1!$A:$C,3,0)</f>
        <v>2000</v>
      </c>
      <c r="Q367" s="4">
        <f>VLOOKUP(A367,[5]Sheet1!$A:$D,4,0)</f>
        <v>2000</v>
      </c>
      <c r="R367" s="4">
        <f>VLOOKUP(A367,[5]Sheet1!$A:$E,5,0)</f>
        <v>6000</v>
      </c>
      <c r="S367" s="4">
        <f>VLOOKUP(A367,[5]Sheet1!$A:$F,6,0)</f>
        <v>10000</v>
      </c>
      <c r="T367" s="4">
        <f>VLOOKUP(A367,[5]Sheet1!$A:$G,7,0)</f>
        <v>10000</v>
      </c>
      <c r="U367" s="4">
        <f>VLOOKUP(A367,[5]Sheet1!$A:$H,8,0)</f>
        <v>50000</v>
      </c>
      <c r="V367" s="4">
        <f>VLOOKUP(A367,[5]Sheet1!$A:$I,9,0)</f>
        <v>30000</v>
      </c>
      <c r="W367" s="4">
        <f>VLOOKUP(A367,[5]Sheet1!$A:$J,10,0)</f>
        <v>20000</v>
      </c>
      <c r="X367" s="4">
        <f>VLOOKUP(A367,[5]Sheet1!$A:$L,11,0)</f>
        <v>2000</v>
      </c>
      <c r="Y367" s="4">
        <f>VLOOKUP(A367,[5]Sheet1!$A:$L,12,0)</f>
        <v>4000</v>
      </c>
      <c r="Z367" s="4">
        <f>VLOOKUP(A367,[5]Sheet1!$A:$M,13,0)</f>
        <v>2000</v>
      </c>
      <c r="AA367" s="4">
        <f t="shared" si="102"/>
        <v>140000</v>
      </c>
      <c r="AB367" s="7">
        <f t="shared" si="87"/>
        <v>11667</v>
      </c>
      <c r="AC367" s="15">
        <f t="shared" si="103"/>
        <v>11666.666666666666</v>
      </c>
      <c r="AD367" s="16">
        <f t="shared" si="104"/>
        <v>4053000</v>
      </c>
      <c r="AE367" s="16">
        <f t="shared" si="105"/>
        <v>337750</v>
      </c>
      <c r="AF367" s="16">
        <v>5.76</v>
      </c>
      <c r="AG367" s="16">
        <v>28.95</v>
      </c>
      <c r="AH367" s="15">
        <f t="shared" si="106"/>
        <v>0.32133333333333319</v>
      </c>
      <c r="AI367" s="15">
        <f t="shared" si="107"/>
        <v>1.124666666666666</v>
      </c>
      <c r="AJ367" s="10">
        <v>0.5</v>
      </c>
      <c r="AK367" s="10">
        <v>0.5</v>
      </c>
      <c r="AL367" s="16">
        <v>5.76</v>
      </c>
      <c r="AM367" s="9">
        <f t="shared" si="88"/>
        <v>4.3424999999999994</v>
      </c>
      <c r="AN367" s="9">
        <f t="shared" si="89"/>
        <v>0.86849999999999994</v>
      </c>
      <c r="AO367" s="9">
        <f t="shared" si="90"/>
        <v>5.79</v>
      </c>
      <c r="AP367" s="9">
        <f t="shared" si="91"/>
        <v>0.57899999999999996</v>
      </c>
      <c r="AQ367" s="9">
        <f t="shared" si="92"/>
        <v>5.79</v>
      </c>
      <c r="AR367" s="9">
        <f t="shared" si="93"/>
        <v>7.2374999999999998</v>
      </c>
      <c r="AS367" s="11">
        <f t="shared" si="94"/>
        <v>3.2133333333333316</v>
      </c>
      <c r="AT367" s="12">
        <f t="shared" si="95"/>
        <v>2.2483333333333317</v>
      </c>
    </row>
    <row r="368" spans="1:46" ht="16.5" x14ac:dyDescent="0.4">
      <c r="A368" s="4" t="s">
        <v>1680</v>
      </c>
      <c r="B368" s="4" t="s">
        <v>1653</v>
      </c>
      <c r="C368" s="7" t="s">
        <v>1653</v>
      </c>
      <c r="D368" s="4" t="s">
        <v>1681</v>
      </c>
      <c r="E368" s="4" t="s">
        <v>1682</v>
      </c>
      <c r="F368" s="4" t="s">
        <v>1683</v>
      </c>
      <c r="G368" s="7" t="str">
        <f>VLOOKUP(A368,[1]done!$A:$I,9,0)</f>
        <v>Mosquito/Fly</v>
      </c>
      <c r="H368" s="7" t="str" cm="1">
        <f t="array" ref="H368">_xlfn.IFS(
OR(ISNUMBER(SEARCH("mouse",E368)),ISNUMBER(SEARCH("rat",E368)),ISNUMBER(SEARCH("mice",E368)),ISNUMBER(SEARCH("rodent",E368))),"Rodent Control",
OR(ISNUMBER(SEARCH("fly",E368)),ISNUMBER(SEARCH("gnat",E368)),ISNUMBER(SEARCH("insect",E368)),ISNUMBER(SEARCH("mosquito",E368))),"Flying Insect Control",
OR(ISNUMBER(SEARCH("roach",E368)),ISNUMBER(SEARCH("ant",E368)),ISNUMBER(SEARCH("spider",E368)),ISNUMBER(SEARCH("cricket",E368)),ISNUMBER(SEARCH("scorpion",E368)),ISNUMBER(SEARCH("centipede",E368)),ISNUMBER(SEARCH("beetle",E368))),"Crawling Insect Control",
OR(ISNUMBER(SEARCH("tree",E368)),ISNUMBER(SEARCH("lantern",E368)),ISNUMBER(SEARCH("garden",E368)),ISNUMBER(SEARCH("plant",E368))),"Garden Pest Control",
OR(ISNUMBER(SEARCH("grass seed",E368)),ISNUMBER(SEARCH("seed mix",E368))),"Grass Seed",
OR(ISNUMBER(SEARCH("lawn food",E368)),ISNUMBER(SEARCH("fertilizer",E368))),"Lawn Fertilizer",
OR(ISNUMBER(SEARCH("patch",E368)),ISNUMBER(SEARCH("repair",E368)),ISNUMBER(SEARCH("thick'r",E368)),ISNUMBER(SEARCH("thick'r lawn",E368)),ISNUMBER(SEARCH("rapid grass",E368))),"Lawn Repair",
OR(ISNUMBER(SEARCH("weed",E368)),ISNUMBER(SEARCH("crabgrass",E368))),"Weed Control",
OR(ISNUMBER(SEARCH("fungicide",E368)),ISNUMBER(SEARCH("moss",E368))),"Disease &amp; Moss Control",
OR(ISNUMBER(SEARCH("plant food",E368)),ISNUMBER(SEARCH("miracid",E368))),"Plant Nutrition",
OR(ISNUMBER(SEARCH("perlite",E368))),"Soil Amendment",
OR(ISNUMBER(SEARCH("spreader",E368)),ISNUMBER(SEARCH("sprayer",E368)),ISNUMBER(SEARCH("mower",E368)),ISNUMBER(SEARCH("sweeper",E368)),ISNUMBER(SEARCH("pruner",E368)),ISNUMBER(SEARCH("trimmer",E368)),ISNUMBER(SEARCH("pole saw",E368))),"Garden Equipment",
TRUE,"Other"
)</f>
        <v>Flying Insect Control</v>
      </c>
      <c r="I368" s="7" t="str" cm="1">
        <f t="array" ref="I368">_xlfn.IFS(
OR(ISNUMBER(SEARCH("glue trap",E368)),ISNUMBER(SEARCH("glue board",E368))),"Glue Traps",
OR(ISNUMBER(SEARCH("snap trap",E368)),ISNUMBER(SEARCH("power-kill",E368)),ISNUMBER(SEARCH("wide pedal",E368)),ISNUMBER(SEARCH("metal pedal",E368))),"Snap Traps",
OR(ISNUMBER(SEARCH("electronic",E368)),ISNUMBER(SEARCH("zapper",E368))),"Electronic Traps",
OR(ISNUMBER(SEARCH("live catch",E368)),ISNUMBER(SEARCH("multi-catch",E368)),ISNUMBER(SEARCH("catch &amp; hold",E368)),ISNUMBER(SEARCH("tin cat",E368))),"Live Catch Traps",
OR(ISNUMBER(SEARCH("bait",E368)),ISNUMBER(SEARCH("poison",E368))),"Bait &amp; Poison",
ISNUMBER(SEARCH("repellent",E368)),"Repellents",
OR(ISNUMBER(SEARCH("fly trap",E368)),ISNUMBER(SEARCH("fly ribbon",E368)),ISNUMBER(SEARCH("fly stick",E368)),ISNUMBER(SEARCH("window fly",E368)),ISNUMBER(SEARCH("fly magnet",E368))),"Fly Traps",
OR(ISNUMBER(SEARCH("uv",E368)),ISNUMBER(SEARCH("fly light",E368)),ISNUMBER(SEARCH("plug-in",E368))),"UV Fly Traps",
ISNUMBER(SEARCH("roach",E368)),"Roach Traps",
ISNUMBER(SEARCH("ant",E368)),"Ant Traps",
ISNUMBER(SEARCH("spider",E368)),"Spider Traps",
ISNUMBER(SEARCH("mosquito",E368)),"Mosquito Traps",
ISNUMBER(SEARCH("beetle",E368)),"Beetle Traps",
ISNUMBER(SEARCH("lantern",E368)),"Lanternfly Control",
OR(ISNUMBER(SEARCH("tree shield",E368)),ISNUMBER(SEARCH("tree banding",E368)),ISNUMBER(SEARCH("insect barrier",E368))),"Tree Barriers",
OR(ISNUMBER(SEARCH("sun &amp; shade",E368)),ISNUMBER(SEARCH("sun and shade",E368))),"Sun &amp; Shade Mix",
ISNUMBER(SEARCH("tall fescue",E368)),"Tall Fescue",
ISNUMBER(SEARCH("bermudagrass",E368)),"Bermudagrass",
ISNUMBER(SEARCH("kentucky",E368)),"Kentucky Bluegrass",
ISNUMBER(SEARCH("zoysia",E368)),"Zoysia",
ISNUMBER(SEARCH("ryegrass",E368)),"Perennial Ryegrass",
ISNUMBER(SEARCH("centipede",E368)),"Centipede Grass",
ISNUMBER(SEARCH("dense shade",E368)),"Dense Shade Mix",
ISNUMBER(SEARCH("southern gold",E368)),"Southern Gold Mix",
ISNUMBER(SEARCH("heat-tolerant blue",E368)),"Heat-Tolerant Blue Mix",
ISNUMBER(SEARCH("high traffic",E368)),"High Traffic Mix",
ISNUMBER(SEARCH("quick fix",E368)),"Quick Fix Mix",
ISNUMBER(SEARCH("starter",E368)),"Starter Fertilizer",
ISNUMBER(SEARCH("weed &amp; feed",E368)),"Weed &amp; Feed",
ISNUMBER(SEARCH("lawn food",E368)),"Lawn Food",
ISNUMBER(SEARCH("triple action",E368)),"Triple Action Fertilizer",
ISNUMBER(SEARCH("green max",E368)),"Green Max Lawn Food",
ISNUMBER(SEARCH("patchmaster",E368)),"PatchMaster Repair",
ISNUMBER(SEARCH("ez seed",E368)),"EZ Seed Repair",
ISNUMBER(SEARCH("rapid grass",E368)),"Rapid Grass",
ISNUMBER(SEARCH("thick'r lawn",E368)),"Thick'R Lawn",
ISNUMBER(SEARCH("fungicide",E368)),"Fungicide",
ISNUMBER(SEARCH("moss",E368)),"Moss Control",
ISNUMBER(SEARCH("perlite",E368)),"Perlite",
ISNUMBER(SEARCH("plant food",E368)),"Plant Food",
ISNUMBER(SEARCH("spreader",E368)),"Spreader",
ISNUMBER(SEARCH("sprayer",E368)),"Sprayer",
ISNUMBER(SEARCH("mower",E368)),"Lawn Mower",
ISNUMBER(SEARCH("sweeper",E368)),"Lawn Sweeper",
OR(ISNUMBER(SEARCH("pruner",E368)),ISNUMBER(SEARCH("trimmer",E368)),ISNUMBER(SEARCH("pole saw",E368))),"Pruning Tools",
TRUE,"Other"
)</f>
        <v>UV Fly Traps</v>
      </c>
      <c r="J368" s="7" t="str">
        <f t="shared" si="86"/>
        <v>Flying Insect Control - UV Fly Traps</v>
      </c>
      <c r="K368" s="4">
        <v>20000</v>
      </c>
      <c r="L368" s="4">
        <v>4.3</v>
      </c>
      <c r="M368" s="4">
        <v>7983</v>
      </c>
      <c r="N368" s="4" t="s">
        <v>1684</v>
      </c>
      <c r="O368" s="4">
        <f>VLOOKUP(A368,[5]Sheet1!$A:$B,2,0)</f>
        <v>3000</v>
      </c>
      <c r="P368" s="4">
        <f>VLOOKUP(A368,[5]Sheet1!$A:$C,3,0)</f>
        <v>3000</v>
      </c>
      <c r="Q368" s="4">
        <f>VLOOKUP(A368,[5]Sheet1!$A:$D,4,0)</f>
        <v>3000</v>
      </c>
      <c r="R368" s="4">
        <f>VLOOKUP(A368,[5]Sheet1!$A:$E,5,0)</f>
        <v>10000</v>
      </c>
      <c r="S368" s="4">
        <f>VLOOKUP(A368,[5]Sheet1!$A:$F,6,0)</f>
        <v>10000</v>
      </c>
      <c r="T368" s="4">
        <f>VLOOKUP(A368,[5]Sheet1!$A:$G,7,0)</f>
        <v>10000</v>
      </c>
      <c r="U368" s="4">
        <f>VLOOKUP(A368,[5]Sheet1!$A:$H,8,0)</f>
        <v>40000</v>
      </c>
      <c r="V368" s="4">
        <f>VLOOKUP(A368,[5]Sheet1!$A:$I,9,0)</f>
        <v>20000</v>
      </c>
      <c r="W368" s="4">
        <f>VLOOKUP(A368,[5]Sheet1!$A:$J,10,0)</f>
        <v>20000</v>
      </c>
      <c r="X368" s="4">
        <f>VLOOKUP(A368,[5]Sheet1!$A:$L,11,0)</f>
        <v>20000</v>
      </c>
      <c r="Y368" s="4">
        <f>VLOOKUP(A368,[5]Sheet1!$A:$L,12,0)</f>
        <v>10000</v>
      </c>
      <c r="Z368" s="4">
        <f>VLOOKUP(A368,[5]Sheet1!$A:$M,13,0)</f>
        <v>10000</v>
      </c>
      <c r="AA368" s="4">
        <f t="shared" si="102"/>
        <v>159000</v>
      </c>
      <c r="AB368" s="7">
        <f t="shared" si="87"/>
        <v>13250</v>
      </c>
      <c r="AC368" s="15">
        <f t="shared" si="103"/>
        <v>13250</v>
      </c>
      <c r="AD368" s="16">
        <f t="shared" si="104"/>
        <v>6765450</v>
      </c>
      <c r="AE368" s="16">
        <f t="shared" si="105"/>
        <v>563787.5</v>
      </c>
      <c r="AF368" s="16">
        <v>5.22</v>
      </c>
      <c r="AG368" s="16">
        <v>42.55</v>
      </c>
      <c r="AH368" s="15">
        <f t="shared" si="106"/>
        <v>0.72</v>
      </c>
      <c r="AI368" s="15">
        <f t="shared" si="107"/>
        <v>2.5199999999999996</v>
      </c>
      <c r="AJ368" s="10">
        <v>0.5</v>
      </c>
      <c r="AK368" s="10">
        <v>0.5</v>
      </c>
      <c r="AL368" s="16">
        <v>5.22</v>
      </c>
      <c r="AM368" s="9">
        <f t="shared" si="88"/>
        <v>6.3824999999999994</v>
      </c>
      <c r="AN368" s="9">
        <f t="shared" si="89"/>
        <v>1.2765</v>
      </c>
      <c r="AO368" s="9">
        <f t="shared" si="90"/>
        <v>8.51</v>
      </c>
      <c r="AP368" s="9">
        <f t="shared" si="91"/>
        <v>0.85099999999999998</v>
      </c>
      <c r="AQ368" s="9">
        <f t="shared" si="92"/>
        <v>8.51</v>
      </c>
      <c r="AR368" s="9">
        <f t="shared" si="93"/>
        <v>10.637499999999999</v>
      </c>
      <c r="AS368" s="11">
        <f t="shared" si="94"/>
        <v>7.1999999999999993</v>
      </c>
      <c r="AT368" s="12">
        <f t="shared" si="95"/>
        <v>5.7816666666666663</v>
      </c>
    </row>
    <row r="369" spans="1:46" ht="16.5" x14ac:dyDescent="0.4">
      <c r="A369" s="4" t="s">
        <v>1685</v>
      </c>
      <c r="B369" s="4" t="s">
        <v>1653</v>
      </c>
      <c r="C369" s="7" t="s">
        <v>1653</v>
      </c>
      <c r="D369" s="4" t="s">
        <v>1686</v>
      </c>
      <c r="E369" s="4" t="s">
        <v>1687</v>
      </c>
      <c r="F369" s="4" t="s">
        <v>1688</v>
      </c>
      <c r="G369" s="7" t="str">
        <f>VLOOKUP(A369,[1]done!$A:$I,9,0)</f>
        <v>Mosquito/Fly</v>
      </c>
      <c r="H369" s="7" t="str" cm="1">
        <f t="array" ref="H369">_xlfn.IFS(
OR(ISNUMBER(SEARCH("mouse",E369)),ISNUMBER(SEARCH("rat",E369)),ISNUMBER(SEARCH("mice",E369)),ISNUMBER(SEARCH("rodent",E369))),"Rodent Control",
OR(ISNUMBER(SEARCH("fly",E369)),ISNUMBER(SEARCH("gnat",E369)),ISNUMBER(SEARCH("insect",E369)),ISNUMBER(SEARCH("mosquito",E369))),"Flying Insect Control",
OR(ISNUMBER(SEARCH("roach",E369)),ISNUMBER(SEARCH("ant",E369)),ISNUMBER(SEARCH("spider",E369)),ISNUMBER(SEARCH("cricket",E369)),ISNUMBER(SEARCH("scorpion",E369)),ISNUMBER(SEARCH("centipede",E369)),ISNUMBER(SEARCH("beetle",E369))),"Crawling Insect Control",
OR(ISNUMBER(SEARCH("tree",E369)),ISNUMBER(SEARCH("lantern",E369)),ISNUMBER(SEARCH("garden",E369)),ISNUMBER(SEARCH("plant",E369))),"Garden Pest Control",
OR(ISNUMBER(SEARCH("grass seed",E369)),ISNUMBER(SEARCH("seed mix",E369))),"Grass Seed",
OR(ISNUMBER(SEARCH("lawn food",E369)),ISNUMBER(SEARCH("fertilizer",E369))),"Lawn Fertilizer",
OR(ISNUMBER(SEARCH("patch",E369)),ISNUMBER(SEARCH("repair",E369)),ISNUMBER(SEARCH("thick'r",E369)),ISNUMBER(SEARCH("thick'r lawn",E369)),ISNUMBER(SEARCH("rapid grass",E369))),"Lawn Repair",
OR(ISNUMBER(SEARCH("weed",E369)),ISNUMBER(SEARCH("crabgrass",E369))),"Weed Control",
OR(ISNUMBER(SEARCH("fungicide",E369)),ISNUMBER(SEARCH("moss",E369))),"Disease &amp; Moss Control",
OR(ISNUMBER(SEARCH("plant food",E369)),ISNUMBER(SEARCH("miracid",E369))),"Plant Nutrition",
OR(ISNUMBER(SEARCH("perlite",E369))),"Soil Amendment",
OR(ISNUMBER(SEARCH("spreader",E369)),ISNUMBER(SEARCH("sprayer",E369)),ISNUMBER(SEARCH("mower",E369)),ISNUMBER(SEARCH("sweeper",E369)),ISNUMBER(SEARCH("pruner",E369)),ISNUMBER(SEARCH("trimmer",E369)),ISNUMBER(SEARCH("pole saw",E369))),"Garden Equipment",
TRUE,"Other"
)</f>
        <v>Flying Insect Control</v>
      </c>
      <c r="I369" s="7" t="str" cm="1">
        <f t="array" ref="I369">_xlfn.IFS(
OR(ISNUMBER(SEARCH("glue trap",E369)),ISNUMBER(SEARCH("glue board",E369))),"Glue Traps",
OR(ISNUMBER(SEARCH("snap trap",E369)),ISNUMBER(SEARCH("power-kill",E369)),ISNUMBER(SEARCH("wide pedal",E369)),ISNUMBER(SEARCH("metal pedal",E369))),"Snap Traps",
OR(ISNUMBER(SEARCH("electronic",E369)),ISNUMBER(SEARCH("zapper",E369))),"Electronic Traps",
OR(ISNUMBER(SEARCH("live catch",E369)),ISNUMBER(SEARCH("multi-catch",E369)),ISNUMBER(SEARCH("catch &amp; hold",E369)),ISNUMBER(SEARCH("tin cat",E369))),"Live Catch Traps",
OR(ISNUMBER(SEARCH("bait",E369)),ISNUMBER(SEARCH("poison",E369))),"Bait &amp; Poison",
ISNUMBER(SEARCH("repellent",E369)),"Repellents",
OR(ISNUMBER(SEARCH("fly trap",E369)),ISNUMBER(SEARCH("fly ribbon",E369)),ISNUMBER(SEARCH("fly stick",E369)),ISNUMBER(SEARCH("window fly",E369)),ISNUMBER(SEARCH("fly magnet",E369))),"Fly Traps",
OR(ISNUMBER(SEARCH("uv",E369)),ISNUMBER(SEARCH("fly light",E369)),ISNUMBER(SEARCH("plug-in",E369))),"UV Fly Traps",
ISNUMBER(SEARCH("roach",E369)),"Roach Traps",
ISNUMBER(SEARCH("ant",E369)),"Ant Traps",
ISNUMBER(SEARCH("spider",E369)),"Spider Traps",
ISNUMBER(SEARCH("mosquito",E369)),"Mosquito Traps",
ISNUMBER(SEARCH("beetle",E369)),"Beetle Traps",
ISNUMBER(SEARCH("lantern",E369)),"Lanternfly Control",
OR(ISNUMBER(SEARCH("tree shield",E369)),ISNUMBER(SEARCH("tree banding",E369)),ISNUMBER(SEARCH("insect barrier",E369))),"Tree Barriers",
OR(ISNUMBER(SEARCH("sun &amp; shade",E369)),ISNUMBER(SEARCH("sun and shade",E369))),"Sun &amp; Shade Mix",
ISNUMBER(SEARCH("tall fescue",E369)),"Tall Fescue",
ISNUMBER(SEARCH("bermudagrass",E369)),"Bermudagrass",
ISNUMBER(SEARCH("kentucky",E369)),"Kentucky Bluegrass",
ISNUMBER(SEARCH("zoysia",E369)),"Zoysia",
ISNUMBER(SEARCH("ryegrass",E369)),"Perennial Ryegrass",
ISNUMBER(SEARCH("centipede",E369)),"Centipede Grass",
ISNUMBER(SEARCH("dense shade",E369)),"Dense Shade Mix",
ISNUMBER(SEARCH("southern gold",E369)),"Southern Gold Mix",
ISNUMBER(SEARCH("heat-tolerant blue",E369)),"Heat-Tolerant Blue Mix",
ISNUMBER(SEARCH("high traffic",E369)),"High Traffic Mix",
ISNUMBER(SEARCH("quick fix",E369)),"Quick Fix Mix",
ISNUMBER(SEARCH("starter",E369)),"Starter Fertilizer",
ISNUMBER(SEARCH("weed &amp; feed",E369)),"Weed &amp; Feed",
ISNUMBER(SEARCH("lawn food",E369)),"Lawn Food",
ISNUMBER(SEARCH("triple action",E369)),"Triple Action Fertilizer",
ISNUMBER(SEARCH("green max",E369)),"Green Max Lawn Food",
ISNUMBER(SEARCH("patchmaster",E369)),"PatchMaster Repair",
ISNUMBER(SEARCH("ez seed",E369)),"EZ Seed Repair",
ISNUMBER(SEARCH("rapid grass",E369)),"Rapid Grass",
ISNUMBER(SEARCH("thick'r lawn",E369)),"Thick'R Lawn",
ISNUMBER(SEARCH("fungicide",E369)),"Fungicide",
ISNUMBER(SEARCH("moss",E369)),"Moss Control",
ISNUMBER(SEARCH("perlite",E369)),"Perlite",
ISNUMBER(SEARCH("plant food",E369)),"Plant Food",
ISNUMBER(SEARCH("spreader",E369)),"Spreader",
ISNUMBER(SEARCH("sprayer",E369)),"Sprayer",
ISNUMBER(SEARCH("mower",E369)),"Lawn Mower",
ISNUMBER(SEARCH("sweeper",E369)),"Lawn Sweeper",
OR(ISNUMBER(SEARCH("pruner",E369)),ISNUMBER(SEARCH("trimmer",E369)),ISNUMBER(SEARCH("pole saw",E369))),"Pruning Tools",
TRUE,"Other"
)</f>
        <v>Other</v>
      </c>
      <c r="J369" s="7" t="str">
        <f t="shared" si="86"/>
        <v>Flying Insect Control - Other</v>
      </c>
      <c r="K369" s="4">
        <v>10000</v>
      </c>
      <c r="L369" s="4">
        <v>4.5</v>
      </c>
      <c r="M369" s="4">
        <v>1012</v>
      </c>
      <c r="O369" s="4">
        <f>VLOOKUP(A369,[5]Sheet1!$A:$B,2,0)</f>
        <v>0</v>
      </c>
      <c r="P369" s="4">
        <f>VLOOKUP(A369,[5]Sheet1!$A:$C,3,0)</f>
        <v>0</v>
      </c>
      <c r="Q369" s="4">
        <f>VLOOKUP(A369,[5]Sheet1!$A:$D,4,0)</f>
        <v>0</v>
      </c>
      <c r="R369" s="4">
        <f>VLOOKUP(A369,[5]Sheet1!$A:$E,5,0)</f>
        <v>0</v>
      </c>
      <c r="S369" s="4">
        <f>VLOOKUP(A369,[5]Sheet1!$A:$F,6,0)</f>
        <v>6000</v>
      </c>
      <c r="T369" s="4">
        <f>VLOOKUP(A369,[5]Sheet1!$A:$G,7,0)</f>
        <v>9000</v>
      </c>
      <c r="U369" s="4">
        <f>VLOOKUP(A369,[5]Sheet1!$A:$H,8,0)</f>
        <v>10000</v>
      </c>
      <c r="V369" s="4">
        <f>VLOOKUP(A369,[5]Sheet1!$A:$I,9,0)</f>
        <v>8000</v>
      </c>
      <c r="W369" s="4">
        <f>VLOOKUP(A369,[5]Sheet1!$A:$J,10,0)</f>
        <v>7000</v>
      </c>
      <c r="X369" s="4">
        <f>VLOOKUP(A369,[5]Sheet1!$A:$L,11,0)</f>
        <v>0</v>
      </c>
      <c r="Y369" s="4">
        <f>VLOOKUP(A369,[5]Sheet1!$A:$L,12,0)</f>
        <v>0</v>
      </c>
      <c r="Z369" s="4">
        <f>VLOOKUP(A369,[5]Sheet1!$A:$M,13,0)</f>
        <v>0</v>
      </c>
      <c r="AA369" s="4">
        <f t="shared" si="102"/>
        <v>40000</v>
      </c>
      <c r="AB369" s="7">
        <f t="shared" si="87"/>
        <v>3333</v>
      </c>
      <c r="AC369" s="15">
        <f t="shared" si="103"/>
        <v>3333.3333333333335</v>
      </c>
      <c r="AD369" s="16">
        <f t="shared" si="104"/>
        <v>897600</v>
      </c>
      <c r="AE369" s="16">
        <f t="shared" si="105"/>
        <v>74800.000000000015</v>
      </c>
      <c r="AF369" s="16">
        <v>4.76</v>
      </c>
      <c r="AG369" s="16">
        <v>22.44</v>
      </c>
      <c r="AH369" s="15">
        <f t="shared" si="106"/>
        <v>0.21440000000000003</v>
      </c>
      <c r="AI369" s="15">
        <f t="shared" si="107"/>
        <v>0.75039999999999996</v>
      </c>
      <c r="AJ369" s="10">
        <v>0.5</v>
      </c>
      <c r="AK369" s="10">
        <v>0.5</v>
      </c>
      <c r="AL369" s="16">
        <v>4.76</v>
      </c>
      <c r="AM369" s="9">
        <f t="shared" si="88"/>
        <v>3.3660000000000001</v>
      </c>
      <c r="AN369" s="9">
        <f t="shared" si="89"/>
        <v>0.67320000000000002</v>
      </c>
      <c r="AO369" s="9">
        <f t="shared" si="90"/>
        <v>4.4880000000000004</v>
      </c>
      <c r="AP369" s="9">
        <f t="shared" si="91"/>
        <v>0.44880000000000003</v>
      </c>
      <c r="AQ369" s="9">
        <f t="shared" si="92"/>
        <v>4.4880000000000004</v>
      </c>
      <c r="AR369" s="9">
        <f t="shared" si="93"/>
        <v>5.61</v>
      </c>
      <c r="AS369" s="11">
        <f t="shared" si="94"/>
        <v>2.1440000000000001</v>
      </c>
      <c r="AT369" s="12">
        <f t="shared" si="95"/>
        <v>1.3960000000000001</v>
      </c>
    </row>
    <row r="370" spans="1:46" ht="16.5" x14ac:dyDescent="0.4">
      <c r="A370" s="4" t="s">
        <v>1689</v>
      </c>
      <c r="B370" s="4" t="s">
        <v>1653</v>
      </c>
      <c r="C370" s="7" t="s">
        <v>1653</v>
      </c>
      <c r="D370" s="4" t="s">
        <v>1690</v>
      </c>
      <c r="E370" s="4" t="s">
        <v>1691</v>
      </c>
      <c r="F370" s="4" t="s">
        <v>1692</v>
      </c>
      <c r="G370" s="7" t="str">
        <f>VLOOKUP(A370,[1]done!$A:$I,9,0)</f>
        <v>Mosquito/Fly</v>
      </c>
      <c r="H370" s="7" t="str" cm="1">
        <f t="array" ref="H370">_xlfn.IFS(
OR(ISNUMBER(SEARCH("mouse",E370)),ISNUMBER(SEARCH("rat",E370)),ISNUMBER(SEARCH("mice",E370)),ISNUMBER(SEARCH("rodent",E370))),"Rodent Control",
OR(ISNUMBER(SEARCH("fly",E370)),ISNUMBER(SEARCH("gnat",E370)),ISNUMBER(SEARCH("insect",E370)),ISNUMBER(SEARCH("mosquito",E370))),"Flying Insect Control",
OR(ISNUMBER(SEARCH("roach",E370)),ISNUMBER(SEARCH("ant",E370)),ISNUMBER(SEARCH("spider",E370)),ISNUMBER(SEARCH("cricket",E370)),ISNUMBER(SEARCH("scorpion",E370)),ISNUMBER(SEARCH("centipede",E370)),ISNUMBER(SEARCH("beetle",E370))),"Crawling Insect Control",
OR(ISNUMBER(SEARCH("tree",E370)),ISNUMBER(SEARCH("lantern",E370)),ISNUMBER(SEARCH("garden",E370)),ISNUMBER(SEARCH("plant",E370))),"Garden Pest Control",
OR(ISNUMBER(SEARCH("grass seed",E370)),ISNUMBER(SEARCH("seed mix",E370))),"Grass Seed",
OR(ISNUMBER(SEARCH("lawn food",E370)),ISNUMBER(SEARCH("fertilizer",E370))),"Lawn Fertilizer",
OR(ISNUMBER(SEARCH("patch",E370)),ISNUMBER(SEARCH("repair",E370)),ISNUMBER(SEARCH("thick'r",E370)),ISNUMBER(SEARCH("thick'r lawn",E370)),ISNUMBER(SEARCH("rapid grass",E370))),"Lawn Repair",
OR(ISNUMBER(SEARCH("weed",E370)),ISNUMBER(SEARCH("crabgrass",E370))),"Weed Control",
OR(ISNUMBER(SEARCH("fungicide",E370)),ISNUMBER(SEARCH("moss",E370))),"Disease &amp; Moss Control",
OR(ISNUMBER(SEARCH("plant food",E370)),ISNUMBER(SEARCH("miracid",E370))),"Plant Nutrition",
OR(ISNUMBER(SEARCH("perlite",E370))),"Soil Amendment",
OR(ISNUMBER(SEARCH("spreader",E370)),ISNUMBER(SEARCH("sprayer",E370)),ISNUMBER(SEARCH("mower",E370)),ISNUMBER(SEARCH("sweeper",E370)),ISNUMBER(SEARCH("pruner",E370)),ISNUMBER(SEARCH("trimmer",E370)),ISNUMBER(SEARCH("pole saw",E370))),"Garden Equipment",
TRUE,"Other"
)</f>
        <v>Flying Insect Control</v>
      </c>
      <c r="I370" s="7" t="str" cm="1">
        <f t="array" ref="I370">_xlfn.IFS(
OR(ISNUMBER(SEARCH("glue trap",E370)),ISNUMBER(SEARCH("glue board",E370))),"Glue Traps",
OR(ISNUMBER(SEARCH("snap trap",E370)),ISNUMBER(SEARCH("power-kill",E370)),ISNUMBER(SEARCH("wide pedal",E370)),ISNUMBER(SEARCH("metal pedal",E370))),"Snap Traps",
OR(ISNUMBER(SEARCH("electronic",E370)),ISNUMBER(SEARCH("zapper",E370))),"Electronic Traps",
OR(ISNUMBER(SEARCH("live catch",E370)),ISNUMBER(SEARCH("multi-catch",E370)),ISNUMBER(SEARCH("catch &amp; hold",E370)),ISNUMBER(SEARCH("tin cat",E370))),"Live Catch Traps",
OR(ISNUMBER(SEARCH("bait",E370)),ISNUMBER(SEARCH("poison",E370))),"Bait &amp; Poison",
ISNUMBER(SEARCH("repellent",E370)),"Repellents",
OR(ISNUMBER(SEARCH("fly trap",E370)),ISNUMBER(SEARCH("fly ribbon",E370)),ISNUMBER(SEARCH("fly stick",E370)),ISNUMBER(SEARCH("window fly",E370)),ISNUMBER(SEARCH("fly magnet",E370))),"Fly Traps",
OR(ISNUMBER(SEARCH("uv",E370)),ISNUMBER(SEARCH("fly light",E370)),ISNUMBER(SEARCH("plug-in",E370))),"UV Fly Traps",
ISNUMBER(SEARCH("roach",E370)),"Roach Traps",
ISNUMBER(SEARCH("ant",E370)),"Ant Traps",
ISNUMBER(SEARCH("spider",E370)),"Spider Traps",
ISNUMBER(SEARCH("mosquito",E370)),"Mosquito Traps",
ISNUMBER(SEARCH("beetle",E370)),"Beetle Traps",
ISNUMBER(SEARCH("lantern",E370)),"Lanternfly Control",
OR(ISNUMBER(SEARCH("tree shield",E370)),ISNUMBER(SEARCH("tree banding",E370)),ISNUMBER(SEARCH("insect barrier",E370))),"Tree Barriers",
OR(ISNUMBER(SEARCH("sun &amp; shade",E370)),ISNUMBER(SEARCH("sun and shade",E370))),"Sun &amp; Shade Mix",
ISNUMBER(SEARCH("tall fescue",E370)),"Tall Fescue",
ISNUMBER(SEARCH("bermudagrass",E370)),"Bermudagrass",
ISNUMBER(SEARCH("kentucky",E370)),"Kentucky Bluegrass",
ISNUMBER(SEARCH("zoysia",E370)),"Zoysia",
ISNUMBER(SEARCH("ryegrass",E370)),"Perennial Ryegrass",
ISNUMBER(SEARCH("centipede",E370)),"Centipede Grass",
ISNUMBER(SEARCH("dense shade",E370)),"Dense Shade Mix",
ISNUMBER(SEARCH("southern gold",E370)),"Southern Gold Mix",
ISNUMBER(SEARCH("heat-tolerant blue",E370)),"Heat-Tolerant Blue Mix",
ISNUMBER(SEARCH("high traffic",E370)),"High Traffic Mix",
ISNUMBER(SEARCH("quick fix",E370)),"Quick Fix Mix",
ISNUMBER(SEARCH("starter",E370)),"Starter Fertilizer",
ISNUMBER(SEARCH("weed &amp; feed",E370)),"Weed &amp; Feed",
ISNUMBER(SEARCH("lawn food",E370)),"Lawn Food",
ISNUMBER(SEARCH("triple action",E370)),"Triple Action Fertilizer",
ISNUMBER(SEARCH("green max",E370)),"Green Max Lawn Food",
ISNUMBER(SEARCH("patchmaster",E370)),"PatchMaster Repair",
ISNUMBER(SEARCH("ez seed",E370)),"EZ Seed Repair",
ISNUMBER(SEARCH("rapid grass",E370)),"Rapid Grass",
ISNUMBER(SEARCH("thick'r lawn",E370)),"Thick'R Lawn",
ISNUMBER(SEARCH("fungicide",E370)),"Fungicide",
ISNUMBER(SEARCH("moss",E370)),"Moss Control",
ISNUMBER(SEARCH("perlite",E370)),"Perlite",
ISNUMBER(SEARCH("plant food",E370)),"Plant Food",
ISNUMBER(SEARCH("spreader",E370)),"Spreader",
ISNUMBER(SEARCH("sprayer",E370)),"Sprayer",
ISNUMBER(SEARCH("mower",E370)),"Lawn Mower",
ISNUMBER(SEARCH("sweeper",E370)),"Lawn Sweeper",
OR(ISNUMBER(SEARCH("pruner",E370)),ISNUMBER(SEARCH("trimmer",E370)),ISNUMBER(SEARCH("pole saw",E370))),"Pruning Tools",
TRUE,"Other"
)</f>
        <v>Other</v>
      </c>
      <c r="J370" s="7" t="str">
        <f t="shared" si="86"/>
        <v>Flying Insect Control - Other</v>
      </c>
      <c r="K370" s="4">
        <v>9000</v>
      </c>
      <c r="L370" s="4">
        <v>4</v>
      </c>
      <c r="M370" s="4">
        <v>2179</v>
      </c>
      <c r="N370" s="4" t="s">
        <v>1693</v>
      </c>
      <c r="O370" s="4">
        <f>VLOOKUP(A370,[5]Sheet1!$A:$B,2,0)</f>
        <v>2000</v>
      </c>
      <c r="P370" s="4">
        <f>VLOOKUP(A370,[5]Sheet1!$A:$C,3,0)</f>
        <v>1000</v>
      </c>
      <c r="Q370" s="4">
        <f>VLOOKUP(A370,[5]Sheet1!$A:$D,4,0)</f>
        <v>2000</v>
      </c>
      <c r="R370" s="4">
        <f>VLOOKUP(A370,[5]Sheet1!$A:$E,5,0)</f>
        <v>3000</v>
      </c>
      <c r="S370" s="4">
        <f>VLOOKUP(A370,[5]Sheet1!$A:$F,6,0)</f>
        <v>6000</v>
      </c>
      <c r="T370" s="4">
        <f>VLOOKUP(A370,[5]Sheet1!$A:$G,7,0)</f>
        <v>10000</v>
      </c>
      <c r="U370" s="4">
        <f>VLOOKUP(A370,[5]Sheet1!$A:$H,8,0)</f>
        <v>10000</v>
      </c>
      <c r="V370" s="4">
        <f>VLOOKUP(A370,[5]Sheet1!$A:$I,9,0)</f>
        <v>3000</v>
      </c>
      <c r="W370" s="4">
        <f>VLOOKUP(A370,[5]Sheet1!$A:$J,10,0)</f>
        <v>8000</v>
      </c>
      <c r="X370" s="4">
        <f>VLOOKUP(A370,[5]Sheet1!$A:$L,11,0)</f>
        <v>10000</v>
      </c>
      <c r="Y370" s="4">
        <f>VLOOKUP(A370,[5]Sheet1!$A:$L,12,0)</f>
        <v>7000</v>
      </c>
      <c r="Z370" s="4">
        <f>VLOOKUP(A370,[5]Sheet1!$A:$M,13,0)</f>
        <v>3000</v>
      </c>
      <c r="AA370" s="4">
        <f t="shared" si="102"/>
        <v>65000</v>
      </c>
      <c r="AB370" s="7">
        <f t="shared" si="87"/>
        <v>5417</v>
      </c>
      <c r="AC370" s="15">
        <f t="shared" si="103"/>
        <v>5416.666666666667</v>
      </c>
      <c r="AD370" s="16">
        <f t="shared" si="104"/>
        <v>1624350</v>
      </c>
      <c r="AE370" s="16">
        <f t="shared" si="105"/>
        <v>135362.5</v>
      </c>
      <c r="AF370" s="16">
        <v>6.31</v>
      </c>
      <c r="AG370" s="16">
        <v>24.99</v>
      </c>
      <c r="AH370" s="15">
        <f t="shared" si="106"/>
        <v>0.17906666666666657</v>
      </c>
      <c r="AI370" s="15">
        <f t="shared" si="107"/>
        <v>0.62673333333333292</v>
      </c>
      <c r="AJ370" s="10">
        <v>0.5</v>
      </c>
      <c r="AK370" s="10">
        <v>0.5</v>
      </c>
      <c r="AL370" s="16">
        <v>6.31</v>
      </c>
      <c r="AM370" s="9">
        <f t="shared" si="88"/>
        <v>3.7484999999999995</v>
      </c>
      <c r="AN370" s="9">
        <f t="shared" si="89"/>
        <v>0.74969999999999992</v>
      </c>
      <c r="AO370" s="9">
        <f t="shared" si="90"/>
        <v>4.9980000000000002</v>
      </c>
      <c r="AP370" s="9">
        <f t="shared" si="91"/>
        <v>0.49979999999999997</v>
      </c>
      <c r="AQ370" s="9">
        <f t="shared" si="92"/>
        <v>4.9980000000000002</v>
      </c>
      <c r="AR370" s="9">
        <f t="shared" si="93"/>
        <v>6.2474999999999996</v>
      </c>
      <c r="AS370" s="11">
        <f t="shared" si="94"/>
        <v>1.7906666666666655</v>
      </c>
      <c r="AT370" s="12">
        <f t="shared" si="95"/>
        <v>0.95766666666666589</v>
      </c>
    </row>
    <row r="371" spans="1:46" ht="16.5" x14ac:dyDescent="0.4">
      <c r="A371" s="4" t="s">
        <v>1694</v>
      </c>
      <c r="B371" s="4" t="s">
        <v>1653</v>
      </c>
      <c r="C371" s="7" t="s">
        <v>1653</v>
      </c>
      <c r="D371" s="4" t="s">
        <v>1695</v>
      </c>
      <c r="E371" s="4" t="s">
        <v>1696</v>
      </c>
      <c r="F371" s="4" t="s">
        <v>1697</v>
      </c>
      <c r="G371" s="7" t="str">
        <f>VLOOKUP(A371,[1]done!$A:$I,9,0)</f>
        <v>Mosquito/Fly</v>
      </c>
      <c r="H371" s="7" t="str" cm="1">
        <f t="array" ref="H371">_xlfn.IFS(
OR(ISNUMBER(SEARCH("mouse",E371)),ISNUMBER(SEARCH("rat",E371)),ISNUMBER(SEARCH("mice",E371)),ISNUMBER(SEARCH("rodent",E371))),"Rodent Control",
OR(ISNUMBER(SEARCH("fly",E371)),ISNUMBER(SEARCH("gnat",E371)),ISNUMBER(SEARCH("insect",E371)),ISNUMBER(SEARCH("mosquito",E371))),"Flying Insect Control",
OR(ISNUMBER(SEARCH("roach",E371)),ISNUMBER(SEARCH("ant",E371)),ISNUMBER(SEARCH("spider",E371)),ISNUMBER(SEARCH("cricket",E371)),ISNUMBER(SEARCH("scorpion",E371)),ISNUMBER(SEARCH("centipede",E371)),ISNUMBER(SEARCH("beetle",E371))),"Crawling Insect Control",
OR(ISNUMBER(SEARCH("tree",E371)),ISNUMBER(SEARCH("lantern",E371)),ISNUMBER(SEARCH("garden",E371)),ISNUMBER(SEARCH("plant",E371))),"Garden Pest Control",
OR(ISNUMBER(SEARCH("grass seed",E371)),ISNUMBER(SEARCH("seed mix",E371))),"Grass Seed",
OR(ISNUMBER(SEARCH("lawn food",E371)),ISNUMBER(SEARCH("fertilizer",E371))),"Lawn Fertilizer",
OR(ISNUMBER(SEARCH("patch",E371)),ISNUMBER(SEARCH("repair",E371)),ISNUMBER(SEARCH("thick'r",E371)),ISNUMBER(SEARCH("thick'r lawn",E371)),ISNUMBER(SEARCH("rapid grass",E371))),"Lawn Repair",
OR(ISNUMBER(SEARCH("weed",E371)),ISNUMBER(SEARCH("crabgrass",E371))),"Weed Control",
OR(ISNUMBER(SEARCH("fungicide",E371)),ISNUMBER(SEARCH("moss",E371))),"Disease &amp; Moss Control",
OR(ISNUMBER(SEARCH("plant food",E371)),ISNUMBER(SEARCH("miracid",E371))),"Plant Nutrition",
OR(ISNUMBER(SEARCH("perlite",E371))),"Soil Amendment",
OR(ISNUMBER(SEARCH("spreader",E371)),ISNUMBER(SEARCH("sprayer",E371)),ISNUMBER(SEARCH("mower",E371)),ISNUMBER(SEARCH("sweeper",E371)),ISNUMBER(SEARCH("pruner",E371)),ISNUMBER(SEARCH("trimmer",E371)),ISNUMBER(SEARCH("pole saw",E371))),"Garden Equipment",
TRUE,"Other"
)</f>
        <v>Flying Insect Control</v>
      </c>
      <c r="I371" s="7" t="str" cm="1">
        <f t="array" ref="I371">_xlfn.IFS(
OR(ISNUMBER(SEARCH("glue trap",E371)),ISNUMBER(SEARCH("glue board",E371))),"Glue Traps",
OR(ISNUMBER(SEARCH("snap trap",E371)),ISNUMBER(SEARCH("power-kill",E371)),ISNUMBER(SEARCH("wide pedal",E371)),ISNUMBER(SEARCH("metal pedal",E371))),"Snap Traps",
OR(ISNUMBER(SEARCH("electronic",E371)),ISNUMBER(SEARCH("zapper",E371))),"Electronic Traps",
OR(ISNUMBER(SEARCH("live catch",E371)),ISNUMBER(SEARCH("multi-catch",E371)),ISNUMBER(SEARCH("catch &amp; hold",E371)),ISNUMBER(SEARCH("tin cat",E371))),"Live Catch Traps",
OR(ISNUMBER(SEARCH("bait",E371)),ISNUMBER(SEARCH("poison",E371))),"Bait &amp; Poison",
ISNUMBER(SEARCH("repellent",E371)),"Repellents",
OR(ISNUMBER(SEARCH("fly trap",E371)),ISNUMBER(SEARCH("fly ribbon",E371)),ISNUMBER(SEARCH("fly stick",E371)),ISNUMBER(SEARCH("window fly",E371)),ISNUMBER(SEARCH("fly magnet",E371))),"Fly Traps",
OR(ISNUMBER(SEARCH("uv",E371)),ISNUMBER(SEARCH("fly light",E371)),ISNUMBER(SEARCH("plug-in",E371))),"UV Fly Traps",
ISNUMBER(SEARCH("roach",E371)),"Roach Traps",
ISNUMBER(SEARCH("ant",E371)),"Ant Traps",
ISNUMBER(SEARCH("spider",E371)),"Spider Traps",
ISNUMBER(SEARCH("mosquito",E371)),"Mosquito Traps",
ISNUMBER(SEARCH("beetle",E371)),"Beetle Traps",
ISNUMBER(SEARCH("lantern",E371)),"Lanternfly Control",
OR(ISNUMBER(SEARCH("tree shield",E371)),ISNUMBER(SEARCH("tree banding",E371)),ISNUMBER(SEARCH("insect barrier",E371))),"Tree Barriers",
OR(ISNUMBER(SEARCH("sun &amp; shade",E371)),ISNUMBER(SEARCH("sun and shade",E371))),"Sun &amp; Shade Mix",
ISNUMBER(SEARCH("tall fescue",E371)),"Tall Fescue",
ISNUMBER(SEARCH("bermudagrass",E371)),"Bermudagrass",
ISNUMBER(SEARCH("kentucky",E371)),"Kentucky Bluegrass",
ISNUMBER(SEARCH("zoysia",E371)),"Zoysia",
ISNUMBER(SEARCH("ryegrass",E371)),"Perennial Ryegrass",
ISNUMBER(SEARCH("centipede",E371)),"Centipede Grass",
ISNUMBER(SEARCH("dense shade",E371)),"Dense Shade Mix",
ISNUMBER(SEARCH("southern gold",E371)),"Southern Gold Mix",
ISNUMBER(SEARCH("heat-tolerant blue",E371)),"Heat-Tolerant Blue Mix",
ISNUMBER(SEARCH("high traffic",E371)),"High Traffic Mix",
ISNUMBER(SEARCH("quick fix",E371)),"Quick Fix Mix",
ISNUMBER(SEARCH("starter",E371)),"Starter Fertilizer",
ISNUMBER(SEARCH("weed &amp; feed",E371)),"Weed &amp; Feed",
ISNUMBER(SEARCH("lawn food",E371)),"Lawn Food",
ISNUMBER(SEARCH("triple action",E371)),"Triple Action Fertilizer",
ISNUMBER(SEARCH("green max",E371)),"Green Max Lawn Food",
ISNUMBER(SEARCH("patchmaster",E371)),"PatchMaster Repair",
ISNUMBER(SEARCH("ez seed",E371)),"EZ Seed Repair",
ISNUMBER(SEARCH("rapid grass",E371)),"Rapid Grass",
ISNUMBER(SEARCH("thick'r lawn",E371)),"Thick'R Lawn",
ISNUMBER(SEARCH("fungicide",E371)),"Fungicide",
ISNUMBER(SEARCH("moss",E371)),"Moss Control",
ISNUMBER(SEARCH("perlite",E371)),"Perlite",
ISNUMBER(SEARCH("plant food",E371)),"Plant Food",
ISNUMBER(SEARCH("spreader",E371)),"Spreader",
ISNUMBER(SEARCH("sprayer",E371)),"Sprayer",
ISNUMBER(SEARCH("mower",E371)),"Lawn Mower",
ISNUMBER(SEARCH("sweeper",E371)),"Lawn Sweeper",
OR(ISNUMBER(SEARCH("pruner",E371)),ISNUMBER(SEARCH("trimmer",E371)),ISNUMBER(SEARCH("pole saw",E371))),"Pruning Tools",
TRUE,"Other"
)</f>
        <v>Other</v>
      </c>
      <c r="J371" s="7" t="str">
        <f t="shared" si="86"/>
        <v>Flying Insect Control - Other</v>
      </c>
      <c r="K371" s="4">
        <v>8000</v>
      </c>
      <c r="L371" s="4">
        <v>4.8</v>
      </c>
      <c r="M371" s="4">
        <v>358</v>
      </c>
      <c r="O371" s="4">
        <f>VLOOKUP(A371,[5]Sheet1!$A:$B,2,0)</f>
        <v>0</v>
      </c>
      <c r="P371" s="4">
        <f>VLOOKUP(A371,[5]Sheet1!$A:$C,3,0)</f>
        <v>0</v>
      </c>
      <c r="Q371" s="4">
        <f>VLOOKUP(A371,[5]Sheet1!$A:$D,4,0)</f>
        <v>0</v>
      </c>
      <c r="R371" s="4">
        <f>VLOOKUP(A371,[5]Sheet1!$A:$E,5,0)</f>
        <v>0</v>
      </c>
      <c r="S371" s="4">
        <f>VLOOKUP(A371,[5]Sheet1!$A:$F,6,0)</f>
        <v>800</v>
      </c>
      <c r="T371" s="4">
        <f>VLOOKUP(A371,[5]Sheet1!$A:$G,7,0)</f>
        <v>1000</v>
      </c>
      <c r="U371" s="4">
        <f>VLOOKUP(A371,[5]Sheet1!$A:$H,8,0)</f>
        <v>3000</v>
      </c>
      <c r="V371" s="4">
        <f>VLOOKUP(A371,[5]Sheet1!$A:$I,9,0)</f>
        <v>5000</v>
      </c>
      <c r="W371" s="4">
        <f>VLOOKUP(A371,[5]Sheet1!$A:$J,10,0)</f>
        <v>7000</v>
      </c>
      <c r="X371" s="4">
        <f>VLOOKUP(A371,[5]Sheet1!$A:$L,11,0)</f>
        <v>0</v>
      </c>
      <c r="Y371" s="4">
        <f>VLOOKUP(A371,[5]Sheet1!$A:$L,12,0)</f>
        <v>0</v>
      </c>
      <c r="Z371" s="4">
        <f>VLOOKUP(A371,[5]Sheet1!$A:$M,13,0)</f>
        <v>0</v>
      </c>
      <c r="AA371" s="4">
        <f t="shared" si="102"/>
        <v>16800</v>
      </c>
      <c r="AB371" s="7">
        <f t="shared" si="87"/>
        <v>1400</v>
      </c>
      <c r="AC371" s="15">
        <f t="shared" si="103"/>
        <v>1400</v>
      </c>
      <c r="AD371" s="16">
        <f t="shared" si="104"/>
        <v>319032</v>
      </c>
      <c r="AE371" s="16">
        <f t="shared" si="105"/>
        <v>26585.999999999996</v>
      </c>
      <c r="AF371" s="16">
        <v>4.3499999999999996</v>
      </c>
      <c r="AG371" s="16">
        <v>18.989999999999998</v>
      </c>
      <c r="AH371" s="15">
        <f t="shared" si="106"/>
        <v>0.14973333333333325</v>
      </c>
      <c r="AI371" s="15">
        <f t="shared" si="107"/>
        <v>0.52406666666666635</v>
      </c>
      <c r="AJ371" s="10">
        <v>0.5</v>
      </c>
      <c r="AK371" s="10">
        <v>0.5</v>
      </c>
      <c r="AL371" s="16">
        <v>4.3499999999999996</v>
      </c>
      <c r="AM371" s="9">
        <f t="shared" si="88"/>
        <v>2.8484999999999996</v>
      </c>
      <c r="AN371" s="9">
        <f t="shared" si="89"/>
        <v>0.56969999999999998</v>
      </c>
      <c r="AO371" s="9">
        <f t="shared" si="90"/>
        <v>3.798</v>
      </c>
      <c r="AP371" s="9">
        <f t="shared" si="91"/>
        <v>0.37979999999999997</v>
      </c>
      <c r="AQ371" s="9">
        <f t="shared" si="92"/>
        <v>3.798</v>
      </c>
      <c r="AR371" s="9">
        <f t="shared" si="93"/>
        <v>4.7474999999999996</v>
      </c>
      <c r="AS371" s="11">
        <f t="shared" si="94"/>
        <v>1.4973333333333325</v>
      </c>
      <c r="AT371" s="12">
        <f t="shared" si="95"/>
        <v>0.86433333333333273</v>
      </c>
    </row>
    <row r="372" spans="1:46" ht="16.5" x14ac:dyDescent="0.4">
      <c r="A372" s="4" t="s">
        <v>1698</v>
      </c>
      <c r="B372" s="4" t="s">
        <v>1653</v>
      </c>
      <c r="C372" s="7" t="s">
        <v>1653</v>
      </c>
      <c r="D372" s="4" t="s">
        <v>1699</v>
      </c>
      <c r="E372" s="4" t="s">
        <v>1700</v>
      </c>
      <c r="F372" s="4" t="s">
        <v>1701</v>
      </c>
      <c r="G372" s="7" t="str">
        <f>VLOOKUP(A372,[1]done!$A:$I,9,0)</f>
        <v>Mosquito/Fly</v>
      </c>
      <c r="H372" s="7" t="str" cm="1">
        <f t="array" ref="H372">_xlfn.IFS(
OR(ISNUMBER(SEARCH("mouse",E372)),ISNUMBER(SEARCH("rat",E372)),ISNUMBER(SEARCH("mice",E372)),ISNUMBER(SEARCH("rodent",E372))),"Rodent Control",
OR(ISNUMBER(SEARCH("fly",E372)),ISNUMBER(SEARCH("gnat",E372)),ISNUMBER(SEARCH("insect",E372)),ISNUMBER(SEARCH("mosquito",E372))),"Flying Insect Control",
OR(ISNUMBER(SEARCH("roach",E372)),ISNUMBER(SEARCH("ant",E372)),ISNUMBER(SEARCH("spider",E372)),ISNUMBER(SEARCH("cricket",E372)),ISNUMBER(SEARCH("scorpion",E372)),ISNUMBER(SEARCH("centipede",E372)),ISNUMBER(SEARCH("beetle",E372))),"Crawling Insect Control",
OR(ISNUMBER(SEARCH("tree",E372)),ISNUMBER(SEARCH("lantern",E372)),ISNUMBER(SEARCH("garden",E372)),ISNUMBER(SEARCH("plant",E372))),"Garden Pest Control",
OR(ISNUMBER(SEARCH("grass seed",E372)),ISNUMBER(SEARCH("seed mix",E372))),"Grass Seed",
OR(ISNUMBER(SEARCH("lawn food",E372)),ISNUMBER(SEARCH("fertilizer",E372))),"Lawn Fertilizer",
OR(ISNUMBER(SEARCH("patch",E372)),ISNUMBER(SEARCH("repair",E372)),ISNUMBER(SEARCH("thick'r",E372)),ISNUMBER(SEARCH("thick'r lawn",E372)),ISNUMBER(SEARCH("rapid grass",E372))),"Lawn Repair",
OR(ISNUMBER(SEARCH("weed",E372)),ISNUMBER(SEARCH("crabgrass",E372))),"Weed Control",
OR(ISNUMBER(SEARCH("fungicide",E372)),ISNUMBER(SEARCH("moss",E372))),"Disease &amp; Moss Control",
OR(ISNUMBER(SEARCH("plant food",E372)),ISNUMBER(SEARCH("miracid",E372))),"Plant Nutrition",
OR(ISNUMBER(SEARCH("perlite",E372))),"Soil Amendment",
OR(ISNUMBER(SEARCH("spreader",E372)),ISNUMBER(SEARCH("sprayer",E372)),ISNUMBER(SEARCH("mower",E372)),ISNUMBER(SEARCH("sweeper",E372)),ISNUMBER(SEARCH("pruner",E372)),ISNUMBER(SEARCH("trimmer",E372)),ISNUMBER(SEARCH("pole saw",E372))),"Garden Equipment",
TRUE,"Other"
)</f>
        <v>Flying Insect Control</v>
      </c>
      <c r="I372" s="7" t="str" cm="1">
        <f t="array" ref="I372">_xlfn.IFS(
OR(ISNUMBER(SEARCH("glue trap",E372)),ISNUMBER(SEARCH("glue board",E372))),"Glue Traps",
OR(ISNUMBER(SEARCH("snap trap",E372)),ISNUMBER(SEARCH("power-kill",E372)),ISNUMBER(SEARCH("wide pedal",E372)),ISNUMBER(SEARCH("metal pedal",E372))),"Snap Traps",
OR(ISNUMBER(SEARCH("electronic",E372)),ISNUMBER(SEARCH("zapper",E372))),"Electronic Traps",
OR(ISNUMBER(SEARCH("live catch",E372)),ISNUMBER(SEARCH("multi-catch",E372)),ISNUMBER(SEARCH("catch &amp; hold",E372)),ISNUMBER(SEARCH("tin cat",E372))),"Live Catch Traps",
OR(ISNUMBER(SEARCH("bait",E372)),ISNUMBER(SEARCH("poison",E372))),"Bait &amp; Poison",
ISNUMBER(SEARCH("repellent",E372)),"Repellents",
OR(ISNUMBER(SEARCH("fly trap",E372)),ISNUMBER(SEARCH("fly ribbon",E372)),ISNUMBER(SEARCH("fly stick",E372)),ISNUMBER(SEARCH("window fly",E372)),ISNUMBER(SEARCH("fly magnet",E372))),"Fly Traps",
OR(ISNUMBER(SEARCH("uv",E372)),ISNUMBER(SEARCH("fly light",E372)),ISNUMBER(SEARCH("plug-in",E372))),"UV Fly Traps",
ISNUMBER(SEARCH("roach",E372)),"Roach Traps",
ISNUMBER(SEARCH("ant",E372)),"Ant Traps",
ISNUMBER(SEARCH("spider",E372)),"Spider Traps",
ISNUMBER(SEARCH("mosquito",E372)),"Mosquito Traps",
ISNUMBER(SEARCH("beetle",E372)),"Beetle Traps",
ISNUMBER(SEARCH("lantern",E372)),"Lanternfly Control",
OR(ISNUMBER(SEARCH("tree shield",E372)),ISNUMBER(SEARCH("tree banding",E372)),ISNUMBER(SEARCH("insect barrier",E372))),"Tree Barriers",
OR(ISNUMBER(SEARCH("sun &amp; shade",E372)),ISNUMBER(SEARCH("sun and shade",E372))),"Sun &amp; Shade Mix",
ISNUMBER(SEARCH("tall fescue",E372)),"Tall Fescue",
ISNUMBER(SEARCH("bermudagrass",E372)),"Bermudagrass",
ISNUMBER(SEARCH("kentucky",E372)),"Kentucky Bluegrass",
ISNUMBER(SEARCH("zoysia",E372)),"Zoysia",
ISNUMBER(SEARCH("ryegrass",E372)),"Perennial Ryegrass",
ISNUMBER(SEARCH("centipede",E372)),"Centipede Grass",
ISNUMBER(SEARCH("dense shade",E372)),"Dense Shade Mix",
ISNUMBER(SEARCH("southern gold",E372)),"Southern Gold Mix",
ISNUMBER(SEARCH("heat-tolerant blue",E372)),"Heat-Tolerant Blue Mix",
ISNUMBER(SEARCH("high traffic",E372)),"High Traffic Mix",
ISNUMBER(SEARCH("quick fix",E372)),"Quick Fix Mix",
ISNUMBER(SEARCH("starter",E372)),"Starter Fertilizer",
ISNUMBER(SEARCH("weed &amp; feed",E372)),"Weed &amp; Feed",
ISNUMBER(SEARCH("lawn food",E372)),"Lawn Food",
ISNUMBER(SEARCH("triple action",E372)),"Triple Action Fertilizer",
ISNUMBER(SEARCH("green max",E372)),"Green Max Lawn Food",
ISNUMBER(SEARCH("patchmaster",E372)),"PatchMaster Repair",
ISNUMBER(SEARCH("ez seed",E372)),"EZ Seed Repair",
ISNUMBER(SEARCH("rapid grass",E372)),"Rapid Grass",
ISNUMBER(SEARCH("thick'r lawn",E372)),"Thick'R Lawn",
ISNUMBER(SEARCH("fungicide",E372)),"Fungicide",
ISNUMBER(SEARCH("moss",E372)),"Moss Control",
ISNUMBER(SEARCH("perlite",E372)),"Perlite",
ISNUMBER(SEARCH("plant food",E372)),"Plant Food",
ISNUMBER(SEARCH("spreader",E372)),"Spreader",
ISNUMBER(SEARCH("sprayer",E372)),"Sprayer",
ISNUMBER(SEARCH("mower",E372)),"Lawn Mower",
ISNUMBER(SEARCH("sweeper",E372)),"Lawn Sweeper",
OR(ISNUMBER(SEARCH("pruner",E372)),ISNUMBER(SEARCH("trimmer",E372)),ISNUMBER(SEARCH("pole saw",E372))),"Pruning Tools",
TRUE,"Other"
)</f>
        <v>UV Fly Traps</v>
      </c>
      <c r="J372" s="7" t="str">
        <f t="shared" si="86"/>
        <v>Flying Insect Control - UV Fly Traps</v>
      </c>
      <c r="K372" s="4">
        <v>7000</v>
      </c>
      <c r="L372" s="4">
        <v>4.5</v>
      </c>
      <c r="M372" s="4">
        <v>985</v>
      </c>
      <c r="N372" s="4" t="s">
        <v>1702</v>
      </c>
      <c r="O372" s="4">
        <f>VLOOKUP(A372,[5]Sheet1!$A:$B,2,0)</f>
        <v>1000</v>
      </c>
      <c r="P372" s="4">
        <f>VLOOKUP(A372,[5]Sheet1!$A:$C,3,0)</f>
        <v>1000</v>
      </c>
      <c r="Q372" s="4">
        <f>VLOOKUP(A372,[5]Sheet1!$A:$D,4,0)</f>
        <v>1000</v>
      </c>
      <c r="R372" s="4">
        <f>VLOOKUP(A372,[5]Sheet1!$A:$E,5,0)</f>
        <v>2000</v>
      </c>
      <c r="S372" s="4">
        <f>VLOOKUP(A372,[5]Sheet1!$A:$F,6,0)</f>
        <v>3000</v>
      </c>
      <c r="T372" s="4">
        <f>VLOOKUP(A372,[5]Sheet1!$A:$G,7,0)</f>
        <v>4000</v>
      </c>
      <c r="U372" s="4">
        <f>VLOOKUP(A372,[5]Sheet1!$A:$H,8,0)</f>
        <v>7000</v>
      </c>
      <c r="V372" s="4">
        <f>VLOOKUP(A372,[5]Sheet1!$A:$I,9,0)</f>
        <v>7000</v>
      </c>
      <c r="W372" s="4">
        <f>VLOOKUP(A372,[5]Sheet1!$A:$J,10,0)</f>
        <v>7000</v>
      </c>
      <c r="X372" s="4">
        <f>VLOOKUP(A372,[5]Sheet1!$A:$L,11,0)</f>
        <v>2000</v>
      </c>
      <c r="Y372" s="4">
        <f>VLOOKUP(A372,[5]Sheet1!$A:$L,12,0)</f>
        <v>3000</v>
      </c>
      <c r="Z372" s="4">
        <f>VLOOKUP(A372,[5]Sheet1!$A:$M,13,0)</f>
        <v>1000</v>
      </c>
      <c r="AA372" s="4">
        <f t="shared" si="102"/>
        <v>39000</v>
      </c>
      <c r="AB372" s="7">
        <f t="shared" si="87"/>
        <v>3250</v>
      </c>
      <c r="AC372" s="15">
        <f t="shared" si="103"/>
        <v>3250</v>
      </c>
      <c r="AD372" s="16">
        <f t="shared" si="104"/>
        <v>2339610</v>
      </c>
      <c r="AE372" s="16">
        <f t="shared" si="105"/>
        <v>194967.5</v>
      </c>
      <c r="AF372" s="16">
        <v>8.15</v>
      </c>
      <c r="AG372" s="16">
        <v>59.99</v>
      </c>
      <c r="AH372" s="15">
        <f t="shared" si="106"/>
        <v>0.98973333333333346</v>
      </c>
      <c r="AI372" s="15">
        <f t="shared" si="107"/>
        <v>3.4640666666666666</v>
      </c>
      <c r="AJ372" s="10">
        <v>0.5</v>
      </c>
      <c r="AK372" s="10">
        <v>0.5</v>
      </c>
      <c r="AL372" s="16">
        <v>8.15</v>
      </c>
      <c r="AM372" s="9">
        <f t="shared" si="88"/>
        <v>8.9984999999999999</v>
      </c>
      <c r="AN372" s="9">
        <f t="shared" si="89"/>
        <v>1.7997000000000001</v>
      </c>
      <c r="AO372" s="9">
        <f t="shared" si="90"/>
        <v>11.998000000000001</v>
      </c>
      <c r="AP372" s="9">
        <f t="shared" si="91"/>
        <v>1.1998</v>
      </c>
      <c r="AQ372" s="9">
        <f t="shared" si="92"/>
        <v>11.998000000000001</v>
      </c>
      <c r="AR372" s="9">
        <f t="shared" si="93"/>
        <v>14.9975</v>
      </c>
      <c r="AS372" s="11">
        <f t="shared" si="94"/>
        <v>9.897333333333334</v>
      </c>
      <c r="AT372" s="12">
        <f t="shared" si="95"/>
        <v>7.8976666666666668</v>
      </c>
    </row>
    <row r="373" spans="1:46" ht="16.5" x14ac:dyDescent="0.4">
      <c r="A373" s="4" t="s">
        <v>1703</v>
      </c>
      <c r="B373" s="4" t="s">
        <v>1653</v>
      </c>
      <c r="C373" s="7" t="s">
        <v>1653</v>
      </c>
      <c r="D373" s="4" t="s">
        <v>1704</v>
      </c>
      <c r="E373" s="4" t="s">
        <v>1705</v>
      </c>
      <c r="F373" s="4" t="s">
        <v>1706</v>
      </c>
      <c r="G373" s="7" t="str">
        <f>VLOOKUP(A373,[1]done!$A:$I,9,0)</f>
        <v>Mosquito/Fly</v>
      </c>
      <c r="H373" s="7" t="str" cm="1">
        <f t="array" ref="H373">_xlfn.IFS(
OR(ISNUMBER(SEARCH("mouse",E373)),ISNUMBER(SEARCH("rat",E373)),ISNUMBER(SEARCH("mice",E373)),ISNUMBER(SEARCH("rodent",E373))),"Rodent Control",
OR(ISNUMBER(SEARCH("fly",E373)),ISNUMBER(SEARCH("gnat",E373)),ISNUMBER(SEARCH("insect",E373)),ISNUMBER(SEARCH("mosquito",E373))),"Flying Insect Control",
OR(ISNUMBER(SEARCH("roach",E373)),ISNUMBER(SEARCH("ant",E373)),ISNUMBER(SEARCH("spider",E373)),ISNUMBER(SEARCH("cricket",E373)),ISNUMBER(SEARCH("scorpion",E373)),ISNUMBER(SEARCH("centipede",E373)),ISNUMBER(SEARCH("beetle",E373))),"Crawling Insect Control",
OR(ISNUMBER(SEARCH("tree",E373)),ISNUMBER(SEARCH("lantern",E373)),ISNUMBER(SEARCH("garden",E373)),ISNUMBER(SEARCH("plant",E373))),"Garden Pest Control",
OR(ISNUMBER(SEARCH("grass seed",E373)),ISNUMBER(SEARCH("seed mix",E373))),"Grass Seed",
OR(ISNUMBER(SEARCH("lawn food",E373)),ISNUMBER(SEARCH("fertilizer",E373))),"Lawn Fertilizer",
OR(ISNUMBER(SEARCH("patch",E373)),ISNUMBER(SEARCH("repair",E373)),ISNUMBER(SEARCH("thick'r",E373)),ISNUMBER(SEARCH("thick'r lawn",E373)),ISNUMBER(SEARCH("rapid grass",E373))),"Lawn Repair",
OR(ISNUMBER(SEARCH("weed",E373)),ISNUMBER(SEARCH("crabgrass",E373))),"Weed Control",
OR(ISNUMBER(SEARCH("fungicide",E373)),ISNUMBER(SEARCH("moss",E373))),"Disease &amp; Moss Control",
OR(ISNUMBER(SEARCH("plant food",E373)),ISNUMBER(SEARCH("miracid",E373))),"Plant Nutrition",
OR(ISNUMBER(SEARCH("perlite",E373))),"Soil Amendment",
OR(ISNUMBER(SEARCH("spreader",E373)),ISNUMBER(SEARCH("sprayer",E373)),ISNUMBER(SEARCH("mower",E373)),ISNUMBER(SEARCH("sweeper",E373)),ISNUMBER(SEARCH("pruner",E373)),ISNUMBER(SEARCH("trimmer",E373)),ISNUMBER(SEARCH("pole saw",E373))),"Garden Equipment",
TRUE,"Other"
)</f>
        <v>Flying Insect Control</v>
      </c>
      <c r="I373" s="7" t="str" cm="1">
        <f t="array" ref="I373">_xlfn.IFS(
OR(ISNUMBER(SEARCH("glue trap",E373)),ISNUMBER(SEARCH("glue board",E373))),"Glue Traps",
OR(ISNUMBER(SEARCH("snap trap",E373)),ISNUMBER(SEARCH("power-kill",E373)),ISNUMBER(SEARCH("wide pedal",E373)),ISNUMBER(SEARCH("metal pedal",E373))),"Snap Traps",
OR(ISNUMBER(SEARCH("electronic",E373)),ISNUMBER(SEARCH("zapper",E373))),"Electronic Traps",
OR(ISNUMBER(SEARCH("live catch",E373)),ISNUMBER(SEARCH("multi-catch",E373)),ISNUMBER(SEARCH("catch &amp; hold",E373)),ISNUMBER(SEARCH("tin cat",E373))),"Live Catch Traps",
OR(ISNUMBER(SEARCH("bait",E373)),ISNUMBER(SEARCH("poison",E373))),"Bait &amp; Poison",
ISNUMBER(SEARCH("repellent",E373)),"Repellents",
OR(ISNUMBER(SEARCH("fly trap",E373)),ISNUMBER(SEARCH("fly ribbon",E373)),ISNUMBER(SEARCH("fly stick",E373)),ISNUMBER(SEARCH("window fly",E373)),ISNUMBER(SEARCH("fly magnet",E373))),"Fly Traps",
OR(ISNUMBER(SEARCH("uv",E373)),ISNUMBER(SEARCH("fly light",E373)),ISNUMBER(SEARCH("plug-in",E373))),"UV Fly Traps",
ISNUMBER(SEARCH("roach",E373)),"Roach Traps",
ISNUMBER(SEARCH("ant",E373)),"Ant Traps",
ISNUMBER(SEARCH("spider",E373)),"Spider Traps",
ISNUMBER(SEARCH("mosquito",E373)),"Mosquito Traps",
ISNUMBER(SEARCH("beetle",E373)),"Beetle Traps",
ISNUMBER(SEARCH("lantern",E373)),"Lanternfly Control",
OR(ISNUMBER(SEARCH("tree shield",E373)),ISNUMBER(SEARCH("tree banding",E373)),ISNUMBER(SEARCH("insect barrier",E373))),"Tree Barriers",
OR(ISNUMBER(SEARCH("sun &amp; shade",E373)),ISNUMBER(SEARCH("sun and shade",E373))),"Sun &amp; Shade Mix",
ISNUMBER(SEARCH("tall fescue",E373)),"Tall Fescue",
ISNUMBER(SEARCH("bermudagrass",E373)),"Bermudagrass",
ISNUMBER(SEARCH("kentucky",E373)),"Kentucky Bluegrass",
ISNUMBER(SEARCH("zoysia",E373)),"Zoysia",
ISNUMBER(SEARCH("ryegrass",E373)),"Perennial Ryegrass",
ISNUMBER(SEARCH("centipede",E373)),"Centipede Grass",
ISNUMBER(SEARCH("dense shade",E373)),"Dense Shade Mix",
ISNUMBER(SEARCH("southern gold",E373)),"Southern Gold Mix",
ISNUMBER(SEARCH("heat-tolerant blue",E373)),"Heat-Tolerant Blue Mix",
ISNUMBER(SEARCH("high traffic",E373)),"High Traffic Mix",
ISNUMBER(SEARCH("quick fix",E373)),"Quick Fix Mix",
ISNUMBER(SEARCH("starter",E373)),"Starter Fertilizer",
ISNUMBER(SEARCH("weed &amp; feed",E373)),"Weed &amp; Feed",
ISNUMBER(SEARCH("lawn food",E373)),"Lawn Food",
ISNUMBER(SEARCH("triple action",E373)),"Triple Action Fertilizer",
ISNUMBER(SEARCH("green max",E373)),"Green Max Lawn Food",
ISNUMBER(SEARCH("patchmaster",E373)),"PatchMaster Repair",
ISNUMBER(SEARCH("ez seed",E373)),"EZ Seed Repair",
ISNUMBER(SEARCH("rapid grass",E373)),"Rapid Grass",
ISNUMBER(SEARCH("thick'r lawn",E373)),"Thick'R Lawn",
ISNUMBER(SEARCH("fungicide",E373)),"Fungicide",
ISNUMBER(SEARCH("moss",E373)),"Moss Control",
ISNUMBER(SEARCH("perlite",E373)),"Perlite",
ISNUMBER(SEARCH("plant food",E373)),"Plant Food",
ISNUMBER(SEARCH("spreader",E373)),"Spreader",
ISNUMBER(SEARCH("sprayer",E373)),"Sprayer",
ISNUMBER(SEARCH("mower",E373)),"Lawn Mower",
ISNUMBER(SEARCH("sweeper",E373)),"Lawn Sweeper",
OR(ISNUMBER(SEARCH("pruner",E373)),ISNUMBER(SEARCH("trimmer",E373)),ISNUMBER(SEARCH("pole saw",E373))),"Pruning Tools",
TRUE,"Other"
)</f>
        <v>Other</v>
      </c>
      <c r="J373" s="7" t="str">
        <f t="shared" si="86"/>
        <v>Flying Insect Control - Other</v>
      </c>
      <c r="K373" s="4">
        <v>6000</v>
      </c>
      <c r="L373" s="4">
        <v>3.9</v>
      </c>
      <c r="M373" s="4">
        <v>6669</v>
      </c>
      <c r="N373" s="4" t="s">
        <v>1707</v>
      </c>
      <c r="O373" s="4">
        <f>VLOOKUP(A373,[5]Sheet1!$A:$B,2,0)</f>
        <v>1000</v>
      </c>
      <c r="P373" s="4">
        <f>VLOOKUP(A373,[5]Sheet1!$A:$C,3,0)</f>
        <v>1000</v>
      </c>
      <c r="Q373" s="4">
        <f>VLOOKUP(A373,[5]Sheet1!$A:$D,4,0)</f>
        <v>1000</v>
      </c>
      <c r="R373" s="4">
        <f>VLOOKUP(A373,[5]Sheet1!$A:$E,5,0)</f>
        <v>2000</v>
      </c>
      <c r="S373" s="4">
        <f>VLOOKUP(A373,[5]Sheet1!$A:$F,6,0)</f>
        <v>3000</v>
      </c>
      <c r="T373" s="4">
        <f>VLOOKUP(A373,[5]Sheet1!$A:$G,7,0)</f>
        <v>7000</v>
      </c>
      <c r="U373" s="4">
        <f>VLOOKUP(A373,[5]Sheet1!$A:$H,8,0)</f>
        <v>4000</v>
      </c>
      <c r="V373" s="4">
        <f>VLOOKUP(A373,[5]Sheet1!$A:$I,9,0)</f>
        <v>4000</v>
      </c>
      <c r="W373" s="4">
        <f>VLOOKUP(A373,[5]Sheet1!$A:$J,10,0)</f>
        <v>5000</v>
      </c>
      <c r="X373" s="4">
        <f>VLOOKUP(A373,[5]Sheet1!$A:$L,11,0)</f>
        <v>9000</v>
      </c>
      <c r="Y373" s="4">
        <f>VLOOKUP(A373,[5]Sheet1!$A:$L,12,0)</f>
        <v>2000</v>
      </c>
      <c r="Z373" s="4">
        <f>VLOOKUP(A373,[5]Sheet1!$A:$M,13,0)</f>
        <v>1000</v>
      </c>
      <c r="AA373" s="4">
        <f t="shared" si="102"/>
        <v>40000</v>
      </c>
      <c r="AB373" s="7">
        <f t="shared" si="87"/>
        <v>3333</v>
      </c>
      <c r="AC373" s="15">
        <f t="shared" si="103"/>
        <v>3333.3333333333335</v>
      </c>
      <c r="AD373" s="16">
        <f t="shared" si="104"/>
        <v>799599.99999999988</v>
      </c>
      <c r="AE373" s="16">
        <f t="shared" si="105"/>
        <v>66633.333333333328</v>
      </c>
      <c r="AF373" s="16">
        <v>6.39</v>
      </c>
      <c r="AG373" s="16">
        <v>19.989999999999998</v>
      </c>
      <c r="AH373" s="15">
        <f t="shared" si="106"/>
        <v>4.0399999999999908E-2</v>
      </c>
      <c r="AI373" s="15">
        <f t="shared" si="107"/>
        <v>0.14139999999999964</v>
      </c>
      <c r="AJ373" s="10">
        <v>0.5</v>
      </c>
      <c r="AK373" s="10">
        <v>0.5</v>
      </c>
      <c r="AL373" s="16">
        <v>6.39</v>
      </c>
      <c r="AM373" s="9">
        <f t="shared" si="88"/>
        <v>2.9984999999999995</v>
      </c>
      <c r="AN373" s="9">
        <f t="shared" si="89"/>
        <v>0.5996999999999999</v>
      </c>
      <c r="AO373" s="9">
        <f t="shared" si="90"/>
        <v>3.9979999999999998</v>
      </c>
      <c r="AP373" s="9">
        <f t="shared" si="91"/>
        <v>0.39979999999999999</v>
      </c>
      <c r="AQ373" s="9">
        <f t="shared" si="92"/>
        <v>3.9979999999999998</v>
      </c>
      <c r="AR373" s="9">
        <f t="shared" si="93"/>
        <v>4.9974999999999996</v>
      </c>
      <c r="AS373" s="11">
        <f t="shared" si="94"/>
        <v>0.40399999999999903</v>
      </c>
      <c r="AT373" s="12">
        <f t="shared" si="95"/>
        <v>-0.2623333333333342</v>
      </c>
    </row>
    <row r="374" spans="1:46" ht="16.5" x14ac:dyDescent="0.4">
      <c r="A374" s="4" t="s">
        <v>1708</v>
      </c>
      <c r="B374" s="4" t="s">
        <v>1653</v>
      </c>
      <c r="C374" s="7" t="s">
        <v>1653</v>
      </c>
      <c r="D374" s="4" t="s">
        <v>1709</v>
      </c>
      <c r="E374" s="4" t="s">
        <v>1710</v>
      </c>
      <c r="F374" s="4" t="s">
        <v>1711</v>
      </c>
      <c r="G374" s="7" t="str">
        <f>VLOOKUP(A374,[1]done!$A:$I,9,0)</f>
        <v>Mosquito/Fly</v>
      </c>
      <c r="H374" s="7" t="str" cm="1">
        <f t="array" ref="H374">_xlfn.IFS(
OR(ISNUMBER(SEARCH("mouse",E374)),ISNUMBER(SEARCH("rat",E374)),ISNUMBER(SEARCH("mice",E374)),ISNUMBER(SEARCH("rodent",E374))),"Rodent Control",
OR(ISNUMBER(SEARCH("fly",E374)),ISNUMBER(SEARCH("gnat",E374)),ISNUMBER(SEARCH("insect",E374)),ISNUMBER(SEARCH("mosquito",E374))),"Flying Insect Control",
OR(ISNUMBER(SEARCH("roach",E374)),ISNUMBER(SEARCH("ant",E374)),ISNUMBER(SEARCH("spider",E374)),ISNUMBER(SEARCH("cricket",E374)),ISNUMBER(SEARCH("scorpion",E374)),ISNUMBER(SEARCH("centipede",E374)),ISNUMBER(SEARCH("beetle",E374))),"Crawling Insect Control",
OR(ISNUMBER(SEARCH("tree",E374)),ISNUMBER(SEARCH("lantern",E374)),ISNUMBER(SEARCH("garden",E374)),ISNUMBER(SEARCH("plant",E374))),"Garden Pest Control",
OR(ISNUMBER(SEARCH("grass seed",E374)),ISNUMBER(SEARCH("seed mix",E374))),"Grass Seed",
OR(ISNUMBER(SEARCH("lawn food",E374)),ISNUMBER(SEARCH("fertilizer",E374))),"Lawn Fertilizer",
OR(ISNUMBER(SEARCH("patch",E374)),ISNUMBER(SEARCH("repair",E374)),ISNUMBER(SEARCH("thick'r",E374)),ISNUMBER(SEARCH("thick'r lawn",E374)),ISNUMBER(SEARCH("rapid grass",E374))),"Lawn Repair",
OR(ISNUMBER(SEARCH("weed",E374)),ISNUMBER(SEARCH("crabgrass",E374))),"Weed Control",
OR(ISNUMBER(SEARCH("fungicide",E374)),ISNUMBER(SEARCH("moss",E374))),"Disease &amp; Moss Control",
OR(ISNUMBER(SEARCH("plant food",E374)),ISNUMBER(SEARCH("miracid",E374))),"Plant Nutrition",
OR(ISNUMBER(SEARCH("perlite",E374))),"Soil Amendment",
OR(ISNUMBER(SEARCH("spreader",E374)),ISNUMBER(SEARCH("sprayer",E374)),ISNUMBER(SEARCH("mower",E374)),ISNUMBER(SEARCH("sweeper",E374)),ISNUMBER(SEARCH("pruner",E374)),ISNUMBER(SEARCH("trimmer",E374)),ISNUMBER(SEARCH("pole saw",E374))),"Garden Equipment",
TRUE,"Other"
)</f>
        <v>Flying Insect Control</v>
      </c>
      <c r="I374" s="7" t="str" cm="1">
        <f t="array" ref="I374">_xlfn.IFS(
OR(ISNUMBER(SEARCH("glue trap",E374)),ISNUMBER(SEARCH("glue board",E374))),"Glue Traps",
OR(ISNUMBER(SEARCH("snap trap",E374)),ISNUMBER(SEARCH("power-kill",E374)),ISNUMBER(SEARCH("wide pedal",E374)),ISNUMBER(SEARCH("metal pedal",E374))),"Snap Traps",
OR(ISNUMBER(SEARCH("electronic",E374)),ISNUMBER(SEARCH("zapper",E374))),"Electronic Traps",
OR(ISNUMBER(SEARCH("live catch",E374)),ISNUMBER(SEARCH("multi-catch",E374)),ISNUMBER(SEARCH("catch &amp; hold",E374)),ISNUMBER(SEARCH("tin cat",E374))),"Live Catch Traps",
OR(ISNUMBER(SEARCH("bait",E374)),ISNUMBER(SEARCH("poison",E374))),"Bait &amp; Poison",
ISNUMBER(SEARCH("repellent",E374)),"Repellents",
OR(ISNUMBER(SEARCH("fly trap",E374)),ISNUMBER(SEARCH("fly ribbon",E374)),ISNUMBER(SEARCH("fly stick",E374)),ISNUMBER(SEARCH("window fly",E374)),ISNUMBER(SEARCH("fly magnet",E374))),"Fly Traps",
OR(ISNUMBER(SEARCH("uv",E374)),ISNUMBER(SEARCH("fly light",E374)),ISNUMBER(SEARCH("plug-in",E374))),"UV Fly Traps",
ISNUMBER(SEARCH("roach",E374)),"Roach Traps",
ISNUMBER(SEARCH("ant",E374)),"Ant Traps",
ISNUMBER(SEARCH("spider",E374)),"Spider Traps",
ISNUMBER(SEARCH("mosquito",E374)),"Mosquito Traps",
ISNUMBER(SEARCH("beetle",E374)),"Beetle Traps",
ISNUMBER(SEARCH("lantern",E374)),"Lanternfly Control",
OR(ISNUMBER(SEARCH("tree shield",E374)),ISNUMBER(SEARCH("tree banding",E374)),ISNUMBER(SEARCH("insect barrier",E374))),"Tree Barriers",
OR(ISNUMBER(SEARCH("sun &amp; shade",E374)),ISNUMBER(SEARCH("sun and shade",E374))),"Sun &amp; Shade Mix",
ISNUMBER(SEARCH("tall fescue",E374)),"Tall Fescue",
ISNUMBER(SEARCH("bermudagrass",E374)),"Bermudagrass",
ISNUMBER(SEARCH("kentucky",E374)),"Kentucky Bluegrass",
ISNUMBER(SEARCH("zoysia",E374)),"Zoysia",
ISNUMBER(SEARCH("ryegrass",E374)),"Perennial Ryegrass",
ISNUMBER(SEARCH("centipede",E374)),"Centipede Grass",
ISNUMBER(SEARCH("dense shade",E374)),"Dense Shade Mix",
ISNUMBER(SEARCH("southern gold",E374)),"Southern Gold Mix",
ISNUMBER(SEARCH("heat-tolerant blue",E374)),"Heat-Tolerant Blue Mix",
ISNUMBER(SEARCH("high traffic",E374)),"High Traffic Mix",
ISNUMBER(SEARCH("quick fix",E374)),"Quick Fix Mix",
ISNUMBER(SEARCH("starter",E374)),"Starter Fertilizer",
ISNUMBER(SEARCH("weed &amp; feed",E374)),"Weed &amp; Feed",
ISNUMBER(SEARCH("lawn food",E374)),"Lawn Food",
ISNUMBER(SEARCH("triple action",E374)),"Triple Action Fertilizer",
ISNUMBER(SEARCH("green max",E374)),"Green Max Lawn Food",
ISNUMBER(SEARCH("patchmaster",E374)),"PatchMaster Repair",
ISNUMBER(SEARCH("ez seed",E374)),"EZ Seed Repair",
ISNUMBER(SEARCH("rapid grass",E374)),"Rapid Grass",
ISNUMBER(SEARCH("thick'r lawn",E374)),"Thick'R Lawn",
ISNUMBER(SEARCH("fungicide",E374)),"Fungicide",
ISNUMBER(SEARCH("moss",E374)),"Moss Control",
ISNUMBER(SEARCH("perlite",E374)),"Perlite",
ISNUMBER(SEARCH("plant food",E374)),"Plant Food",
ISNUMBER(SEARCH("spreader",E374)),"Spreader",
ISNUMBER(SEARCH("sprayer",E374)),"Sprayer",
ISNUMBER(SEARCH("mower",E374)),"Lawn Mower",
ISNUMBER(SEARCH("sweeper",E374)),"Lawn Sweeper",
OR(ISNUMBER(SEARCH("pruner",E374)),ISNUMBER(SEARCH("trimmer",E374)),ISNUMBER(SEARCH("pole saw",E374))),"Pruning Tools",
TRUE,"Other"
)</f>
        <v>Fly Traps</v>
      </c>
      <c r="J374" s="7" t="str">
        <f t="shared" si="86"/>
        <v>Flying Insect Control - Fly Traps</v>
      </c>
      <c r="K374" s="4">
        <v>3000</v>
      </c>
      <c r="L374" s="4">
        <v>4.0999999999999996</v>
      </c>
      <c r="M374" s="4">
        <v>4469</v>
      </c>
      <c r="O374" s="4">
        <f>VLOOKUP(A374,[5]Sheet1!$A:$B,2,0)</f>
        <v>1000</v>
      </c>
      <c r="P374" s="4">
        <f>VLOOKUP(A374,[5]Sheet1!$A:$C,3,0)</f>
        <v>500</v>
      </c>
      <c r="Q374" s="4">
        <f>VLOOKUP(A374,[5]Sheet1!$A:$D,4,0)</f>
        <v>1000</v>
      </c>
      <c r="R374" s="4">
        <f>VLOOKUP(A374,[5]Sheet1!$A:$E,5,0)</f>
        <v>3000</v>
      </c>
      <c r="S374" s="4">
        <f>VLOOKUP(A374,[5]Sheet1!$A:$F,6,0)</f>
        <v>4000</v>
      </c>
      <c r="T374" s="4">
        <f>VLOOKUP(A374,[5]Sheet1!$A:$G,7,0)</f>
        <v>5000</v>
      </c>
      <c r="U374" s="4">
        <f>VLOOKUP(A374,[5]Sheet1!$A:$H,8,0)</f>
        <v>10000</v>
      </c>
      <c r="V374" s="4">
        <f>VLOOKUP(A374,[5]Sheet1!$A:$I,9,0)</f>
        <v>1000</v>
      </c>
      <c r="W374" s="4">
        <f>VLOOKUP(A374,[5]Sheet1!$A:$J,10,0)</f>
        <v>1000</v>
      </c>
      <c r="X374" s="4">
        <f>VLOOKUP(A374,[5]Sheet1!$A:$L,11,0)</f>
        <v>6000</v>
      </c>
      <c r="Y374" s="4">
        <f>VLOOKUP(A374,[5]Sheet1!$A:$L,12,0)</f>
        <v>1000</v>
      </c>
      <c r="Z374" s="4">
        <f>VLOOKUP(A374,[5]Sheet1!$A:$M,13,0)</f>
        <v>1000</v>
      </c>
      <c r="AA374" s="4">
        <f t="shared" si="102"/>
        <v>34500</v>
      </c>
      <c r="AB374" s="7">
        <f t="shared" si="87"/>
        <v>2875</v>
      </c>
      <c r="AC374" s="15">
        <f t="shared" si="103"/>
        <v>2875</v>
      </c>
      <c r="AD374" s="16">
        <f t="shared" si="104"/>
        <v>1159200</v>
      </c>
      <c r="AE374" s="16">
        <f t="shared" si="105"/>
        <v>96600</v>
      </c>
      <c r="AF374" s="16">
        <v>5.61</v>
      </c>
      <c r="AG374" s="16">
        <v>33.6</v>
      </c>
      <c r="AH374" s="15">
        <f t="shared" si="106"/>
        <v>0.45533333333333337</v>
      </c>
      <c r="AI374" s="15">
        <f t="shared" si="107"/>
        <v>1.5936666666666668</v>
      </c>
      <c r="AJ374" s="10">
        <v>0.5</v>
      </c>
      <c r="AK374" s="10">
        <v>0.5</v>
      </c>
      <c r="AL374" s="16">
        <v>5.61</v>
      </c>
      <c r="AM374" s="9">
        <f t="shared" si="88"/>
        <v>5.04</v>
      </c>
      <c r="AN374" s="9">
        <f t="shared" si="89"/>
        <v>1.008</v>
      </c>
      <c r="AO374" s="9">
        <f t="shared" si="90"/>
        <v>6.7200000000000006</v>
      </c>
      <c r="AP374" s="9">
        <f t="shared" si="91"/>
        <v>0.67200000000000004</v>
      </c>
      <c r="AQ374" s="9">
        <f t="shared" si="92"/>
        <v>6.7200000000000006</v>
      </c>
      <c r="AR374" s="9">
        <f t="shared" si="93"/>
        <v>8.4</v>
      </c>
      <c r="AS374" s="11">
        <f t="shared" si="94"/>
        <v>4.5533333333333337</v>
      </c>
      <c r="AT374" s="12">
        <f t="shared" si="95"/>
        <v>3.4333333333333336</v>
      </c>
    </row>
    <row r="375" spans="1:46" ht="16.5" x14ac:dyDescent="0.4">
      <c r="A375" s="4" t="s">
        <v>1712</v>
      </c>
      <c r="B375" s="4" t="s">
        <v>1653</v>
      </c>
      <c r="C375" s="7" t="s">
        <v>1653</v>
      </c>
      <c r="D375" s="4" t="s">
        <v>1713</v>
      </c>
      <c r="E375" s="4" t="s">
        <v>1714</v>
      </c>
      <c r="F375" s="4" t="s">
        <v>1715</v>
      </c>
      <c r="G375" s="7" t="str">
        <f>VLOOKUP(A375,[1]done!$A:$I,9,0)</f>
        <v>Mosquito/Fly</v>
      </c>
      <c r="H375" s="7" t="str" cm="1">
        <f t="array" ref="H375">_xlfn.IFS(
OR(ISNUMBER(SEARCH("mouse",E375)),ISNUMBER(SEARCH("rat",E375)),ISNUMBER(SEARCH("mice",E375)),ISNUMBER(SEARCH("rodent",E375))),"Rodent Control",
OR(ISNUMBER(SEARCH("fly",E375)),ISNUMBER(SEARCH("gnat",E375)),ISNUMBER(SEARCH("insect",E375)),ISNUMBER(SEARCH("mosquito",E375))),"Flying Insect Control",
OR(ISNUMBER(SEARCH("roach",E375)),ISNUMBER(SEARCH("ant",E375)),ISNUMBER(SEARCH("spider",E375)),ISNUMBER(SEARCH("cricket",E375)),ISNUMBER(SEARCH("scorpion",E375)),ISNUMBER(SEARCH("centipede",E375)),ISNUMBER(SEARCH("beetle",E375))),"Crawling Insect Control",
OR(ISNUMBER(SEARCH("tree",E375)),ISNUMBER(SEARCH("lantern",E375)),ISNUMBER(SEARCH("garden",E375)),ISNUMBER(SEARCH("plant",E375))),"Garden Pest Control",
OR(ISNUMBER(SEARCH("grass seed",E375)),ISNUMBER(SEARCH("seed mix",E375))),"Grass Seed",
OR(ISNUMBER(SEARCH("lawn food",E375)),ISNUMBER(SEARCH("fertilizer",E375))),"Lawn Fertilizer",
OR(ISNUMBER(SEARCH("patch",E375)),ISNUMBER(SEARCH("repair",E375)),ISNUMBER(SEARCH("thick'r",E375)),ISNUMBER(SEARCH("thick'r lawn",E375)),ISNUMBER(SEARCH("rapid grass",E375))),"Lawn Repair",
OR(ISNUMBER(SEARCH("weed",E375)),ISNUMBER(SEARCH("crabgrass",E375))),"Weed Control",
OR(ISNUMBER(SEARCH("fungicide",E375)),ISNUMBER(SEARCH("moss",E375))),"Disease &amp; Moss Control",
OR(ISNUMBER(SEARCH("plant food",E375)),ISNUMBER(SEARCH("miracid",E375))),"Plant Nutrition",
OR(ISNUMBER(SEARCH("perlite",E375))),"Soil Amendment",
OR(ISNUMBER(SEARCH("spreader",E375)),ISNUMBER(SEARCH("sprayer",E375)),ISNUMBER(SEARCH("mower",E375)),ISNUMBER(SEARCH("sweeper",E375)),ISNUMBER(SEARCH("pruner",E375)),ISNUMBER(SEARCH("trimmer",E375)),ISNUMBER(SEARCH("pole saw",E375))),"Garden Equipment",
TRUE,"Other"
)</f>
        <v>Flying Insect Control</v>
      </c>
      <c r="I375" s="7" t="str" cm="1">
        <f t="array" ref="I375">_xlfn.IFS(
OR(ISNUMBER(SEARCH("glue trap",E375)),ISNUMBER(SEARCH("glue board",E375))),"Glue Traps",
OR(ISNUMBER(SEARCH("snap trap",E375)),ISNUMBER(SEARCH("power-kill",E375)),ISNUMBER(SEARCH("wide pedal",E375)),ISNUMBER(SEARCH("metal pedal",E375))),"Snap Traps",
OR(ISNUMBER(SEARCH("electronic",E375)),ISNUMBER(SEARCH("zapper",E375))),"Electronic Traps",
OR(ISNUMBER(SEARCH("live catch",E375)),ISNUMBER(SEARCH("multi-catch",E375)),ISNUMBER(SEARCH("catch &amp; hold",E375)),ISNUMBER(SEARCH("tin cat",E375))),"Live Catch Traps",
OR(ISNUMBER(SEARCH("bait",E375)),ISNUMBER(SEARCH("poison",E375))),"Bait &amp; Poison",
ISNUMBER(SEARCH("repellent",E375)),"Repellents",
OR(ISNUMBER(SEARCH("fly trap",E375)),ISNUMBER(SEARCH("fly ribbon",E375)),ISNUMBER(SEARCH("fly stick",E375)),ISNUMBER(SEARCH("window fly",E375)),ISNUMBER(SEARCH("fly magnet",E375))),"Fly Traps",
OR(ISNUMBER(SEARCH("uv",E375)),ISNUMBER(SEARCH("fly light",E375)),ISNUMBER(SEARCH("plug-in",E375))),"UV Fly Traps",
ISNUMBER(SEARCH("roach",E375)),"Roach Traps",
ISNUMBER(SEARCH("ant",E375)),"Ant Traps",
ISNUMBER(SEARCH("spider",E375)),"Spider Traps",
ISNUMBER(SEARCH("mosquito",E375)),"Mosquito Traps",
ISNUMBER(SEARCH("beetle",E375)),"Beetle Traps",
ISNUMBER(SEARCH("lantern",E375)),"Lanternfly Control",
OR(ISNUMBER(SEARCH("tree shield",E375)),ISNUMBER(SEARCH("tree banding",E375)),ISNUMBER(SEARCH("insect barrier",E375))),"Tree Barriers",
OR(ISNUMBER(SEARCH("sun &amp; shade",E375)),ISNUMBER(SEARCH("sun and shade",E375))),"Sun &amp; Shade Mix",
ISNUMBER(SEARCH("tall fescue",E375)),"Tall Fescue",
ISNUMBER(SEARCH("bermudagrass",E375)),"Bermudagrass",
ISNUMBER(SEARCH("kentucky",E375)),"Kentucky Bluegrass",
ISNUMBER(SEARCH("zoysia",E375)),"Zoysia",
ISNUMBER(SEARCH("ryegrass",E375)),"Perennial Ryegrass",
ISNUMBER(SEARCH("centipede",E375)),"Centipede Grass",
ISNUMBER(SEARCH("dense shade",E375)),"Dense Shade Mix",
ISNUMBER(SEARCH("southern gold",E375)),"Southern Gold Mix",
ISNUMBER(SEARCH("heat-tolerant blue",E375)),"Heat-Tolerant Blue Mix",
ISNUMBER(SEARCH("high traffic",E375)),"High Traffic Mix",
ISNUMBER(SEARCH("quick fix",E375)),"Quick Fix Mix",
ISNUMBER(SEARCH("starter",E375)),"Starter Fertilizer",
ISNUMBER(SEARCH("weed &amp; feed",E375)),"Weed &amp; Feed",
ISNUMBER(SEARCH("lawn food",E375)),"Lawn Food",
ISNUMBER(SEARCH("triple action",E375)),"Triple Action Fertilizer",
ISNUMBER(SEARCH("green max",E375)),"Green Max Lawn Food",
ISNUMBER(SEARCH("patchmaster",E375)),"PatchMaster Repair",
ISNUMBER(SEARCH("ez seed",E375)),"EZ Seed Repair",
ISNUMBER(SEARCH("rapid grass",E375)),"Rapid Grass",
ISNUMBER(SEARCH("thick'r lawn",E375)),"Thick'R Lawn",
ISNUMBER(SEARCH("fungicide",E375)),"Fungicide",
ISNUMBER(SEARCH("moss",E375)),"Moss Control",
ISNUMBER(SEARCH("perlite",E375)),"Perlite",
ISNUMBER(SEARCH("plant food",E375)),"Plant Food",
ISNUMBER(SEARCH("spreader",E375)),"Spreader",
ISNUMBER(SEARCH("sprayer",E375)),"Sprayer",
ISNUMBER(SEARCH("mower",E375)),"Lawn Mower",
ISNUMBER(SEARCH("sweeper",E375)),"Lawn Sweeper",
OR(ISNUMBER(SEARCH("pruner",E375)),ISNUMBER(SEARCH("trimmer",E375)),ISNUMBER(SEARCH("pole saw",E375))),"Pruning Tools",
TRUE,"Other"
)</f>
        <v>Fly Traps</v>
      </c>
      <c r="J375" s="7" t="str">
        <f t="shared" si="86"/>
        <v>Flying Insect Control - Fly Traps</v>
      </c>
      <c r="K375" s="4">
        <v>2000</v>
      </c>
      <c r="L375" s="4">
        <v>4.2</v>
      </c>
      <c r="M375" s="4">
        <v>772</v>
      </c>
      <c r="O375" s="4">
        <f>VLOOKUP(A375,[5]Sheet1!$A:$B,2,0)</f>
        <v>200</v>
      </c>
      <c r="P375" s="4">
        <f>VLOOKUP(A375,[5]Sheet1!$A:$C,3,0)</f>
        <v>200</v>
      </c>
      <c r="Q375" s="4">
        <f>VLOOKUP(A375,[5]Sheet1!$A:$D,4,0)</f>
        <v>300</v>
      </c>
      <c r="R375" s="4">
        <f>VLOOKUP(A375,[5]Sheet1!$A:$E,5,0)</f>
        <v>500</v>
      </c>
      <c r="S375" s="4">
        <f>VLOOKUP(A375,[5]Sheet1!$A:$F,6,0)</f>
        <v>800</v>
      </c>
      <c r="T375" s="4">
        <f>VLOOKUP(A375,[5]Sheet1!$A:$G,7,0)</f>
        <v>3000</v>
      </c>
      <c r="U375" s="4">
        <f>VLOOKUP(A375,[5]Sheet1!$A:$H,8,0)</f>
        <v>3000</v>
      </c>
      <c r="V375" s="4">
        <f>VLOOKUP(A375,[5]Sheet1!$A:$I,9,0)</f>
        <v>4000</v>
      </c>
      <c r="W375" s="4">
        <f>VLOOKUP(A375,[5]Sheet1!$A:$J,10,0)</f>
        <v>2000</v>
      </c>
      <c r="X375" s="4">
        <f>VLOOKUP(A375,[5]Sheet1!$A:$L,11,0)</f>
        <v>1000</v>
      </c>
      <c r="Y375" s="4">
        <f>VLOOKUP(A375,[5]Sheet1!$A:$L,12,0)</f>
        <v>300</v>
      </c>
      <c r="Z375" s="4">
        <f>VLOOKUP(A375,[5]Sheet1!$A:$M,13,0)</f>
        <v>200</v>
      </c>
      <c r="AA375" s="4">
        <f t="shared" si="102"/>
        <v>15500</v>
      </c>
      <c r="AB375" s="7">
        <f t="shared" si="87"/>
        <v>1292</v>
      </c>
      <c r="AC375" s="15">
        <f t="shared" si="103"/>
        <v>1291.6666666666667</v>
      </c>
      <c r="AD375" s="16">
        <f t="shared" si="104"/>
        <v>728345</v>
      </c>
      <c r="AE375" s="16">
        <f t="shared" si="105"/>
        <v>60695.416666666672</v>
      </c>
      <c r="AF375" s="16">
        <v>6.48</v>
      </c>
      <c r="AG375" s="16">
        <v>46.99</v>
      </c>
      <c r="AH375" s="15">
        <f t="shared" si="106"/>
        <v>0.75439999999999985</v>
      </c>
      <c r="AI375" s="15">
        <f t="shared" si="107"/>
        <v>2.6403999999999992</v>
      </c>
      <c r="AJ375" s="10">
        <v>0.5</v>
      </c>
      <c r="AK375" s="10">
        <v>0.5</v>
      </c>
      <c r="AL375" s="16">
        <v>6.48</v>
      </c>
      <c r="AM375" s="9">
        <f t="shared" si="88"/>
        <v>7.0484999999999998</v>
      </c>
      <c r="AN375" s="9">
        <f t="shared" si="89"/>
        <v>1.4097</v>
      </c>
      <c r="AO375" s="9">
        <f t="shared" si="90"/>
        <v>9.3980000000000015</v>
      </c>
      <c r="AP375" s="9">
        <f t="shared" si="91"/>
        <v>0.93980000000000008</v>
      </c>
      <c r="AQ375" s="9">
        <f t="shared" si="92"/>
        <v>9.3980000000000015</v>
      </c>
      <c r="AR375" s="9">
        <f t="shared" si="93"/>
        <v>11.7475</v>
      </c>
      <c r="AS375" s="11">
        <f t="shared" si="94"/>
        <v>7.5439999999999978</v>
      </c>
      <c r="AT375" s="12">
        <f t="shared" si="95"/>
        <v>5.9776666666666651</v>
      </c>
    </row>
    <row r="376" spans="1:46" ht="16.5" x14ac:dyDescent="0.4">
      <c r="A376" s="4" t="s">
        <v>1716</v>
      </c>
      <c r="B376" s="4" t="s">
        <v>1653</v>
      </c>
      <c r="C376" s="7" t="s">
        <v>1653</v>
      </c>
      <c r="D376" s="4" t="s">
        <v>1717</v>
      </c>
      <c r="E376" s="4" t="s">
        <v>1718</v>
      </c>
      <c r="F376" s="4" t="s">
        <v>1719</v>
      </c>
      <c r="G376" s="7" t="str">
        <f>VLOOKUP(A376,[1]done!$A:$I,9,0)</f>
        <v>Mosquito/Fly</v>
      </c>
      <c r="H376" s="7" t="str" cm="1">
        <f t="array" ref="H376">_xlfn.IFS(
OR(ISNUMBER(SEARCH("mouse",E376)),ISNUMBER(SEARCH("rat",E376)),ISNUMBER(SEARCH("mice",E376)),ISNUMBER(SEARCH("rodent",E376))),"Rodent Control",
OR(ISNUMBER(SEARCH("fly",E376)),ISNUMBER(SEARCH("gnat",E376)),ISNUMBER(SEARCH("insect",E376)),ISNUMBER(SEARCH("mosquito",E376))),"Flying Insect Control",
OR(ISNUMBER(SEARCH("roach",E376)),ISNUMBER(SEARCH("ant",E376)),ISNUMBER(SEARCH("spider",E376)),ISNUMBER(SEARCH("cricket",E376)),ISNUMBER(SEARCH("scorpion",E376)),ISNUMBER(SEARCH("centipede",E376)),ISNUMBER(SEARCH("beetle",E376))),"Crawling Insect Control",
OR(ISNUMBER(SEARCH("tree",E376)),ISNUMBER(SEARCH("lantern",E376)),ISNUMBER(SEARCH("garden",E376)),ISNUMBER(SEARCH("plant",E376))),"Garden Pest Control",
OR(ISNUMBER(SEARCH("grass seed",E376)),ISNUMBER(SEARCH("seed mix",E376))),"Grass Seed",
OR(ISNUMBER(SEARCH("lawn food",E376)),ISNUMBER(SEARCH("fertilizer",E376))),"Lawn Fertilizer",
OR(ISNUMBER(SEARCH("patch",E376)),ISNUMBER(SEARCH("repair",E376)),ISNUMBER(SEARCH("thick'r",E376)),ISNUMBER(SEARCH("thick'r lawn",E376)),ISNUMBER(SEARCH("rapid grass",E376))),"Lawn Repair",
OR(ISNUMBER(SEARCH("weed",E376)),ISNUMBER(SEARCH("crabgrass",E376))),"Weed Control",
OR(ISNUMBER(SEARCH("fungicide",E376)),ISNUMBER(SEARCH("moss",E376))),"Disease &amp; Moss Control",
OR(ISNUMBER(SEARCH("plant food",E376)),ISNUMBER(SEARCH("miracid",E376))),"Plant Nutrition",
OR(ISNUMBER(SEARCH("perlite",E376))),"Soil Amendment",
OR(ISNUMBER(SEARCH("spreader",E376)),ISNUMBER(SEARCH("sprayer",E376)),ISNUMBER(SEARCH("mower",E376)),ISNUMBER(SEARCH("sweeper",E376)),ISNUMBER(SEARCH("pruner",E376)),ISNUMBER(SEARCH("trimmer",E376)),ISNUMBER(SEARCH("pole saw",E376))),"Garden Equipment",
TRUE,"Other"
)</f>
        <v>Flying Insect Control</v>
      </c>
      <c r="I376" s="7" t="str" cm="1">
        <f t="array" ref="I376">_xlfn.IFS(
OR(ISNUMBER(SEARCH("glue trap",E376)),ISNUMBER(SEARCH("glue board",E376))),"Glue Traps",
OR(ISNUMBER(SEARCH("snap trap",E376)),ISNUMBER(SEARCH("power-kill",E376)),ISNUMBER(SEARCH("wide pedal",E376)),ISNUMBER(SEARCH("metal pedal",E376))),"Snap Traps",
OR(ISNUMBER(SEARCH("electronic",E376)),ISNUMBER(SEARCH("zapper",E376))),"Electronic Traps",
OR(ISNUMBER(SEARCH("live catch",E376)),ISNUMBER(SEARCH("multi-catch",E376)),ISNUMBER(SEARCH("catch &amp; hold",E376)),ISNUMBER(SEARCH("tin cat",E376))),"Live Catch Traps",
OR(ISNUMBER(SEARCH("bait",E376)),ISNUMBER(SEARCH("poison",E376))),"Bait &amp; Poison",
ISNUMBER(SEARCH("repellent",E376)),"Repellents",
OR(ISNUMBER(SEARCH("fly trap",E376)),ISNUMBER(SEARCH("fly ribbon",E376)),ISNUMBER(SEARCH("fly stick",E376)),ISNUMBER(SEARCH("window fly",E376)),ISNUMBER(SEARCH("fly magnet",E376))),"Fly Traps",
OR(ISNUMBER(SEARCH("uv",E376)),ISNUMBER(SEARCH("fly light",E376)),ISNUMBER(SEARCH("plug-in",E376))),"UV Fly Traps",
ISNUMBER(SEARCH("roach",E376)),"Roach Traps",
ISNUMBER(SEARCH("ant",E376)),"Ant Traps",
ISNUMBER(SEARCH("spider",E376)),"Spider Traps",
ISNUMBER(SEARCH("mosquito",E376)),"Mosquito Traps",
ISNUMBER(SEARCH("beetle",E376)),"Beetle Traps",
ISNUMBER(SEARCH("lantern",E376)),"Lanternfly Control",
OR(ISNUMBER(SEARCH("tree shield",E376)),ISNUMBER(SEARCH("tree banding",E376)),ISNUMBER(SEARCH("insect barrier",E376))),"Tree Barriers",
OR(ISNUMBER(SEARCH("sun &amp; shade",E376)),ISNUMBER(SEARCH("sun and shade",E376))),"Sun &amp; Shade Mix",
ISNUMBER(SEARCH("tall fescue",E376)),"Tall Fescue",
ISNUMBER(SEARCH("bermudagrass",E376)),"Bermudagrass",
ISNUMBER(SEARCH("kentucky",E376)),"Kentucky Bluegrass",
ISNUMBER(SEARCH("zoysia",E376)),"Zoysia",
ISNUMBER(SEARCH("ryegrass",E376)),"Perennial Ryegrass",
ISNUMBER(SEARCH("centipede",E376)),"Centipede Grass",
ISNUMBER(SEARCH("dense shade",E376)),"Dense Shade Mix",
ISNUMBER(SEARCH("southern gold",E376)),"Southern Gold Mix",
ISNUMBER(SEARCH("heat-tolerant blue",E376)),"Heat-Tolerant Blue Mix",
ISNUMBER(SEARCH("high traffic",E376)),"High Traffic Mix",
ISNUMBER(SEARCH("quick fix",E376)),"Quick Fix Mix",
ISNUMBER(SEARCH("starter",E376)),"Starter Fertilizer",
ISNUMBER(SEARCH("weed &amp; feed",E376)),"Weed &amp; Feed",
ISNUMBER(SEARCH("lawn food",E376)),"Lawn Food",
ISNUMBER(SEARCH("triple action",E376)),"Triple Action Fertilizer",
ISNUMBER(SEARCH("green max",E376)),"Green Max Lawn Food",
ISNUMBER(SEARCH("patchmaster",E376)),"PatchMaster Repair",
ISNUMBER(SEARCH("ez seed",E376)),"EZ Seed Repair",
ISNUMBER(SEARCH("rapid grass",E376)),"Rapid Grass",
ISNUMBER(SEARCH("thick'r lawn",E376)),"Thick'R Lawn",
ISNUMBER(SEARCH("fungicide",E376)),"Fungicide",
ISNUMBER(SEARCH("moss",E376)),"Moss Control",
ISNUMBER(SEARCH("perlite",E376)),"Perlite",
ISNUMBER(SEARCH("plant food",E376)),"Plant Food",
ISNUMBER(SEARCH("spreader",E376)),"Spreader",
ISNUMBER(SEARCH("sprayer",E376)),"Sprayer",
ISNUMBER(SEARCH("mower",E376)),"Lawn Mower",
ISNUMBER(SEARCH("sweeper",E376)),"Lawn Sweeper",
OR(ISNUMBER(SEARCH("pruner",E376)),ISNUMBER(SEARCH("trimmer",E376)),ISNUMBER(SEARCH("pole saw",E376))),"Pruning Tools",
TRUE,"Other"
)</f>
        <v>Other</v>
      </c>
      <c r="J376" s="7" t="str">
        <f t="shared" si="86"/>
        <v>Flying Insect Control - Other</v>
      </c>
      <c r="K376" s="4">
        <v>1000</v>
      </c>
      <c r="L376" s="4">
        <v>4.8</v>
      </c>
      <c r="M376" s="4">
        <v>530</v>
      </c>
      <c r="O376" s="4">
        <f>VLOOKUP(A376,[5]Sheet1!$A:$B,2,0)</f>
        <v>500</v>
      </c>
      <c r="P376" s="4">
        <f>VLOOKUP(A376,[5]Sheet1!$A:$C,3,0)</f>
        <v>500</v>
      </c>
      <c r="Q376" s="4">
        <f>VLOOKUP(A376,[5]Sheet1!$A:$D,4,0)</f>
        <v>600</v>
      </c>
      <c r="R376" s="4">
        <f>VLOOKUP(A376,[5]Sheet1!$A:$E,5,0)</f>
        <v>900</v>
      </c>
      <c r="S376" s="4">
        <f>VLOOKUP(A376,[5]Sheet1!$A:$F,6,0)</f>
        <v>1000</v>
      </c>
      <c r="T376" s="4">
        <f>VLOOKUP(A376,[5]Sheet1!$A:$G,7,0)</f>
        <v>1000</v>
      </c>
      <c r="U376" s="4">
        <f>VLOOKUP(A376,[5]Sheet1!$A:$H,8,0)</f>
        <v>1000</v>
      </c>
      <c r="V376" s="4">
        <f>VLOOKUP(A376,[5]Sheet1!$A:$I,9,0)</f>
        <v>1000</v>
      </c>
      <c r="W376" s="4">
        <f>VLOOKUP(A376,[5]Sheet1!$A:$J,10,0)</f>
        <v>1000</v>
      </c>
      <c r="X376" s="4">
        <f>VLOOKUP(A376,[5]Sheet1!$A:$L,11,0)</f>
        <v>1000</v>
      </c>
      <c r="Y376" s="4">
        <f>VLOOKUP(A376,[5]Sheet1!$A:$L,12,0)</f>
        <v>1000</v>
      </c>
      <c r="Z376" s="4">
        <f>VLOOKUP(A376,[5]Sheet1!$A:$M,13,0)</f>
        <v>400</v>
      </c>
      <c r="AA376" s="4">
        <f t="shared" si="102"/>
        <v>9900</v>
      </c>
      <c r="AB376" s="7">
        <f t="shared" si="87"/>
        <v>825</v>
      </c>
      <c r="AC376" s="15">
        <f t="shared" si="103"/>
        <v>825</v>
      </c>
      <c r="AD376" s="16">
        <f t="shared" si="104"/>
        <v>454113</v>
      </c>
      <c r="AE376" s="16">
        <f t="shared" si="105"/>
        <v>37842.75</v>
      </c>
      <c r="AF376" s="16">
        <v>6.31</v>
      </c>
      <c r="AG376" s="16">
        <v>45.87</v>
      </c>
      <c r="AH376" s="15">
        <f t="shared" si="106"/>
        <v>0.73586666666666678</v>
      </c>
      <c r="AI376" s="15">
        <f t="shared" si="107"/>
        <v>2.5755333333333335</v>
      </c>
      <c r="AJ376" s="10">
        <v>0.5</v>
      </c>
      <c r="AK376" s="10">
        <v>0.5</v>
      </c>
      <c r="AL376" s="16">
        <v>6.31</v>
      </c>
      <c r="AM376" s="9">
        <f t="shared" si="88"/>
        <v>6.8804999999999996</v>
      </c>
      <c r="AN376" s="9">
        <f t="shared" si="89"/>
        <v>1.3760999999999999</v>
      </c>
      <c r="AO376" s="9">
        <f t="shared" si="90"/>
        <v>9.1739999999999995</v>
      </c>
      <c r="AP376" s="9">
        <f t="shared" si="91"/>
        <v>0.91739999999999999</v>
      </c>
      <c r="AQ376" s="9">
        <f t="shared" si="92"/>
        <v>9.1739999999999995</v>
      </c>
      <c r="AR376" s="9">
        <f t="shared" si="93"/>
        <v>11.467499999999999</v>
      </c>
      <c r="AS376" s="11">
        <f t="shared" si="94"/>
        <v>7.3586666666666671</v>
      </c>
      <c r="AT376" s="12">
        <f t="shared" si="95"/>
        <v>5.8296666666666672</v>
      </c>
    </row>
    <row r="377" spans="1:46" ht="16.5" x14ac:dyDescent="0.4">
      <c r="A377" s="4" t="s">
        <v>1720</v>
      </c>
      <c r="B377" s="4" t="s">
        <v>1653</v>
      </c>
      <c r="C377" s="7" t="s">
        <v>1653</v>
      </c>
      <c r="D377" s="4" t="s">
        <v>1721</v>
      </c>
      <c r="E377" s="4" t="s">
        <v>1722</v>
      </c>
      <c r="F377" s="4" t="s">
        <v>1723</v>
      </c>
      <c r="G377" s="7" t="str">
        <f>VLOOKUP(A377,[1]done!$A:$I,9,0)</f>
        <v>Mosquito/Fly</v>
      </c>
      <c r="H377" s="7" t="str" cm="1">
        <f t="array" ref="H377">_xlfn.IFS(
OR(ISNUMBER(SEARCH("mouse",E377)),ISNUMBER(SEARCH("rat",E377)),ISNUMBER(SEARCH("mice",E377)),ISNUMBER(SEARCH("rodent",E377))),"Rodent Control",
OR(ISNUMBER(SEARCH("fly",E377)),ISNUMBER(SEARCH("gnat",E377)),ISNUMBER(SEARCH("insect",E377)),ISNUMBER(SEARCH("mosquito",E377))),"Flying Insect Control",
OR(ISNUMBER(SEARCH("roach",E377)),ISNUMBER(SEARCH("ant",E377)),ISNUMBER(SEARCH("spider",E377)),ISNUMBER(SEARCH("cricket",E377)),ISNUMBER(SEARCH("scorpion",E377)),ISNUMBER(SEARCH("centipede",E377)),ISNUMBER(SEARCH("beetle",E377))),"Crawling Insect Control",
OR(ISNUMBER(SEARCH("tree",E377)),ISNUMBER(SEARCH("lantern",E377)),ISNUMBER(SEARCH("garden",E377)),ISNUMBER(SEARCH("plant",E377))),"Garden Pest Control",
OR(ISNUMBER(SEARCH("grass seed",E377)),ISNUMBER(SEARCH("seed mix",E377))),"Grass Seed",
OR(ISNUMBER(SEARCH("lawn food",E377)),ISNUMBER(SEARCH("fertilizer",E377))),"Lawn Fertilizer",
OR(ISNUMBER(SEARCH("patch",E377)),ISNUMBER(SEARCH("repair",E377)),ISNUMBER(SEARCH("thick'r",E377)),ISNUMBER(SEARCH("thick'r lawn",E377)),ISNUMBER(SEARCH("rapid grass",E377))),"Lawn Repair",
OR(ISNUMBER(SEARCH("weed",E377)),ISNUMBER(SEARCH("crabgrass",E377))),"Weed Control",
OR(ISNUMBER(SEARCH("fungicide",E377)),ISNUMBER(SEARCH("moss",E377))),"Disease &amp; Moss Control",
OR(ISNUMBER(SEARCH("plant food",E377)),ISNUMBER(SEARCH("miracid",E377))),"Plant Nutrition",
OR(ISNUMBER(SEARCH("perlite",E377))),"Soil Amendment",
OR(ISNUMBER(SEARCH("spreader",E377)),ISNUMBER(SEARCH("sprayer",E377)),ISNUMBER(SEARCH("mower",E377)),ISNUMBER(SEARCH("sweeper",E377)),ISNUMBER(SEARCH("pruner",E377)),ISNUMBER(SEARCH("trimmer",E377)),ISNUMBER(SEARCH("pole saw",E377))),"Garden Equipment",
TRUE,"Other"
)</f>
        <v>Flying Insect Control</v>
      </c>
      <c r="I377" s="7" t="str" cm="1">
        <f t="array" ref="I377">_xlfn.IFS(
OR(ISNUMBER(SEARCH("glue trap",E377)),ISNUMBER(SEARCH("glue board",E377))),"Glue Traps",
OR(ISNUMBER(SEARCH("snap trap",E377)),ISNUMBER(SEARCH("power-kill",E377)),ISNUMBER(SEARCH("wide pedal",E377)),ISNUMBER(SEARCH("metal pedal",E377))),"Snap Traps",
OR(ISNUMBER(SEARCH("electronic",E377)),ISNUMBER(SEARCH("zapper",E377))),"Electronic Traps",
OR(ISNUMBER(SEARCH("live catch",E377)),ISNUMBER(SEARCH("multi-catch",E377)),ISNUMBER(SEARCH("catch &amp; hold",E377)),ISNUMBER(SEARCH("tin cat",E377))),"Live Catch Traps",
OR(ISNUMBER(SEARCH("bait",E377)),ISNUMBER(SEARCH("poison",E377))),"Bait &amp; Poison",
ISNUMBER(SEARCH("repellent",E377)),"Repellents",
OR(ISNUMBER(SEARCH("fly trap",E377)),ISNUMBER(SEARCH("fly ribbon",E377)),ISNUMBER(SEARCH("fly stick",E377)),ISNUMBER(SEARCH("window fly",E377)),ISNUMBER(SEARCH("fly magnet",E377))),"Fly Traps",
OR(ISNUMBER(SEARCH("uv",E377)),ISNUMBER(SEARCH("fly light",E377)),ISNUMBER(SEARCH("plug-in",E377))),"UV Fly Traps",
ISNUMBER(SEARCH("roach",E377)),"Roach Traps",
ISNUMBER(SEARCH("ant",E377)),"Ant Traps",
ISNUMBER(SEARCH("spider",E377)),"Spider Traps",
ISNUMBER(SEARCH("mosquito",E377)),"Mosquito Traps",
ISNUMBER(SEARCH("beetle",E377)),"Beetle Traps",
ISNUMBER(SEARCH("lantern",E377)),"Lanternfly Control",
OR(ISNUMBER(SEARCH("tree shield",E377)),ISNUMBER(SEARCH("tree banding",E377)),ISNUMBER(SEARCH("insect barrier",E377))),"Tree Barriers",
OR(ISNUMBER(SEARCH("sun &amp; shade",E377)),ISNUMBER(SEARCH("sun and shade",E377))),"Sun &amp; Shade Mix",
ISNUMBER(SEARCH("tall fescue",E377)),"Tall Fescue",
ISNUMBER(SEARCH("bermudagrass",E377)),"Bermudagrass",
ISNUMBER(SEARCH("kentucky",E377)),"Kentucky Bluegrass",
ISNUMBER(SEARCH("zoysia",E377)),"Zoysia",
ISNUMBER(SEARCH("ryegrass",E377)),"Perennial Ryegrass",
ISNUMBER(SEARCH("centipede",E377)),"Centipede Grass",
ISNUMBER(SEARCH("dense shade",E377)),"Dense Shade Mix",
ISNUMBER(SEARCH("southern gold",E377)),"Southern Gold Mix",
ISNUMBER(SEARCH("heat-tolerant blue",E377)),"Heat-Tolerant Blue Mix",
ISNUMBER(SEARCH("high traffic",E377)),"High Traffic Mix",
ISNUMBER(SEARCH("quick fix",E377)),"Quick Fix Mix",
ISNUMBER(SEARCH("starter",E377)),"Starter Fertilizer",
ISNUMBER(SEARCH("weed &amp; feed",E377)),"Weed &amp; Feed",
ISNUMBER(SEARCH("lawn food",E377)),"Lawn Food",
ISNUMBER(SEARCH("triple action",E377)),"Triple Action Fertilizer",
ISNUMBER(SEARCH("green max",E377)),"Green Max Lawn Food",
ISNUMBER(SEARCH("patchmaster",E377)),"PatchMaster Repair",
ISNUMBER(SEARCH("ez seed",E377)),"EZ Seed Repair",
ISNUMBER(SEARCH("rapid grass",E377)),"Rapid Grass",
ISNUMBER(SEARCH("thick'r lawn",E377)),"Thick'R Lawn",
ISNUMBER(SEARCH("fungicide",E377)),"Fungicide",
ISNUMBER(SEARCH("moss",E377)),"Moss Control",
ISNUMBER(SEARCH("perlite",E377)),"Perlite",
ISNUMBER(SEARCH("plant food",E377)),"Plant Food",
ISNUMBER(SEARCH("spreader",E377)),"Spreader",
ISNUMBER(SEARCH("sprayer",E377)),"Sprayer",
ISNUMBER(SEARCH("mower",E377)),"Lawn Mower",
ISNUMBER(SEARCH("sweeper",E377)),"Lawn Sweeper",
OR(ISNUMBER(SEARCH("pruner",E377)),ISNUMBER(SEARCH("trimmer",E377)),ISNUMBER(SEARCH("pole saw",E377))),"Pruning Tools",
TRUE,"Other"
)</f>
        <v>Other</v>
      </c>
      <c r="J377" s="7" t="str">
        <f t="shared" si="86"/>
        <v>Flying Insect Control - Other</v>
      </c>
      <c r="K377" s="4">
        <v>700</v>
      </c>
      <c r="L377" s="4">
        <v>4.8</v>
      </c>
      <c r="M377" s="4">
        <v>699</v>
      </c>
      <c r="O377" s="4">
        <f>VLOOKUP(A377,[5]Sheet1!$A:$B,2,0)</f>
        <v>200</v>
      </c>
      <c r="P377" s="4">
        <f>VLOOKUP(A377,[5]Sheet1!$A:$C,3,0)</f>
        <v>100</v>
      </c>
      <c r="Q377" s="4">
        <f>VLOOKUP(A377,[5]Sheet1!$A:$D,4,0)</f>
        <v>300</v>
      </c>
      <c r="R377" s="4">
        <f>VLOOKUP(A377,[5]Sheet1!$A:$E,5,0)</f>
        <v>200</v>
      </c>
      <c r="S377" s="4">
        <f>VLOOKUP(A377,[5]Sheet1!$A:$F,6,0)</f>
        <v>100</v>
      </c>
      <c r="T377" s="4">
        <f>VLOOKUP(A377,[5]Sheet1!$A:$G,7,0)</f>
        <v>100</v>
      </c>
      <c r="U377" s="4">
        <f>VLOOKUP(A377,[5]Sheet1!$A:$H,8,0)</f>
        <v>1000</v>
      </c>
      <c r="V377" s="4">
        <f>VLOOKUP(A377,[5]Sheet1!$A:$I,9,0)</f>
        <v>1000</v>
      </c>
      <c r="W377" s="4">
        <f>VLOOKUP(A377,[5]Sheet1!$A:$J,10,0)</f>
        <v>1000</v>
      </c>
      <c r="X377" s="4">
        <f>VLOOKUP(A377,[5]Sheet1!$A:$L,11,0)</f>
        <v>1000</v>
      </c>
      <c r="Y377" s="4">
        <f>VLOOKUP(A377,[5]Sheet1!$A:$L,12,0)</f>
        <v>2000</v>
      </c>
      <c r="Z377" s="4">
        <f>VLOOKUP(A377,[5]Sheet1!$A:$M,13,0)</f>
        <v>1000</v>
      </c>
      <c r="AA377" s="4">
        <f t="shared" si="102"/>
        <v>8000</v>
      </c>
      <c r="AB377" s="7">
        <f t="shared" si="87"/>
        <v>667</v>
      </c>
      <c r="AC377" s="15">
        <f t="shared" si="103"/>
        <v>666.66666666666663</v>
      </c>
      <c r="AD377" s="16">
        <f t="shared" si="104"/>
        <v>357920</v>
      </c>
      <c r="AE377" s="16">
        <f t="shared" si="105"/>
        <v>29826.666666666668</v>
      </c>
      <c r="AF377" s="16">
        <v>6.13</v>
      </c>
      <c r="AG377" s="16">
        <v>44.74</v>
      </c>
      <c r="AH377" s="15">
        <f t="shared" si="106"/>
        <v>0.71773333333333345</v>
      </c>
      <c r="AI377" s="15">
        <f t="shared" si="107"/>
        <v>2.5120666666666667</v>
      </c>
      <c r="AJ377" s="10">
        <v>0.5</v>
      </c>
      <c r="AK377" s="10">
        <v>0.5</v>
      </c>
      <c r="AL377" s="16">
        <v>6.13</v>
      </c>
      <c r="AM377" s="9">
        <f t="shared" si="88"/>
        <v>6.7110000000000003</v>
      </c>
      <c r="AN377" s="9">
        <f t="shared" si="89"/>
        <v>1.3422000000000001</v>
      </c>
      <c r="AO377" s="9">
        <f t="shared" si="90"/>
        <v>8.9480000000000004</v>
      </c>
      <c r="AP377" s="9">
        <f t="shared" si="91"/>
        <v>0.89480000000000004</v>
      </c>
      <c r="AQ377" s="9">
        <f t="shared" si="92"/>
        <v>8.9480000000000004</v>
      </c>
      <c r="AR377" s="9">
        <f t="shared" si="93"/>
        <v>11.185</v>
      </c>
      <c r="AS377" s="11">
        <f t="shared" si="94"/>
        <v>7.1773333333333342</v>
      </c>
      <c r="AT377" s="12">
        <f t="shared" si="95"/>
        <v>5.6860000000000008</v>
      </c>
    </row>
    <row r="378" spans="1:46" ht="16.5" x14ac:dyDescent="0.4">
      <c r="A378" s="4" t="s">
        <v>1724</v>
      </c>
      <c r="B378" s="4" t="s">
        <v>1653</v>
      </c>
      <c r="C378" s="7" t="s">
        <v>1653</v>
      </c>
      <c r="D378" s="4" t="s">
        <v>1725</v>
      </c>
      <c r="E378" s="4" t="s">
        <v>1726</v>
      </c>
      <c r="F378" s="4" t="s">
        <v>1727</v>
      </c>
      <c r="G378" s="7" t="str">
        <f>VLOOKUP(A378,[1]done!$A:$I,9,0)</f>
        <v>Mosquito/Fly</v>
      </c>
      <c r="H378" s="7" t="str" cm="1">
        <f t="array" ref="H378">_xlfn.IFS(
OR(ISNUMBER(SEARCH("mouse",E378)),ISNUMBER(SEARCH("rat",E378)),ISNUMBER(SEARCH("mice",E378)),ISNUMBER(SEARCH("rodent",E378))),"Rodent Control",
OR(ISNUMBER(SEARCH("fly",E378)),ISNUMBER(SEARCH("gnat",E378)),ISNUMBER(SEARCH("insect",E378)),ISNUMBER(SEARCH("mosquito",E378))),"Flying Insect Control",
OR(ISNUMBER(SEARCH("roach",E378)),ISNUMBER(SEARCH("ant",E378)),ISNUMBER(SEARCH("spider",E378)),ISNUMBER(SEARCH("cricket",E378)),ISNUMBER(SEARCH("scorpion",E378)),ISNUMBER(SEARCH("centipede",E378)),ISNUMBER(SEARCH("beetle",E378))),"Crawling Insect Control",
OR(ISNUMBER(SEARCH("tree",E378)),ISNUMBER(SEARCH("lantern",E378)),ISNUMBER(SEARCH("garden",E378)),ISNUMBER(SEARCH("plant",E378))),"Garden Pest Control",
OR(ISNUMBER(SEARCH("grass seed",E378)),ISNUMBER(SEARCH("seed mix",E378))),"Grass Seed",
OR(ISNUMBER(SEARCH("lawn food",E378)),ISNUMBER(SEARCH("fertilizer",E378))),"Lawn Fertilizer",
OR(ISNUMBER(SEARCH("patch",E378)),ISNUMBER(SEARCH("repair",E378)),ISNUMBER(SEARCH("thick'r",E378)),ISNUMBER(SEARCH("thick'r lawn",E378)),ISNUMBER(SEARCH("rapid grass",E378))),"Lawn Repair",
OR(ISNUMBER(SEARCH("weed",E378)),ISNUMBER(SEARCH("crabgrass",E378))),"Weed Control",
OR(ISNUMBER(SEARCH("fungicide",E378)),ISNUMBER(SEARCH("moss",E378))),"Disease &amp; Moss Control",
OR(ISNUMBER(SEARCH("plant food",E378)),ISNUMBER(SEARCH("miracid",E378))),"Plant Nutrition",
OR(ISNUMBER(SEARCH("perlite",E378))),"Soil Amendment",
OR(ISNUMBER(SEARCH("spreader",E378)),ISNUMBER(SEARCH("sprayer",E378)),ISNUMBER(SEARCH("mower",E378)),ISNUMBER(SEARCH("sweeper",E378)),ISNUMBER(SEARCH("pruner",E378)),ISNUMBER(SEARCH("trimmer",E378)),ISNUMBER(SEARCH("pole saw",E378))),"Garden Equipment",
TRUE,"Other"
)</f>
        <v>Flying Insect Control</v>
      </c>
      <c r="I378" s="7" t="str" cm="1">
        <f t="array" ref="I378">_xlfn.IFS(
OR(ISNUMBER(SEARCH("glue trap",E378)),ISNUMBER(SEARCH("glue board",E378))),"Glue Traps",
OR(ISNUMBER(SEARCH("snap trap",E378)),ISNUMBER(SEARCH("power-kill",E378)),ISNUMBER(SEARCH("wide pedal",E378)),ISNUMBER(SEARCH("metal pedal",E378))),"Snap Traps",
OR(ISNUMBER(SEARCH("electronic",E378)),ISNUMBER(SEARCH("zapper",E378))),"Electronic Traps",
OR(ISNUMBER(SEARCH("live catch",E378)),ISNUMBER(SEARCH("multi-catch",E378)),ISNUMBER(SEARCH("catch &amp; hold",E378)),ISNUMBER(SEARCH("tin cat",E378))),"Live Catch Traps",
OR(ISNUMBER(SEARCH("bait",E378)),ISNUMBER(SEARCH("poison",E378))),"Bait &amp; Poison",
ISNUMBER(SEARCH("repellent",E378)),"Repellents",
OR(ISNUMBER(SEARCH("fly trap",E378)),ISNUMBER(SEARCH("fly ribbon",E378)),ISNUMBER(SEARCH("fly stick",E378)),ISNUMBER(SEARCH("window fly",E378)),ISNUMBER(SEARCH("fly magnet",E378))),"Fly Traps",
OR(ISNUMBER(SEARCH("uv",E378)),ISNUMBER(SEARCH("fly light",E378)),ISNUMBER(SEARCH("plug-in",E378))),"UV Fly Traps",
ISNUMBER(SEARCH("roach",E378)),"Roach Traps",
ISNUMBER(SEARCH("ant",E378)),"Ant Traps",
ISNUMBER(SEARCH("spider",E378)),"Spider Traps",
ISNUMBER(SEARCH("mosquito",E378)),"Mosquito Traps",
ISNUMBER(SEARCH("beetle",E378)),"Beetle Traps",
ISNUMBER(SEARCH("lantern",E378)),"Lanternfly Control",
OR(ISNUMBER(SEARCH("tree shield",E378)),ISNUMBER(SEARCH("tree banding",E378)),ISNUMBER(SEARCH("insect barrier",E378))),"Tree Barriers",
OR(ISNUMBER(SEARCH("sun &amp; shade",E378)),ISNUMBER(SEARCH("sun and shade",E378))),"Sun &amp; Shade Mix",
ISNUMBER(SEARCH("tall fescue",E378)),"Tall Fescue",
ISNUMBER(SEARCH("bermudagrass",E378)),"Bermudagrass",
ISNUMBER(SEARCH("kentucky",E378)),"Kentucky Bluegrass",
ISNUMBER(SEARCH("zoysia",E378)),"Zoysia",
ISNUMBER(SEARCH("ryegrass",E378)),"Perennial Ryegrass",
ISNUMBER(SEARCH("centipede",E378)),"Centipede Grass",
ISNUMBER(SEARCH("dense shade",E378)),"Dense Shade Mix",
ISNUMBER(SEARCH("southern gold",E378)),"Southern Gold Mix",
ISNUMBER(SEARCH("heat-tolerant blue",E378)),"Heat-Tolerant Blue Mix",
ISNUMBER(SEARCH("high traffic",E378)),"High Traffic Mix",
ISNUMBER(SEARCH("quick fix",E378)),"Quick Fix Mix",
ISNUMBER(SEARCH("starter",E378)),"Starter Fertilizer",
ISNUMBER(SEARCH("weed &amp; feed",E378)),"Weed &amp; Feed",
ISNUMBER(SEARCH("lawn food",E378)),"Lawn Food",
ISNUMBER(SEARCH("triple action",E378)),"Triple Action Fertilizer",
ISNUMBER(SEARCH("green max",E378)),"Green Max Lawn Food",
ISNUMBER(SEARCH("patchmaster",E378)),"PatchMaster Repair",
ISNUMBER(SEARCH("ez seed",E378)),"EZ Seed Repair",
ISNUMBER(SEARCH("rapid grass",E378)),"Rapid Grass",
ISNUMBER(SEARCH("thick'r lawn",E378)),"Thick'R Lawn",
ISNUMBER(SEARCH("fungicide",E378)),"Fungicide",
ISNUMBER(SEARCH("moss",E378)),"Moss Control",
ISNUMBER(SEARCH("perlite",E378)),"Perlite",
ISNUMBER(SEARCH("plant food",E378)),"Plant Food",
ISNUMBER(SEARCH("spreader",E378)),"Spreader",
ISNUMBER(SEARCH("sprayer",E378)),"Sprayer",
ISNUMBER(SEARCH("mower",E378)),"Lawn Mower",
ISNUMBER(SEARCH("sweeper",E378)),"Lawn Sweeper",
OR(ISNUMBER(SEARCH("pruner",E378)),ISNUMBER(SEARCH("trimmer",E378)),ISNUMBER(SEARCH("pole saw",E378))),"Pruning Tools",
TRUE,"Other"
)</f>
        <v>Other</v>
      </c>
      <c r="J378" s="7" t="str">
        <f t="shared" si="86"/>
        <v>Flying Insect Control - Other</v>
      </c>
      <c r="K378" s="4">
        <v>600</v>
      </c>
      <c r="L378" s="4">
        <v>4.8</v>
      </c>
      <c r="M378" s="4">
        <v>49</v>
      </c>
      <c r="O378" s="4">
        <f>VLOOKUP(A378,[5]Sheet1!$A:$B,2,0)</f>
        <v>0</v>
      </c>
      <c r="P378" s="4">
        <f>VLOOKUP(A378,[5]Sheet1!$A:$C,3,0)</f>
        <v>0</v>
      </c>
      <c r="Q378" s="4">
        <f>VLOOKUP(A378,[5]Sheet1!$A:$D,4,0)</f>
        <v>0</v>
      </c>
      <c r="R378" s="4">
        <f>VLOOKUP(A378,[5]Sheet1!$A:$E,5,0)</f>
        <v>0</v>
      </c>
      <c r="S378" s="4">
        <f>VLOOKUP(A378,[5]Sheet1!$A:$F,6,0)</f>
        <v>300</v>
      </c>
      <c r="T378" s="4">
        <f>VLOOKUP(A378,[5]Sheet1!$A:$G,7,0)</f>
        <v>400</v>
      </c>
      <c r="U378" s="4">
        <f>VLOOKUP(A378,[5]Sheet1!$A:$H,8,0)</f>
        <v>600</v>
      </c>
      <c r="V378" s="4">
        <f>VLOOKUP(A378,[5]Sheet1!$A:$I,9,0)</f>
        <v>0</v>
      </c>
      <c r="W378" s="4">
        <f>VLOOKUP(A378,[5]Sheet1!$A:$J,10,0)</f>
        <v>0</v>
      </c>
      <c r="X378" s="4">
        <f>VLOOKUP(A378,[5]Sheet1!$A:$L,11,0)</f>
        <v>0</v>
      </c>
      <c r="Y378" s="4">
        <f>VLOOKUP(A378,[5]Sheet1!$A:$L,12,0)</f>
        <v>0</v>
      </c>
      <c r="Z378" s="4">
        <f>VLOOKUP(A378,[5]Sheet1!$A:$M,13,0)</f>
        <v>0</v>
      </c>
      <c r="AA378" s="4">
        <f t="shared" si="102"/>
        <v>1300</v>
      </c>
      <c r="AB378" s="7">
        <f t="shared" si="87"/>
        <v>108</v>
      </c>
      <c r="AC378" s="15">
        <f t="shared" si="103"/>
        <v>108.33333333333333</v>
      </c>
      <c r="AD378" s="16">
        <f t="shared" si="104"/>
        <v>33722</v>
      </c>
      <c r="AE378" s="16">
        <f t="shared" si="105"/>
        <v>2810.1666666666665</v>
      </c>
      <c r="AF378" s="16">
        <v>4.76</v>
      </c>
      <c r="AG378" s="16">
        <v>25.94</v>
      </c>
      <c r="AH378" s="15">
        <f t="shared" si="106"/>
        <v>0.30773333333333336</v>
      </c>
      <c r="AI378" s="15">
        <f t="shared" si="107"/>
        <v>1.0770666666666666</v>
      </c>
      <c r="AJ378" s="10">
        <v>0.5</v>
      </c>
      <c r="AK378" s="10">
        <v>0.5</v>
      </c>
      <c r="AL378" s="16">
        <v>4.76</v>
      </c>
      <c r="AM378" s="9">
        <f t="shared" si="88"/>
        <v>3.891</v>
      </c>
      <c r="AN378" s="9">
        <f t="shared" si="89"/>
        <v>0.7782</v>
      </c>
      <c r="AO378" s="9">
        <f t="shared" si="90"/>
        <v>5.1880000000000006</v>
      </c>
      <c r="AP378" s="9">
        <f t="shared" si="91"/>
        <v>0.51880000000000004</v>
      </c>
      <c r="AQ378" s="9">
        <f t="shared" si="92"/>
        <v>5.1880000000000006</v>
      </c>
      <c r="AR378" s="9">
        <f t="shared" si="93"/>
        <v>6.4850000000000003</v>
      </c>
      <c r="AS378" s="11">
        <f t="shared" si="94"/>
        <v>3.0773333333333333</v>
      </c>
      <c r="AT378" s="12">
        <f t="shared" si="95"/>
        <v>2.2126666666666668</v>
      </c>
    </row>
    <row r="379" spans="1:46" ht="16.5" x14ac:dyDescent="0.4">
      <c r="A379" s="4" t="s">
        <v>1728</v>
      </c>
      <c r="B379" s="4" t="s">
        <v>1653</v>
      </c>
      <c r="C379" s="7" t="s">
        <v>1653</v>
      </c>
      <c r="D379" s="4" t="s">
        <v>1729</v>
      </c>
      <c r="E379" s="4" t="s">
        <v>1730</v>
      </c>
      <c r="F379" s="4" t="s">
        <v>1731</v>
      </c>
      <c r="G379" s="7" t="str">
        <f>VLOOKUP(A379,[1]done!$A:$I,9,0)</f>
        <v>Other crawling insects</v>
      </c>
      <c r="H379" s="7" t="str" cm="1">
        <f t="array" ref="H379">_xlfn.IFS(
OR(ISNUMBER(SEARCH("mouse",E379)),ISNUMBER(SEARCH("rat",E379)),ISNUMBER(SEARCH("mice",E379)),ISNUMBER(SEARCH("rodent",E379))),"Rodent Control",
OR(ISNUMBER(SEARCH("fly",E379)),ISNUMBER(SEARCH("gnat",E379)),ISNUMBER(SEARCH("insect",E379)),ISNUMBER(SEARCH("mosquito",E379))),"Flying Insect Control",
OR(ISNUMBER(SEARCH("roach",E379)),ISNUMBER(SEARCH("ant",E379)),ISNUMBER(SEARCH("spider",E379)),ISNUMBER(SEARCH("cricket",E379)),ISNUMBER(SEARCH("scorpion",E379)),ISNUMBER(SEARCH("centipede",E379)),ISNUMBER(SEARCH("beetle",E379))),"Crawling Insect Control",
OR(ISNUMBER(SEARCH("tree",E379)),ISNUMBER(SEARCH("lantern",E379)),ISNUMBER(SEARCH("garden",E379)),ISNUMBER(SEARCH("plant",E379))),"Garden Pest Control",
OR(ISNUMBER(SEARCH("grass seed",E379)),ISNUMBER(SEARCH("seed mix",E379))),"Grass Seed",
OR(ISNUMBER(SEARCH("lawn food",E379)),ISNUMBER(SEARCH("fertilizer",E379))),"Lawn Fertilizer",
OR(ISNUMBER(SEARCH("patch",E379)),ISNUMBER(SEARCH("repair",E379)),ISNUMBER(SEARCH("thick'r",E379)),ISNUMBER(SEARCH("thick'r lawn",E379)),ISNUMBER(SEARCH("rapid grass",E379))),"Lawn Repair",
OR(ISNUMBER(SEARCH("weed",E379)),ISNUMBER(SEARCH("crabgrass",E379))),"Weed Control",
OR(ISNUMBER(SEARCH("fungicide",E379)),ISNUMBER(SEARCH("moss",E379))),"Disease &amp; Moss Control",
OR(ISNUMBER(SEARCH("plant food",E379)),ISNUMBER(SEARCH("miracid",E379))),"Plant Nutrition",
OR(ISNUMBER(SEARCH("perlite",E379))),"Soil Amendment",
OR(ISNUMBER(SEARCH("spreader",E379)),ISNUMBER(SEARCH("sprayer",E379)),ISNUMBER(SEARCH("mower",E379)),ISNUMBER(SEARCH("sweeper",E379)),ISNUMBER(SEARCH("pruner",E379)),ISNUMBER(SEARCH("trimmer",E379)),ISNUMBER(SEARCH("pole saw",E379))),"Garden Equipment",
TRUE,"Other"
)</f>
        <v>Flying Insect Control</v>
      </c>
      <c r="I379" s="7" t="str" cm="1">
        <f t="array" ref="I379">_xlfn.IFS(
OR(ISNUMBER(SEARCH("glue trap",E379)),ISNUMBER(SEARCH("glue board",E379))),"Glue Traps",
OR(ISNUMBER(SEARCH("snap trap",E379)),ISNUMBER(SEARCH("power-kill",E379)),ISNUMBER(SEARCH("wide pedal",E379)),ISNUMBER(SEARCH("metal pedal",E379))),"Snap Traps",
OR(ISNUMBER(SEARCH("electronic",E379)),ISNUMBER(SEARCH("zapper",E379))),"Electronic Traps",
OR(ISNUMBER(SEARCH("live catch",E379)),ISNUMBER(SEARCH("multi-catch",E379)),ISNUMBER(SEARCH("catch &amp; hold",E379)),ISNUMBER(SEARCH("tin cat",E379))),"Live Catch Traps",
OR(ISNUMBER(SEARCH("bait",E379)),ISNUMBER(SEARCH("poison",E379))),"Bait &amp; Poison",
ISNUMBER(SEARCH("repellent",E379)),"Repellents",
OR(ISNUMBER(SEARCH("fly trap",E379)),ISNUMBER(SEARCH("fly ribbon",E379)),ISNUMBER(SEARCH("fly stick",E379)),ISNUMBER(SEARCH("window fly",E379)),ISNUMBER(SEARCH("fly magnet",E379))),"Fly Traps",
OR(ISNUMBER(SEARCH("uv",E379)),ISNUMBER(SEARCH("fly light",E379)),ISNUMBER(SEARCH("plug-in",E379))),"UV Fly Traps",
ISNUMBER(SEARCH("roach",E379)),"Roach Traps",
ISNUMBER(SEARCH("ant",E379)),"Ant Traps",
ISNUMBER(SEARCH("spider",E379)),"Spider Traps",
ISNUMBER(SEARCH("mosquito",E379)),"Mosquito Traps",
ISNUMBER(SEARCH("beetle",E379)),"Beetle Traps",
ISNUMBER(SEARCH("lantern",E379)),"Lanternfly Control",
OR(ISNUMBER(SEARCH("tree shield",E379)),ISNUMBER(SEARCH("tree banding",E379)),ISNUMBER(SEARCH("insect barrier",E379))),"Tree Barriers",
OR(ISNUMBER(SEARCH("sun &amp; shade",E379)),ISNUMBER(SEARCH("sun and shade",E379))),"Sun &amp; Shade Mix",
ISNUMBER(SEARCH("tall fescue",E379)),"Tall Fescue",
ISNUMBER(SEARCH("bermudagrass",E379)),"Bermudagrass",
ISNUMBER(SEARCH("kentucky",E379)),"Kentucky Bluegrass",
ISNUMBER(SEARCH("zoysia",E379)),"Zoysia",
ISNUMBER(SEARCH("ryegrass",E379)),"Perennial Ryegrass",
ISNUMBER(SEARCH("centipede",E379)),"Centipede Grass",
ISNUMBER(SEARCH("dense shade",E379)),"Dense Shade Mix",
ISNUMBER(SEARCH("southern gold",E379)),"Southern Gold Mix",
ISNUMBER(SEARCH("heat-tolerant blue",E379)),"Heat-Tolerant Blue Mix",
ISNUMBER(SEARCH("high traffic",E379)),"High Traffic Mix",
ISNUMBER(SEARCH("quick fix",E379)),"Quick Fix Mix",
ISNUMBER(SEARCH("starter",E379)),"Starter Fertilizer",
ISNUMBER(SEARCH("weed &amp; feed",E379)),"Weed &amp; Feed",
ISNUMBER(SEARCH("lawn food",E379)),"Lawn Food",
ISNUMBER(SEARCH("triple action",E379)),"Triple Action Fertilizer",
ISNUMBER(SEARCH("green max",E379)),"Green Max Lawn Food",
ISNUMBER(SEARCH("patchmaster",E379)),"PatchMaster Repair",
ISNUMBER(SEARCH("ez seed",E379)),"EZ Seed Repair",
ISNUMBER(SEARCH("rapid grass",E379)),"Rapid Grass",
ISNUMBER(SEARCH("thick'r lawn",E379)),"Thick'R Lawn",
ISNUMBER(SEARCH("fungicide",E379)),"Fungicide",
ISNUMBER(SEARCH("moss",E379)),"Moss Control",
ISNUMBER(SEARCH("perlite",E379)),"Perlite",
ISNUMBER(SEARCH("plant food",E379)),"Plant Food",
ISNUMBER(SEARCH("spreader",E379)),"Spreader",
ISNUMBER(SEARCH("sprayer",E379)),"Sprayer",
ISNUMBER(SEARCH("mower",E379)),"Lawn Mower",
ISNUMBER(SEARCH("sweeper",E379)),"Lawn Sweeper",
OR(ISNUMBER(SEARCH("pruner",E379)),ISNUMBER(SEARCH("trimmer",E379)),ISNUMBER(SEARCH("pole saw",E379))),"Pruning Tools",
TRUE,"Other"
)</f>
        <v>Roach Traps</v>
      </c>
      <c r="J379" s="7" t="str">
        <f t="shared" si="86"/>
        <v>Flying Insect Control - Roach Traps</v>
      </c>
      <c r="K379" s="4">
        <v>300</v>
      </c>
      <c r="L379" s="4">
        <v>4.4000000000000004</v>
      </c>
      <c r="M379" s="4">
        <v>1599</v>
      </c>
      <c r="N379" s="4" t="s">
        <v>1732</v>
      </c>
      <c r="O379" s="4">
        <f>VLOOKUP(A379,[5]Sheet1!$A:$B,2,0)</f>
        <v>0</v>
      </c>
      <c r="P379" s="4">
        <f>VLOOKUP(A379,[5]Sheet1!$A:$C,3,0)</f>
        <v>0</v>
      </c>
      <c r="Q379" s="4">
        <f>VLOOKUP(A379,[5]Sheet1!$A:$D,4,0)</f>
        <v>0</v>
      </c>
      <c r="R379" s="4">
        <f>VLOOKUP(A379,[5]Sheet1!$A:$E,5,0)</f>
        <v>200</v>
      </c>
      <c r="S379" s="4">
        <f>VLOOKUP(A379,[5]Sheet1!$A:$F,6,0)</f>
        <v>200</v>
      </c>
      <c r="T379" s="4">
        <f>VLOOKUP(A379,[5]Sheet1!$A:$G,7,0)</f>
        <v>200</v>
      </c>
      <c r="U379" s="4">
        <f>VLOOKUP(A379,[5]Sheet1!$A:$H,8,0)</f>
        <v>200</v>
      </c>
      <c r="V379" s="4">
        <f>VLOOKUP(A379,[5]Sheet1!$A:$I,9,0)</f>
        <v>400</v>
      </c>
      <c r="W379" s="4">
        <f>VLOOKUP(A379,[5]Sheet1!$A:$J,10,0)</f>
        <v>400</v>
      </c>
      <c r="X379" s="4">
        <f>VLOOKUP(A379,[5]Sheet1!$A:$L,11,0)</f>
        <v>200</v>
      </c>
      <c r="Y379" s="4">
        <f>VLOOKUP(A379,[5]Sheet1!$A:$L,12,0)</f>
        <v>200</v>
      </c>
      <c r="Z379" s="4">
        <f>VLOOKUP(A379,[5]Sheet1!$A:$M,13,0)</f>
        <v>0</v>
      </c>
      <c r="AA379" s="4">
        <f t="shared" si="102"/>
        <v>2000</v>
      </c>
      <c r="AB379" s="7">
        <f t="shared" si="87"/>
        <v>167</v>
      </c>
      <c r="AC379" s="15">
        <f t="shared" si="103"/>
        <v>166.66666666666666</v>
      </c>
      <c r="AD379" s="16">
        <f t="shared" si="104"/>
        <v>52000</v>
      </c>
      <c r="AE379" s="16">
        <f t="shared" si="105"/>
        <v>4333.333333333333</v>
      </c>
      <c r="AF379" s="16">
        <v>7.38</v>
      </c>
      <c r="AG379" s="16">
        <v>26</v>
      </c>
      <c r="AH379" s="15">
        <f t="shared" si="106"/>
        <v>0.13466666666666666</v>
      </c>
      <c r="AI379" s="15">
        <f t="shared" si="107"/>
        <v>0.47133333333333322</v>
      </c>
      <c r="AJ379" s="10">
        <v>0.5</v>
      </c>
      <c r="AK379" s="10">
        <v>0.5</v>
      </c>
      <c r="AL379" s="16">
        <v>7.38</v>
      </c>
      <c r="AM379" s="9">
        <f t="shared" si="88"/>
        <v>3.9</v>
      </c>
      <c r="AN379" s="9">
        <f t="shared" si="89"/>
        <v>0.78</v>
      </c>
      <c r="AO379" s="9">
        <f t="shared" si="90"/>
        <v>5.2</v>
      </c>
      <c r="AP379" s="9">
        <f t="shared" si="91"/>
        <v>0.52</v>
      </c>
      <c r="AQ379" s="9">
        <f t="shared" si="92"/>
        <v>5.2</v>
      </c>
      <c r="AR379" s="9">
        <f t="shared" si="93"/>
        <v>6.5</v>
      </c>
      <c r="AS379" s="11">
        <f t="shared" si="94"/>
        <v>1.3466666666666665</v>
      </c>
      <c r="AT379" s="12">
        <f t="shared" si="95"/>
        <v>0.47999999999999982</v>
      </c>
    </row>
    <row r="380" spans="1:46" ht="16.5" x14ac:dyDescent="0.4">
      <c r="A380" s="4" t="s">
        <v>1733</v>
      </c>
      <c r="B380" s="4" t="s">
        <v>1653</v>
      </c>
      <c r="C380" s="7" t="s">
        <v>1653</v>
      </c>
      <c r="D380" s="4" t="s">
        <v>1734</v>
      </c>
      <c r="E380" s="4" t="s">
        <v>1735</v>
      </c>
      <c r="F380" s="4" t="s">
        <v>1736</v>
      </c>
      <c r="G380" s="7" t="str">
        <f>VLOOKUP(A380,[1]done!$A:$I,9,0)</f>
        <v>Mosquito/Fly</v>
      </c>
      <c r="H380" s="7" t="str" cm="1">
        <f t="array" ref="H380">_xlfn.IFS(
OR(ISNUMBER(SEARCH("mouse",E380)),ISNUMBER(SEARCH("rat",E380)),ISNUMBER(SEARCH("mice",E380)),ISNUMBER(SEARCH("rodent",E380))),"Rodent Control",
OR(ISNUMBER(SEARCH("fly",E380)),ISNUMBER(SEARCH("gnat",E380)),ISNUMBER(SEARCH("insect",E380)),ISNUMBER(SEARCH("mosquito",E380))),"Flying Insect Control",
OR(ISNUMBER(SEARCH("roach",E380)),ISNUMBER(SEARCH("ant",E380)),ISNUMBER(SEARCH("spider",E380)),ISNUMBER(SEARCH("cricket",E380)),ISNUMBER(SEARCH("scorpion",E380)),ISNUMBER(SEARCH("centipede",E380)),ISNUMBER(SEARCH("beetle",E380))),"Crawling Insect Control",
OR(ISNUMBER(SEARCH("tree",E380)),ISNUMBER(SEARCH("lantern",E380)),ISNUMBER(SEARCH("garden",E380)),ISNUMBER(SEARCH("plant",E380))),"Garden Pest Control",
OR(ISNUMBER(SEARCH("grass seed",E380)),ISNUMBER(SEARCH("seed mix",E380))),"Grass Seed",
OR(ISNUMBER(SEARCH("lawn food",E380)),ISNUMBER(SEARCH("fertilizer",E380))),"Lawn Fertilizer",
OR(ISNUMBER(SEARCH("patch",E380)),ISNUMBER(SEARCH("repair",E380)),ISNUMBER(SEARCH("thick'r",E380)),ISNUMBER(SEARCH("thick'r lawn",E380)),ISNUMBER(SEARCH("rapid grass",E380))),"Lawn Repair",
OR(ISNUMBER(SEARCH("weed",E380)),ISNUMBER(SEARCH("crabgrass",E380))),"Weed Control",
OR(ISNUMBER(SEARCH("fungicide",E380)),ISNUMBER(SEARCH("moss",E380))),"Disease &amp; Moss Control",
OR(ISNUMBER(SEARCH("plant food",E380)),ISNUMBER(SEARCH("miracid",E380))),"Plant Nutrition",
OR(ISNUMBER(SEARCH("perlite",E380))),"Soil Amendment",
OR(ISNUMBER(SEARCH("spreader",E380)),ISNUMBER(SEARCH("sprayer",E380)),ISNUMBER(SEARCH("mower",E380)),ISNUMBER(SEARCH("sweeper",E380)),ISNUMBER(SEARCH("pruner",E380)),ISNUMBER(SEARCH("trimmer",E380)),ISNUMBER(SEARCH("pole saw",E380))),"Garden Equipment",
TRUE,"Other"
)</f>
        <v>Flying Insect Control</v>
      </c>
      <c r="I380" s="7" t="str" cm="1">
        <f t="array" ref="I380">_xlfn.IFS(
OR(ISNUMBER(SEARCH("glue trap",E380)),ISNUMBER(SEARCH("glue board",E380))),"Glue Traps",
OR(ISNUMBER(SEARCH("snap trap",E380)),ISNUMBER(SEARCH("power-kill",E380)),ISNUMBER(SEARCH("wide pedal",E380)),ISNUMBER(SEARCH("metal pedal",E380))),"Snap Traps",
OR(ISNUMBER(SEARCH("electronic",E380)),ISNUMBER(SEARCH("zapper",E380))),"Electronic Traps",
OR(ISNUMBER(SEARCH("live catch",E380)),ISNUMBER(SEARCH("multi-catch",E380)),ISNUMBER(SEARCH("catch &amp; hold",E380)),ISNUMBER(SEARCH("tin cat",E380))),"Live Catch Traps",
OR(ISNUMBER(SEARCH("bait",E380)),ISNUMBER(SEARCH("poison",E380))),"Bait &amp; Poison",
ISNUMBER(SEARCH("repellent",E380)),"Repellents",
OR(ISNUMBER(SEARCH("fly trap",E380)),ISNUMBER(SEARCH("fly ribbon",E380)),ISNUMBER(SEARCH("fly stick",E380)),ISNUMBER(SEARCH("window fly",E380)),ISNUMBER(SEARCH("fly magnet",E380))),"Fly Traps",
OR(ISNUMBER(SEARCH("uv",E380)),ISNUMBER(SEARCH("fly light",E380)),ISNUMBER(SEARCH("plug-in",E380))),"UV Fly Traps",
ISNUMBER(SEARCH("roach",E380)),"Roach Traps",
ISNUMBER(SEARCH("ant",E380)),"Ant Traps",
ISNUMBER(SEARCH("spider",E380)),"Spider Traps",
ISNUMBER(SEARCH("mosquito",E380)),"Mosquito Traps",
ISNUMBER(SEARCH("beetle",E380)),"Beetle Traps",
ISNUMBER(SEARCH("lantern",E380)),"Lanternfly Control",
OR(ISNUMBER(SEARCH("tree shield",E380)),ISNUMBER(SEARCH("tree banding",E380)),ISNUMBER(SEARCH("insect barrier",E380))),"Tree Barriers",
OR(ISNUMBER(SEARCH("sun &amp; shade",E380)),ISNUMBER(SEARCH("sun and shade",E380))),"Sun &amp; Shade Mix",
ISNUMBER(SEARCH("tall fescue",E380)),"Tall Fescue",
ISNUMBER(SEARCH("bermudagrass",E380)),"Bermudagrass",
ISNUMBER(SEARCH("kentucky",E380)),"Kentucky Bluegrass",
ISNUMBER(SEARCH("zoysia",E380)),"Zoysia",
ISNUMBER(SEARCH("ryegrass",E380)),"Perennial Ryegrass",
ISNUMBER(SEARCH("centipede",E380)),"Centipede Grass",
ISNUMBER(SEARCH("dense shade",E380)),"Dense Shade Mix",
ISNUMBER(SEARCH("southern gold",E380)),"Southern Gold Mix",
ISNUMBER(SEARCH("heat-tolerant blue",E380)),"Heat-Tolerant Blue Mix",
ISNUMBER(SEARCH("high traffic",E380)),"High Traffic Mix",
ISNUMBER(SEARCH("quick fix",E380)),"Quick Fix Mix",
ISNUMBER(SEARCH("starter",E380)),"Starter Fertilizer",
ISNUMBER(SEARCH("weed &amp; feed",E380)),"Weed &amp; Feed",
ISNUMBER(SEARCH("lawn food",E380)),"Lawn Food",
ISNUMBER(SEARCH("triple action",E380)),"Triple Action Fertilizer",
ISNUMBER(SEARCH("green max",E380)),"Green Max Lawn Food",
ISNUMBER(SEARCH("patchmaster",E380)),"PatchMaster Repair",
ISNUMBER(SEARCH("ez seed",E380)),"EZ Seed Repair",
ISNUMBER(SEARCH("rapid grass",E380)),"Rapid Grass",
ISNUMBER(SEARCH("thick'r lawn",E380)),"Thick'R Lawn",
ISNUMBER(SEARCH("fungicide",E380)),"Fungicide",
ISNUMBER(SEARCH("moss",E380)),"Moss Control",
ISNUMBER(SEARCH("perlite",E380)),"Perlite",
ISNUMBER(SEARCH("plant food",E380)),"Plant Food",
ISNUMBER(SEARCH("spreader",E380)),"Spreader",
ISNUMBER(SEARCH("sprayer",E380)),"Sprayer",
ISNUMBER(SEARCH("mower",E380)),"Lawn Mower",
ISNUMBER(SEARCH("sweeper",E380)),"Lawn Sweeper",
OR(ISNUMBER(SEARCH("pruner",E380)),ISNUMBER(SEARCH("trimmer",E380)),ISNUMBER(SEARCH("pole saw",E380))),"Pruning Tools",
TRUE,"Other"
)</f>
        <v>Fly Traps</v>
      </c>
      <c r="J380" s="7" t="str">
        <f t="shared" si="86"/>
        <v>Flying Insect Control - Fly Traps</v>
      </c>
      <c r="K380" s="4">
        <v>200</v>
      </c>
      <c r="L380" s="4">
        <v>4.3</v>
      </c>
      <c r="M380" s="4">
        <v>629</v>
      </c>
      <c r="O380" s="4">
        <f>VLOOKUP(A380,[5]Sheet1!$A:$B,2,0)</f>
        <v>200</v>
      </c>
      <c r="P380" s="4">
        <f>VLOOKUP(A380,[5]Sheet1!$A:$C,3,0)</f>
        <v>200</v>
      </c>
      <c r="Q380" s="4">
        <f>VLOOKUP(A380,[5]Sheet1!$A:$D,4,0)</f>
        <v>100</v>
      </c>
      <c r="R380" s="4">
        <f>VLOOKUP(A380,[5]Sheet1!$A:$E,5,0)</f>
        <v>300</v>
      </c>
      <c r="S380" s="4">
        <f>VLOOKUP(A380,[5]Sheet1!$A:$F,6,0)</f>
        <v>700</v>
      </c>
      <c r="T380" s="4">
        <f>VLOOKUP(A380,[5]Sheet1!$A:$G,7,0)</f>
        <v>1000</v>
      </c>
      <c r="U380" s="4">
        <f>VLOOKUP(A380,[5]Sheet1!$A:$H,8,0)</f>
        <v>3000</v>
      </c>
      <c r="V380" s="4">
        <f>VLOOKUP(A380,[5]Sheet1!$A:$I,9,0)</f>
        <v>200</v>
      </c>
      <c r="W380" s="4">
        <f>VLOOKUP(A380,[5]Sheet1!$A:$J,10,0)</f>
        <v>200</v>
      </c>
      <c r="X380" s="4">
        <f>VLOOKUP(A380,[5]Sheet1!$A:$L,11,0)</f>
        <v>800</v>
      </c>
      <c r="Y380" s="4">
        <f>VLOOKUP(A380,[5]Sheet1!$A:$L,12,0)</f>
        <v>800</v>
      </c>
      <c r="Z380" s="4">
        <f>VLOOKUP(A380,[5]Sheet1!$A:$M,13,0)</f>
        <v>300</v>
      </c>
      <c r="AA380" s="4">
        <f t="shared" si="102"/>
        <v>7800</v>
      </c>
      <c r="AB380" s="7">
        <f t="shared" si="87"/>
        <v>650</v>
      </c>
      <c r="AC380" s="15">
        <f t="shared" si="103"/>
        <v>650</v>
      </c>
      <c r="AD380" s="16">
        <f t="shared" si="104"/>
        <v>483600</v>
      </c>
      <c r="AE380" s="16">
        <f t="shared" si="105"/>
        <v>40300</v>
      </c>
      <c r="AF380" s="16">
        <v>7.65</v>
      </c>
      <c r="AG380" s="16">
        <v>62</v>
      </c>
      <c r="AH380" s="15">
        <f t="shared" si="106"/>
        <v>1.0766666666666667</v>
      </c>
      <c r="AI380" s="15">
        <f t="shared" si="107"/>
        <v>3.7683333333333326</v>
      </c>
      <c r="AJ380" s="10">
        <v>0.5</v>
      </c>
      <c r="AK380" s="10">
        <v>0.5</v>
      </c>
      <c r="AL380" s="16">
        <v>7.65</v>
      </c>
      <c r="AM380" s="9">
        <f t="shared" si="88"/>
        <v>9.2999999999999989</v>
      </c>
      <c r="AN380" s="9">
        <f t="shared" si="89"/>
        <v>1.8599999999999999</v>
      </c>
      <c r="AO380" s="9">
        <f t="shared" si="90"/>
        <v>12.4</v>
      </c>
      <c r="AP380" s="9">
        <f t="shared" si="91"/>
        <v>1.24</v>
      </c>
      <c r="AQ380" s="9">
        <f t="shared" si="92"/>
        <v>12.4</v>
      </c>
      <c r="AR380" s="9">
        <f t="shared" si="93"/>
        <v>15.5</v>
      </c>
      <c r="AS380" s="11">
        <f t="shared" si="94"/>
        <v>10.766666666666666</v>
      </c>
      <c r="AT380" s="12">
        <f t="shared" si="95"/>
        <v>8.6999999999999975</v>
      </c>
    </row>
    <row r="381" spans="1:46" ht="16.5" x14ac:dyDescent="0.4">
      <c r="A381" s="4" t="s">
        <v>1737</v>
      </c>
      <c r="B381" s="4" t="s">
        <v>1653</v>
      </c>
      <c r="C381" s="7">
        <v>0</v>
      </c>
      <c r="D381" s="4" t="s">
        <v>1738</v>
      </c>
      <c r="E381" s="4" t="s">
        <v>1739</v>
      </c>
      <c r="F381" s="4" t="s">
        <v>1740</v>
      </c>
      <c r="G381" s="7" t="str">
        <f>VLOOKUP(A381,[1]done!$A:$I,9,0)</f>
        <v>Mosquito/Fly</v>
      </c>
      <c r="H381" s="7" t="str" cm="1">
        <f t="array" ref="H381">_xlfn.IFS(
OR(ISNUMBER(SEARCH("mouse",E381)),ISNUMBER(SEARCH("rat",E381)),ISNUMBER(SEARCH("mice",E381)),ISNUMBER(SEARCH("rodent",E381))),"Rodent Control",
OR(ISNUMBER(SEARCH("fly",E381)),ISNUMBER(SEARCH("gnat",E381)),ISNUMBER(SEARCH("insect",E381)),ISNUMBER(SEARCH("mosquito",E381))),"Flying Insect Control",
OR(ISNUMBER(SEARCH("roach",E381)),ISNUMBER(SEARCH("ant",E381)),ISNUMBER(SEARCH("spider",E381)),ISNUMBER(SEARCH("cricket",E381)),ISNUMBER(SEARCH("scorpion",E381)),ISNUMBER(SEARCH("centipede",E381)),ISNUMBER(SEARCH("beetle",E381))),"Crawling Insect Control",
OR(ISNUMBER(SEARCH("tree",E381)),ISNUMBER(SEARCH("lantern",E381)),ISNUMBER(SEARCH("garden",E381)),ISNUMBER(SEARCH("plant",E381))),"Garden Pest Control",
OR(ISNUMBER(SEARCH("grass seed",E381)),ISNUMBER(SEARCH("seed mix",E381))),"Grass Seed",
OR(ISNUMBER(SEARCH("lawn food",E381)),ISNUMBER(SEARCH("fertilizer",E381))),"Lawn Fertilizer",
OR(ISNUMBER(SEARCH("patch",E381)),ISNUMBER(SEARCH("repair",E381)),ISNUMBER(SEARCH("thick'r",E381)),ISNUMBER(SEARCH("thick'r lawn",E381)),ISNUMBER(SEARCH("rapid grass",E381))),"Lawn Repair",
OR(ISNUMBER(SEARCH("weed",E381)),ISNUMBER(SEARCH("crabgrass",E381))),"Weed Control",
OR(ISNUMBER(SEARCH("fungicide",E381)),ISNUMBER(SEARCH("moss",E381))),"Disease &amp; Moss Control",
OR(ISNUMBER(SEARCH("plant food",E381)),ISNUMBER(SEARCH("miracid",E381))),"Plant Nutrition",
OR(ISNUMBER(SEARCH("perlite",E381))),"Soil Amendment",
OR(ISNUMBER(SEARCH("spreader",E381)),ISNUMBER(SEARCH("sprayer",E381)),ISNUMBER(SEARCH("mower",E381)),ISNUMBER(SEARCH("sweeper",E381)),ISNUMBER(SEARCH("pruner",E381)),ISNUMBER(SEARCH("trimmer",E381)),ISNUMBER(SEARCH("pole saw",E381))),"Garden Equipment",
TRUE,"Other"
)</f>
        <v>Flying Insect Control</v>
      </c>
      <c r="I381" s="7" t="str" cm="1">
        <f t="array" ref="I381">_xlfn.IFS(
OR(ISNUMBER(SEARCH("glue trap",E381)),ISNUMBER(SEARCH("glue board",E381))),"Glue Traps",
OR(ISNUMBER(SEARCH("snap trap",E381)),ISNUMBER(SEARCH("power-kill",E381)),ISNUMBER(SEARCH("wide pedal",E381)),ISNUMBER(SEARCH("metal pedal",E381))),"Snap Traps",
OR(ISNUMBER(SEARCH("electronic",E381)),ISNUMBER(SEARCH("zapper",E381))),"Electronic Traps",
OR(ISNUMBER(SEARCH("live catch",E381)),ISNUMBER(SEARCH("multi-catch",E381)),ISNUMBER(SEARCH("catch &amp; hold",E381)),ISNUMBER(SEARCH("tin cat",E381))),"Live Catch Traps",
OR(ISNUMBER(SEARCH("bait",E381)),ISNUMBER(SEARCH("poison",E381))),"Bait &amp; Poison",
ISNUMBER(SEARCH("repellent",E381)),"Repellents",
OR(ISNUMBER(SEARCH("fly trap",E381)),ISNUMBER(SEARCH("fly ribbon",E381)),ISNUMBER(SEARCH("fly stick",E381)),ISNUMBER(SEARCH("window fly",E381)),ISNUMBER(SEARCH("fly magnet",E381))),"Fly Traps",
OR(ISNUMBER(SEARCH("uv",E381)),ISNUMBER(SEARCH("fly light",E381)),ISNUMBER(SEARCH("plug-in",E381))),"UV Fly Traps",
ISNUMBER(SEARCH("roach",E381)),"Roach Traps",
ISNUMBER(SEARCH("ant",E381)),"Ant Traps",
ISNUMBER(SEARCH("spider",E381)),"Spider Traps",
ISNUMBER(SEARCH("mosquito",E381)),"Mosquito Traps",
ISNUMBER(SEARCH("beetle",E381)),"Beetle Traps",
ISNUMBER(SEARCH("lantern",E381)),"Lanternfly Control",
OR(ISNUMBER(SEARCH("tree shield",E381)),ISNUMBER(SEARCH("tree banding",E381)),ISNUMBER(SEARCH("insect barrier",E381))),"Tree Barriers",
OR(ISNUMBER(SEARCH("sun &amp; shade",E381)),ISNUMBER(SEARCH("sun and shade",E381))),"Sun &amp; Shade Mix",
ISNUMBER(SEARCH("tall fescue",E381)),"Tall Fescue",
ISNUMBER(SEARCH("bermudagrass",E381)),"Bermudagrass",
ISNUMBER(SEARCH("kentucky",E381)),"Kentucky Bluegrass",
ISNUMBER(SEARCH("zoysia",E381)),"Zoysia",
ISNUMBER(SEARCH("ryegrass",E381)),"Perennial Ryegrass",
ISNUMBER(SEARCH("centipede",E381)),"Centipede Grass",
ISNUMBER(SEARCH("dense shade",E381)),"Dense Shade Mix",
ISNUMBER(SEARCH("southern gold",E381)),"Southern Gold Mix",
ISNUMBER(SEARCH("heat-tolerant blue",E381)),"Heat-Tolerant Blue Mix",
ISNUMBER(SEARCH("high traffic",E381)),"High Traffic Mix",
ISNUMBER(SEARCH("quick fix",E381)),"Quick Fix Mix",
ISNUMBER(SEARCH("starter",E381)),"Starter Fertilizer",
ISNUMBER(SEARCH("weed &amp; feed",E381)),"Weed &amp; Feed",
ISNUMBER(SEARCH("lawn food",E381)),"Lawn Food",
ISNUMBER(SEARCH("triple action",E381)),"Triple Action Fertilizer",
ISNUMBER(SEARCH("green max",E381)),"Green Max Lawn Food",
ISNUMBER(SEARCH("patchmaster",E381)),"PatchMaster Repair",
ISNUMBER(SEARCH("ez seed",E381)),"EZ Seed Repair",
ISNUMBER(SEARCH("rapid grass",E381)),"Rapid Grass",
ISNUMBER(SEARCH("thick'r lawn",E381)),"Thick'R Lawn",
ISNUMBER(SEARCH("fungicide",E381)),"Fungicide",
ISNUMBER(SEARCH("moss",E381)),"Moss Control",
ISNUMBER(SEARCH("perlite",E381)),"Perlite",
ISNUMBER(SEARCH("plant food",E381)),"Plant Food",
ISNUMBER(SEARCH("spreader",E381)),"Spreader",
ISNUMBER(SEARCH("sprayer",E381)),"Sprayer",
ISNUMBER(SEARCH("mower",E381)),"Lawn Mower",
ISNUMBER(SEARCH("sweeper",E381)),"Lawn Sweeper",
OR(ISNUMBER(SEARCH("pruner",E381)),ISNUMBER(SEARCH("trimmer",E381)),ISNUMBER(SEARCH("pole saw",E381))),"Pruning Tools",
TRUE,"Other"
)</f>
        <v>Other</v>
      </c>
      <c r="J381" s="7" t="str">
        <f t="shared" si="86"/>
        <v>Flying Insect Control - Other</v>
      </c>
      <c r="K381" s="4">
        <v>100</v>
      </c>
      <c r="L381" s="4">
        <v>4.7</v>
      </c>
      <c r="M381" s="4">
        <v>15</v>
      </c>
      <c r="O381" s="4">
        <f>VLOOKUP(A381,[5]Sheet1!$A:$B,2,0)</f>
        <v>0</v>
      </c>
      <c r="P381" s="4">
        <f>VLOOKUP(A381,[5]Sheet1!$A:$C,3,0)</f>
        <v>0</v>
      </c>
      <c r="Q381" s="4">
        <f>VLOOKUP(A381,[5]Sheet1!$A:$D,4,0)</f>
        <v>0</v>
      </c>
      <c r="R381" s="4">
        <f>VLOOKUP(A381,[5]Sheet1!$A:$E,5,0)</f>
        <v>0</v>
      </c>
      <c r="S381" s="4">
        <f>VLOOKUP(A381,[5]Sheet1!$A:$F,6,0)</f>
        <v>50</v>
      </c>
      <c r="T381" s="4">
        <f>VLOOKUP(A381,[5]Sheet1!$A:$G,7,0)</f>
        <v>50</v>
      </c>
      <c r="U381" s="4">
        <f>VLOOKUP(A381,[5]Sheet1!$A:$H,8,0)</f>
        <v>100</v>
      </c>
      <c r="V381" s="4">
        <f>VLOOKUP(A381,[5]Sheet1!$A:$I,9,0)</f>
        <v>50</v>
      </c>
      <c r="W381" s="4">
        <f>VLOOKUP(A381,[5]Sheet1!$A:$J,10,0)</f>
        <v>100</v>
      </c>
      <c r="X381" s="4">
        <f>VLOOKUP(A381,[5]Sheet1!$A:$L,11,0)</f>
        <v>0</v>
      </c>
      <c r="Y381" s="4">
        <f>VLOOKUP(A381,[5]Sheet1!$A:$L,12,0)</f>
        <v>0</v>
      </c>
      <c r="Z381" s="4">
        <f>VLOOKUP(A381,[5]Sheet1!$A:$M,13,0)</f>
        <v>0</v>
      </c>
      <c r="AA381" s="4">
        <f t="shared" si="102"/>
        <v>350</v>
      </c>
      <c r="AB381" s="7">
        <f t="shared" si="87"/>
        <v>29</v>
      </c>
      <c r="AC381" s="15">
        <f t="shared" si="103"/>
        <v>29.166666666666668</v>
      </c>
      <c r="AD381" s="16">
        <f t="shared" si="104"/>
        <v>12425</v>
      </c>
      <c r="AE381" s="16">
        <f t="shared" si="105"/>
        <v>1035.4166666666667</v>
      </c>
      <c r="AF381" s="16">
        <v>6.02</v>
      </c>
      <c r="AG381" s="16">
        <v>35.5</v>
      </c>
      <c r="AH381" s="15">
        <f t="shared" si="106"/>
        <v>0.47866666666666674</v>
      </c>
      <c r="AI381" s="15">
        <f t="shared" si="107"/>
        <v>1.6753333333333333</v>
      </c>
      <c r="AJ381" s="10">
        <v>0.5</v>
      </c>
      <c r="AK381" s="10">
        <v>0.5</v>
      </c>
      <c r="AL381" s="16">
        <v>6.02</v>
      </c>
      <c r="AM381" s="9">
        <f t="shared" si="88"/>
        <v>5.3250000000000002</v>
      </c>
      <c r="AN381" s="9">
        <f t="shared" si="89"/>
        <v>1.0649999999999999</v>
      </c>
      <c r="AO381" s="9">
        <f t="shared" si="90"/>
        <v>7.1000000000000005</v>
      </c>
      <c r="AP381" s="9">
        <f t="shared" si="91"/>
        <v>0.71</v>
      </c>
      <c r="AQ381" s="9">
        <f t="shared" si="92"/>
        <v>7.1000000000000005</v>
      </c>
      <c r="AR381" s="9">
        <f t="shared" si="93"/>
        <v>8.875</v>
      </c>
      <c r="AS381" s="11">
        <f t="shared" si="94"/>
        <v>4.7866666666666671</v>
      </c>
      <c r="AT381" s="12">
        <f t="shared" si="95"/>
        <v>3.6033333333333339</v>
      </c>
    </row>
    <row r="382" spans="1:46" ht="16.5" x14ac:dyDescent="0.4">
      <c r="A382" s="4" t="s">
        <v>1741</v>
      </c>
      <c r="B382" s="4" t="s">
        <v>1653</v>
      </c>
      <c r="C382" s="7" t="s">
        <v>1803</v>
      </c>
      <c r="D382" s="4" t="s">
        <v>1742</v>
      </c>
      <c r="E382" s="4" t="s">
        <v>1743</v>
      </c>
      <c r="F382" s="4" t="s">
        <v>1744</v>
      </c>
      <c r="G382" s="7" t="str">
        <f>VLOOKUP(A382,[1]done!$A:$I,9,0)</f>
        <v>Mosquito/Fly</v>
      </c>
      <c r="H382" s="7" t="str" cm="1">
        <f t="array" ref="H382">_xlfn.IFS(
OR(ISNUMBER(SEARCH("mouse",E382)),ISNUMBER(SEARCH("rat",E382)),ISNUMBER(SEARCH("mice",E382)),ISNUMBER(SEARCH("rodent",E382))),"Rodent Control",
OR(ISNUMBER(SEARCH("fly",E382)),ISNUMBER(SEARCH("gnat",E382)),ISNUMBER(SEARCH("insect",E382)),ISNUMBER(SEARCH("mosquito",E382))),"Flying Insect Control",
OR(ISNUMBER(SEARCH("roach",E382)),ISNUMBER(SEARCH("ant",E382)),ISNUMBER(SEARCH("spider",E382)),ISNUMBER(SEARCH("cricket",E382)),ISNUMBER(SEARCH("scorpion",E382)),ISNUMBER(SEARCH("centipede",E382)),ISNUMBER(SEARCH("beetle",E382))),"Crawling Insect Control",
OR(ISNUMBER(SEARCH("tree",E382)),ISNUMBER(SEARCH("lantern",E382)),ISNUMBER(SEARCH("garden",E382)),ISNUMBER(SEARCH("plant",E382))),"Garden Pest Control",
OR(ISNUMBER(SEARCH("grass seed",E382)),ISNUMBER(SEARCH("seed mix",E382))),"Grass Seed",
OR(ISNUMBER(SEARCH("lawn food",E382)),ISNUMBER(SEARCH("fertilizer",E382))),"Lawn Fertilizer",
OR(ISNUMBER(SEARCH("patch",E382)),ISNUMBER(SEARCH("repair",E382)),ISNUMBER(SEARCH("thick'r",E382)),ISNUMBER(SEARCH("thick'r lawn",E382)),ISNUMBER(SEARCH("rapid grass",E382))),"Lawn Repair",
OR(ISNUMBER(SEARCH("weed",E382)),ISNUMBER(SEARCH("crabgrass",E382))),"Weed Control",
OR(ISNUMBER(SEARCH("fungicide",E382)),ISNUMBER(SEARCH("moss",E382))),"Disease &amp; Moss Control",
OR(ISNUMBER(SEARCH("plant food",E382)),ISNUMBER(SEARCH("miracid",E382))),"Plant Nutrition",
OR(ISNUMBER(SEARCH("perlite",E382))),"Soil Amendment",
OR(ISNUMBER(SEARCH("spreader",E382)),ISNUMBER(SEARCH("sprayer",E382)),ISNUMBER(SEARCH("mower",E382)),ISNUMBER(SEARCH("sweeper",E382)),ISNUMBER(SEARCH("pruner",E382)),ISNUMBER(SEARCH("trimmer",E382)),ISNUMBER(SEARCH("pole saw",E382))),"Garden Equipment",
TRUE,"Other"
)</f>
        <v>Flying Insect Control</v>
      </c>
      <c r="I382" s="7" t="str" cm="1">
        <f t="array" ref="I382">_xlfn.IFS(
OR(ISNUMBER(SEARCH("glue trap",E382)),ISNUMBER(SEARCH("glue board",E382))),"Glue Traps",
OR(ISNUMBER(SEARCH("snap trap",E382)),ISNUMBER(SEARCH("power-kill",E382)),ISNUMBER(SEARCH("wide pedal",E382)),ISNUMBER(SEARCH("metal pedal",E382))),"Snap Traps",
OR(ISNUMBER(SEARCH("electronic",E382)),ISNUMBER(SEARCH("zapper",E382))),"Electronic Traps",
OR(ISNUMBER(SEARCH("live catch",E382)),ISNUMBER(SEARCH("multi-catch",E382)),ISNUMBER(SEARCH("catch &amp; hold",E382)),ISNUMBER(SEARCH("tin cat",E382))),"Live Catch Traps",
OR(ISNUMBER(SEARCH("bait",E382)),ISNUMBER(SEARCH("poison",E382))),"Bait &amp; Poison",
ISNUMBER(SEARCH("repellent",E382)),"Repellents",
OR(ISNUMBER(SEARCH("fly trap",E382)),ISNUMBER(SEARCH("fly ribbon",E382)),ISNUMBER(SEARCH("fly stick",E382)),ISNUMBER(SEARCH("window fly",E382)),ISNUMBER(SEARCH("fly magnet",E382))),"Fly Traps",
OR(ISNUMBER(SEARCH("uv",E382)),ISNUMBER(SEARCH("fly light",E382)),ISNUMBER(SEARCH("plug-in",E382))),"UV Fly Traps",
ISNUMBER(SEARCH("roach",E382)),"Roach Traps",
ISNUMBER(SEARCH("ant",E382)),"Ant Traps",
ISNUMBER(SEARCH("spider",E382)),"Spider Traps",
ISNUMBER(SEARCH("mosquito",E382)),"Mosquito Traps",
ISNUMBER(SEARCH("beetle",E382)),"Beetle Traps",
ISNUMBER(SEARCH("lantern",E382)),"Lanternfly Control",
OR(ISNUMBER(SEARCH("tree shield",E382)),ISNUMBER(SEARCH("tree banding",E382)),ISNUMBER(SEARCH("insect barrier",E382))),"Tree Barriers",
OR(ISNUMBER(SEARCH("sun &amp; shade",E382)),ISNUMBER(SEARCH("sun and shade",E382))),"Sun &amp; Shade Mix",
ISNUMBER(SEARCH("tall fescue",E382)),"Tall Fescue",
ISNUMBER(SEARCH("bermudagrass",E382)),"Bermudagrass",
ISNUMBER(SEARCH("kentucky",E382)),"Kentucky Bluegrass",
ISNUMBER(SEARCH("zoysia",E382)),"Zoysia",
ISNUMBER(SEARCH("ryegrass",E382)),"Perennial Ryegrass",
ISNUMBER(SEARCH("centipede",E382)),"Centipede Grass",
ISNUMBER(SEARCH("dense shade",E382)),"Dense Shade Mix",
ISNUMBER(SEARCH("southern gold",E382)),"Southern Gold Mix",
ISNUMBER(SEARCH("heat-tolerant blue",E382)),"Heat-Tolerant Blue Mix",
ISNUMBER(SEARCH("high traffic",E382)),"High Traffic Mix",
ISNUMBER(SEARCH("quick fix",E382)),"Quick Fix Mix",
ISNUMBER(SEARCH("starter",E382)),"Starter Fertilizer",
ISNUMBER(SEARCH("weed &amp; feed",E382)),"Weed &amp; Feed",
ISNUMBER(SEARCH("lawn food",E382)),"Lawn Food",
ISNUMBER(SEARCH("triple action",E382)),"Triple Action Fertilizer",
ISNUMBER(SEARCH("green max",E382)),"Green Max Lawn Food",
ISNUMBER(SEARCH("patchmaster",E382)),"PatchMaster Repair",
ISNUMBER(SEARCH("ez seed",E382)),"EZ Seed Repair",
ISNUMBER(SEARCH("rapid grass",E382)),"Rapid Grass",
ISNUMBER(SEARCH("thick'r lawn",E382)),"Thick'R Lawn",
ISNUMBER(SEARCH("fungicide",E382)),"Fungicide",
ISNUMBER(SEARCH("moss",E382)),"Moss Control",
ISNUMBER(SEARCH("perlite",E382)),"Perlite",
ISNUMBER(SEARCH("plant food",E382)),"Plant Food",
ISNUMBER(SEARCH("spreader",E382)),"Spreader",
ISNUMBER(SEARCH("sprayer",E382)),"Sprayer",
ISNUMBER(SEARCH("mower",E382)),"Lawn Mower",
ISNUMBER(SEARCH("sweeper",E382)),"Lawn Sweeper",
OR(ISNUMBER(SEARCH("pruner",E382)),ISNUMBER(SEARCH("trimmer",E382)),ISNUMBER(SEARCH("pole saw",E382))),"Pruning Tools",
TRUE,"Other"
)</f>
        <v>Fly Traps</v>
      </c>
      <c r="J382" s="7" t="str">
        <f t="shared" si="86"/>
        <v>Flying Insect Control - Fly Traps</v>
      </c>
      <c r="K382" s="4">
        <v>100</v>
      </c>
      <c r="L382" s="4">
        <v>4.5</v>
      </c>
      <c r="M382" s="4">
        <v>94</v>
      </c>
      <c r="O382" s="4">
        <f>VLOOKUP(A382,[5]Sheet1!$A:$B,2,0)</f>
        <v>500</v>
      </c>
      <c r="P382" s="4">
        <f>VLOOKUP(A382,[5]Sheet1!$A:$C,3,0)</f>
        <v>100</v>
      </c>
      <c r="Q382" s="4">
        <f>VLOOKUP(A382,[5]Sheet1!$A:$D,4,0)</f>
        <v>100</v>
      </c>
      <c r="R382" s="4">
        <f>VLOOKUP(A382,[5]Sheet1!$A:$E,5,0)</f>
        <v>100</v>
      </c>
      <c r="S382" s="4">
        <f>VLOOKUP(A382,[5]Sheet1!$A:$F,6,0)</f>
        <v>100</v>
      </c>
      <c r="T382" s="4">
        <f>VLOOKUP(A382,[5]Sheet1!$A:$G,7,0)</f>
        <v>100</v>
      </c>
      <c r="U382" s="4">
        <f>VLOOKUP(A382,[5]Sheet1!$A:$H,8,0)</f>
        <v>50</v>
      </c>
      <c r="V382" s="4">
        <f>VLOOKUP(A382,[5]Sheet1!$A:$I,9,0)</f>
        <v>50</v>
      </c>
      <c r="W382" s="4">
        <f>VLOOKUP(A382,[5]Sheet1!$A:$J,10,0)</f>
        <v>100</v>
      </c>
      <c r="X382" s="4">
        <f>VLOOKUP(A382,[5]Sheet1!$A:$L,11,0)</f>
        <v>100</v>
      </c>
      <c r="Y382" s="4">
        <f>VLOOKUP(A382,[5]Sheet1!$A:$L,12,0)</f>
        <v>300</v>
      </c>
      <c r="Z382" s="4">
        <f>VLOOKUP(A382,[5]Sheet1!$A:$M,13,0)</f>
        <v>200</v>
      </c>
      <c r="AA382" s="4">
        <f t="shared" si="102"/>
        <v>1800</v>
      </c>
      <c r="AB382" s="7">
        <f t="shared" si="87"/>
        <v>150</v>
      </c>
      <c r="AC382" s="15">
        <f t="shared" si="103"/>
        <v>150</v>
      </c>
      <c r="AD382" s="16">
        <f t="shared" si="104"/>
        <v>87984</v>
      </c>
      <c r="AE382" s="16">
        <f t="shared" si="105"/>
        <v>7332</v>
      </c>
      <c r="AF382" s="16">
        <v>6.34</v>
      </c>
      <c r="AG382" s="16">
        <v>48.88</v>
      </c>
      <c r="AH382" s="15">
        <f t="shared" si="106"/>
        <v>0.81413333333333326</v>
      </c>
      <c r="AI382" s="15">
        <f t="shared" si="107"/>
        <v>2.8494666666666659</v>
      </c>
      <c r="AJ382" s="10">
        <v>0.5</v>
      </c>
      <c r="AK382" s="10">
        <v>0.5</v>
      </c>
      <c r="AL382" s="16">
        <v>6.34</v>
      </c>
      <c r="AM382" s="9">
        <f t="shared" si="88"/>
        <v>7.3319999999999999</v>
      </c>
      <c r="AN382" s="9">
        <f t="shared" si="89"/>
        <v>1.4663999999999999</v>
      </c>
      <c r="AO382" s="9">
        <f t="shared" si="90"/>
        <v>9.7760000000000016</v>
      </c>
      <c r="AP382" s="9">
        <f t="shared" si="91"/>
        <v>0.97760000000000002</v>
      </c>
      <c r="AQ382" s="9">
        <f t="shared" si="92"/>
        <v>9.7760000000000016</v>
      </c>
      <c r="AR382" s="9">
        <f t="shared" si="93"/>
        <v>12.22</v>
      </c>
      <c r="AS382" s="11">
        <f t="shared" si="94"/>
        <v>8.141333333333332</v>
      </c>
      <c r="AT382" s="12">
        <f t="shared" si="95"/>
        <v>6.5119999999999996</v>
      </c>
    </row>
    <row r="383" spans="1:46" ht="16.5" x14ac:dyDescent="0.4">
      <c r="A383" s="4" t="s">
        <v>1745</v>
      </c>
      <c r="B383" s="4" t="s">
        <v>1653</v>
      </c>
      <c r="C383" s="7">
        <v>0</v>
      </c>
      <c r="D383" s="4" t="s">
        <v>1746</v>
      </c>
      <c r="E383" s="4" t="s">
        <v>1747</v>
      </c>
      <c r="F383" s="4" t="s">
        <v>1748</v>
      </c>
      <c r="G383" s="7" t="str">
        <f>VLOOKUP(A383,[1]done!$A:$I,9,0)</f>
        <v>Mosquito/Fly</v>
      </c>
      <c r="H383" s="7" t="str" cm="1">
        <f t="array" ref="H383">_xlfn.IFS(
OR(ISNUMBER(SEARCH("mouse",E383)),ISNUMBER(SEARCH("rat",E383)),ISNUMBER(SEARCH("mice",E383)),ISNUMBER(SEARCH("rodent",E383))),"Rodent Control",
OR(ISNUMBER(SEARCH("fly",E383)),ISNUMBER(SEARCH("gnat",E383)),ISNUMBER(SEARCH("insect",E383)),ISNUMBER(SEARCH("mosquito",E383))),"Flying Insect Control",
OR(ISNUMBER(SEARCH("roach",E383)),ISNUMBER(SEARCH("ant",E383)),ISNUMBER(SEARCH("spider",E383)),ISNUMBER(SEARCH("cricket",E383)),ISNUMBER(SEARCH("scorpion",E383)),ISNUMBER(SEARCH("centipede",E383)),ISNUMBER(SEARCH("beetle",E383))),"Crawling Insect Control",
OR(ISNUMBER(SEARCH("tree",E383)),ISNUMBER(SEARCH("lantern",E383)),ISNUMBER(SEARCH("garden",E383)),ISNUMBER(SEARCH("plant",E383))),"Garden Pest Control",
OR(ISNUMBER(SEARCH("grass seed",E383)),ISNUMBER(SEARCH("seed mix",E383))),"Grass Seed",
OR(ISNUMBER(SEARCH("lawn food",E383)),ISNUMBER(SEARCH("fertilizer",E383))),"Lawn Fertilizer",
OR(ISNUMBER(SEARCH("patch",E383)),ISNUMBER(SEARCH("repair",E383)),ISNUMBER(SEARCH("thick'r",E383)),ISNUMBER(SEARCH("thick'r lawn",E383)),ISNUMBER(SEARCH("rapid grass",E383))),"Lawn Repair",
OR(ISNUMBER(SEARCH("weed",E383)),ISNUMBER(SEARCH("crabgrass",E383))),"Weed Control",
OR(ISNUMBER(SEARCH("fungicide",E383)),ISNUMBER(SEARCH("moss",E383))),"Disease &amp; Moss Control",
OR(ISNUMBER(SEARCH("plant food",E383)),ISNUMBER(SEARCH("miracid",E383))),"Plant Nutrition",
OR(ISNUMBER(SEARCH("perlite",E383))),"Soil Amendment",
OR(ISNUMBER(SEARCH("spreader",E383)),ISNUMBER(SEARCH("sprayer",E383)),ISNUMBER(SEARCH("mower",E383)),ISNUMBER(SEARCH("sweeper",E383)),ISNUMBER(SEARCH("pruner",E383)),ISNUMBER(SEARCH("trimmer",E383)),ISNUMBER(SEARCH("pole saw",E383))),"Garden Equipment",
TRUE,"Other"
)</f>
        <v>Flying Insect Control</v>
      </c>
      <c r="I383" s="7" t="str" cm="1">
        <f t="array" ref="I383">_xlfn.IFS(
OR(ISNUMBER(SEARCH("glue trap",E383)),ISNUMBER(SEARCH("glue board",E383))),"Glue Traps",
OR(ISNUMBER(SEARCH("snap trap",E383)),ISNUMBER(SEARCH("power-kill",E383)),ISNUMBER(SEARCH("wide pedal",E383)),ISNUMBER(SEARCH("metal pedal",E383))),"Snap Traps",
OR(ISNUMBER(SEARCH("electronic",E383)),ISNUMBER(SEARCH("zapper",E383))),"Electronic Traps",
OR(ISNUMBER(SEARCH("live catch",E383)),ISNUMBER(SEARCH("multi-catch",E383)),ISNUMBER(SEARCH("catch &amp; hold",E383)),ISNUMBER(SEARCH("tin cat",E383))),"Live Catch Traps",
OR(ISNUMBER(SEARCH("bait",E383)),ISNUMBER(SEARCH("poison",E383))),"Bait &amp; Poison",
ISNUMBER(SEARCH("repellent",E383)),"Repellents",
OR(ISNUMBER(SEARCH("fly trap",E383)),ISNUMBER(SEARCH("fly ribbon",E383)),ISNUMBER(SEARCH("fly stick",E383)),ISNUMBER(SEARCH("window fly",E383)),ISNUMBER(SEARCH("fly magnet",E383))),"Fly Traps",
OR(ISNUMBER(SEARCH("uv",E383)),ISNUMBER(SEARCH("fly light",E383)),ISNUMBER(SEARCH("plug-in",E383))),"UV Fly Traps",
ISNUMBER(SEARCH("roach",E383)),"Roach Traps",
ISNUMBER(SEARCH("ant",E383)),"Ant Traps",
ISNUMBER(SEARCH("spider",E383)),"Spider Traps",
ISNUMBER(SEARCH("mosquito",E383)),"Mosquito Traps",
ISNUMBER(SEARCH("beetle",E383)),"Beetle Traps",
ISNUMBER(SEARCH("lantern",E383)),"Lanternfly Control",
OR(ISNUMBER(SEARCH("tree shield",E383)),ISNUMBER(SEARCH("tree banding",E383)),ISNUMBER(SEARCH("insect barrier",E383))),"Tree Barriers",
OR(ISNUMBER(SEARCH("sun &amp; shade",E383)),ISNUMBER(SEARCH("sun and shade",E383))),"Sun &amp; Shade Mix",
ISNUMBER(SEARCH("tall fescue",E383)),"Tall Fescue",
ISNUMBER(SEARCH("bermudagrass",E383)),"Bermudagrass",
ISNUMBER(SEARCH("kentucky",E383)),"Kentucky Bluegrass",
ISNUMBER(SEARCH("zoysia",E383)),"Zoysia",
ISNUMBER(SEARCH("ryegrass",E383)),"Perennial Ryegrass",
ISNUMBER(SEARCH("centipede",E383)),"Centipede Grass",
ISNUMBER(SEARCH("dense shade",E383)),"Dense Shade Mix",
ISNUMBER(SEARCH("southern gold",E383)),"Southern Gold Mix",
ISNUMBER(SEARCH("heat-tolerant blue",E383)),"Heat-Tolerant Blue Mix",
ISNUMBER(SEARCH("high traffic",E383)),"High Traffic Mix",
ISNUMBER(SEARCH("quick fix",E383)),"Quick Fix Mix",
ISNUMBER(SEARCH("starter",E383)),"Starter Fertilizer",
ISNUMBER(SEARCH("weed &amp; feed",E383)),"Weed &amp; Feed",
ISNUMBER(SEARCH("lawn food",E383)),"Lawn Food",
ISNUMBER(SEARCH("triple action",E383)),"Triple Action Fertilizer",
ISNUMBER(SEARCH("green max",E383)),"Green Max Lawn Food",
ISNUMBER(SEARCH("patchmaster",E383)),"PatchMaster Repair",
ISNUMBER(SEARCH("ez seed",E383)),"EZ Seed Repair",
ISNUMBER(SEARCH("rapid grass",E383)),"Rapid Grass",
ISNUMBER(SEARCH("thick'r lawn",E383)),"Thick'R Lawn",
ISNUMBER(SEARCH("fungicide",E383)),"Fungicide",
ISNUMBER(SEARCH("moss",E383)),"Moss Control",
ISNUMBER(SEARCH("perlite",E383)),"Perlite",
ISNUMBER(SEARCH("plant food",E383)),"Plant Food",
ISNUMBER(SEARCH("spreader",E383)),"Spreader",
ISNUMBER(SEARCH("sprayer",E383)),"Sprayer",
ISNUMBER(SEARCH("mower",E383)),"Lawn Mower",
ISNUMBER(SEARCH("sweeper",E383)),"Lawn Sweeper",
OR(ISNUMBER(SEARCH("pruner",E383)),ISNUMBER(SEARCH("trimmer",E383)),ISNUMBER(SEARCH("pole saw",E383))),"Pruning Tools",
TRUE,"Other"
)</f>
        <v>Other</v>
      </c>
      <c r="J383" s="7" t="str">
        <f t="shared" si="86"/>
        <v>Flying Insect Control - Other</v>
      </c>
      <c r="K383" s="4">
        <v>100</v>
      </c>
      <c r="L383" s="4">
        <v>5</v>
      </c>
      <c r="M383" s="4">
        <v>9</v>
      </c>
      <c r="O383" s="4">
        <f>VLOOKUP(A383,[5]Sheet1!$A:$B,2,0)</f>
        <v>0</v>
      </c>
      <c r="P383" s="4">
        <f>VLOOKUP(A383,[5]Sheet1!$A:$C,3,0)</f>
        <v>0</v>
      </c>
      <c r="Q383" s="4">
        <f>VLOOKUP(A383,[5]Sheet1!$A:$D,4,0)</f>
        <v>0</v>
      </c>
      <c r="R383" s="4">
        <f>VLOOKUP(A383,[5]Sheet1!$A:$E,5,0)</f>
        <v>0</v>
      </c>
      <c r="S383" s="4">
        <f>VLOOKUP(A383,[5]Sheet1!$A:$F,6,0)</f>
        <v>0</v>
      </c>
      <c r="T383" s="4">
        <f>VLOOKUP(A383,[5]Sheet1!$A:$G,7,0)</f>
        <v>0</v>
      </c>
      <c r="U383" s="4">
        <f>VLOOKUP(A383,[5]Sheet1!$A:$H,8,0)</f>
        <v>50</v>
      </c>
      <c r="V383" s="4">
        <f>VLOOKUP(A383,[5]Sheet1!$A:$I,9,0)</f>
        <v>50</v>
      </c>
      <c r="W383" s="4">
        <f>VLOOKUP(A383,[5]Sheet1!$A:$J,10,0)</f>
        <v>50</v>
      </c>
      <c r="X383" s="4">
        <f>VLOOKUP(A383,[5]Sheet1!$A:$L,11,0)</f>
        <v>0</v>
      </c>
      <c r="Y383" s="4">
        <f>VLOOKUP(A383,[5]Sheet1!$A:$L,12,0)</f>
        <v>0</v>
      </c>
      <c r="Z383" s="4">
        <f>VLOOKUP(A383,[5]Sheet1!$A:$M,13,0)</f>
        <v>0</v>
      </c>
      <c r="AA383" s="4">
        <f t="shared" si="102"/>
        <v>150</v>
      </c>
      <c r="AB383" s="7">
        <f t="shared" si="87"/>
        <v>13</v>
      </c>
      <c r="AC383" s="15">
        <f t="shared" si="103"/>
        <v>12.5</v>
      </c>
      <c r="AD383" s="16">
        <f t="shared" si="104"/>
        <v>2323.5</v>
      </c>
      <c r="AE383" s="16">
        <f t="shared" si="105"/>
        <v>193.625</v>
      </c>
      <c r="AF383" s="16">
        <v>3.86</v>
      </c>
      <c r="AG383" s="16">
        <v>15.49</v>
      </c>
      <c r="AH383" s="15">
        <f t="shared" si="106"/>
        <v>8.9066666666666724E-2</v>
      </c>
      <c r="AI383" s="15">
        <f t="shared" si="107"/>
        <v>0.31173333333333347</v>
      </c>
      <c r="AJ383" s="10">
        <v>0.5</v>
      </c>
      <c r="AK383" s="10">
        <v>0.5</v>
      </c>
      <c r="AL383" s="16">
        <v>3.86</v>
      </c>
      <c r="AM383" s="9">
        <f t="shared" si="88"/>
        <v>2.3235000000000001</v>
      </c>
      <c r="AN383" s="9">
        <f t="shared" si="89"/>
        <v>0.4647</v>
      </c>
      <c r="AO383" s="9">
        <f t="shared" si="90"/>
        <v>3.0980000000000003</v>
      </c>
      <c r="AP383" s="9">
        <f t="shared" si="91"/>
        <v>0.30980000000000002</v>
      </c>
      <c r="AQ383" s="9">
        <f t="shared" si="92"/>
        <v>3.0980000000000003</v>
      </c>
      <c r="AR383" s="9">
        <f t="shared" si="93"/>
        <v>3.8725000000000001</v>
      </c>
      <c r="AS383" s="11">
        <f t="shared" si="94"/>
        <v>0.89066666666666716</v>
      </c>
      <c r="AT383" s="12">
        <f t="shared" si="95"/>
        <v>0.37433333333333402</v>
      </c>
    </row>
    <row r="384" spans="1:46" ht="16.5" x14ac:dyDescent="0.4">
      <c r="A384" s="4" t="s">
        <v>1749</v>
      </c>
      <c r="B384" s="4" t="s">
        <v>1653</v>
      </c>
      <c r="C384" s="7">
        <v>0</v>
      </c>
      <c r="D384" s="4" t="s">
        <v>1750</v>
      </c>
      <c r="E384" s="4" t="s">
        <v>1751</v>
      </c>
      <c r="F384" s="4" t="s">
        <v>1752</v>
      </c>
      <c r="G384" s="7" t="str">
        <f>VLOOKUP(A384,[1]done!$A:$I,9,0)</f>
        <v>Mosquito/Fly</v>
      </c>
      <c r="H384" s="7" t="str" cm="1">
        <f t="array" ref="H384">_xlfn.IFS(
OR(ISNUMBER(SEARCH("mouse",E384)),ISNUMBER(SEARCH("rat",E384)),ISNUMBER(SEARCH("mice",E384)),ISNUMBER(SEARCH("rodent",E384))),"Rodent Control",
OR(ISNUMBER(SEARCH("fly",E384)),ISNUMBER(SEARCH("gnat",E384)),ISNUMBER(SEARCH("insect",E384)),ISNUMBER(SEARCH("mosquito",E384))),"Flying Insect Control",
OR(ISNUMBER(SEARCH("roach",E384)),ISNUMBER(SEARCH("ant",E384)),ISNUMBER(SEARCH("spider",E384)),ISNUMBER(SEARCH("cricket",E384)),ISNUMBER(SEARCH("scorpion",E384)),ISNUMBER(SEARCH("centipede",E384)),ISNUMBER(SEARCH("beetle",E384))),"Crawling Insect Control",
OR(ISNUMBER(SEARCH("tree",E384)),ISNUMBER(SEARCH("lantern",E384)),ISNUMBER(SEARCH("garden",E384)),ISNUMBER(SEARCH("plant",E384))),"Garden Pest Control",
OR(ISNUMBER(SEARCH("grass seed",E384)),ISNUMBER(SEARCH("seed mix",E384))),"Grass Seed",
OR(ISNUMBER(SEARCH("lawn food",E384)),ISNUMBER(SEARCH("fertilizer",E384))),"Lawn Fertilizer",
OR(ISNUMBER(SEARCH("patch",E384)),ISNUMBER(SEARCH("repair",E384)),ISNUMBER(SEARCH("thick'r",E384)),ISNUMBER(SEARCH("thick'r lawn",E384)),ISNUMBER(SEARCH("rapid grass",E384))),"Lawn Repair",
OR(ISNUMBER(SEARCH("weed",E384)),ISNUMBER(SEARCH("crabgrass",E384))),"Weed Control",
OR(ISNUMBER(SEARCH("fungicide",E384)),ISNUMBER(SEARCH("moss",E384))),"Disease &amp; Moss Control",
OR(ISNUMBER(SEARCH("plant food",E384)),ISNUMBER(SEARCH("miracid",E384))),"Plant Nutrition",
OR(ISNUMBER(SEARCH("perlite",E384))),"Soil Amendment",
OR(ISNUMBER(SEARCH("spreader",E384)),ISNUMBER(SEARCH("sprayer",E384)),ISNUMBER(SEARCH("mower",E384)),ISNUMBER(SEARCH("sweeper",E384)),ISNUMBER(SEARCH("pruner",E384)),ISNUMBER(SEARCH("trimmer",E384)),ISNUMBER(SEARCH("pole saw",E384))),"Garden Equipment",
TRUE,"Other"
)</f>
        <v>Flying Insect Control</v>
      </c>
      <c r="I384" s="7" t="str" cm="1">
        <f t="array" ref="I384">_xlfn.IFS(
OR(ISNUMBER(SEARCH("glue trap",E384)),ISNUMBER(SEARCH("glue board",E384))),"Glue Traps",
OR(ISNUMBER(SEARCH("snap trap",E384)),ISNUMBER(SEARCH("power-kill",E384)),ISNUMBER(SEARCH("wide pedal",E384)),ISNUMBER(SEARCH("metal pedal",E384))),"Snap Traps",
OR(ISNUMBER(SEARCH("electronic",E384)),ISNUMBER(SEARCH("zapper",E384))),"Electronic Traps",
OR(ISNUMBER(SEARCH("live catch",E384)),ISNUMBER(SEARCH("multi-catch",E384)),ISNUMBER(SEARCH("catch &amp; hold",E384)),ISNUMBER(SEARCH("tin cat",E384))),"Live Catch Traps",
OR(ISNUMBER(SEARCH("bait",E384)),ISNUMBER(SEARCH("poison",E384))),"Bait &amp; Poison",
ISNUMBER(SEARCH("repellent",E384)),"Repellents",
OR(ISNUMBER(SEARCH("fly trap",E384)),ISNUMBER(SEARCH("fly ribbon",E384)),ISNUMBER(SEARCH("fly stick",E384)),ISNUMBER(SEARCH("window fly",E384)),ISNUMBER(SEARCH("fly magnet",E384))),"Fly Traps",
OR(ISNUMBER(SEARCH("uv",E384)),ISNUMBER(SEARCH("fly light",E384)),ISNUMBER(SEARCH("plug-in",E384))),"UV Fly Traps",
ISNUMBER(SEARCH("roach",E384)),"Roach Traps",
ISNUMBER(SEARCH("ant",E384)),"Ant Traps",
ISNUMBER(SEARCH("spider",E384)),"Spider Traps",
ISNUMBER(SEARCH("mosquito",E384)),"Mosquito Traps",
ISNUMBER(SEARCH("beetle",E384)),"Beetle Traps",
ISNUMBER(SEARCH("lantern",E384)),"Lanternfly Control",
OR(ISNUMBER(SEARCH("tree shield",E384)),ISNUMBER(SEARCH("tree banding",E384)),ISNUMBER(SEARCH("insect barrier",E384))),"Tree Barriers",
OR(ISNUMBER(SEARCH("sun &amp; shade",E384)),ISNUMBER(SEARCH("sun and shade",E384))),"Sun &amp; Shade Mix",
ISNUMBER(SEARCH("tall fescue",E384)),"Tall Fescue",
ISNUMBER(SEARCH("bermudagrass",E384)),"Bermudagrass",
ISNUMBER(SEARCH("kentucky",E384)),"Kentucky Bluegrass",
ISNUMBER(SEARCH("zoysia",E384)),"Zoysia",
ISNUMBER(SEARCH("ryegrass",E384)),"Perennial Ryegrass",
ISNUMBER(SEARCH("centipede",E384)),"Centipede Grass",
ISNUMBER(SEARCH("dense shade",E384)),"Dense Shade Mix",
ISNUMBER(SEARCH("southern gold",E384)),"Southern Gold Mix",
ISNUMBER(SEARCH("heat-tolerant blue",E384)),"Heat-Tolerant Blue Mix",
ISNUMBER(SEARCH("high traffic",E384)),"High Traffic Mix",
ISNUMBER(SEARCH("quick fix",E384)),"Quick Fix Mix",
ISNUMBER(SEARCH("starter",E384)),"Starter Fertilizer",
ISNUMBER(SEARCH("weed &amp; feed",E384)),"Weed &amp; Feed",
ISNUMBER(SEARCH("lawn food",E384)),"Lawn Food",
ISNUMBER(SEARCH("triple action",E384)),"Triple Action Fertilizer",
ISNUMBER(SEARCH("green max",E384)),"Green Max Lawn Food",
ISNUMBER(SEARCH("patchmaster",E384)),"PatchMaster Repair",
ISNUMBER(SEARCH("ez seed",E384)),"EZ Seed Repair",
ISNUMBER(SEARCH("rapid grass",E384)),"Rapid Grass",
ISNUMBER(SEARCH("thick'r lawn",E384)),"Thick'R Lawn",
ISNUMBER(SEARCH("fungicide",E384)),"Fungicide",
ISNUMBER(SEARCH("moss",E384)),"Moss Control",
ISNUMBER(SEARCH("perlite",E384)),"Perlite",
ISNUMBER(SEARCH("plant food",E384)),"Plant Food",
ISNUMBER(SEARCH("spreader",E384)),"Spreader",
ISNUMBER(SEARCH("sprayer",E384)),"Sprayer",
ISNUMBER(SEARCH("mower",E384)),"Lawn Mower",
ISNUMBER(SEARCH("sweeper",E384)),"Lawn Sweeper",
OR(ISNUMBER(SEARCH("pruner",E384)),ISNUMBER(SEARCH("trimmer",E384)),ISNUMBER(SEARCH("pole saw",E384))),"Pruning Tools",
TRUE,"Other"
)</f>
        <v>UV Fly Traps</v>
      </c>
      <c r="J384" s="7" t="str">
        <f t="shared" si="86"/>
        <v>Flying Insect Control - UV Fly Traps</v>
      </c>
      <c r="K384" s="4">
        <v>100</v>
      </c>
      <c r="L384" s="4">
        <v>4.7</v>
      </c>
      <c r="M384" s="4">
        <v>16</v>
      </c>
      <c r="O384" s="4">
        <f>VLOOKUP(A384,[5]Sheet1!$A:$B,2,0)</f>
        <v>0</v>
      </c>
      <c r="P384" s="4">
        <f>VLOOKUP(A384,[5]Sheet1!$A:$C,3,0)</f>
        <v>0</v>
      </c>
      <c r="Q384" s="4">
        <f>VLOOKUP(A384,[5]Sheet1!$A:$D,4,0)</f>
        <v>0</v>
      </c>
      <c r="R384" s="4">
        <f>VLOOKUP(A384,[5]Sheet1!$A:$E,5,0)</f>
        <v>0</v>
      </c>
      <c r="S384" s="4">
        <f>VLOOKUP(A384,[5]Sheet1!$A:$F,6,0)</f>
        <v>0</v>
      </c>
      <c r="T384" s="4">
        <f>VLOOKUP(A384,[5]Sheet1!$A:$G,7,0)</f>
        <v>50</v>
      </c>
      <c r="U384" s="4">
        <f>VLOOKUP(A384,[5]Sheet1!$A:$H,8,0)</f>
        <v>50</v>
      </c>
      <c r="V384" s="4">
        <f>VLOOKUP(A384,[5]Sheet1!$A:$I,9,0)</f>
        <v>100</v>
      </c>
      <c r="W384" s="4">
        <f>VLOOKUP(A384,[5]Sheet1!$A:$J,10,0)</f>
        <v>100</v>
      </c>
      <c r="X384" s="4">
        <f>VLOOKUP(A384,[5]Sheet1!$A:$L,11,0)</f>
        <v>0</v>
      </c>
      <c r="Y384" s="4">
        <f>VLOOKUP(A384,[5]Sheet1!$A:$L,12,0)</f>
        <v>0</v>
      </c>
      <c r="Z384" s="4">
        <f>VLOOKUP(A384,[5]Sheet1!$A:$M,13,0)</f>
        <v>0</v>
      </c>
      <c r="AA384" s="4">
        <f t="shared" si="102"/>
        <v>300</v>
      </c>
      <c r="AB384" s="7">
        <f t="shared" si="87"/>
        <v>25</v>
      </c>
      <c r="AC384" s="15">
        <f t="shared" si="103"/>
        <v>25</v>
      </c>
      <c r="AD384" s="16">
        <f t="shared" si="104"/>
        <v>11481.000000000002</v>
      </c>
      <c r="AE384" s="16">
        <f t="shared" si="105"/>
        <v>956.75000000000011</v>
      </c>
      <c r="AF384" s="16">
        <v>6.13</v>
      </c>
      <c r="AG384" s="16">
        <v>38.270000000000003</v>
      </c>
      <c r="AH384" s="15">
        <f t="shared" si="106"/>
        <v>0.54520000000000013</v>
      </c>
      <c r="AI384" s="15">
        <f t="shared" si="107"/>
        <v>1.9082000000000001</v>
      </c>
      <c r="AJ384" s="10">
        <v>0.5</v>
      </c>
      <c r="AK384" s="10">
        <v>0.5</v>
      </c>
      <c r="AL384" s="16">
        <v>6.13</v>
      </c>
      <c r="AM384" s="9">
        <f t="shared" si="88"/>
        <v>5.7404999999999999</v>
      </c>
      <c r="AN384" s="9">
        <f t="shared" si="89"/>
        <v>1.1481000000000001</v>
      </c>
      <c r="AO384" s="9">
        <f t="shared" si="90"/>
        <v>7.6540000000000008</v>
      </c>
      <c r="AP384" s="9">
        <f t="shared" si="91"/>
        <v>0.76540000000000008</v>
      </c>
      <c r="AQ384" s="9">
        <f t="shared" si="92"/>
        <v>7.6540000000000008</v>
      </c>
      <c r="AR384" s="9">
        <f t="shared" si="93"/>
        <v>9.5675000000000008</v>
      </c>
      <c r="AS384" s="11">
        <f t="shared" si="94"/>
        <v>5.4520000000000008</v>
      </c>
      <c r="AT384" s="12">
        <f t="shared" si="95"/>
        <v>4.176333333333333</v>
      </c>
    </row>
    <row r="385" spans="1:46" s="18" customFormat="1" ht="16.5" x14ac:dyDescent="0.4">
      <c r="A385" s="18" t="s">
        <v>1753</v>
      </c>
      <c r="B385" s="18" t="s">
        <v>1653</v>
      </c>
      <c r="C385" s="7" t="s">
        <v>1803</v>
      </c>
      <c r="D385" s="18" t="s">
        <v>1754</v>
      </c>
      <c r="E385" s="18" t="s">
        <v>1755</v>
      </c>
      <c r="F385" s="18" t="s">
        <v>1756</v>
      </c>
      <c r="G385" s="7" t="str">
        <f>VLOOKUP(A385,[1]done!$A:$I,9,0)</f>
        <v>Other crawling insects</v>
      </c>
      <c r="H385" s="7" t="str" cm="1">
        <f t="array" ref="H385">_xlfn.IFS(
OR(ISNUMBER(SEARCH("mouse",E385)),ISNUMBER(SEARCH("rat",E385)),ISNUMBER(SEARCH("mice",E385)),ISNUMBER(SEARCH("rodent",E385))),"Rodent Control",
OR(ISNUMBER(SEARCH("fly",E385)),ISNUMBER(SEARCH("gnat",E385)),ISNUMBER(SEARCH("insect",E385)),ISNUMBER(SEARCH("mosquito",E385))),"Flying Insect Control",
OR(ISNUMBER(SEARCH("roach",E385)),ISNUMBER(SEARCH("ant",E385)),ISNUMBER(SEARCH("spider",E385)),ISNUMBER(SEARCH("cricket",E385)),ISNUMBER(SEARCH("scorpion",E385)),ISNUMBER(SEARCH("centipede",E385)),ISNUMBER(SEARCH("beetle",E385))),"Crawling Insect Control",
OR(ISNUMBER(SEARCH("tree",E385)),ISNUMBER(SEARCH("lantern",E385)),ISNUMBER(SEARCH("garden",E385)),ISNUMBER(SEARCH("plant",E385))),"Garden Pest Control",
OR(ISNUMBER(SEARCH("grass seed",E385)),ISNUMBER(SEARCH("seed mix",E385))),"Grass Seed",
OR(ISNUMBER(SEARCH("lawn food",E385)),ISNUMBER(SEARCH("fertilizer",E385))),"Lawn Fertilizer",
OR(ISNUMBER(SEARCH("patch",E385)),ISNUMBER(SEARCH("repair",E385)),ISNUMBER(SEARCH("thick'r",E385)),ISNUMBER(SEARCH("thick'r lawn",E385)),ISNUMBER(SEARCH("rapid grass",E385))),"Lawn Repair",
OR(ISNUMBER(SEARCH("weed",E385)),ISNUMBER(SEARCH("crabgrass",E385))),"Weed Control",
OR(ISNUMBER(SEARCH("fungicide",E385)),ISNUMBER(SEARCH("moss",E385))),"Disease &amp; Moss Control",
OR(ISNUMBER(SEARCH("plant food",E385)),ISNUMBER(SEARCH("miracid",E385))),"Plant Nutrition",
OR(ISNUMBER(SEARCH("perlite",E385))),"Soil Amendment",
OR(ISNUMBER(SEARCH("spreader",E385)),ISNUMBER(SEARCH("sprayer",E385)),ISNUMBER(SEARCH("mower",E385)),ISNUMBER(SEARCH("sweeper",E385)),ISNUMBER(SEARCH("pruner",E385)),ISNUMBER(SEARCH("trimmer",E385)),ISNUMBER(SEARCH("pole saw",E385))),"Garden Equipment",
TRUE,"Other"
)</f>
        <v>Flying Insect Control</v>
      </c>
      <c r="I385" s="7" t="str" cm="1">
        <f t="array" ref="I385">_xlfn.IFS(
OR(ISNUMBER(SEARCH("glue trap",E385)),ISNUMBER(SEARCH("glue board",E385))),"Glue Traps",
OR(ISNUMBER(SEARCH("snap trap",E385)),ISNUMBER(SEARCH("power-kill",E385)),ISNUMBER(SEARCH("wide pedal",E385)),ISNUMBER(SEARCH("metal pedal",E385))),"Snap Traps",
OR(ISNUMBER(SEARCH("electronic",E385)),ISNUMBER(SEARCH("zapper",E385))),"Electronic Traps",
OR(ISNUMBER(SEARCH("live catch",E385)),ISNUMBER(SEARCH("multi-catch",E385)),ISNUMBER(SEARCH("catch &amp; hold",E385)),ISNUMBER(SEARCH("tin cat",E385))),"Live Catch Traps",
OR(ISNUMBER(SEARCH("bait",E385)),ISNUMBER(SEARCH("poison",E385))),"Bait &amp; Poison",
ISNUMBER(SEARCH("repellent",E385)),"Repellents",
OR(ISNUMBER(SEARCH("fly trap",E385)),ISNUMBER(SEARCH("fly ribbon",E385)),ISNUMBER(SEARCH("fly stick",E385)),ISNUMBER(SEARCH("window fly",E385)),ISNUMBER(SEARCH("fly magnet",E385))),"Fly Traps",
OR(ISNUMBER(SEARCH("uv",E385)),ISNUMBER(SEARCH("fly light",E385)),ISNUMBER(SEARCH("plug-in",E385))),"UV Fly Traps",
ISNUMBER(SEARCH("roach",E385)),"Roach Traps",
ISNUMBER(SEARCH("ant",E385)),"Ant Traps",
ISNUMBER(SEARCH("spider",E385)),"Spider Traps",
ISNUMBER(SEARCH("mosquito",E385)),"Mosquito Traps",
ISNUMBER(SEARCH("beetle",E385)),"Beetle Traps",
ISNUMBER(SEARCH("lantern",E385)),"Lanternfly Control",
OR(ISNUMBER(SEARCH("tree shield",E385)),ISNUMBER(SEARCH("tree banding",E385)),ISNUMBER(SEARCH("insect barrier",E385))),"Tree Barriers",
OR(ISNUMBER(SEARCH("sun &amp; shade",E385)),ISNUMBER(SEARCH("sun and shade",E385))),"Sun &amp; Shade Mix",
ISNUMBER(SEARCH("tall fescue",E385)),"Tall Fescue",
ISNUMBER(SEARCH("bermudagrass",E385)),"Bermudagrass",
ISNUMBER(SEARCH("kentucky",E385)),"Kentucky Bluegrass",
ISNUMBER(SEARCH("zoysia",E385)),"Zoysia",
ISNUMBER(SEARCH("ryegrass",E385)),"Perennial Ryegrass",
ISNUMBER(SEARCH("centipede",E385)),"Centipede Grass",
ISNUMBER(SEARCH("dense shade",E385)),"Dense Shade Mix",
ISNUMBER(SEARCH("southern gold",E385)),"Southern Gold Mix",
ISNUMBER(SEARCH("heat-tolerant blue",E385)),"Heat-Tolerant Blue Mix",
ISNUMBER(SEARCH("high traffic",E385)),"High Traffic Mix",
ISNUMBER(SEARCH("quick fix",E385)),"Quick Fix Mix",
ISNUMBER(SEARCH("starter",E385)),"Starter Fertilizer",
ISNUMBER(SEARCH("weed &amp; feed",E385)),"Weed &amp; Feed",
ISNUMBER(SEARCH("lawn food",E385)),"Lawn Food",
ISNUMBER(SEARCH("triple action",E385)),"Triple Action Fertilizer",
ISNUMBER(SEARCH("green max",E385)),"Green Max Lawn Food",
ISNUMBER(SEARCH("patchmaster",E385)),"PatchMaster Repair",
ISNUMBER(SEARCH("ez seed",E385)),"EZ Seed Repair",
ISNUMBER(SEARCH("rapid grass",E385)),"Rapid Grass",
ISNUMBER(SEARCH("thick'r lawn",E385)),"Thick'R Lawn",
ISNUMBER(SEARCH("fungicide",E385)),"Fungicide",
ISNUMBER(SEARCH("moss",E385)),"Moss Control",
ISNUMBER(SEARCH("perlite",E385)),"Perlite",
ISNUMBER(SEARCH("plant food",E385)),"Plant Food",
ISNUMBER(SEARCH("spreader",E385)),"Spreader",
ISNUMBER(SEARCH("sprayer",E385)),"Sprayer",
ISNUMBER(SEARCH("mower",E385)),"Lawn Mower",
ISNUMBER(SEARCH("sweeper",E385)),"Lawn Sweeper",
OR(ISNUMBER(SEARCH("pruner",E385)),ISNUMBER(SEARCH("trimmer",E385)),ISNUMBER(SEARCH("pole saw",E385))),"Pruning Tools",
TRUE,"Other"
)</f>
        <v>Roach Traps</v>
      </c>
      <c r="J385" s="7" t="str">
        <f t="shared" si="86"/>
        <v>Flying Insect Control - Roach Traps</v>
      </c>
      <c r="K385" s="18">
        <v>100</v>
      </c>
      <c r="L385" s="18">
        <v>4.2</v>
      </c>
      <c r="M385" s="18">
        <v>796</v>
      </c>
      <c r="O385" s="18">
        <f>VLOOKUP(A385,[5]Sheet1!$A:$B,2,0)</f>
        <v>0</v>
      </c>
      <c r="P385" s="18">
        <f>VLOOKUP(A385,[5]Sheet1!$A:$C,3,0)</f>
        <v>0</v>
      </c>
      <c r="Q385" s="18">
        <f>VLOOKUP(A385,[5]Sheet1!$A:$D,4,0)</f>
        <v>0</v>
      </c>
      <c r="R385" s="18">
        <f>VLOOKUP(A385,[5]Sheet1!$A:$E,5,0)</f>
        <v>50</v>
      </c>
      <c r="S385" s="18">
        <f>VLOOKUP(A385,[5]Sheet1!$A:$F,6,0)</f>
        <v>300</v>
      </c>
      <c r="T385" s="18">
        <f>VLOOKUP(A385,[5]Sheet1!$A:$G,7,0)</f>
        <v>500</v>
      </c>
      <c r="U385" s="18">
        <f>VLOOKUP(A385,[5]Sheet1!$A:$H,8,0)</f>
        <v>400</v>
      </c>
      <c r="V385" s="18">
        <f>VLOOKUP(A385,[5]Sheet1!$A:$I,9,0)</f>
        <v>400</v>
      </c>
      <c r="W385" s="18">
        <f>VLOOKUP(A385,[5]Sheet1!$A:$J,10,0)</f>
        <v>100</v>
      </c>
      <c r="X385" s="18">
        <f>VLOOKUP(A385,[5]Sheet1!$A:$L,11,0)</f>
        <v>0</v>
      </c>
      <c r="Y385" s="18">
        <f>VLOOKUP(A385,[5]Sheet1!$A:$L,12,0)</f>
        <v>50</v>
      </c>
      <c r="Z385" s="18">
        <f>VLOOKUP(A385,[5]Sheet1!$A:$M,13,0)</f>
        <v>100</v>
      </c>
      <c r="AA385" s="18">
        <f t="shared" si="102"/>
        <v>1900</v>
      </c>
      <c r="AB385" s="7">
        <f t="shared" si="87"/>
        <v>158</v>
      </c>
      <c r="AC385" s="19">
        <f t="shared" si="103"/>
        <v>158.33333333333334</v>
      </c>
      <c r="AD385" s="20">
        <f t="shared" si="104"/>
        <v>23636</v>
      </c>
      <c r="AE385" s="20">
        <f t="shared" si="105"/>
        <v>1969.6666666666667</v>
      </c>
      <c r="AF385" s="20">
        <v>5.16</v>
      </c>
      <c r="AG385" s="20">
        <v>12.44</v>
      </c>
      <c r="AH385" s="19">
        <f t="shared" si="106"/>
        <v>-7.8933333333333383E-2</v>
      </c>
      <c r="AI385" s="19">
        <f t="shared" si="107"/>
        <v>-0.27626666666666683</v>
      </c>
      <c r="AJ385" s="10">
        <v>0.5</v>
      </c>
      <c r="AK385" s="10">
        <v>0.5</v>
      </c>
      <c r="AL385" s="20">
        <v>5.16</v>
      </c>
      <c r="AM385" s="9">
        <f t="shared" si="88"/>
        <v>1.8659999999999999</v>
      </c>
      <c r="AN385" s="9">
        <f t="shared" si="89"/>
        <v>0.37319999999999998</v>
      </c>
      <c r="AO385" s="9">
        <f t="shared" si="90"/>
        <v>2.488</v>
      </c>
      <c r="AP385" s="9">
        <f t="shared" si="91"/>
        <v>0.24879999999999999</v>
      </c>
      <c r="AQ385" s="9">
        <f t="shared" si="92"/>
        <v>2.488</v>
      </c>
      <c r="AR385" s="9">
        <f t="shared" si="93"/>
        <v>3.11</v>
      </c>
      <c r="AS385" s="11">
        <f t="shared" si="94"/>
        <v>-0.78933333333333378</v>
      </c>
      <c r="AT385" s="12">
        <f t="shared" si="95"/>
        <v>-1.2040000000000004</v>
      </c>
    </row>
    <row r="386" spans="1:46" ht="16.5" x14ac:dyDescent="0.4">
      <c r="A386" s="4" t="s">
        <v>1757</v>
      </c>
      <c r="B386" s="4" t="s">
        <v>1653</v>
      </c>
      <c r="C386" s="7" t="s">
        <v>1653</v>
      </c>
      <c r="D386" s="4" t="s">
        <v>1758</v>
      </c>
      <c r="E386" s="4" t="s">
        <v>1759</v>
      </c>
      <c r="F386" s="4" t="s">
        <v>1760</v>
      </c>
      <c r="G386" s="7" t="str">
        <f>VLOOKUP(A386,[1]done!$A:$I,9,0)</f>
        <v>Mosquito/Fly</v>
      </c>
      <c r="H386" s="7" t="str" cm="1">
        <f t="array" ref="H386">_xlfn.IFS(
OR(ISNUMBER(SEARCH("mouse",E386)),ISNUMBER(SEARCH("rat",E386)),ISNUMBER(SEARCH("mice",E386)),ISNUMBER(SEARCH("rodent",E386))),"Rodent Control",
OR(ISNUMBER(SEARCH("fly",E386)),ISNUMBER(SEARCH("gnat",E386)),ISNUMBER(SEARCH("insect",E386)),ISNUMBER(SEARCH("mosquito",E386))),"Flying Insect Control",
OR(ISNUMBER(SEARCH("roach",E386)),ISNUMBER(SEARCH("ant",E386)),ISNUMBER(SEARCH("spider",E386)),ISNUMBER(SEARCH("cricket",E386)),ISNUMBER(SEARCH("scorpion",E386)),ISNUMBER(SEARCH("centipede",E386)),ISNUMBER(SEARCH("beetle",E386))),"Crawling Insect Control",
OR(ISNUMBER(SEARCH("tree",E386)),ISNUMBER(SEARCH("lantern",E386)),ISNUMBER(SEARCH("garden",E386)),ISNUMBER(SEARCH("plant",E386))),"Garden Pest Control",
OR(ISNUMBER(SEARCH("grass seed",E386)),ISNUMBER(SEARCH("seed mix",E386))),"Grass Seed",
OR(ISNUMBER(SEARCH("lawn food",E386)),ISNUMBER(SEARCH("fertilizer",E386))),"Lawn Fertilizer",
OR(ISNUMBER(SEARCH("patch",E386)),ISNUMBER(SEARCH("repair",E386)),ISNUMBER(SEARCH("thick'r",E386)),ISNUMBER(SEARCH("thick'r lawn",E386)),ISNUMBER(SEARCH("rapid grass",E386))),"Lawn Repair",
OR(ISNUMBER(SEARCH("weed",E386)),ISNUMBER(SEARCH("crabgrass",E386))),"Weed Control",
OR(ISNUMBER(SEARCH("fungicide",E386)),ISNUMBER(SEARCH("moss",E386))),"Disease &amp; Moss Control",
OR(ISNUMBER(SEARCH("plant food",E386)),ISNUMBER(SEARCH("miracid",E386))),"Plant Nutrition",
OR(ISNUMBER(SEARCH("perlite",E386))),"Soil Amendment",
OR(ISNUMBER(SEARCH("spreader",E386)),ISNUMBER(SEARCH("sprayer",E386)),ISNUMBER(SEARCH("mower",E386)),ISNUMBER(SEARCH("sweeper",E386)),ISNUMBER(SEARCH("pruner",E386)),ISNUMBER(SEARCH("trimmer",E386)),ISNUMBER(SEARCH("pole saw",E386))),"Garden Equipment",
TRUE,"Other"
)</f>
        <v>Flying Insect Control</v>
      </c>
      <c r="I386" s="7" t="str" cm="1">
        <f t="array" ref="I386">_xlfn.IFS(
OR(ISNUMBER(SEARCH("glue trap",E386)),ISNUMBER(SEARCH("glue board",E386))),"Glue Traps",
OR(ISNUMBER(SEARCH("snap trap",E386)),ISNUMBER(SEARCH("power-kill",E386)),ISNUMBER(SEARCH("wide pedal",E386)),ISNUMBER(SEARCH("metal pedal",E386))),"Snap Traps",
OR(ISNUMBER(SEARCH("electronic",E386)),ISNUMBER(SEARCH("zapper",E386))),"Electronic Traps",
OR(ISNUMBER(SEARCH("live catch",E386)),ISNUMBER(SEARCH("multi-catch",E386)),ISNUMBER(SEARCH("catch &amp; hold",E386)),ISNUMBER(SEARCH("tin cat",E386))),"Live Catch Traps",
OR(ISNUMBER(SEARCH("bait",E386)),ISNUMBER(SEARCH("poison",E386))),"Bait &amp; Poison",
ISNUMBER(SEARCH("repellent",E386)),"Repellents",
OR(ISNUMBER(SEARCH("fly trap",E386)),ISNUMBER(SEARCH("fly ribbon",E386)),ISNUMBER(SEARCH("fly stick",E386)),ISNUMBER(SEARCH("window fly",E386)),ISNUMBER(SEARCH("fly magnet",E386))),"Fly Traps",
OR(ISNUMBER(SEARCH("uv",E386)),ISNUMBER(SEARCH("fly light",E386)),ISNUMBER(SEARCH("plug-in",E386))),"UV Fly Traps",
ISNUMBER(SEARCH("roach",E386)),"Roach Traps",
ISNUMBER(SEARCH("ant",E386)),"Ant Traps",
ISNUMBER(SEARCH("spider",E386)),"Spider Traps",
ISNUMBER(SEARCH("mosquito",E386)),"Mosquito Traps",
ISNUMBER(SEARCH("beetle",E386)),"Beetle Traps",
ISNUMBER(SEARCH("lantern",E386)),"Lanternfly Control",
OR(ISNUMBER(SEARCH("tree shield",E386)),ISNUMBER(SEARCH("tree banding",E386)),ISNUMBER(SEARCH("insect barrier",E386))),"Tree Barriers",
OR(ISNUMBER(SEARCH("sun &amp; shade",E386)),ISNUMBER(SEARCH("sun and shade",E386))),"Sun &amp; Shade Mix",
ISNUMBER(SEARCH("tall fescue",E386)),"Tall Fescue",
ISNUMBER(SEARCH("bermudagrass",E386)),"Bermudagrass",
ISNUMBER(SEARCH("kentucky",E386)),"Kentucky Bluegrass",
ISNUMBER(SEARCH("zoysia",E386)),"Zoysia",
ISNUMBER(SEARCH("ryegrass",E386)),"Perennial Ryegrass",
ISNUMBER(SEARCH("centipede",E386)),"Centipede Grass",
ISNUMBER(SEARCH("dense shade",E386)),"Dense Shade Mix",
ISNUMBER(SEARCH("southern gold",E386)),"Southern Gold Mix",
ISNUMBER(SEARCH("heat-tolerant blue",E386)),"Heat-Tolerant Blue Mix",
ISNUMBER(SEARCH("high traffic",E386)),"High Traffic Mix",
ISNUMBER(SEARCH("quick fix",E386)),"Quick Fix Mix",
ISNUMBER(SEARCH("starter",E386)),"Starter Fertilizer",
ISNUMBER(SEARCH("weed &amp; feed",E386)),"Weed &amp; Feed",
ISNUMBER(SEARCH("lawn food",E386)),"Lawn Food",
ISNUMBER(SEARCH("triple action",E386)),"Triple Action Fertilizer",
ISNUMBER(SEARCH("green max",E386)),"Green Max Lawn Food",
ISNUMBER(SEARCH("patchmaster",E386)),"PatchMaster Repair",
ISNUMBER(SEARCH("ez seed",E386)),"EZ Seed Repair",
ISNUMBER(SEARCH("rapid grass",E386)),"Rapid Grass",
ISNUMBER(SEARCH("thick'r lawn",E386)),"Thick'R Lawn",
ISNUMBER(SEARCH("fungicide",E386)),"Fungicide",
ISNUMBER(SEARCH("moss",E386)),"Moss Control",
ISNUMBER(SEARCH("perlite",E386)),"Perlite",
ISNUMBER(SEARCH("plant food",E386)),"Plant Food",
ISNUMBER(SEARCH("spreader",E386)),"Spreader",
ISNUMBER(SEARCH("sprayer",E386)),"Sprayer",
ISNUMBER(SEARCH("mower",E386)),"Lawn Mower",
ISNUMBER(SEARCH("sweeper",E386)),"Lawn Sweeper",
OR(ISNUMBER(SEARCH("pruner",E386)),ISNUMBER(SEARCH("trimmer",E386)),ISNUMBER(SEARCH("pole saw",E386))),"Pruning Tools",
TRUE,"Other"
)</f>
        <v>Fly Traps</v>
      </c>
      <c r="J386" s="7" t="str">
        <f t="shared" si="86"/>
        <v>Flying Insect Control - Fly Traps</v>
      </c>
      <c r="K386" s="4">
        <v>50</v>
      </c>
      <c r="L386" s="4">
        <v>4.3</v>
      </c>
      <c r="M386" s="4">
        <v>612</v>
      </c>
      <c r="O386" s="4">
        <f>VLOOKUP(A386,[5]Sheet1!$A:$B,2,0)</f>
        <v>100</v>
      </c>
      <c r="P386" s="4">
        <f>VLOOKUP(A386,[5]Sheet1!$A:$C,3,0)</f>
        <v>100</v>
      </c>
      <c r="Q386" s="4">
        <f>VLOOKUP(A386,[5]Sheet1!$A:$D,4,0)</f>
        <v>200</v>
      </c>
      <c r="R386" s="4">
        <f>VLOOKUP(A386,[5]Sheet1!$A:$E,5,0)</f>
        <v>300</v>
      </c>
      <c r="S386" s="4">
        <f>VLOOKUP(A386,[5]Sheet1!$A:$F,6,0)</f>
        <v>600</v>
      </c>
      <c r="T386" s="4">
        <f>VLOOKUP(A386,[5]Sheet1!$A:$G,7,0)</f>
        <v>1000</v>
      </c>
      <c r="U386" s="4">
        <f>VLOOKUP(A386,[5]Sheet1!$A:$H,8,0)</f>
        <v>2000</v>
      </c>
      <c r="V386" s="4">
        <f>VLOOKUP(A386,[5]Sheet1!$A:$I,9,0)</f>
        <v>1000</v>
      </c>
      <c r="W386" s="4">
        <f>VLOOKUP(A386,[5]Sheet1!$A:$J,10,0)</f>
        <v>50</v>
      </c>
      <c r="X386" s="4">
        <f>VLOOKUP(A386,[5]Sheet1!$A:$L,11,0)</f>
        <v>1000</v>
      </c>
      <c r="Y386" s="4">
        <f>VLOOKUP(A386,[5]Sheet1!$A:$L,12,0)</f>
        <v>400</v>
      </c>
      <c r="Z386" s="4">
        <f>VLOOKUP(A386,[5]Sheet1!$A:$M,13,0)</f>
        <v>200</v>
      </c>
      <c r="AA386" s="4">
        <f t="shared" si="102"/>
        <v>6950</v>
      </c>
      <c r="AB386" s="7">
        <f t="shared" si="87"/>
        <v>579</v>
      </c>
      <c r="AC386" s="15">
        <f t="shared" si="103"/>
        <v>579.16666666666663</v>
      </c>
      <c r="AD386" s="16">
        <f t="shared" si="104"/>
        <v>486430.49999999994</v>
      </c>
      <c r="AE386" s="16">
        <f t="shared" si="105"/>
        <v>40535.874999999993</v>
      </c>
      <c r="AF386" s="16">
        <v>7.57</v>
      </c>
      <c r="AG386" s="16">
        <v>69.989999999999995</v>
      </c>
      <c r="AH386" s="15">
        <f t="shared" si="106"/>
        <v>1.2950666666666664</v>
      </c>
      <c r="AI386" s="15">
        <f t="shared" si="107"/>
        <v>4.5327333333333319</v>
      </c>
      <c r="AJ386" s="10">
        <v>0.5</v>
      </c>
      <c r="AK386" s="10">
        <v>0.5</v>
      </c>
      <c r="AL386" s="16">
        <v>7.57</v>
      </c>
      <c r="AM386" s="9">
        <f t="shared" si="88"/>
        <v>10.498499999999998</v>
      </c>
      <c r="AN386" s="9">
        <f t="shared" si="89"/>
        <v>2.0996999999999999</v>
      </c>
      <c r="AO386" s="9">
        <f t="shared" si="90"/>
        <v>13.997999999999999</v>
      </c>
      <c r="AP386" s="9">
        <f t="shared" si="91"/>
        <v>1.3997999999999999</v>
      </c>
      <c r="AQ386" s="9">
        <f t="shared" si="92"/>
        <v>13.997999999999999</v>
      </c>
      <c r="AR386" s="9">
        <f t="shared" si="93"/>
        <v>17.497499999999999</v>
      </c>
      <c r="AS386" s="11">
        <f t="shared" si="94"/>
        <v>12.950666666666663</v>
      </c>
      <c r="AT386" s="12">
        <f t="shared" si="95"/>
        <v>10.617666666666663</v>
      </c>
    </row>
    <row r="387" spans="1:46" ht="16.5" x14ac:dyDescent="0.4">
      <c r="A387" s="4" t="s">
        <v>1761</v>
      </c>
      <c r="B387" s="4" t="s">
        <v>1653</v>
      </c>
      <c r="C387" s="7" t="s">
        <v>1803</v>
      </c>
      <c r="D387" s="4" t="s">
        <v>1762</v>
      </c>
      <c r="E387" s="4" t="s">
        <v>1763</v>
      </c>
      <c r="F387" s="4" t="s">
        <v>1764</v>
      </c>
      <c r="G387" s="7" t="str">
        <f>VLOOKUP(A387,[1]done!$A:$I,9,0)</f>
        <v>Mosquito/Fly</v>
      </c>
      <c r="H387" s="7" t="str" cm="1">
        <f t="array" ref="H387">_xlfn.IFS(
OR(ISNUMBER(SEARCH("mouse",E387)),ISNUMBER(SEARCH("rat",E387)),ISNUMBER(SEARCH("mice",E387)),ISNUMBER(SEARCH("rodent",E387))),"Rodent Control",
OR(ISNUMBER(SEARCH("fly",E387)),ISNUMBER(SEARCH("gnat",E387)),ISNUMBER(SEARCH("insect",E387)),ISNUMBER(SEARCH("mosquito",E387))),"Flying Insect Control",
OR(ISNUMBER(SEARCH("roach",E387)),ISNUMBER(SEARCH("ant",E387)),ISNUMBER(SEARCH("spider",E387)),ISNUMBER(SEARCH("cricket",E387)),ISNUMBER(SEARCH("scorpion",E387)),ISNUMBER(SEARCH("centipede",E387)),ISNUMBER(SEARCH("beetle",E387))),"Crawling Insect Control",
OR(ISNUMBER(SEARCH("tree",E387)),ISNUMBER(SEARCH("lantern",E387)),ISNUMBER(SEARCH("garden",E387)),ISNUMBER(SEARCH("plant",E387))),"Garden Pest Control",
OR(ISNUMBER(SEARCH("grass seed",E387)),ISNUMBER(SEARCH("seed mix",E387))),"Grass Seed",
OR(ISNUMBER(SEARCH("lawn food",E387)),ISNUMBER(SEARCH("fertilizer",E387))),"Lawn Fertilizer",
OR(ISNUMBER(SEARCH("patch",E387)),ISNUMBER(SEARCH("repair",E387)),ISNUMBER(SEARCH("thick'r",E387)),ISNUMBER(SEARCH("thick'r lawn",E387)),ISNUMBER(SEARCH("rapid grass",E387))),"Lawn Repair",
OR(ISNUMBER(SEARCH("weed",E387)),ISNUMBER(SEARCH("crabgrass",E387))),"Weed Control",
OR(ISNUMBER(SEARCH("fungicide",E387)),ISNUMBER(SEARCH("moss",E387))),"Disease &amp; Moss Control",
OR(ISNUMBER(SEARCH("plant food",E387)),ISNUMBER(SEARCH("miracid",E387))),"Plant Nutrition",
OR(ISNUMBER(SEARCH("perlite",E387))),"Soil Amendment",
OR(ISNUMBER(SEARCH("spreader",E387)),ISNUMBER(SEARCH("sprayer",E387)),ISNUMBER(SEARCH("mower",E387)),ISNUMBER(SEARCH("sweeper",E387)),ISNUMBER(SEARCH("pruner",E387)),ISNUMBER(SEARCH("trimmer",E387)),ISNUMBER(SEARCH("pole saw",E387))),"Garden Equipment",
TRUE,"Other"
)</f>
        <v>Flying Insect Control</v>
      </c>
      <c r="I387" s="7" t="str" cm="1">
        <f t="array" ref="I387">_xlfn.IFS(
OR(ISNUMBER(SEARCH("glue trap",E387)),ISNUMBER(SEARCH("glue board",E387))),"Glue Traps",
OR(ISNUMBER(SEARCH("snap trap",E387)),ISNUMBER(SEARCH("power-kill",E387)),ISNUMBER(SEARCH("wide pedal",E387)),ISNUMBER(SEARCH("metal pedal",E387))),"Snap Traps",
OR(ISNUMBER(SEARCH("electronic",E387)),ISNUMBER(SEARCH("zapper",E387))),"Electronic Traps",
OR(ISNUMBER(SEARCH("live catch",E387)),ISNUMBER(SEARCH("multi-catch",E387)),ISNUMBER(SEARCH("catch &amp; hold",E387)),ISNUMBER(SEARCH("tin cat",E387))),"Live Catch Traps",
OR(ISNUMBER(SEARCH("bait",E387)),ISNUMBER(SEARCH("poison",E387))),"Bait &amp; Poison",
ISNUMBER(SEARCH("repellent",E387)),"Repellents",
OR(ISNUMBER(SEARCH("fly trap",E387)),ISNUMBER(SEARCH("fly ribbon",E387)),ISNUMBER(SEARCH("fly stick",E387)),ISNUMBER(SEARCH("window fly",E387)),ISNUMBER(SEARCH("fly magnet",E387))),"Fly Traps",
OR(ISNUMBER(SEARCH("uv",E387)),ISNUMBER(SEARCH("fly light",E387)),ISNUMBER(SEARCH("plug-in",E387))),"UV Fly Traps",
ISNUMBER(SEARCH("roach",E387)),"Roach Traps",
ISNUMBER(SEARCH("ant",E387)),"Ant Traps",
ISNUMBER(SEARCH("spider",E387)),"Spider Traps",
ISNUMBER(SEARCH("mosquito",E387)),"Mosquito Traps",
ISNUMBER(SEARCH("beetle",E387)),"Beetle Traps",
ISNUMBER(SEARCH("lantern",E387)),"Lanternfly Control",
OR(ISNUMBER(SEARCH("tree shield",E387)),ISNUMBER(SEARCH("tree banding",E387)),ISNUMBER(SEARCH("insect barrier",E387))),"Tree Barriers",
OR(ISNUMBER(SEARCH("sun &amp; shade",E387)),ISNUMBER(SEARCH("sun and shade",E387))),"Sun &amp; Shade Mix",
ISNUMBER(SEARCH("tall fescue",E387)),"Tall Fescue",
ISNUMBER(SEARCH("bermudagrass",E387)),"Bermudagrass",
ISNUMBER(SEARCH("kentucky",E387)),"Kentucky Bluegrass",
ISNUMBER(SEARCH("zoysia",E387)),"Zoysia",
ISNUMBER(SEARCH("ryegrass",E387)),"Perennial Ryegrass",
ISNUMBER(SEARCH("centipede",E387)),"Centipede Grass",
ISNUMBER(SEARCH("dense shade",E387)),"Dense Shade Mix",
ISNUMBER(SEARCH("southern gold",E387)),"Southern Gold Mix",
ISNUMBER(SEARCH("heat-tolerant blue",E387)),"Heat-Tolerant Blue Mix",
ISNUMBER(SEARCH("high traffic",E387)),"High Traffic Mix",
ISNUMBER(SEARCH("quick fix",E387)),"Quick Fix Mix",
ISNUMBER(SEARCH("starter",E387)),"Starter Fertilizer",
ISNUMBER(SEARCH("weed &amp; feed",E387)),"Weed &amp; Feed",
ISNUMBER(SEARCH("lawn food",E387)),"Lawn Food",
ISNUMBER(SEARCH("triple action",E387)),"Triple Action Fertilizer",
ISNUMBER(SEARCH("green max",E387)),"Green Max Lawn Food",
ISNUMBER(SEARCH("patchmaster",E387)),"PatchMaster Repair",
ISNUMBER(SEARCH("ez seed",E387)),"EZ Seed Repair",
ISNUMBER(SEARCH("rapid grass",E387)),"Rapid Grass",
ISNUMBER(SEARCH("thick'r lawn",E387)),"Thick'R Lawn",
ISNUMBER(SEARCH("fungicide",E387)),"Fungicide",
ISNUMBER(SEARCH("moss",E387)),"Moss Control",
ISNUMBER(SEARCH("perlite",E387)),"Perlite",
ISNUMBER(SEARCH("plant food",E387)),"Plant Food",
ISNUMBER(SEARCH("spreader",E387)),"Spreader",
ISNUMBER(SEARCH("sprayer",E387)),"Sprayer",
ISNUMBER(SEARCH("mower",E387)),"Lawn Mower",
ISNUMBER(SEARCH("sweeper",E387)),"Lawn Sweeper",
OR(ISNUMBER(SEARCH("pruner",E387)),ISNUMBER(SEARCH("trimmer",E387)),ISNUMBER(SEARCH("pole saw",E387))),"Pruning Tools",
TRUE,"Other"
)</f>
        <v>Fly Traps</v>
      </c>
      <c r="J387" s="7" t="str">
        <f t="shared" ref="J387:J450" si="108">H387&amp;" - "&amp;I387</f>
        <v>Flying Insect Control - Fly Traps</v>
      </c>
      <c r="K387" s="4">
        <v>50</v>
      </c>
      <c r="L387" s="4">
        <v>4.9000000000000004</v>
      </c>
      <c r="M387" s="4">
        <v>21</v>
      </c>
      <c r="O387" s="4">
        <f>VLOOKUP(A387,[5]Sheet1!$A:$B,2,0)</f>
        <v>0</v>
      </c>
      <c r="P387" s="4">
        <f>VLOOKUP(A387,[5]Sheet1!$A:$C,3,0)</f>
        <v>0</v>
      </c>
      <c r="Q387" s="4">
        <f>VLOOKUP(A387,[5]Sheet1!$A:$D,4,0)</f>
        <v>0</v>
      </c>
      <c r="R387" s="4">
        <f>VLOOKUP(A387,[5]Sheet1!$A:$E,5,0)</f>
        <v>0</v>
      </c>
      <c r="S387" s="4">
        <f>VLOOKUP(A387,[5]Sheet1!$A:$F,6,0)</f>
        <v>50</v>
      </c>
      <c r="T387" s="4">
        <f>VLOOKUP(A387,[5]Sheet1!$A:$G,7,0)</f>
        <v>50</v>
      </c>
      <c r="U387" s="4">
        <f>VLOOKUP(A387,[5]Sheet1!$A:$H,8,0)</f>
        <v>50</v>
      </c>
      <c r="V387" s="4">
        <f>VLOOKUP(A387,[5]Sheet1!$A:$I,9,0)</f>
        <v>50</v>
      </c>
      <c r="W387" s="4">
        <f>VLOOKUP(A387,[5]Sheet1!$A:$J,10,0)</f>
        <v>50</v>
      </c>
      <c r="X387" s="4">
        <f>VLOOKUP(A387,[5]Sheet1!$A:$L,11,0)</f>
        <v>0</v>
      </c>
      <c r="Y387" s="4">
        <f>VLOOKUP(A387,[5]Sheet1!$A:$L,12,0)</f>
        <v>0</v>
      </c>
      <c r="Z387" s="4">
        <f>VLOOKUP(A387,[5]Sheet1!$A:$M,13,0)</f>
        <v>0</v>
      </c>
      <c r="AA387" s="4">
        <f t="shared" si="102"/>
        <v>250</v>
      </c>
      <c r="AB387" s="7">
        <f t="shared" ref="AB387:AB450" si="109">ROUND(AA387/12,0)</f>
        <v>21</v>
      </c>
      <c r="AC387" s="15">
        <f t="shared" si="103"/>
        <v>20.833333333333332</v>
      </c>
      <c r="AD387" s="16">
        <f t="shared" si="104"/>
        <v>6387.5</v>
      </c>
      <c r="AE387" s="16">
        <f t="shared" si="105"/>
        <v>532.29166666666663</v>
      </c>
      <c r="AF387" s="16">
        <v>4.76</v>
      </c>
      <c r="AG387" s="16">
        <v>25.55</v>
      </c>
      <c r="AH387" s="15">
        <f t="shared" si="106"/>
        <v>0.29733333333333334</v>
      </c>
      <c r="AI387" s="15">
        <f t="shared" si="107"/>
        <v>1.0406666666666666</v>
      </c>
      <c r="AJ387" s="10">
        <v>0.5</v>
      </c>
      <c r="AK387" s="10">
        <v>0.5</v>
      </c>
      <c r="AL387" s="16">
        <v>4.76</v>
      </c>
      <c r="AM387" s="9">
        <f t="shared" ref="AM387:AM450" si="110">0.15*AG387</f>
        <v>3.8325</v>
      </c>
      <c r="AN387" s="9">
        <f t="shared" ref="AN387:AN450" si="111">0.03*AG387</f>
        <v>0.76649999999999996</v>
      </c>
      <c r="AO387" s="9">
        <f t="shared" ref="AO387:AO450" si="112">0.2*AG387</f>
        <v>5.1100000000000003</v>
      </c>
      <c r="AP387" s="9">
        <f t="shared" ref="AP387:AP450" si="113">0.02*AG387</f>
        <v>0.51100000000000001</v>
      </c>
      <c r="AQ387" s="9">
        <f t="shared" ref="AQ387:AQ450" si="114">0.2*AG387</f>
        <v>5.1100000000000003</v>
      </c>
      <c r="AR387" s="9">
        <f t="shared" ref="AR387:AR450" si="115">0.25*AG387</f>
        <v>6.3875000000000002</v>
      </c>
      <c r="AS387" s="11">
        <f t="shared" ref="AS387:AS450" si="116">(AG387*(1-(0.15+0.03+0.2+0.02))-AJ387-AK387-AL387-AQ387)/(1+0.1+0.4)</f>
        <v>2.9733333333333332</v>
      </c>
      <c r="AT387" s="12">
        <f t="shared" ref="AT387:AT450" si="117">(AG387*(1-(0.15+0.03+0.2+0.02))-AJ387-AK387-AL387-AR387)/(1+0.1+0.4)</f>
        <v>2.1216666666666666</v>
      </c>
    </row>
    <row r="388" spans="1:46" ht="16.5" x14ac:dyDescent="0.4">
      <c r="A388" s="4" t="s">
        <v>1765</v>
      </c>
      <c r="B388" s="4" t="s">
        <v>1653</v>
      </c>
      <c r="C388" s="7" t="s">
        <v>1653</v>
      </c>
      <c r="D388" s="4" t="s">
        <v>1766</v>
      </c>
      <c r="E388" s="4" t="s">
        <v>1767</v>
      </c>
      <c r="F388" s="4" t="s">
        <v>1768</v>
      </c>
      <c r="G388" s="7" t="str">
        <f>VLOOKUP(A388,[1]done!$A:$I,9,0)</f>
        <v>Other crawling insects</v>
      </c>
      <c r="H388" s="7" t="str" cm="1">
        <f t="array" ref="H388">_xlfn.IFS(
OR(ISNUMBER(SEARCH("mouse",E388)),ISNUMBER(SEARCH("rat",E388)),ISNUMBER(SEARCH("mice",E388)),ISNUMBER(SEARCH("rodent",E388))),"Rodent Control",
OR(ISNUMBER(SEARCH("fly",E388)),ISNUMBER(SEARCH("gnat",E388)),ISNUMBER(SEARCH("insect",E388)),ISNUMBER(SEARCH("mosquito",E388))),"Flying Insect Control",
OR(ISNUMBER(SEARCH("roach",E388)),ISNUMBER(SEARCH("ant",E388)),ISNUMBER(SEARCH("spider",E388)),ISNUMBER(SEARCH("cricket",E388)),ISNUMBER(SEARCH("scorpion",E388)),ISNUMBER(SEARCH("centipede",E388)),ISNUMBER(SEARCH("beetle",E388))),"Crawling Insect Control",
OR(ISNUMBER(SEARCH("tree",E388)),ISNUMBER(SEARCH("lantern",E388)),ISNUMBER(SEARCH("garden",E388)),ISNUMBER(SEARCH("plant",E388))),"Garden Pest Control",
OR(ISNUMBER(SEARCH("grass seed",E388)),ISNUMBER(SEARCH("seed mix",E388))),"Grass Seed",
OR(ISNUMBER(SEARCH("lawn food",E388)),ISNUMBER(SEARCH("fertilizer",E388))),"Lawn Fertilizer",
OR(ISNUMBER(SEARCH("patch",E388)),ISNUMBER(SEARCH("repair",E388)),ISNUMBER(SEARCH("thick'r",E388)),ISNUMBER(SEARCH("thick'r lawn",E388)),ISNUMBER(SEARCH("rapid grass",E388))),"Lawn Repair",
OR(ISNUMBER(SEARCH("weed",E388)),ISNUMBER(SEARCH("crabgrass",E388))),"Weed Control",
OR(ISNUMBER(SEARCH("fungicide",E388)),ISNUMBER(SEARCH("moss",E388))),"Disease &amp; Moss Control",
OR(ISNUMBER(SEARCH("plant food",E388)),ISNUMBER(SEARCH("miracid",E388))),"Plant Nutrition",
OR(ISNUMBER(SEARCH("perlite",E388))),"Soil Amendment",
OR(ISNUMBER(SEARCH("spreader",E388)),ISNUMBER(SEARCH("sprayer",E388)),ISNUMBER(SEARCH("mower",E388)),ISNUMBER(SEARCH("sweeper",E388)),ISNUMBER(SEARCH("pruner",E388)),ISNUMBER(SEARCH("trimmer",E388)),ISNUMBER(SEARCH("pole saw",E388))),"Garden Equipment",
TRUE,"Other"
)</f>
        <v>Flying Insect Control</v>
      </c>
      <c r="I388" s="7" t="str" cm="1">
        <f t="array" ref="I388">_xlfn.IFS(
OR(ISNUMBER(SEARCH("glue trap",E388)),ISNUMBER(SEARCH("glue board",E388))),"Glue Traps",
OR(ISNUMBER(SEARCH("snap trap",E388)),ISNUMBER(SEARCH("power-kill",E388)),ISNUMBER(SEARCH("wide pedal",E388)),ISNUMBER(SEARCH("metal pedal",E388))),"Snap Traps",
OR(ISNUMBER(SEARCH("electronic",E388)),ISNUMBER(SEARCH("zapper",E388))),"Electronic Traps",
OR(ISNUMBER(SEARCH("live catch",E388)),ISNUMBER(SEARCH("multi-catch",E388)),ISNUMBER(SEARCH("catch &amp; hold",E388)),ISNUMBER(SEARCH("tin cat",E388))),"Live Catch Traps",
OR(ISNUMBER(SEARCH("bait",E388)),ISNUMBER(SEARCH("poison",E388))),"Bait &amp; Poison",
ISNUMBER(SEARCH("repellent",E388)),"Repellents",
OR(ISNUMBER(SEARCH("fly trap",E388)),ISNUMBER(SEARCH("fly ribbon",E388)),ISNUMBER(SEARCH("fly stick",E388)),ISNUMBER(SEARCH("window fly",E388)),ISNUMBER(SEARCH("fly magnet",E388))),"Fly Traps",
OR(ISNUMBER(SEARCH("uv",E388)),ISNUMBER(SEARCH("fly light",E388)),ISNUMBER(SEARCH("plug-in",E388))),"UV Fly Traps",
ISNUMBER(SEARCH("roach",E388)),"Roach Traps",
ISNUMBER(SEARCH("ant",E388)),"Ant Traps",
ISNUMBER(SEARCH("spider",E388)),"Spider Traps",
ISNUMBER(SEARCH("mosquito",E388)),"Mosquito Traps",
ISNUMBER(SEARCH("beetle",E388)),"Beetle Traps",
ISNUMBER(SEARCH("lantern",E388)),"Lanternfly Control",
OR(ISNUMBER(SEARCH("tree shield",E388)),ISNUMBER(SEARCH("tree banding",E388)),ISNUMBER(SEARCH("insect barrier",E388))),"Tree Barriers",
OR(ISNUMBER(SEARCH("sun &amp; shade",E388)),ISNUMBER(SEARCH("sun and shade",E388))),"Sun &amp; Shade Mix",
ISNUMBER(SEARCH("tall fescue",E388)),"Tall Fescue",
ISNUMBER(SEARCH("bermudagrass",E388)),"Bermudagrass",
ISNUMBER(SEARCH("kentucky",E388)),"Kentucky Bluegrass",
ISNUMBER(SEARCH("zoysia",E388)),"Zoysia",
ISNUMBER(SEARCH("ryegrass",E388)),"Perennial Ryegrass",
ISNUMBER(SEARCH("centipede",E388)),"Centipede Grass",
ISNUMBER(SEARCH("dense shade",E388)),"Dense Shade Mix",
ISNUMBER(SEARCH("southern gold",E388)),"Southern Gold Mix",
ISNUMBER(SEARCH("heat-tolerant blue",E388)),"Heat-Tolerant Blue Mix",
ISNUMBER(SEARCH("high traffic",E388)),"High Traffic Mix",
ISNUMBER(SEARCH("quick fix",E388)),"Quick Fix Mix",
ISNUMBER(SEARCH("starter",E388)),"Starter Fertilizer",
ISNUMBER(SEARCH("weed &amp; feed",E388)),"Weed &amp; Feed",
ISNUMBER(SEARCH("lawn food",E388)),"Lawn Food",
ISNUMBER(SEARCH("triple action",E388)),"Triple Action Fertilizer",
ISNUMBER(SEARCH("green max",E388)),"Green Max Lawn Food",
ISNUMBER(SEARCH("patchmaster",E388)),"PatchMaster Repair",
ISNUMBER(SEARCH("ez seed",E388)),"EZ Seed Repair",
ISNUMBER(SEARCH("rapid grass",E388)),"Rapid Grass",
ISNUMBER(SEARCH("thick'r lawn",E388)),"Thick'R Lawn",
ISNUMBER(SEARCH("fungicide",E388)),"Fungicide",
ISNUMBER(SEARCH("moss",E388)),"Moss Control",
ISNUMBER(SEARCH("perlite",E388)),"Perlite",
ISNUMBER(SEARCH("plant food",E388)),"Plant Food",
ISNUMBER(SEARCH("spreader",E388)),"Spreader",
ISNUMBER(SEARCH("sprayer",E388)),"Sprayer",
ISNUMBER(SEARCH("mower",E388)),"Lawn Mower",
ISNUMBER(SEARCH("sweeper",E388)),"Lawn Sweeper",
OR(ISNUMBER(SEARCH("pruner",E388)),ISNUMBER(SEARCH("trimmer",E388)),ISNUMBER(SEARCH("pole saw",E388))),"Pruning Tools",
TRUE,"Other"
)</f>
        <v>Roach Traps</v>
      </c>
      <c r="J388" s="7" t="str">
        <f t="shared" si="108"/>
        <v>Flying Insect Control - Roach Traps</v>
      </c>
      <c r="K388" s="4">
        <v>50</v>
      </c>
      <c r="L388" s="4">
        <v>4.5999999999999996</v>
      </c>
      <c r="M388" s="4">
        <v>3</v>
      </c>
      <c r="N388" s="4" t="s">
        <v>1769</v>
      </c>
      <c r="O388" s="4">
        <f>VLOOKUP(A388,[5]Sheet1!$A:$B,2,0)</f>
        <v>0</v>
      </c>
      <c r="P388" s="4">
        <f>VLOOKUP(A388,[5]Sheet1!$A:$C,3,0)</f>
        <v>0</v>
      </c>
      <c r="Q388" s="4">
        <f>VLOOKUP(A388,[5]Sheet1!$A:$D,4,0)</f>
        <v>0</v>
      </c>
      <c r="R388" s="4">
        <f>VLOOKUP(A388,[5]Sheet1!$A:$E,5,0)</f>
        <v>0</v>
      </c>
      <c r="S388" s="4">
        <f>VLOOKUP(A388,[5]Sheet1!$A:$F,6,0)</f>
        <v>0</v>
      </c>
      <c r="T388" s="4">
        <f>VLOOKUP(A388,[5]Sheet1!$A:$G,7,0)</f>
        <v>0</v>
      </c>
      <c r="U388" s="4">
        <f>VLOOKUP(A388,[5]Sheet1!$A:$H,8,0)</f>
        <v>0</v>
      </c>
      <c r="V388" s="4">
        <f>VLOOKUP(A388,[5]Sheet1!$A:$I,9,0)</f>
        <v>0</v>
      </c>
      <c r="W388" s="4">
        <f>VLOOKUP(A388,[5]Sheet1!$A:$J,10,0)</f>
        <v>50</v>
      </c>
      <c r="X388" s="4">
        <f>VLOOKUP(A388,[5]Sheet1!$A:$L,11,0)</f>
        <v>0</v>
      </c>
      <c r="Y388" s="4">
        <f>VLOOKUP(A388,[5]Sheet1!$A:$L,12,0)</f>
        <v>0</v>
      </c>
      <c r="Z388" s="4">
        <f>VLOOKUP(A388,[5]Sheet1!$A:$M,13,0)</f>
        <v>0</v>
      </c>
      <c r="AA388" s="4">
        <f t="shared" si="102"/>
        <v>50</v>
      </c>
      <c r="AB388" s="7">
        <f t="shared" si="109"/>
        <v>4</v>
      </c>
      <c r="AC388" s="15">
        <f t="shared" si="103"/>
        <v>4.166666666666667</v>
      </c>
      <c r="AD388" s="16">
        <f t="shared" si="104"/>
        <v>397</v>
      </c>
      <c r="AE388" s="16">
        <f t="shared" si="105"/>
        <v>33.083333333333336</v>
      </c>
      <c r="AF388" s="16">
        <v>4.76</v>
      </c>
      <c r="AG388" s="16">
        <v>7.94</v>
      </c>
      <c r="AH388" s="15">
        <f t="shared" si="106"/>
        <v>-0.17226666666666665</v>
      </c>
      <c r="AI388" s="15">
        <f t="shared" si="107"/>
        <v>-0.60293333333333321</v>
      </c>
      <c r="AJ388" s="10">
        <v>0.5</v>
      </c>
      <c r="AK388" s="10">
        <v>0.5</v>
      </c>
      <c r="AL388" s="16">
        <v>4.76</v>
      </c>
      <c r="AM388" s="9">
        <f t="shared" si="110"/>
        <v>1.1910000000000001</v>
      </c>
      <c r="AN388" s="9">
        <f t="shared" si="111"/>
        <v>0.2382</v>
      </c>
      <c r="AO388" s="9">
        <f t="shared" si="112"/>
        <v>1.5880000000000001</v>
      </c>
      <c r="AP388" s="9">
        <f t="shared" si="113"/>
        <v>0.15880000000000002</v>
      </c>
      <c r="AQ388" s="9">
        <f t="shared" si="114"/>
        <v>1.5880000000000001</v>
      </c>
      <c r="AR388" s="9">
        <f t="shared" si="115"/>
        <v>1.9850000000000001</v>
      </c>
      <c r="AS388" s="11">
        <f t="shared" si="116"/>
        <v>-1.7226666666666663</v>
      </c>
      <c r="AT388" s="12">
        <f t="shared" si="117"/>
        <v>-1.9873333333333332</v>
      </c>
    </row>
    <row r="389" spans="1:46" ht="16.5" x14ac:dyDescent="0.4">
      <c r="A389" s="4" t="s">
        <v>1770</v>
      </c>
      <c r="B389" s="4" t="s">
        <v>1653</v>
      </c>
      <c r="C389" s="7">
        <v>0</v>
      </c>
      <c r="D389" s="4" t="s">
        <v>1771</v>
      </c>
      <c r="E389" s="4" t="s">
        <v>1772</v>
      </c>
      <c r="F389" s="4" t="s">
        <v>1773</v>
      </c>
      <c r="G389" s="7" t="str">
        <f>VLOOKUP(A389,[1]done!$A:$I,9,0)</f>
        <v>Mosquito/Fly</v>
      </c>
      <c r="H389" s="7" t="str" cm="1">
        <f t="array" ref="H389">_xlfn.IFS(
OR(ISNUMBER(SEARCH("mouse",E389)),ISNUMBER(SEARCH("rat",E389)),ISNUMBER(SEARCH("mice",E389)),ISNUMBER(SEARCH("rodent",E389))),"Rodent Control",
OR(ISNUMBER(SEARCH("fly",E389)),ISNUMBER(SEARCH("gnat",E389)),ISNUMBER(SEARCH("insect",E389)),ISNUMBER(SEARCH("mosquito",E389))),"Flying Insect Control",
OR(ISNUMBER(SEARCH("roach",E389)),ISNUMBER(SEARCH("ant",E389)),ISNUMBER(SEARCH("spider",E389)),ISNUMBER(SEARCH("cricket",E389)),ISNUMBER(SEARCH("scorpion",E389)),ISNUMBER(SEARCH("centipede",E389)),ISNUMBER(SEARCH("beetle",E389))),"Crawling Insect Control",
OR(ISNUMBER(SEARCH("tree",E389)),ISNUMBER(SEARCH("lantern",E389)),ISNUMBER(SEARCH("garden",E389)),ISNUMBER(SEARCH("plant",E389))),"Garden Pest Control",
OR(ISNUMBER(SEARCH("grass seed",E389)),ISNUMBER(SEARCH("seed mix",E389))),"Grass Seed",
OR(ISNUMBER(SEARCH("lawn food",E389)),ISNUMBER(SEARCH("fertilizer",E389))),"Lawn Fertilizer",
OR(ISNUMBER(SEARCH("patch",E389)),ISNUMBER(SEARCH("repair",E389)),ISNUMBER(SEARCH("thick'r",E389)),ISNUMBER(SEARCH("thick'r lawn",E389)),ISNUMBER(SEARCH("rapid grass",E389))),"Lawn Repair",
OR(ISNUMBER(SEARCH("weed",E389)),ISNUMBER(SEARCH("crabgrass",E389))),"Weed Control",
OR(ISNUMBER(SEARCH("fungicide",E389)),ISNUMBER(SEARCH("moss",E389))),"Disease &amp; Moss Control",
OR(ISNUMBER(SEARCH("plant food",E389)),ISNUMBER(SEARCH("miracid",E389))),"Plant Nutrition",
OR(ISNUMBER(SEARCH("perlite",E389))),"Soil Amendment",
OR(ISNUMBER(SEARCH("spreader",E389)),ISNUMBER(SEARCH("sprayer",E389)),ISNUMBER(SEARCH("mower",E389)),ISNUMBER(SEARCH("sweeper",E389)),ISNUMBER(SEARCH("pruner",E389)),ISNUMBER(SEARCH("trimmer",E389)),ISNUMBER(SEARCH("pole saw",E389))),"Garden Equipment",
TRUE,"Other"
)</f>
        <v>Flying Insect Control</v>
      </c>
      <c r="I389" s="7" t="str" cm="1">
        <f t="array" ref="I389">_xlfn.IFS(
OR(ISNUMBER(SEARCH("glue trap",E389)),ISNUMBER(SEARCH("glue board",E389))),"Glue Traps",
OR(ISNUMBER(SEARCH("snap trap",E389)),ISNUMBER(SEARCH("power-kill",E389)),ISNUMBER(SEARCH("wide pedal",E389)),ISNUMBER(SEARCH("metal pedal",E389))),"Snap Traps",
OR(ISNUMBER(SEARCH("electronic",E389)),ISNUMBER(SEARCH("zapper",E389))),"Electronic Traps",
OR(ISNUMBER(SEARCH("live catch",E389)),ISNUMBER(SEARCH("multi-catch",E389)),ISNUMBER(SEARCH("catch &amp; hold",E389)),ISNUMBER(SEARCH("tin cat",E389))),"Live Catch Traps",
OR(ISNUMBER(SEARCH("bait",E389)),ISNUMBER(SEARCH("poison",E389))),"Bait &amp; Poison",
ISNUMBER(SEARCH("repellent",E389)),"Repellents",
OR(ISNUMBER(SEARCH("fly trap",E389)),ISNUMBER(SEARCH("fly ribbon",E389)),ISNUMBER(SEARCH("fly stick",E389)),ISNUMBER(SEARCH("window fly",E389)),ISNUMBER(SEARCH("fly magnet",E389))),"Fly Traps",
OR(ISNUMBER(SEARCH("uv",E389)),ISNUMBER(SEARCH("fly light",E389)),ISNUMBER(SEARCH("plug-in",E389))),"UV Fly Traps",
ISNUMBER(SEARCH("roach",E389)),"Roach Traps",
ISNUMBER(SEARCH("ant",E389)),"Ant Traps",
ISNUMBER(SEARCH("spider",E389)),"Spider Traps",
ISNUMBER(SEARCH("mosquito",E389)),"Mosquito Traps",
ISNUMBER(SEARCH("beetle",E389)),"Beetle Traps",
ISNUMBER(SEARCH("lantern",E389)),"Lanternfly Control",
OR(ISNUMBER(SEARCH("tree shield",E389)),ISNUMBER(SEARCH("tree banding",E389)),ISNUMBER(SEARCH("insect barrier",E389))),"Tree Barriers",
OR(ISNUMBER(SEARCH("sun &amp; shade",E389)),ISNUMBER(SEARCH("sun and shade",E389))),"Sun &amp; Shade Mix",
ISNUMBER(SEARCH("tall fescue",E389)),"Tall Fescue",
ISNUMBER(SEARCH("bermudagrass",E389)),"Bermudagrass",
ISNUMBER(SEARCH("kentucky",E389)),"Kentucky Bluegrass",
ISNUMBER(SEARCH("zoysia",E389)),"Zoysia",
ISNUMBER(SEARCH("ryegrass",E389)),"Perennial Ryegrass",
ISNUMBER(SEARCH("centipede",E389)),"Centipede Grass",
ISNUMBER(SEARCH("dense shade",E389)),"Dense Shade Mix",
ISNUMBER(SEARCH("southern gold",E389)),"Southern Gold Mix",
ISNUMBER(SEARCH("heat-tolerant blue",E389)),"Heat-Tolerant Blue Mix",
ISNUMBER(SEARCH("high traffic",E389)),"High Traffic Mix",
ISNUMBER(SEARCH("quick fix",E389)),"Quick Fix Mix",
ISNUMBER(SEARCH("starter",E389)),"Starter Fertilizer",
ISNUMBER(SEARCH("weed &amp; feed",E389)),"Weed &amp; Feed",
ISNUMBER(SEARCH("lawn food",E389)),"Lawn Food",
ISNUMBER(SEARCH("triple action",E389)),"Triple Action Fertilizer",
ISNUMBER(SEARCH("green max",E389)),"Green Max Lawn Food",
ISNUMBER(SEARCH("patchmaster",E389)),"PatchMaster Repair",
ISNUMBER(SEARCH("ez seed",E389)),"EZ Seed Repair",
ISNUMBER(SEARCH("rapid grass",E389)),"Rapid Grass",
ISNUMBER(SEARCH("thick'r lawn",E389)),"Thick'R Lawn",
ISNUMBER(SEARCH("fungicide",E389)),"Fungicide",
ISNUMBER(SEARCH("moss",E389)),"Moss Control",
ISNUMBER(SEARCH("perlite",E389)),"Perlite",
ISNUMBER(SEARCH("plant food",E389)),"Plant Food",
ISNUMBER(SEARCH("spreader",E389)),"Spreader",
ISNUMBER(SEARCH("sprayer",E389)),"Sprayer",
ISNUMBER(SEARCH("mower",E389)),"Lawn Mower",
ISNUMBER(SEARCH("sweeper",E389)),"Lawn Sweeper",
OR(ISNUMBER(SEARCH("pruner",E389)),ISNUMBER(SEARCH("trimmer",E389)),ISNUMBER(SEARCH("pole saw",E389))),"Pruning Tools",
TRUE,"Other"
)</f>
        <v>Fly Traps</v>
      </c>
      <c r="J389" s="7" t="str">
        <f t="shared" si="108"/>
        <v>Flying Insect Control - Fly Traps</v>
      </c>
      <c r="K389" s="4">
        <v>50</v>
      </c>
      <c r="L389" s="4">
        <v>4.5</v>
      </c>
      <c r="M389" s="4">
        <v>42</v>
      </c>
      <c r="O389" s="4">
        <f>VLOOKUP(A389,[5]Sheet1!$A:$B,2,0)</f>
        <v>0</v>
      </c>
      <c r="P389" s="4">
        <f>VLOOKUP(A389,[5]Sheet1!$A:$C,3,0)</f>
        <v>0</v>
      </c>
      <c r="Q389" s="4">
        <f>VLOOKUP(A389,[5]Sheet1!$A:$D,4,0)</f>
        <v>50</v>
      </c>
      <c r="R389" s="4">
        <f>VLOOKUP(A389,[5]Sheet1!$A:$E,5,0)</f>
        <v>100</v>
      </c>
      <c r="S389" s="4">
        <f>VLOOKUP(A389,[5]Sheet1!$A:$F,6,0)</f>
        <v>50</v>
      </c>
      <c r="T389" s="4">
        <f>VLOOKUP(A389,[5]Sheet1!$A:$G,7,0)</f>
        <v>0</v>
      </c>
      <c r="U389" s="4">
        <f>VLOOKUP(A389,[5]Sheet1!$A:$H,8,0)</f>
        <v>50</v>
      </c>
      <c r="V389" s="4">
        <f>VLOOKUP(A389,[5]Sheet1!$A:$I,9,0)</f>
        <v>50</v>
      </c>
      <c r="W389" s="4">
        <f>VLOOKUP(A389,[5]Sheet1!$A:$J,10,0)</f>
        <v>50</v>
      </c>
      <c r="X389" s="4">
        <f>VLOOKUP(A389,[5]Sheet1!$A:$L,11,0)</f>
        <v>50</v>
      </c>
      <c r="Y389" s="4">
        <f>VLOOKUP(A389,[5]Sheet1!$A:$L,12,0)</f>
        <v>0</v>
      </c>
      <c r="Z389" s="4">
        <f>VLOOKUP(A389,[5]Sheet1!$A:$M,13,0)</f>
        <v>0</v>
      </c>
      <c r="AA389" s="4">
        <f t="shared" si="102"/>
        <v>400</v>
      </c>
      <c r="AB389" s="7">
        <f t="shared" si="109"/>
        <v>33</v>
      </c>
      <c r="AC389" s="15">
        <f t="shared" si="103"/>
        <v>33.333333333333336</v>
      </c>
      <c r="AD389" s="16">
        <f t="shared" si="104"/>
        <v>17996</v>
      </c>
      <c r="AE389" s="16">
        <f t="shared" si="105"/>
        <v>1499.6666666666667</v>
      </c>
      <c r="AF389" s="16">
        <v>7.3</v>
      </c>
      <c r="AG389" s="16">
        <v>44.99</v>
      </c>
      <c r="AH389" s="15">
        <f t="shared" si="106"/>
        <v>0.64639999999999986</v>
      </c>
      <c r="AI389" s="15">
        <f t="shared" si="107"/>
        <v>2.2623999999999995</v>
      </c>
      <c r="AJ389" s="10">
        <v>0.5</v>
      </c>
      <c r="AK389" s="10">
        <v>0.5</v>
      </c>
      <c r="AL389" s="16">
        <v>7.3</v>
      </c>
      <c r="AM389" s="9">
        <f t="shared" si="110"/>
        <v>6.7484999999999999</v>
      </c>
      <c r="AN389" s="9">
        <f t="shared" si="111"/>
        <v>1.3496999999999999</v>
      </c>
      <c r="AO389" s="9">
        <f t="shared" si="112"/>
        <v>8.9980000000000011</v>
      </c>
      <c r="AP389" s="9">
        <f t="shared" si="113"/>
        <v>0.89980000000000004</v>
      </c>
      <c r="AQ389" s="9">
        <f t="shared" si="114"/>
        <v>8.9980000000000011</v>
      </c>
      <c r="AR389" s="9">
        <f t="shared" si="115"/>
        <v>11.2475</v>
      </c>
      <c r="AS389" s="11">
        <f t="shared" si="116"/>
        <v>6.4639999999999986</v>
      </c>
      <c r="AT389" s="12">
        <f t="shared" si="117"/>
        <v>4.9643333333333324</v>
      </c>
    </row>
    <row r="390" spans="1:46" ht="16.5" x14ac:dyDescent="0.4">
      <c r="A390" s="4" t="s">
        <v>1804</v>
      </c>
      <c r="B390" s="4" t="s">
        <v>1895</v>
      </c>
      <c r="C390" s="4" t="s">
        <v>1785</v>
      </c>
      <c r="D390" s="4" t="s">
        <v>1896</v>
      </c>
      <c r="E390" s="4" t="s">
        <v>1897</v>
      </c>
      <c r="F390" s="4" t="s">
        <v>1898</v>
      </c>
      <c r="G390" s="7" t="str">
        <f>VLOOKUP(A390,[1]done!$A:$I,9,0)</f>
        <v>Rodent</v>
      </c>
      <c r="H390" s="7" t="str" cm="1">
        <f t="array" ref="H390">_xlfn.IFS(
OR(ISNUMBER(SEARCH("mouse",E390)),ISNUMBER(SEARCH("rat",E390)),ISNUMBER(SEARCH("mice",E390)),ISNUMBER(SEARCH("rodent",E390))),"Rodent Control",
OR(ISNUMBER(SEARCH("fly",E390)),ISNUMBER(SEARCH("gnat",E390)),ISNUMBER(SEARCH("insect",E390)),ISNUMBER(SEARCH("mosquito",E390))),"Flying Insect Control",
OR(ISNUMBER(SEARCH("roach",E390)),ISNUMBER(SEARCH("ant",E390)),ISNUMBER(SEARCH("spider",E390)),ISNUMBER(SEARCH("cricket",E390)),ISNUMBER(SEARCH("scorpion",E390)),ISNUMBER(SEARCH("centipede",E390)),ISNUMBER(SEARCH("beetle",E390))),"Crawling Insect Control",
OR(ISNUMBER(SEARCH("tree",E390)),ISNUMBER(SEARCH("lantern",E390)),ISNUMBER(SEARCH("garden",E390)),ISNUMBER(SEARCH("plant",E390))),"Garden Pest Control",
OR(ISNUMBER(SEARCH("grass seed",E390)),ISNUMBER(SEARCH("seed mix",E390))),"Grass Seed",
OR(ISNUMBER(SEARCH("lawn food",E390)),ISNUMBER(SEARCH("fertilizer",E390))),"Lawn Fertilizer",
OR(ISNUMBER(SEARCH("patch",E390)),ISNUMBER(SEARCH("repair",E390)),ISNUMBER(SEARCH("thick'r",E390)),ISNUMBER(SEARCH("thick'r lawn",E390)),ISNUMBER(SEARCH("rapid grass",E390))),"Lawn Repair",
OR(ISNUMBER(SEARCH("weed",E390)),ISNUMBER(SEARCH("crabgrass",E390))),"Weed Control",
OR(ISNUMBER(SEARCH("fungicide",E390)),ISNUMBER(SEARCH("moss",E390))),"Disease &amp; Moss Control",
OR(ISNUMBER(SEARCH("plant food",E390)),ISNUMBER(SEARCH("miracid",E390))),"Plant Nutrition",
OR(ISNUMBER(SEARCH("perlite",E390))),"Soil Amendment",
OR(ISNUMBER(SEARCH("spreader",E390)),ISNUMBER(SEARCH("sprayer",E390)),ISNUMBER(SEARCH("mower",E390)),ISNUMBER(SEARCH("sweeper",E390)),ISNUMBER(SEARCH("pruner",E390)),ISNUMBER(SEARCH("trimmer",E390)),ISNUMBER(SEARCH("pole saw",E390))),"Garden Equipment",
TRUE,"Other"
)</f>
        <v>Other</v>
      </c>
      <c r="I390" s="7" t="str" cm="1">
        <f t="array" ref="I390">_xlfn.IFS(
OR(ISNUMBER(SEARCH("glue trap",E390)),ISNUMBER(SEARCH("glue board",E390))),"Glue Traps",
OR(ISNUMBER(SEARCH("snap trap",E390)),ISNUMBER(SEARCH("power-kill",E390)),ISNUMBER(SEARCH("wide pedal",E390)),ISNUMBER(SEARCH("metal pedal",E390))),"Snap Traps",
OR(ISNUMBER(SEARCH("electronic",E390)),ISNUMBER(SEARCH("zapper",E390))),"Electronic Traps",
OR(ISNUMBER(SEARCH("live catch",E390)),ISNUMBER(SEARCH("multi-catch",E390)),ISNUMBER(SEARCH("catch &amp; hold",E390)),ISNUMBER(SEARCH("tin cat",E390))),"Live Catch Traps",
OR(ISNUMBER(SEARCH("bait",E390)),ISNUMBER(SEARCH("poison",E390))),"Bait &amp; Poison",
ISNUMBER(SEARCH("repellent",E390)),"Repellents",
OR(ISNUMBER(SEARCH("fly trap",E390)),ISNUMBER(SEARCH("fly ribbon",E390)),ISNUMBER(SEARCH("fly stick",E390)),ISNUMBER(SEARCH("window fly",E390)),ISNUMBER(SEARCH("fly magnet",E390))),"Fly Traps",
OR(ISNUMBER(SEARCH("uv",E390)),ISNUMBER(SEARCH("fly light",E390)),ISNUMBER(SEARCH("plug-in",E390))),"UV Fly Traps",
ISNUMBER(SEARCH("roach",E390)),"Roach Traps",
ISNUMBER(SEARCH("ant",E390)),"Ant Traps",
ISNUMBER(SEARCH("spider",E390)),"Spider Traps",
ISNUMBER(SEARCH("mosquito",E390)),"Mosquito Traps",
ISNUMBER(SEARCH("beetle",E390)),"Beetle Traps",
ISNUMBER(SEARCH("lantern",E390)),"Lanternfly Control",
OR(ISNUMBER(SEARCH("tree shield",E390)),ISNUMBER(SEARCH("tree banding",E390)),ISNUMBER(SEARCH("insect barrier",E390))),"Tree Barriers",
OR(ISNUMBER(SEARCH("sun &amp; shade",E390)),ISNUMBER(SEARCH("sun and shade",E390))),"Sun &amp; Shade Mix",
ISNUMBER(SEARCH("tall fescue",E390)),"Tall Fescue",
ISNUMBER(SEARCH("bermudagrass",E390)),"Bermudagrass",
ISNUMBER(SEARCH("kentucky",E390)),"Kentucky Bluegrass",
ISNUMBER(SEARCH("zoysia",E390)),"Zoysia",
ISNUMBER(SEARCH("ryegrass",E390)),"Perennial Ryegrass",
ISNUMBER(SEARCH("centipede",E390)),"Centipede Grass",
ISNUMBER(SEARCH("dense shade",E390)),"Dense Shade Mix",
ISNUMBER(SEARCH("southern gold",E390)),"Southern Gold Mix",
ISNUMBER(SEARCH("heat-tolerant blue",E390)),"Heat-Tolerant Blue Mix",
ISNUMBER(SEARCH("high traffic",E390)),"High Traffic Mix",
ISNUMBER(SEARCH("quick fix",E390)),"Quick Fix Mix",
ISNUMBER(SEARCH("starter",E390)),"Starter Fertilizer",
ISNUMBER(SEARCH("weed &amp; feed",E390)),"Weed &amp; Feed",
ISNUMBER(SEARCH("lawn food",E390)),"Lawn Food",
ISNUMBER(SEARCH("triple action",E390)),"Triple Action Fertilizer",
ISNUMBER(SEARCH("green max",E390)),"Green Max Lawn Food",
ISNUMBER(SEARCH("patchmaster",E390)),"PatchMaster Repair",
ISNUMBER(SEARCH("ez seed",E390)),"EZ Seed Repair",
ISNUMBER(SEARCH("rapid grass",E390)),"Rapid Grass",
ISNUMBER(SEARCH("thick'r lawn",E390)),"Thick'R Lawn",
ISNUMBER(SEARCH("fungicide",E390)),"Fungicide",
ISNUMBER(SEARCH("moss",E390)),"Moss Control",
ISNUMBER(SEARCH("perlite",E390)),"Perlite",
ISNUMBER(SEARCH("plant food",E390)),"Plant Food",
ISNUMBER(SEARCH("spreader",E390)),"Spreader",
ISNUMBER(SEARCH("sprayer",E390)),"Sprayer",
ISNUMBER(SEARCH("mower",E390)),"Lawn Mower",
ISNUMBER(SEARCH("sweeper",E390)),"Lawn Sweeper",
OR(ISNUMBER(SEARCH("pruner",E390)),ISNUMBER(SEARCH("trimmer",E390)),ISNUMBER(SEARCH("pole saw",E390))),"Pruning Tools",
TRUE,"Other"
)</f>
        <v>Bait &amp; Poison</v>
      </c>
      <c r="J390" s="7" t="str">
        <f t="shared" si="108"/>
        <v>Other - Bait &amp; Poison</v>
      </c>
      <c r="K390" s="4">
        <v>20000</v>
      </c>
      <c r="L390" s="4">
        <v>4.5</v>
      </c>
      <c r="M390" s="4">
        <v>2720</v>
      </c>
      <c r="N390" s="4" t="s">
        <v>579</v>
      </c>
      <c r="O390" s="4">
        <f>VLOOKUP(A390,'[6]Monthly Sold'!$A:$B,2,0)</f>
        <v>10000</v>
      </c>
      <c r="P390" s="4">
        <f>VLOOKUP(A390,'[6]Monthly Sold'!$A:$M,3,0)</f>
        <v>10000</v>
      </c>
      <c r="Q390" s="4">
        <f>VLOOKUP(A390,'[6]Monthly Sold'!$A:$M,4,0)</f>
        <v>10000</v>
      </c>
      <c r="R390" s="4">
        <f>VLOOKUP(A390,'[6]Monthly Sold'!$A:$M,5,0)</f>
        <v>10000</v>
      </c>
      <c r="S390" s="4">
        <f>VLOOKUP(A390,'[6]Monthly Sold'!$A:$M,6,0)</f>
        <v>10000</v>
      </c>
      <c r="T390" s="4">
        <f>VLOOKUP(A390,'[6]Monthly Sold'!$A:$M,7,0)</f>
        <v>10000</v>
      </c>
      <c r="U390" s="4">
        <f>VLOOKUP(A390,'[6]Monthly Sold'!$A:$M,8,0)</f>
        <v>20000</v>
      </c>
      <c r="V390" s="4">
        <f>VLOOKUP(A390,'[6]Monthly Sold'!$A:$M,9,0)</f>
        <v>10000</v>
      </c>
      <c r="W390" s="4">
        <f>VLOOKUP(A390,'[6]Monthly Sold'!$A:$M,10,0)</f>
        <v>10000</v>
      </c>
      <c r="X390" s="4">
        <f>VLOOKUP(A390,'[6]Monthly Sold'!$A:$M,11,0)</f>
        <v>10000</v>
      </c>
      <c r="Y390" s="4">
        <f>VLOOKUP(A390,'[6]Monthly Sold'!$A:$M,12,0)</f>
        <v>20000</v>
      </c>
      <c r="Z390" s="4">
        <f>VLOOKUP(A390,'[6]Monthly Sold'!$A:$M,13,0)</f>
        <v>10000</v>
      </c>
      <c r="AA390" s="4">
        <f t="shared" si="102"/>
        <v>140000</v>
      </c>
      <c r="AB390" s="7">
        <f t="shared" si="109"/>
        <v>11667</v>
      </c>
      <c r="AC390" s="15">
        <f t="shared" si="103"/>
        <v>11666.666666666666</v>
      </c>
      <c r="AD390" s="16">
        <f t="shared" si="104"/>
        <v>8215200</v>
      </c>
      <c r="AE390" s="16">
        <f t="shared" si="105"/>
        <v>684600</v>
      </c>
      <c r="AF390" s="21">
        <v>8.15</v>
      </c>
      <c r="AG390" s="21">
        <v>58.68</v>
      </c>
      <c r="AH390" s="15">
        <f t="shared" si="106"/>
        <v>0.95480000000000009</v>
      </c>
      <c r="AI390" s="15">
        <f t="shared" si="107"/>
        <v>3.3417999999999997</v>
      </c>
      <c r="AJ390" s="10">
        <v>0.5</v>
      </c>
      <c r="AK390" s="10">
        <v>0.5</v>
      </c>
      <c r="AL390" s="21">
        <v>8.15</v>
      </c>
      <c r="AM390" s="9">
        <f t="shared" si="110"/>
        <v>8.8019999999999996</v>
      </c>
      <c r="AN390" s="9">
        <f t="shared" si="111"/>
        <v>1.7604</v>
      </c>
      <c r="AO390" s="9">
        <f t="shared" si="112"/>
        <v>11.736000000000001</v>
      </c>
      <c r="AP390" s="9">
        <f t="shared" si="113"/>
        <v>1.1736</v>
      </c>
      <c r="AQ390" s="9">
        <f t="shared" si="114"/>
        <v>11.736000000000001</v>
      </c>
      <c r="AR390" s="9">
        <f t="shared" si="115"/>
        <v>14.67</v>
      </c>
      <c r="AS390" s="11">
        <f t="shared" si="116"/>
        <v>9.548</v>
      </c>
      <c r="AT390" s="12">
        <f t="shared" si="117"/>
        <v>7.5919999999999996</v>
      </c>
    </row>
    <row r="391" spans="1:46" ht="16.5" x14ac:dyDescent="0.4">
      <c r="A391" s="4" t="s">
        <v>1805</v>
      </c>
      <c r="B391" s="4" t="s">
        <v>1895</v>
      </c>
      <c r="C391" s="4" t="s">
        <v>1784</v>
      </c>
      <c r="D391" s="4" t="s">
        <v>1899</v>
      </c>
      <c r="E391" s="4" t="s">
        <v>1900</v>
      </c>
      <c r="F391" s="4" t="s">
        <v>1901</v>
      </c>
      <c r="G391" s="7" t="str">
        <f>VLOOKUP(A391,[1]done!$A:$I,9,0)</f>
        <v>Rodent</v>
      </c>
      <c r="H391" s="7" t="str" cm="1">
        <f t="array" ref="H391">_xlfn.IFS(
OR(ISNUMBER(SEARCH("mouse",E391)),ISNUMBER(SEARCH("rat",E391)),ISNUMBER(SEARCH("mice",E391)),ISNUMBER(SEARCH("rodent",E391))),"Rodent Control",
OR(ISNUMBER(SEARCH("fly",E391)),ISNUMBER(SEARCH("gnat",E391)),ISNUMBER(SEARCH("insect",E391)),ISNUMBER(SEARCH("mosquito",E391))),"Flying Insect Control",
OR(ISNUMBER(SEARCH("roach",E391)),ISNUMBER(SEARCH("ant",E391)),ISNUMBER(SEARCH("spider",E391)),ISNUMBER(SEARCH("cricket",E391)),ISNUMBER(SEARCH("scorpion",E391)),ISNUMBER(SEARCH("centipede",E391)),ISNUMBER(SEARCH("beetle",E391))),"Crawling Insect Control",
OR(ISNUMBER(SEARCH("tree",E391)),ISNUMBER(SEARCH("lantern",E391)),ISNUMBER(SEARCH("garden",E391)),ISNUMBER(SEARCH("plant",E391))),"Garden Pest Control",
OR(ISNUMBER(SEARCH("grass seed",E391)),ISNUMBER(SEARCH("seed mix",E391))),"Grass Seed",
OR(ISNUMBER(SEARCH("lawn food",E391)),ISNUMBER(SEARCH("fertilizer",E391))),"Lawn Fertilizer",
OR(ISNUMBER(SEARCH("patch",E391)),ISNUMBER(SEARCH("repair",E391)),ISNUMBER(SEARCH("thick'r",E391)),ISNUMBER(SEARCH("thick'r lawn",E391)),ISNUMBER(SEARCH("rapid grass",E391))),"Lawn Repair",
OR(ISNUMBER(SEARCH("weed",E391)),ISNUMBER(SEARCH("crabgrass",E391))),"Weed Control",
OR(ISNUMBER(SEARCH("fungicide",E391)),ISNUMBER(SEARCH("moss",E391))),"Disease &amp; Moss Control",
OR(ISNUMBER(SEARCH("plant food",E391)),ISNUMBER(SEARCH("miracid",E391))),"Plant Nutrition",
OR(ISNUMBER(SEARCH("perlite",E391))),"Soil Amendment",
OR(ISNUMBER(SEARCH("spreader",E391)),ISNUMBER(SEARCH("sprayer",E391)),ISNUMBER(SEARCH("mower",E391)),ISNUMBER(SEARCH("sweeper",E391)),ISNUMBER(SEARCH("pruner",E391)),ISNUMBER(SEARCH("trimmer",E391)),ISNUMBER(SEARCH("pole saw",E391))),"Garden Equipment",
TRUE,"Other"
)</f>
        <v>Rodent Control</v>
      </c>
      <c r="I391" s="7" t="str" cm="1">
        <f t="array" ref="I391">_xlfn.IFS(
OR(ISNUMBER(SEARCH("glue trap",E391)),ISNUMBER(SEARCH("glue board",E391))),"Glue Traps",
OR(ISNUMBER(SEARCH("snap trap",E391)),ISNUMBER(SEARCH("power-kill",E391)),ISNUMBER(SEARCH("wide pedal",E391)),ISNUMBER(SEARCH("metal pedal",E391))),"Snap Traps",
OR(ISNUMBER(SEARCH("electronic",E391)),ISNUMBER(SEARCH("zapper",E391))),"Electronic Traps",
OR(ISNUMBER(SEARCH("live catch",E391)),ISNUMBER(SEARCH("multi-catch",E391)),ISNUMBER(SEARCH("catch &amp; hold",E391)),ISNUMBER(SEARCH("tin cat",E391))),"Live Catch Traps",
OR(ISNUMBER(SEARCH("bait",E391)),ISNUMBER(SEARCH("poison",E391))),"Bait &amp; Poison",
ISNUMBER(SEARCH("repellent",E391)),"Repellents",
OR(ISNUMBER(SEARCH("fly trap",E391)),ISNUMBER(SEARCH("fly ribbon",E391)),ISNUMBER(SEARCH("fly stick",E391)),ISNUMBER(SEARCH("window fly",E391)),ISNUMBER(SEARCH("fly magnet",E391))),"Fly Traps",
OR(ISNUMBER(SEARCH("uv",E391)),ISNUMBER(SEARCH("fly light",E391)),ISNUMBER(SEARCH("plug-in",E391))),"UV Fly Traps",
ISNUMBER(SEARCH("roach",E391)),"Roach Traps",
ISNUMBER(SEARCH("ant",E391)),"Ant Traps",
ISNUMBER(SEARCH("spider",E391)),"Spider Traps",
ISNUMBER(SEARCH("mosquito",E391)),"Mosquito Traps",
ISNUMBER(SEARCH("beetle",E391)),"Beetle Traps",
ISNUMBER(SEARCH("lantern",E391)),"Lanternfly Control",
OR(ISNUMBER(SEARCH("tree shield",E391)),ISNUMBER(SEARCH("tree banding",E391)),ISNUMBER(SEARCH("insect barrier",E391))),"Tree Barriers",
OR(ISNUMBER(SEARCH("sun &amp; shade",E391)),ISNUMBER(SEARCH("sun and shade",E391))),"Sun &amp; Shade Mix",
ISNUMBER(SEARCH("tall fescue",E391)),"Tall Fescue",
ISNUMBER(SEARCH("bermudagrass",E391)),"Bermudagrass",
ISNUMBER(SEARCH("kentucky",E391)),"Kentucky Bluegrass",
ISNUMBER(SEARCH("zoysia",E391)),"Zoysia",
ISNUMBER(SEARCH("ryegrass",E391)),"Perennial Ryegrass",
ISNUMBER(SEARCH("centipede",E391)),"Centipede Grass",
ISNUMBER(SEARCH("dense shade",E391)),"Dense Shade Mix",
ISNUMBER(SEARCH("southern gold",E391)),"Southern Gold Mix",
ISNUMBER(SEARCH("heat-tolerant blue",E391)),"Heat-Tolerant Blue Mix",
ISNUMBER(SEARCH("high traffic",E391)),"High Traffic Mix",
ISNUMBER(SEARCH("quick fix",E391)),"Quick Fix Mix",
ISNUMBER(SEARCH("starter",E391)),"Starter Fertilizer",
ISNUMBER(SEARCH("weed &amp; feed",E391)),"Weed &amp; Feed",
ISNUMBER(SEARCH("lawn food",E391)),"Lawn Food",
ISNUMBER(SEARCH("triple action",E391)),"Triple Action Fertilizer",
ISNUMBER(SEARCH("green max",E391)),"Green Max Lawn Food",
ISNUMBER(SEARCH("patchmaster",E391)),"PatchMaster Repair",
ISNUMBER(SEARCH("ez seed",E391)),"EZ Seed Repair",
ISNUMBER(SEARCH("rapid grass",E391)),"Rapid Grass",
ISNUMBER(SEARCH("thick'r lawn",E391)),"Thick'R Lawn",
ISNUMBER(SEARCH("fungicide",E391)),"Fungicide",
ISNUMBER(SEARCH("moss",E391)),"Moss Control",
ISNUMBER(SEARCH("perlite",E391)),"Perlite",
ISNUMBER(SEARCH("plant food",E391)),"Plant Food",
ISNUMBER(SEARCH("spreader",E391)),"Spreader",
ISNUMBER(SEARCH("sprayer",E391)),"Sprayer",
ISNUMBER(SEARCH("mower",E391)),"Lawn Mower",
ISNUMBER(SEARCH("sweeper",E391)),"Lawn Sweeper",
OR(ISNUMBER(SEARCH("pruner",E391)),ISNUMBER(SEARCH("trimmer",E391)),ISNUMBER(SEARCH("pole saw",E391))),"Pruning Tools",
TRUE,"Other"
)</f>
        <v>Glue Traps</v>
      </c>
      <c r="J391" s="7" t="str">
        <f t="shared" si="108"/>
        <v>Rodent Control - Glue Traps</v>
      </c>
      <c r="K391" s="4">
        <v>10000</v>
      </c>
      <c r="L391" s="4">
        <v>4.4000000000000004</v>
      </c>
      <c r="M391" s="4">
        <v>45915</v>
      </c>
      <c r="N391" s="4" t="s">
        <v>1338</v>
      </c>
      <c r="O391" s="4">
        <f>VLOOKUP(A391,'[6]Monthly Sold'!$A:$B,2,0)</f>
        <v>10000</v>
      </c>
      <c r="P391" s="4">
        <f>VLOOKUP(A391,'[6]Monthly Sold'!$A:$M,3,0)</f>
        <v>10000</v>
      </c>
      <c r="Q391" s="4">
        <f>VLOOKUP(A391,'[6]Monthly Sold'!$A:$M,4,0)</f>
        <v>10000</v>
      </c>
      <c r="R391" s="4">
        <f>VLOOKUP(A391,'[6]Monthly Sold'!$A:$M,5,0)</f>
        <v>10000</v>
      </c>
      <c r="S391" s="4">
        <f>VLOOKUP(A391,'[6]Monthly Sold'!$A:$M,6,0)</f>
        <v>8000</v>
      </c>
      <c r="T391" s="4">
        <f>VLOOKUP(A391,'[6]Monthly Sold'!$A:$M,7,0)</f>
        <v>6000</v>
      </c>
      <c r="U391" s="4">
        <f>VLOOKUP(A391,'[6]Monthly Sold'!$A:$M,8,0)</f>
        <v>7000</v>
      </c>
      <c r="V391" s="4">
        <f>VLOOKUP(A391,'[6]Monthly Sold'!$A:$M,9,0)</f>
        <v>9000</v>
      </c>
      <c r="W391" s="4">
        <f>VLOOKUP(A391,'[6]Monthly Sold'!$A:$M,10,0)</f>
        <v>10000</v>
      </c>
      <c r="X391" s="4">
        <f>VLOOKUP(A391,'[6]Monthly Sold'!$A:$M,11,0)</f>
        <v>30000</v>
      </c>
      <c r="Y391" s="4">
        <f>VLOOKUP(A391,'[6]Monthly Sold'!$A:$M,12,0)</f>
        <v>40000</v>
      </c>
      <c r="Z391" s="4">
        <f>VLOOKUP(A391,'[6]Monthly Sold'!$A:$M,13,0)</f>
        <v>10000</v>
      </c>
      <c r="AA391" s="4">
        <f t="shared" si="102"/>
        <v>160000</v>
      </c>
      <c r="AB391" s="7">
        <f t="shared" si="109"/>
        <v>13333</v>
      </c>
      <c r="AC391" s="15">
        <f t="shared" si="103"/>
        <v>13333.333333333334</v>
      </c>
      <c r="AD391" s="16">
        <f t="shared" si="104"/>
        <v>844800</v>
      </c>
      <c r="AE391" s="16">
        <f t="shared" si="105"/>
        <v>70400</v>
      </c>
      <c r="AF391" s="21">
        <v>2.65</v>
      </c>
      <c r="AG391" s="21">
        <v>5.28</v>
      </c>
      <c r="AH391" s="15">
        <f t="shared" si="106"/>
        <v>-0.10253333333333332</v>
      </c>
      <c r="AI391" s="15">
        <f t="shared" si="107"/>
        <v>-0.35886666666666661</v>
      </c>
      <c r="AJ391" s="10">
        <v>0.5</v>
      </c>
      <c r="AK391" s="10">
        <v>0.5</v>
      </c>
      <c r="AL391" s="21">
        <v>2.65</v>
      </c>
      <c r="AM391" s="9">
        <f t="shared" si="110"/>
        <v>0.79200000000000004</v>
      </c>
      <c r="AN391" s="9">
        <f t="shared" si="111"/>
        <v>0.15840000000000001</v>
      </c>
      <c r="AO391" s="9">
        <f t="shared" si="112"/>
        <v>1.056</v>
      </c>
      <c r="AP391" s="9">
        <f t="shared" si="113"/>
        <v>0.10560000000000001</v>
      </c>
      <c r="AQ391" s="9">
        <f t="shared" si="114"/>
        <v>1.056</v>
      </c>
      <c r="AR391" s="9">
        <f t="shared" si="115"/>
        <v>1.32</v>
      </c>
      <c r="AS391" s="11">
        <f t="shared" si="116"/>
        <v>-1.0253333333333332</v>
      </c>
      <c r="AT391" s="12">
        <f t="shared" si="117"/>
        <v>-1.2013333333333331</v>
      </c>
    </row>
    <row r="392" spans="1:46" ht="16.5" x14ac:dyDescent="0.4">
      <c r="A392" s="4" t="s">
        <v>1806</v>
      </c>
      <c r="B392" s="4" t="s">
        <v>1895</v>
      </c>
      <c r="C392" s="4" t="s">
        <v>1784</v>
      </c>
      <c r="D392" s="4" t="s">
        <v>1902</v>
      </c>
      <c r="E392" s="4" t="s">
        <v>1903</v>
      </c>
      <c r="F392" s="4" t="s">
        <v>1904</v>
      </c>
      <c r="G392" s="7" t="str">
        <f>VLOOKUP(A392,[1]done!$A:$I,9,0)</f>
        <v>Rodent</v>
      </c>
      <c r="H392" s="7" t="str" cm="1">
        <f t="array" ref="H392">_xlfn.IFS(
OR(ISNUMBER(SEARCH("mouse",E392)),ISNUMBER(SEARCH("rat",E392)),ISNUMBER(SEARCH("mice",E392)),ISNUMBER(SEARCH("rodent",E392))),"Rodent Control",
OR(ISNUMBER(SEARCH("fly",E392)),ISNUMBER(SEARCH("gnat",E392)),ISNUMBER(SEARCH("insect",E392)),ISNUMBER(SEARCH("mosquito",E392))),"Flying Insect Control",
OR(ISNUMBER(SEARCH("roach",E392)),ISNUMBER(SEARCH("ant",E392)),ISNUMBER(SEARCH("spider",E392)),ISNUMBER(SEARCH("cricket",E392)),ISNUMBER(SEARCH("scorpion",E392)),ISNUMBER(SEARCH("centipede",E392)),ISNUMBER(SEARCH("beetle",E392))),"Crawling Insect Control",
OR(ISNUMBER(SEARCH("tree",E392)),ISNUMBER(SEARCH("lantern",E392)),ISNUMBER(SEARCH("garden",E392)),ISNUMBER(SEARCH("plant",E392))),"Garden Pest Control",
OR(ISNUMBER(SEARCH("grass seed",E392)),ISNUMBER(SEARCH("seed mix",E392))),"Grass Seed",
OR(ISNUMBER(SEARCH("lawn food",E392)),ISNUMBER(SEARCH("fertilizer",E392))),"Lawn Fertilizer",
OR(ISNUMBER(SEARCH("patch",E392)),ISNUMBER(SEARCH("repair",E392)),ISNUMBER(SEARCH("thick'r",E392)),ISNUMBER(SEARCH("thick'r lawn",E392)),ISNUMBER(SEARCH("rapid grass",E392))),"Lawn Repair",
OR(ISNUMBER(SEARCH("weed",E392)),ISNUMBER(SEARCH("crabgrass",E392))),"Weed Control",
OR(ISNUMBER(SEARCH("fungicide",E392)),ISNUMBER(SEARCH("moss",E392))),"Disease &amp; Moss Control",
OR(ISNUMBER(SEARCH("plant food",E392)),ISNUMBER(SEARCH("miracid",E392))),"Plant Nutrition",
OR(ISNUMBER(SEARCH("perlite",E392))),"Soil Amendment",
OR(ISNUMBER(SEARCH("spreader",E392)),ISNUMBER(SEARCH("sprayer",E392)),ISNUMBER(SEARCH("mower",E392)),ISNUMBER(SEARCH("sweeper",E392)),ISNUMBER(SEARCH("pruner",E392)),ISNUMBER(SEARCH("trimmer",E392)),ISNUMBER(SEARCH("pole saw",E392))),"Garden Equipment",
TRUE,"Other"
)</f>
        <v>Rodent Control</v>
      </c>
      <c r="I392" s="7" t="str" cm="1">
        <f t="array" ref="I392">_xlfn.IFS(
OR(ISNUMBER(SEARCH("glue trap",E392)),ISNUMBER(SEARCH("glue board",E392))),"Glue Traps",
OR(ISNUMBER(SEARCH("snap trap",E392)),ISNUMBER(SEARCH("power-kill",E392)),ISNUMBER(SEARCH("wide pedal",E392)),ISNUMBER(SEARCH("metal pedal",E392))),"Snap Traps",
OR(ISNUMBER(SEARCH("electronic",E392)),ISNUMBER(SEARCH("zapper",E392))),"Electronic Traps",
OR(ISNUMBER(SEARCH("live catch",E392)),ISNUMBER(SEARCH("multi-catch",E392)),ISNUMBER(SEARCH("catch &amp; hold",E392)),ISNUMBER(SEARCH("tin cat",E392))),"Live Catch Traps",
OR(ISNUMBER(SEARCH("bait",E392)),ISNUMBER(SEARCH("poison",E392))),"Bait &amp; Poison",
ISNUMBER(SEARCH("repellent",E392)),"Repellents",
OR(ISNUMBER(SEARCH("fly trap",E392)),ISNUMBER(SEARCH("fly ribbon",E392)),ISNUMBER(SEARCH("fly stick",E392)),ISNUMBER(SEARCH("window fly",E392)),ISNUMBER(SEARCH("fly magnet",E392))),"Fly Traps",
OR(ISNUMBER(SEARCH("uv",E392)),ISNUMBER(SEARCH("fly light",E392)),ISNUMBER(SEARCH("plug-in",E392))),"UV Fly Traps",
ISNUMBER(SEARCH("roach",E392)),"Roach Traps",
ISNUMBER(SEARCH("ant",E392)),"Ant Traps",
ISNUMBER(SEARCH("spider",E392)),"Spider Traps",
ISNUMBER(SEARCH("mosquito",E392)),"Mosquito Traps",
ISNUMBER(SEARCH("beetle",E392)),"Beetle Traps",
ISNUMBER(SEARCH("lantern",E392)),"Lanternfly Control",
OR(ISNUMBER(SEARCH("tree shield",E392)),ISNUMBER(SEARCH("tree banding",E392)),ISNUMBER(SEARCH("insect barrier",E392))),"Tree Barriers",
OR(ISNUMBER(SEARCH("sun &amp; shade",E392)),ISNUMBER(SEARCH("sun and shade",E392))),"Sun &amp; Shade Mix",
ISNUMBER(SEARCH("tall fescue",E392)),"Tall Fescue",
ISNUMBER(SEARCH("bermudagrass",E392)),"Bermudagrass",
ISNUMBER(SEARCH("kentucky",E392)),"Kentucky Bluegrass",
ISNUMBER(SEARCH("zoysia",E392)),"Zoysia",
ISNUMBER(SEARCH("ryegrass",E392)),"Perennial Ryegrass",
ISNUMBER(SEARCH("centipede",E392)),"Centipede Grass",
ISNUMBER(SEARCH("dense shade",E392)),"Dense Shade Mix",
ISNUMBER(SEARCH("southern gold",E392)),"Southern Gold Mix",
ISNUMBER(SEARCH("heat-tolerant blue",E392)),"Heat-Tolerant Blue Mix",
ISNUMBER(SEARCH("high traffic",E392)),"High Traffic Mix",
ISNUMBER(SEARCH("quick fix",E392)),"Quick Fix Mix",
ISNUMBER(SEARCH("starter",E392)),"Starter Fertilizer",
ISNUMBER(SEARCH("weed &amp; feed",E392)),"Weed &amp; Feed",
ISNUMBER(SEARCH("lawn food",E392)),"Lawn Food",
ISNUMBER(SEARCH("triple action",E392)),"Triple Action Fertilizer",
ISNUMBER(SEARCH("green max",E392)),"Green Max Lawn Food",
ISNUMBER(SEARCH("patchmaster",E392)),"PatchMaster Repair",
ISNUMBER(SEARCH("ez seed",E392)),"EZ Seed Repair",
ISNUMBER(SEARCH("rapid grass",E392)),"Rapid Grass",
ISNUMBER(SEARCH("thick'r lawn",E392)),"Thick'R Lawn",
ISNUMBER(SEARCH("fungicide",E392)),"Fungicide",
ISNUMBER(SEARCH("moss",E392)),"Moss Control",
ISNUMBER(SEARCH("perlite",E392)),"Perlite",
ISNUMBER(SEARCH("plant food",E392)),"Plant Food",
ISNUMBER(SEARCH("spreader",E392)),"Spreader",
ISNUMBER(SEARCH("sprayer",E392)),"Sprayer",
ISNUMBER(SEARCH("mower",E392)),"Lawn Mower",
ISNUMBER(SEARCH("sweeper",E392)),"Lawn Sweeper",
OR(ISNUMBER(SEARCH("pruner",E392)),ISNUMBER(SEARCH("trimmer",E392)),ISNUMBER(SEARCH("pole saw",E392))),"Pruning Tools",
TRUE,"Other"
)</f>
        <v>Ant Traps</v>
      </c>
      <c r="J392" s="7" t="str">
        <f t="shared" si="108"/>
        <v>Rodent Control - Ant Traps</v>
      </c>
      <c r="K392" s="4">
        <v>10000</v>
      </c>
      <c r="L392" s="4">
        <v>4.0999999999999996</v>
      </c>
      <c r="M392" s="4">
        <v>5137</v>
      </c>
      <c r="N392" s="4" t="s">
        <v>579</v>
      </c>
      <c r="O392" s="4">
        <f>VLOOKUP(A392,'[6]Monthly Sold'!$A:$B,2,0)</f>
        <v>3000</v>
      </c>
      <c r="P392" s="4">
        <f>VLOOKUP(A392,'[6]Monthly Sold'!$A:$M,3,0)</f>
        <v>3000</v>
      </c>
      <c r="Q392" s="4">
        <f>VLOOKUP(A392,'[6]Monthly Sold'!$A:$M,4,0)</f>
        <v>3000</v>
      </c>
      <c r="R392" s="4">
        <f>VLOOKUP(A392,'[6]Monthly Sold'!$A:$M,5,0)</f>
        <v>4000</v>
      </c>
      <c r="S392" s="4">
        <f>VLOOKUP(A392,'[6]Monthly Sold'!$A:$M,6,0)</f>
        <v>5000</v>
      </c>
      <c r="T392" s="4">
        <f>VLOOKUP(A392,'[6]Monthly Sold'!$A:$M,7,0)</f>
        <v>7000</v>
      </c>
      <c r="U392" s="4">
        <f>VLOOKUP(A392,'[6]Monthly Sold'!$A:$M,8,0)</f>
        <v>7000</v>
      </c>
      <c r="V392" s="4">
        <f>VLOOKUP(A392,'[6]Monthly Sold'!$A:$M,9,0)</f>
        <v>10000</v>
      </c>
      <c r="W392" s="4">
        <f>VLOOKUP(A392,'[6]Monthly Sold'!$A:$M,10,0)</f>
        <v>9000</v>
      </c>
      <c r="X392" s="4">
        <f>VLOOKUP(A392,'[6]Monthly Sold'!$A:$M,11,0)</f>
        <v>6000</v>
      </c>
      <c r="Y392" s="4">
        <f>VLOOKUP(A392,'[6]Monthly Sold'!$A:$M,12,0)</f>
        <v>7000</v>
      </c>
      <c r="Z392" s="4">
        <f>VLOOKUP(A392,'[6]Monthly Sold'!$A:$M,13,0)</f>
        <v>4000</v>
      </c>
      <c r="AA392" s="4">
        <f t="shared" si="102"/>
        <v>68000</v>
      </c>
      <c r="AB392" s="7">
        <f t="shared" si="109"/>
        <v>5667</v>
      </c>
      <c r="AC392" s="15">
        <f t="shared" si="103"/>
        <v>5666.666666666667</v>
      </c>
      <c r="AD392" s="16">
        <f t="shared" si="104"/>
        <v>882640</v>
      </c>
      <c r="AE392" s="16">
        <f t="shared" si="105"/>
        <v>73553.333333333343</v>
      </c>
      <c r="AF392" s="21">
        <v>5.91</v>
      </c>
      <c r="AG392" s="21">
        <v>12.98</v>
      </c>
      <c r="AH392" s="15">
        <f t="shared" si="106"/>
        <v>-0.11453333333333333</v>
      </c>
      <c r="AI392" s="15">
        <f t="shared" si="107"/>
        <v>-0.40086666666666665</v>
      </c>
      <c r="AJ392" s="10">
        <v>0.5</v>
      </c>
      <c r="AK392" s="10">
        <v>0.5</v>
      </c>
      <c r="AL392" s="21">
        <v>5.91</v>
      </c>
      <c r="AM392" s="9">
        <f t="shared" si="110"/>
        <v>1.9470000000000001</v>
      </c>
      <c r="AN392" s="9">
        <f t="shared" si="111"/>
        <v>0.38940000000000002</v>
      </c>
      <c r="AO392" s="9">
        <f t="shared" si="112"/>
        <v>2.5960000000000001</v>
      </c>
      <c r="AP392" s="9">
        <f t="shared" si="113"/>
        <v>0.2596</v>
      </c>
      <c r="AQ392" s="9">
        <f t="shared" si="114"/>
        <v>2.5960000000000001</v>
      </c>
      <c r="AR392" s="9">
        <f t="shared" si="115"/>
        <v>3.2450000000000001</v>
      </c>
      <c r="AS392" s="11">
        <f t="shared" si="116"/>
        <v>-1.1453333333333333</v>
      </c>
      <c r="AT392" s="12">
        <f t="shared" si="117"/>
        <v>-1.5780000000000001</v>
      </c>
    </row>
    <row r="393" spans="1:46" ht="16.5" x14ac:dyDescent="0.4">
      <c r="A393" s="4" t="s">
        <v>1807</v>
      </c>
      <c r="B393" s="4" t="s">
        <v>1895</v>
      </c>
      <c r="C393" s="4" t="s">
        <v>1784</v>
      </c>
      <c r="D393" s="4" t="s">
        <v>1905</v>
      </c>
      <c r="E393" s="4" t="s">
        <v>1906</v>
      </c>
      <c r="F393" s="4" t="s">
        <v>1907</v>
      </c>
      <c r="G393" s="7" t="str">
        <f>VLOOKUP(A393,[1]done!$A:$I,9,0)</f>
        <v>Rodent</v>
      </c>
      <c r="H393" s="7" t="str" cm="1">
        <f t="array" ref="H393">_xlfn.IFS(
OR(ISNUMBER(SEARCH("mouse",E393)),ISNUMBER(SEARCH("rat",E393)),ISNUMBER(SEARCH("mice",E393)),ISNUMBER(SEARCH("rodent",E393))),"Rodent Control",
OR(ISNUMBER(SEARCH("fly",E393)),ISNUMBER(SEARCH("gnat",E393)),ISNUMBER(SEARCH("insect",E393)),ISNUMBER(SEARCH("mosquito",E393))),"Flying Insect Control",
OR(ISNUMBER(SEARCH("roach",E393)),ISNUMBER(SEARCH("ant",E393)),ISNUMBER(SEARCH("spider",E393)),ISNUMBER(SEARCH("cricket",E393)),ISNUMBER(SEARCH("scorpion",E393)),ISNUMBER(SEARCH("centipede",E393)),ISNUMBER(SEARCH("beetle",E393))),"Crawling Insect Control",
OR(ISNUMBER(SEARCH("tree",E393)),ISNUMBER(SEARCH("lantern",E393)),ISNUMBER(SEARCH("garden",E393)),ISNUMBER(SEARCH("plant",E393))),"Garden Pest Control",
OR(ISNUMBER(SEARCH("grass seed",E393)),ISNUMBER(SEARCH("seed mix",E393))),"Grass Seed",
OR(ISNUMBER(SEARCH("lawn food",E393)),ISNUMBER(SEARCH("fertilizer",E393))),"Lawn Fertilizer",
OR(ISNUMBER(SEARCH("patch",E393)),ISNUMBER(SEARCH("repair",E393)),ISNUMBER(SEARCH("thick'r",E393)),ISNUMBER(SEARCH("thick'r lawn",E393)),ISNUMBER(SEARCH("rapid grass",E393))),"Lawn Repair",
OR(ISNUMBER(SEARCH("weed",E393)),ISNUMBER(SEARCH("crabgrass",E393))),"Weed Control",
OR(ISNUMBER(SEARCH("fungicide",E393)),ISNUMBER(SEARCH("moss",E393))),"Disease &amp; Moss Control",
OR(ISNUMBER(SEARCH("plant food",E393)),ISNUMBER(SEARCH("miracid",E393))),"Plant Nutrition",
OR(ISNUMBER(SEARCH("perlite",E393))),"Soil Amendment",
OR(ISNUMBER(SEARCH("spreader",E393)),ISNUMBER(SEARCH("sprayer",E393)),ISNUMBER(SEARCH("mower",E393)),ISNUMBER(SEARCH("sweeper",E393)),ISNUMBER(SEARCH("pruner",E393)),ISNUMBER(SEARCH("trimmer",E393)),ISNUMBER(SEARCH("pole saw",E393))),"Garden Equipment",
TRUE,"Other"
)</f>
        <v>Rodent Control</v>
      </c>
      <c r="I393" s="7" t="str" cm="1">
        <f t="array" ref="I393">_xlfn.IFS(
OR(ISNUMBER(SEARCH("glue trap",E393)),ISNUMBER(SEARCH("glue board",E393))),"Glue Traps",
OR(ISNUMBER(SEARCH("snap trap",E393)),ISNUMBER(SEARCH("power-kill",E393)),ISNUMBER(SEARCH("wide pedal",E393)),ISNUMBER(SEARCH("metal pedal",E393))),"Snap Traps",
OR(ISNUMBER(SEARCH("electronic",E393)),ISNUMBER(SEARCH("zapper",E393))),"Electronic Traps",
OR(ISNUMBER(SEARCH("live catch",E393)),ISNUMBER(SEARCH("multi-catch",E393)),ISNUMBER(SEARCH("catch &amp; hold",E393)),ISNUMBER(SEARCH("tin cat",E393))),"Live Catch Traps",
OR(ISNUMBER(SEARCH("bait",E393)),ISNUMBER(SEARCH("poison",E393))),"Bait &amp; Poison",
ISNUMBER(SEARCH("repellent",E393)),"Repellents",
OR(ISNUMBER(SEARCH("fly trap",E393)),ISNUMBER(SEARCH("fly ribbon",E393)),ISNUMBER(SEARCH("fly stick",E393)),ISNUMBER(SEARCH("window fly",E393)),ISNUMBER(SEARCH("fly magnet",E393))),"Fly Traps",
OR(ISNUMBER(SEARCH("uv",E393)),ISNUMBER(SEARCH("fly light",E393)),ISNUMBER(SEARCH("plug-in",E393))),"UV Fly Traps",
ISNUMBER(SEARCH("roach",E393)),"Roach Traps",
ISNUMBER(SEARCH("ant",E393)),"Ant Traps",
ISNUMBER(SEARCH("spider",E393)),"Spider Traps",
ISNUMBER(SEARCH("mosquito",E393)),"Mosquito Traps",
ISNUMBER(SEARCH("beetle",E393)),"Beetle Traps",
ISNUMBER(SEARCH("lantern",E393)),"Lanternfly Control",
OR(ISNUMBER(SEARCH("tree shield",E393)),ISNUMBER(SEARCH("tree banding",E393)),ISNUMBER(SEARCH("insect barrier",E393))),"Tree Barriers",
OR(ISNUMBER(SEARCH("sun &amp; shade",E393)),ISNUMBER(SEARCH("sun and shade",E393))),"Sun &amp; Shade Mix",
ISNUMBER(SEARCH("tall fescue",E393)),"Tall Fescue",
ISNUMBER(SEARCH("bermudagrass",E393)),"Bermudagrass",
ISNUMBER(SEARCH("kentucky",E393)),"Kentucky Bluegrass",
ISNUMBER(SEARCH("zoysia",E393)),"Zoysia",
ISNUMBER(SEARCH("ryegrass",E393)),"Perennial Ryegrass",
ISNUMBER(SEARCH("centipede",E393)),"Centipede Grass",
ISNUMBER(SEARCH("dense shade",E393)),"Dense Shade Mix",
ISNUMBER(SEARCH("southern gold",E393)),"Southern Gold Mix",
ISNUMBER(SEARCH("heat-tolerant blue",E393)),"Heat-Tolerant Blue Mix",
ISNUMBER(SEARCH("high traffic",E393)),"High Traffic Mix",
ISNUMBER(SEARCH("quick fix",E393)),"Quick Fix Mix",
ISNUMBER(SEARCH("starter",E393)),"Starter Fertilizer",
ISNUMBER(SEARCH("weed &amp; feed",E393)),"Weed &amp; Feed",
ISNUMBER(SEARCH("lawn food",E393)),"Lawn Food",
ISNUMBER(SEARCH("triple action",E393)),"Triple Action Fertilizer",
ISNUMBER(SEARCH("green max",E393)),"Green Max Lawn Food",
ISNUMBER(SEARCH("patchmaster",E393)),"PatchMaster Repair",
ISNUMBER(SEARCH("ez seed",E393)),"EZ Seed Repair",
ISNUMBER(SEARCH("rapid grass",E393)),"Rapid Grass",
ISNUMBER(SEARCH("thick'r lawn",E393)),"Thick'R Lawn",
ISNUMBER(SEARCH("fungicide",E393)),"Fungicide",
ISNUMBER(SEARCH("moss",E393)),"Moss Control",
ISNUMBER(SEARCH("perlite",E393)),"Perlite",
ISNUMBER(SEARCH("plant food",E393)),"Plant Food",
ISNUMBER(SEARCH("spreader",E393)),"Spreader",
ISNUMBER(SEARCH("sprayer",E393)),"Sprayer",
ISNUMBER(SEARCH("mower",E393)),"Lawn Mower",
ISNUMBER(SEARCH("sweeper",E393)),"Lawn Sweeper",
OR(ISNUMBER(SEARCH("pruner",E393)),ISNUMBER(SEARCH("trimmer",E393)),ISNUMBER(SEARCH("pole saw",E393))),"Pruning Tools",
TRUE,"Other"
)</f>
        <v>Bait &amp; Poison</v>
      </c>
      <c r="J393" s="7" t="str">
        <f t="shared" si="108"/>
        <v>Rodent Control - Bait &amp; Poison</v>
      </c>
      <c r="K393" s="4">
        <v>8000</v>
      </c>
      <c r="L393" s="4">
        <v>4.4000000000000004</v>
      </c>
      <c r="M393" s="4">
        <v>9905</v>
      </c>
      <c r="N393" s="4" t="s">
        <v>579</v>
      </c>
      <c r="O393" s="4">
        <f>VLOOKUP(A393,'[6]Monthly Sold'!$A:$B,2,0)</f>
        <v>0</v>
      </c>
      <c r="P393" s="4">
        <f>VLOOKUP(A393,'[6]Monthly Sold'!$A:$M,3,0)</f>
        <v>0</v>
      </c>
      <c r="Q393" s="4">
        <f>VLOOKUP(A393,'[6]Monthly Sold'!$A:$M,4,0)</f>
        <v>0</v>
      </c>
      <c r="R393" s="4">
        <f>VLOOKUP(A393,'[6]Monthly Sold'!$A:$M,5,0)</f>
        <v>0</v>
      </c>
      <c r="S393" s="4">
        <f>VLOOKUP(A393,'[6]Monthly Sold'!$A:$M,6,0)</f>
        <v>0</v>
      </c>
      <c r="T393" s="4">
        <f>VLOOKUP(A393,'[6]Monthly Sold'!$A:$M,7,0)</f>
        <v>1000</v>
      </c>
      <c r="U393" s="4">
        <f>VLOOKUP(A393,'[6]Monthly Sold'!$A:$M,8,0)</f>
        <v>2000</v>
      </c>
      <c r="V393" s="4">
        <f>VLOOKUP(A393,'[6]Monthly Sold'!$A:$M,9,0)</f>
        <v>6000</v>
      </c>
      <c r="W393" s="4">
        <f>VLOOKUP(A393,'[6]Monthly Sold'!$A:$M,10,0)</f>
        <v>7000</v>
      </c>
      <c r="X393" s="4">
        <f>VLOOKUP(A393,'[6]Monthly Sold'!$A:$M,11,0)</f>
        <v>0</v>
      </c>
      <c r="Y393" s="4">
        <f>VLOOKUP(A393,'[6]Monthly Sold'!$A:$M,12,0)</f>
        <v>0</v>
      </c>
      <c r="Z393" s="4">
        <f>VLOOKUP(A393,'[6]Monthly Sold'!$A:$M,13,0)</f>
        <v>0</v>
      </c>
      <c r="AA393" s="4">
        <f t="shared" si="102"/>
        <v>16000</v>
      </c>
      <c r="AB393" s="7">
        <f t="shared" si="109"/>
        <v>1333</v>
      </c>
      <c r="AC393" s="15">
        <f t="shared" si="103"/>
        <v>1333.3333333333333</v>
      </c>
      <c r="AD393" s="16">
        <f t="shared" si="104"/>
        <v>128000</v>
      </c>
      <c r="AE393" s="16">
        <f t="shared" si="105"/>
        <v>10666.666666666666</v>
      </c>
      <c r="AF393" s="21">
        <v>5.63</v>
      </c>
      <c r="AG393" s="21">
        <v>8</v>
      </c>
      <c r="AH393" s="15">
        <f t="shared" si="106"/>
        <v>-0.22866666666666668</v>
      </c>
      <c r="AI393" s="15">
        <f t="shared" si="107"/>
        <v>-0.80033333333333323</v>
      </c>
      <c r="AJ393" s="10">
        <v>0.5</v>
      </c>
      <c r="AK393" s="10">
        <v>0.5</v>
      </c>
      <c r="AL393" s="21">
        <v>5.63</v>
      </c>
      <c r="AM393" s="9">
        <f t="shared" si="110"/>
        <v>1.2</v>
      </c>
      <c r="AN393" s="9">
        <f t="shared" si="111"/>
        <v>0.24</v>
      </c>
      <c r="AO393" s="9">
        <f t="shared" si="112"/>
        <v>1.6</v>
      </c>
      <c r="AP393" s="9">
        <f t="shared" si="113"/>
        <v>0.16</v>
      </c>
      <c r="AQ393" s="9">
        <f t="shared" si="114"/>
        <v>1.6</v>
      </c>
      <c r="AR393" s="9">
        <f t="shared" si="115"/>
        <v>2</v>
      </c>
      <c r="AS393" s="11">
        <f t="shared" si="116"/>
        <v>-2.2866666666666666</v>
      </c>
      <c r="AT393" s="12">
        <f t="shared" si="117"/>
        <v>-2.5533333333333332</v>
      </c>
    </row>
    <row r="394" spans="1:46" ht="16.5" x14ac:dyDescent="0.4">
      <c r="A394" s="4" t="s">
        <v>1808</v>
      </c>
      <c r="B394" s="4" t="s">
        <v>1895</v>
      </c>
      <c r="C394" s="4" t="s">
        <v>1784</v>
      </c>
      <c r="D394" s="4" t="s">
        <v>1908</v>
      </c>
      <c r="E394" s="4" t="s">
        <v>1909</v>
      </c>
      <c r="F394" s="4" t="s">
        <v>1910</v>
      </c>
      <c r="G394" s="7" t="str">
        <f>VLOOKUP(A394,[1]done!$A:$I,9,0)</f>
        <v>Rodent</v>
      </c>
      <c r="H394" s="7" t="str" cm="1">
        <f t="array" ref="H394">_xlfn.IFS(
OR(ISNUMBER(SEARCH("mouse",E394)),ISNUMBER(SEARCH("rat",E394)),ISNUMBER(SEARCH("mice",E394)),ISNUMBER(SEARCH("rodent",E394))),"Rodent Control",
OR(ISNUMBER(SEARCH("fly",E394)),ISNUMBER(SEARCH("gnat",E394)),ISNUMBER(SEARCH("insect",E394)),ISNUMBER(SEARCH("mosquito",E394))),"Flying Insect Control",
OR(ISNUMBER(SEARCH("roach",E394)),ISNUMBER(SEARCH("ant",E394)),ISNUMBER(SEARCH("spider",E394)),ISNUMBER(SEARCH("cricket",E394)),ISNUMBER(SEARCH("scorpion",E394)),ISNUMBER(SEARCH("centipede",E394)),ISNUMBER(SEARCH("beetle",E394))),"Crawling Insect Control",
OR(ISNUMBER(SEARCH("tree",E394)),ISNUMBER(SEARCH("lantern",E394)),ISNUMBER(SEARCH("garden",E394)),ISNUMBER(SEARCH("plant",E394))),"Garden Pest Control",
OR(ISNUMBER(SEARCH("grass seed",E394)),ISNUMBER(SEARCH("seed mix",E394))),"Grass Seed",
OR(ISNUMBER(SEARCH("lawn food",E394)),ISNUMBER(SEARCH("fertilizer",E394))),"Lawn Fertilizer",
OR(ISNUMBER(SEARCH("patch",E394)),ISNUMBER(SEARCH("repair",E394)),ISNUMBER(SEARCH("thick'r",E394)),ISNUMBER(SEARCH("thick'r lawn",E394)),ISNUMBER(SEARCH("rapid grass",E394))),"Lawn Repair",
OR(ISNUMBER(SEARCH("weed",E394)),ISNUMBER(SEARCH("crabgrass",E394))),"Weed Control",
OR(ISNUMBER(SEARCH("fungicide",E394)),ISNUMBER(SEARCH("moss",E394))),"Disease &amp; Moss Control",
OR(ISNUMBER(SEARCH("plant food",E394)),ISNUMBER(SEARCH("miracid",E394))),"Plant Nutrition",
OR(ISNUMBER(SEARCH("perlite",E394))),"Soil Amendment",
OR(ISNUMBER(SEARCH("spreader",E394)),ISNUMBER(SEARCH("sprayer",E394)),ISNUMBER(SEARCH("mower",E394)),ISNUMBER(SEARCH("sweeper",E394)),ISNUMBER(SEARCH("pruner",E394)),ISNUMBER(SEARCH("trimmer",E394)),ISNUMBER(SEARCH("pole saw",E394))),"Garden Equipment",
TRUE,"Other"
)</f>
        <v>Rodent Control</v>
      </c>
      <c r="I394" s="7" t="str" cm="1">
        <f t="array" ref="I394">_xlfn.IFS(
OR(ISNUMBER(SEARCH("glue trap",E394)),ISNUMBER(SEARCH("glue board",E394))),"Glue Traps",
OR(ISNUMBER(SEARCH("snap trap",E394)),ISNUMBER(SEARCH("power-kill",E394)),ISNUMBER(SEARCH("wide pedal",E394)),ISNUMBER(SEARCH("metal pedal",E394))),"Snap Traps",
OR(ISNUMBER(SEARCH("electronic",E394)),ISNUMBER(SEARCH("zapper",E394))),"Electronic Traps",
OR(ISNUMBER(SEARCH("live catch",E394)),ISNUMBER(SEARCH("multi-catch",E394)),ISNUMBER(SEARCH("catch &amp; hold",E394)),ISNUMBER(SEARCH("tin cat",E394))),"Live Catch Traps",
OR(ISNUMBER(SEARCH("bait",E394)),ISNUMBER(SEARCH("poison",E394))),"Bait &amp; Poison",
ISNUMBER(SEARCH("repellent",E394)),"Repellents",
OR(ISNUMBER(SEARCH("fly trap",E394)),ISNUMBER(SEARCH("fly ribbon",E394)),ISNUMBER(SEARCH("fly stick",E394)),ISNUMBER(SEARCH("window fly",E394)),ISNUMBER(SEARCH("fly magnet",E394))),"Fly Traps",
OR(ISNUMBER(SEARCH("uv",E394)),ISNUMBER(SEARCH("fly light",E394)),ISNUMBER(SEARCH("plug-in",E394))),"UV Fly Traps",
ISNUMBER(SEARCH("roach",E394)),"Roach Traps",
ISNUMBER(SEARCH("ant",E394)),"Ant Traps",
ISNUMBER(SEARCH("spider",E394)),"Spider Traps",
ISNUMBER(SEARCH("mosquito",E394)),"Mosquito Traps",
ISNUMBER(SEARCH("beetle",E394)),"Beetle Traps",
ISNUMBER(SEARCH("lantern",E394)),"Lanternfly Control",
OR(ISNUMBER(SEARCH("tree shield",E394)),ISNUMBER(SEARCH("tree banding",E394)),ISNUMBER(SEARCH("insect barrier",E394))),"Tree Barriers",
OR(ISNUMBER(SEARCH("sun &amp; shade",E394)),ISNUMBER(SEARCH("sun and shade",E394))),"Sun &amp; Shade Mix",
ISNUMBER(SEARCH("tall fescue",E394)),"Tall Fescue",
ISNUMBER(SEARCH("bermudagrass",E394)),"Bermudagrass",
ISNUMBER(SEARCH("kentucky",E394)),"Kentucky Bluegrass",
ISNUMBER(SEARCH("zoysia",E394)),"Zoysia",
ISNUMBER(SEARCH("ryegrass",E394)),"Perennial Ryegrass",
ISNUMBER(SEARCH("centipede",E394)),"Centipede Grass",
ISNUMBER(SEARCH("dense shade",E394)),"Dense Shade Mix",
ISNUMBER(SEARCH("southern gold",E394)),"Southern Gold Mix",
ISNUMBER(SEARCH("heat-tolerant blue",E394)),"Heat-Tolerant Blue Mix",
ISNUMBER(SEARCH("high traffic",E394)),"High Traffic Mix",
ISNUMBER(SEARCH("quick fix",E394)),"Quick Fix Mix",
ISNUMBER(SEARCH("starter",E394)),"Starter Fertilizer",
ISNUMBER(SEARCH("weed &amp; feed",E394)),"Weed &amp; Feed",
ISNUMBER(SEARCH("lawn food",E394)),"Lawn Food",
ISNUMBER(SEARCH("triple action",E394)),"Triple Action Fertilizer",
ISNUMBER(SEARCH("green max",E394)),"Green Max Lawn Food",
ISNUMBER(SEARCH("patchmaster",E394)),"PatchMaster Repair",
ISNUMBER(SEARCH("ez seed",E394)),"EZ Seed Repair",
ISNUMBER(SEARCH("rapid grass",E394)),"Rapid Grass",
ISNUMBER(SEARCH("thick'r lawn",E394)),"Thick'R Lawn",
ISNUMBER(SEARCH("fungicide",E394)),"Fungicide",
ISNUMBER(SEARCH("moss",E394)),"Moss Control",
ISNUMBER(SEARCH("perlite",E394)),"Perlite",
ISNUMBER(SEARCH("plant food",E394)),"Plant Food",
ISNUMBER(SEARCH("spreader",E394)),"Spreader",
ISNUMBER(SEARCH("sprayer",E394)),"Sprayer",
ISNUMBER(SEARCH("mower",E394)),"Lawn Mower",
ISNUMBER(SEARCH("sweeper",E394)),"Lawn Sweeper",
OR(ISNUMBER(SEARCH("pruner",E394)),ISNUMBER(SEARCH("trimmer",E394)),ISNUMBER(SEARCH("pole saw",E394))),"Pruning Tools",
TRUE,"Other"
)</f>
        <v>Snap Traps</v>
      </c>
      <c r="J394" s="7" t="str">
        <f t="shared" si="108"/>
        <v>Rodent Control - Snap Traps</v>
      </c>
      <c r="K394" s="4">
        <v>7000</v>
      </c>
      <c r="L394" s="4">
        <v>4.3</v>
      </c>
      <c r="M394" s="4">
        <v>9569</v>
      </c>
      <c r="N394" s="4" t="s">
        <v>579</v>
      </c>
      <c r="O394" s="4">
        <f>VLOOKUP(A394,'[6]Monthly Sold'!$A:$B,2,0)</f>
        <v>5000</v>
      </c>
      <c r="P394" s="4">
        <f>VLOOKUP(A394,'[6]Monthly Sold'!$A:$M,3,0)</f>
        <v>4000</v>
      </c>
      <c r="Q394" s="4">
        <f>VLOOKUP(A394,'[6]Monthly Sold'!$A:$M,4,0)</f>
        <v>4000</v>
      </c>
      <c r="R394" s="4">
        <f>VLOOKUP(A394,'[6]Monthly Sold'!$A:$M,5,0)</f>
        <v>4000</v>
      </c>
      <c r="S394" s="4">
        <f>VLOOKUP(A394,'[6]Monthly Sold'!$A:$M,6,0)</f>
        <v>5000</v>
      </c>
      <c r="T394" s="4">
        <f>VLOOKUP(A394,'[6]Monthly Sold'!$A:$M,7,0)</f>
        <v>7000</v>
      </c>
      <c r="U394" s="4">
        <f>VLOOKUP(A394,'[6]Monthly Sold'!$A:$M,8,0)</f>
        <v>6000</v>
      </c>
      <c r="V394" s="4">
        <f>VLOOKUP(A394,'[6]Monthly Sold'!$A:$M,9,0)</f>
        <v>5000</v>
      </c>
      <c r="W394" s="4">
        <f>VLOOKUP(A394,'[6]Monthly Sold'!$A:$M,10,0)</f>
        <v>6000</v>
      </c>
      <c r="X394" s="4">
        <f>VLOOKUP(A394,'[6]Monthly Sold'!$A:$M,11,0)</f>
        <v>5000</v>
      </c>
      <c r="Y394" s="4">
        <f>VLOOKUP(A394,'[6]Monthly Sold'!$A:$M,12,0)</f>
        <v>6000</v>
      </c>
      <c r="Z394" s="4">
        <f>VLOOKUP(A394,'[6]Monthly Sold'!$A:$M,13,0)</f>
        <v>8000</v>
      </c>
      <c r="AA394" s="4">
        <f t="shared" si="102"/>
        <v>65000</v>
      </c>
      <c r="AB394" s="7">
        <f t="shared" si="109"/>
        <v>5417</v>
      </c>
      <c r="AC394" s="15">
        <f t="shared" si="103"/>
        <v>5416.666666666667</v>
      </c>
      <c r="AD394" s="16">
        <f t="shared" si="104"/>
        <v>370500</v>
      </c>
      <c r="AE394" s="16">
        <f t="shared" si="105"/>
        <v>30875.000000000004</v>
      </c>
      <c r="AF394" s="21">
        <v>3.91</v>
      </c>
      <c r="AG394" s="21">
        <v>5.7</v>
      </c>
      <c r="AH394" s="15">
        <f t="shared" si="106"/>
        <v>-0.17533333333333337</v>
      </c>
      <c r="AI394" s="15">
        <f t="shared" si="107"/>
        <v>-0.61366666666666669</v>
      </c>
      <c r="AJ394" s="10">
        <v>0.5</v>
      </c>
      <c r="AK394" s="10">
        <v>0.5</v>
      </c>
      <c r="AL394" s="21">
        <v>3.91</v>
      </c>
      <c r="AM394" s="9">
        <f t="shared" si="110"/>
        <v>0.85499999999999998</v>
      </c>
      <c r="AN394" s="9">
        <f t="shared" si="111"/>
        <v>0.17099999999999999</v>
      </c>
      <c r="AO394" s="9">
        <f t="shared" si="112"/>
        <v>1.1400000000000001</v>
      </c>
      <c r="AP394" s="9">
        <f t="shared" si="113"/>
        <v>0.114</v>
      </c>
      <c r="AQ394" s="9">
        <f t="shared" si="114"/>
        <v>1.1400000000000001</v>
      </c>
      <c r="AR394" s="9">
        <f t="shared" si="115"/>
        <v>1.425</v>
      </c>
      <c r="AS394" s="11">
        <f t="shared" si="116"/>
        <v>-1.7533333333333336</v>
      </c>
      <c r="AT394" s="12">
        <f t="shared" si="117"/>
        <v>-1.9433333333333334</v>
      </c>
    </row>
    <row r="395" spans="1:46" ht="16.5" x14ac:dyDescent="0.4">
      <c r="A395" s="4" t="s">
        <v>1809</v>
      </c>
      <c r="B395" s="4" t="s">
        <v>1895</v>
      </c>
      <c r="C395" s="4" t="s">
        <v>1784</v>
      </c>
      <c r="D395" s="4" t="s">
        <v>1911</v>
      </c>
      <c r="E395" s="4" t="s">
        <v>1912</v>
      </c>
      <c r="F395" s="4" t="s">
        <v>1913</v>
      </c>
      <c r="G395" s="7" t="str">
        <f>VLOOKUP(A395,[1]done!$A:$I,9,0)</f>
        <v>Rodent</v>
      </c>
      <c r="H395" s="7" t="str" cm="1">
        <f t="array" ref="H395">_xlfn.IFS(
OR(ISNUMBER(SEARCH("mouse",E395)),ISNUMBER(SEARCH("rat",E395)),ISNUMBER(SEARCH("mice",E395)),ISNUMBER(SEARCH("rodent",E395))),"Rodent Control",
OR(ISNUMBER(SEARCH("fly",E395)),ISNUMBER(SEARCH("gnat",E395)),ISNUMBER(SEARCH("insect",E395)),ISNUMBER(SEARCH("mosquito",E395))),"Flying Insect Control",
OR(ISNUMBER(SEARCH("roach",E395)),ISNUMBER(SEARCH("ant",E395)),ISNUMBER(SEARCH("spider",E395)),ISNUMBER(SEARCH("cricket",E395)),ISNUMBER(SEARCH("scorpion",E395)),ISNUMBER(SEARCH("centipede",E395)),ISNUMBER(SEARCH("beetle",E395))),"Crawling Insect Control",
OR(ISNUMBER(SEARCH("tree",E395)),ISNUMBER(SEARCH("lantern",E395)),ISNUMBER(SEARCH("garden",E395)),ISNUMBER(SEARCH("plant",E395))),"Garden Pest Control",
OR(ISNUMBER(SEARCH("grass seed",E395)),ISNUMBER(SEARCH("seed mix",E395))),"Grass Seed",
OR(ISNUMBER(SEARCH("lawn food",E395)),ISNUMBER(SEARCH("fertilizer",E395))),"Lawn Fertilizer",
OR(ISNUMBER(SEARCH("patch",E395)),ISNUMBER(SEARCH("repair",E395)),ISNUMBER(SEARCH("thick'r",E395)),ISNUMBER(SEARCH("thick'r lawn",E395)),ISNUMBER(SEARCH("rapid grass",E395))),"Lawn Repair",
OR(ISNUMBER(SEARCH("weed",E395)),ISNUMBER(SEARCH("crabgrass",E395))),"Weed Control",
OR(ISNUMBER(SEARCH("fungicide",E395)),ISNUMBER(SEARCH("moss",E395))),"Disease &amp; Moss Control",
OR(ISNUMBER(SEARCH("plant food",E395)),ISNUMBER(SEARCH("miracid",E395))),"Plant Nutrition",
OR(ISNUMBER(SEARCH("perlite",E395))),"Soil Amendment",
OR(ISNUMBER(SEARCH("spreader",E395)),ISNUMBER(SEARCH("sprayer",E395)),ISNUMBER(SEARCH("mower",E395)),ISNUMBER(SEARCH("sweeper",E395)),ISNUMBER(SEARCH("pruner",E395)),ISNUMBER(SEARCH("trimmer",E395)),ISNUMBER(SEARCH("pole saw",E395))),"Garden Equipment",
TRUE,"Other"
)</f>
        <v>Rodent Control</v>
      </c>
      <c r="I395" s="7" t="str" cm="1">
        <f t="array" ref="I395">_xlfn.IFS(
OR(ISNUMBER(SEARCH("glue trap",E395)),ISNUMBER(SEARCH("glue board",E395))),"Glue Traps",
OR(ISNUMBER(SEARCH("snap trap",E395)),ISNUMBER(SEARCH("power-kill",E395)),ISNUMBER(SEARCH("wide pedal",E395)),ISNUMBER(SEARCH("metal pedal",E395))),"Snap Traps",
OR(ISNUMBER(SEARCH("electronic",E395)),ISNUMBER(SEARCH("zapper",E395))),"Electronic Traps",
OR(ISNUMBER(SEARCH("live catch",E395)),ISNUMBER(SEARCH("multi-catch",E395)),ISNUMBER(SEARCH("catch &amp; hold",E395)),ISNUMBER(SEARCH("tin cat",E395))),"Live Catch Traps",
OR(ISNUMBER(SEARCH("bait",E395)),ISNUMBER(SEARCH("poison",E395))),"Bait &amp; Poison",
ISNUMBER(SEARCH("repellent",E395)),"Repellents",
OR(ISNUMBER(SEARCH("fly trap",E395)),ISNUMBER(SEARCH("fly ribbon",E395)),ISNUMBER(SEARCH("fly stick",E395)),ISNUMBER(SEARCH("window fly",E395)),ISNUMBER(SEARCH("fly magnet",E395))),"Fly Traps",
OR(ISNUMBER(SEARCH("uv",E395)),ISNUMBER(SEARCH("fly light",E395)),ISNUMBER(SEARCH("plug-in",E395))),"UV Fly Traps",
ISNUMBER(SEARCH("roach",E395)),"Roach Traps",
ISNUMBER(SEARCH("ant",E395)),"Ant Traps",
ISNUMBER(SEARCH("spider",E395)),"Spider Traps",
ISNUMBER(SEARCH("mosquito",E395)),"Mosquito Traps",
ISNUMBER(SEARCH("beetle",E395)),"Beetle Traps",
ISNUMBER(SEARCH("lantern",E395)),"Lanternfly Control",
OR(ISNUMBER(SEARCH("tree shield",E395)),ISNUMBER(SEARCH("tree banding",E395)),ISNUMBER(SEARCH("insect barrier",E395))),"Tree Barriers",
OR(ISNUMBER(SEARCH("sun &amp; shade",E395)),ISNUMBER(SEARCH("sun and shade",E395))),"Sun &amp; Shade Mix",
ISNUMBER(SEARCH("tall fescue",E395)),"Tall Fescue",
ISNUMBER(SEARCH("bermudagrass",E395)),"Bermudagrass",
ISNUMBER(SEARCH("kentucky",E395)),"Kentucky Bluegrass",
ISNUMBER(SEARCH("zoysia",E395)),"Zoysia",
ISNUMBER(SEARCH("ryegrass",E395)),"Perennial Ryegrass",
ISNUMBER(SEARCH("centipede",E395)),"Centipede Grass",
ISNUMBER(SEARCH("dense shade",E395)),"Dense Shade Mix",
ISNUMBER(SEARCH("southern gold",E395)),"Southern Gold Mix",
ISNUMBER(SEARCH("heat-tolerant blue",E395)),"Heat-Tolerant Blue Mix",
ISNUMBER(SEARCH("high traffic",E395)),"High Traffic Mix",
ISNUMBER(SEARCH("quick fix",E395)),"Quick Fix Mix",
ISNUMBER(SEARCH("starter",E395)),"Starter Fertilizer",
ISNUMBER(SEARCH("weed &amp; feed",E395)),"Weed &amp; Feed",
ISNUMBER(SEARCH("lawn food",E395)),"Lawn Food",
ISNUMBER(SEARCH("triple action",E395)),"Triple Action Fertilizer",
ISNUMBER(SEARCH("green max",E395)),"Green Max Lawn Food",
ISNUMBER(SEARCH("patchmaster",E395)),"PatchMaster Repair",
ISNUMBER(SEARCH("ez seed",E395)),"EZ Seed Repair",
ISNUMBER(SEARCH("rapid grass",E395)),"Rapid Grass",
ISNUMBER(SEARCH("thick'r lawn",E395)),"Thick'R Lawn",
ISNUMBER(SEARCH("fungicide",E395)),"Fungicide",
ISNUMBER(SEARCH("moss",E395)),"Moss Control",
ISNUMBER(SEARCH("perlite",E395)),"Perlite",
ISNUMBER(SEARCH("plant food",E395)),"Plant Food",
ISNUMBER(SEARCH("spreader",E395)),"Spreader",
ISNUMBER(SEARCH("sprayer",E395)),"Sprayer",
ISNUMBER(SEARCH("mower",E395)),"Lawn Mower",
ISNUMBER(SEARCH("sweeper",E395)),"Lawn Sweeper",
OR(ISNUMBER(SEARCH("pruner",E395)),ISNUMBER(SEARCH("trimmer",E395)),ISNUMBER(SEARCH("pole saw",E395))),"Pruning Tools",
TRUE,"Other"
)</f>
        <v>Ant Traps</v>
      </c>
      <c r="J395" s="7" t="str">
        <f t="shared" si="108"/>
        <v>Rodent Control - Ant Traps</v>
      </c>
      <c r="K395" s="4">
        <v>7000</v>
      </c>
      <c r="L395" s="4">
        <v>4.3</v>
      </c>
      <c r="M395" s="4">
        <v>2040</v>
      </c>
      <c r="N395" s="4" t="s">
        <v>579</v>
      </c>
      <c r="O395" s="4">
        <f>VLOOKUP(A395,'[6]Monthly Sold'!$A:$B,2,0)</f>
        <v>2000</v>
      </c>
      <c r="P395" s="4">
        <f>VLOOKUP(A395,'[6]Monthly Sold'!$A:$M,3,0)</f>
        <v>1000</v>
      </c>
      <c r="Q395" s="4">
        <f>VLOOKUP(A395,'[6]Monthly Sold'!$A:$M,4,0)</f>
        <v>1000</v>
      </c>
      <c r="R395" s="4">
        <f>VLOOKUP(A395,'[6]Monthly Sold'!$A:$M,5,0)</f>
        <v>1000</v>
      </c>
      <c r="S395" s="4">
        <f>VLOOKUP(A395,'[6]Monthly Sold'!$A:$M,6,0)</f>
        <v>2000</v>
      </c>
      <c r="T395" s="4">
        <f>VLOOKUP(A395,'[6]Monthly Sold'!$A:$M,7,0)</f>
        <v>2000</v>
      </c>
      <c r="U395" s="4">
        <f>VLOOKUP(A395,'[6]Monthly Sold'!$A:$M,8,0)</f>
        <v>2000</v>
      </c>
      <c r="V395" s="4">
        <f>VLOOKUP(A395,'[6]Monthly Sold'!$A:$M,9,0)</f>
        <v>3000</v>
      </c>
      <c r="W395" s="4">
        <f>VLOOKUP(A395,'[6]Monthly Sold'!$A:$M,10,0)</f>
        <v>4000</v>
      </c>
      <c r="X395" s="4">
        <f>VLOOKUP(A395,'[6]Monthly Sold'!$A:$M,11,0)</f>
        <v>5000</v>
      </c>
      <c r="Y395" s="4">
        <f>VLOOKUP(A395,'[6]Monthly Sold'!$A:$M,12,0)</f>
        <v>6000</v>
      </c>
      <c r="Z395" s="4">
        <f>VLOOKUP(A395,'[6]Monthly Sold'!$A:$M,13,0)</f>
        <v>3000</v>
      </c>
      <c r="AA395" s="4">
        <f t="shared" si="102"/>
        <v>32000</v>
      </c>
      <c r="AB395" s="7">
        <f t="shared" si="109"/>
        <v>2667</v>
      </c>
      <c r="AC395" s="15">
        <f t="shared" si="103"/>
        <v>2666.6666666666665</v>
      </c>
      <c r="AD395" s="16">
        <f t="shared" si="104"/>
        <v>200960</v>
      </c>
      <c r="AE395" s="16">
        <f t="shared" si="105"/>
        <v>16746.666666666668</v>
      </c>
      <c r="AF395" s="21">
        <v>3.24</v>
      </c>
      <c r="AG395" s="21">
        <v>6.28</v>
      </c>
      <c r="AH395" s="15">
        <f t="shared" si="106"/>
        <v>-0.11520000000000004</v>
      </c>
      <c r="AI395" s="15">
        <f t="shared" si="107"/>
        <v>-0.40320000000000011</v>
      </c>
      <c r="AJ395" s="10">
        <v>0.5</v>
      </c>
      <c r="AK395" s="10">
        <v>0.5</v>
      </c>
      <c r="AL395" s="21">
        <v>3.24</v>
      </c>
      <c r="AM395" s="9">
        <f t="shared" si="110"/>
        <v>0.94199999999999995</v>
      </c>
      <c r="AN395" s="9">
        <f t="shared" si="111"/>
        <v>0.18840000000000001</v>
      </c>
      <c r="AO395" s="9">
        <f t="shared" si="112"/>
        <v>1.2560000000000002</v>
      </c>
      <c r="AP395" s="9">
        <f t="shared" si="113"/>
        <v>0.12560000000000002</v>
      </c>
      <c r="AQ395" s="9">
        <f t="shared" si="114"/>
        <v>1.2560000000000002</v>
      </c>
      <c r="AR395" s="9">
        <f t="shared" si="115"/>
        <v>1.57</v>
      </c>
      <c r="AS395" s="11">
        <f t="shared" si="116"/>
        <v>-1.1520000000000004</v>
      </c>
      <c r="AT395" s="12">
        <f t="shared" si="117"/>
        <v>-1.3613333333333337</v>
      </c>
    </row>
    <row r="396" spans="1:46" ht="16.5" x14ac:dyDescent="0.4">
      <c r="A396" s="4" t="s">
        <v>1810</v>
      </c>
      <c r="B396" s="4" t="s">
        <v>1895</v>
      </c>
      <c r="C396" s="4" t="s">
        <v>1784</v>
      </c>
      <c r="D396" s="4" t="s">
        <v>1914</v>
      </c>
      <c r="E396" s="4" t="s">
        <v>1915</v>
      </c>
      <c r="F396" s="4" t="s">
        <v>1916</v>
      </c>
      <c r="G396" s="7" t="str">
        <f>VLOOKUP(A396,[1]done!$A:$I,9,0)</f>
        <v>Mole Repellent</v>
      </c>
      <c r="H396" s="7" t="str" cm="1">
        <f t="array" ref="H396">_xlfn.IFS(
OR(ISNUMBER(SEARCH("mouse",E396)),ISNUMBER(SEARCH("rat",E396)),ISNUMBER(SEARCH("mice",E396)),ISNUMBER(SEARCH("rodent",E396))),"Rodent Control",
OR(ISNUMBER(SEARCH("fly",E396)),ISNUMBER(SEARCH("gnat",E396)),ISNUMBER(SEARCH("insect",E396)),ISNUMBER(SEARCH("mosquito",E396))),"Flying Insect Control",
OR(ISNUMBER(SEARCH("roach",E396)),ISNUMBER(SEARCH("ant",E396)),ISNUMBER(SEARCH("spider",E396)),ISNUMBER(SEARCH("cricket",E396)),ISNUMBER(SEARCH("scorpion",E396)),ISNUMBER(SEARCH("centipede",E396)),ISNUMBER(SEARCH("beetle",E396))),"Crawling Insect Control",
OR(ISNUMBER(SEARCH("tree",E396)),ISNUMBER(SEARCH("lantern",E396)),ISNUMBER(SEARCH("garden",E396)),ISNUMBER(SEARCH("plant",E396))),"Garden Pest Control",
OR(ISNUMBER(SEARCH("grass seed",E396)),ISNUMBER(SEARCH("seed mix",E396))),"Grass Seed",
OR(ISNUMBER(SEARCH("lawn food",E396)),ISNUMBER(SEARCH("fertilizer",E396))),"Lawn Fertilizer",
OR(ISNUMBER(SEARCH("patch",E396)),ISNUMBER(SEARCH("repair",E396)),ISNUMBER(SEARCH("thick'r",E396)),ISNUMBER(SEARCH("thick'r lawn",E396)),ISNUMBER(SEARCH("rapid grass",E396))),"Lawn Repair",
OR(ISNUMBER(SEARCH("weed",E396)),ISNUMBER(SEARCH("crabgrass",E396))),"Weed Control",
OR(ISNUMBER(SEARCH("fungicide",E396)),ISNUMBER(SEARCH("moss",E396))),"Disease &amp; Moss Control",
OR(ISNUMBER(SEARCH("plant food",E396)),ISNUMBER(SEARCH("miracid",E396))),"Plant Nutrition",
OR(ISNUMBER(SEARCH("perlite",E396))),"Soil Amendment",
OR(ISNUMBER(SEARCH("spreader",E396)),ISNUMBER(SEARCH("sprayer",E396)),ISNUMBER(SEARCH("mower",E396)),ISNUMBER(SEARCH("sweeper",E396)),ISNUMBER(SEARCH("pruner",E396)),ISNUMBER(SEARCH("trimmer",E396)),ISNUMBER(SEARCH("pole saw",E396))),"Garden Equipment",
TRUE,"Other"
)</f>
        <v>Other</v>
      </c>
      <c r="I396" s="7" t="str" cm="1">
        <f t="array" ref="I396">_xlfn.IFS(
OR(ISNUMBER(SEARCH("glue trap",E396)),ISNUMBER(SEARCH("glue board",E396))),"Glue Traps",
OR(ISNUMBER(SEARCH("snap trap",E396)),ISNUMBER(SEARCH("power-kill",E396)),ISNUMBER(SEARCH("wide pedal",E396)),ISNUMBER(SEARCH("metal pedal",E396))),"Snap Traps",
OR(ISNUMBER(SEARCH("electronic",E396)),ISNUMBER(SEARCH("zapper",E396))),"Electronic Traps",
OR(ISNUMBER(SEARCH("live catch",E396)),ISNUMBER(SEARCH("multi-catch",E396)),ISNUMBER(SEARCH("catch &amp; hold",E396)),ISNUMBER(SEARCH("tin cat",E396))),"Live Catch Traps",
OR(ISNUMBER(SEARCH("bait",E396)),ISNUMBER(SEARCH("poison",E396))),"Bait &amp; Poison",
ISNUMBER(SEARCH("repellent",E396)),"Repellents",
OR(ISNUMBER(SEARCH("fly trap",E396)),ISNUMBER(SEARCH("fly ribbon",E396)),ISNUMBER(SEARCH("fly stick",E396)),ISNUMBER(SEARCH("window fly",E396)),ISNUMBER(SEARCH("fly magnet",E396))),"Fly Traps",
OR(ISNUMBER(SEARCH("uv",E396)),ISNUMBER(SEARCH("fly light",E396)),ISNUMBER(SEARCH("plug-in",E396))),"UV Fly Traps",
ISNUMBER(SEARCH("roach",E396)),"Roach Traps",
ISNUMBER(SEARCH("ant",E396)),"Ant Traps",
ISNUMBER(SEARCH("spider",E396)),"Spider Traps",
ISNUMBER(SEARCH("mosquito",E396)),"Mosquito Traps",
ISNUMBER(SEARCH("beetle",E396)),"Beetle Traps",
ISNUMBER(SEARCH("lantern",E396)),"Lanternfly Control",
OR(ISNUMBER(SEARCH("tree shield",E396)),ISNUMBER(SEARCH("tree banding",E396)),ISNUMBER(SEARCH("insect barrier",E396))),"Tree Barriers",
OR(ISNUMBER(SEARCH("sun &amp; shade",E396)),ISNUMBER(SEARCH("sun and shade",E396))),"Sun &amp; Shade Mix",
ISNUMBER(SEARCH("tall fescue",E396)),"Tall Fescue",
ISNUMBER(SEARCH("bermudagrass",E396)),"Bermudagrass",
ISNUMBER(SEARCH("kentucky",E396)),"Kentucky Bluegrass",
ISNUMBER(SEARCH("zoysia",E396)),"Zoysia",
ISNUMBER(SEARCH("ryegrass",E396)),"Perennial Ryegrass",
ISNUMBER(SEARCH("centipede",E396)),"Centipede Grass",
ISNUMBER(SEARCH("dense shade",E396)),"Dense Shade Mix",
ISNUMBER(SEARCH("southern gold",E396)),"Southern Gold Mix",
ISNUMBER(SEARCH("heat-tolerant blue",E396)),"Heat-Tolerant Blue Mix",
ISNUMBER(SEARCH("high traffic",E396)),"High Traffic Mix",
ISNUMBER(SEARCH("quick fix",E396)),"Quick Fix Mix",
ISNUMBER(SEARCH("starter",E396)),"Starter Fertilizer",
ISNUMBER(SEARCH("weed &amp; feed",E396)),"Weed &amp; Feed",
ISNUMBER(SEARCH("lawn food",E396)),"Lawn Food",
ISNUMBER(SEARCH("triple action",E396)),"Triple Action Fertilizer",
ISNUMBER(SEARCH("green max",E396)),"Green Max Lawn Food",
ISNUMBER(SEARCH("patchmaster",E396)),"PatchMaster Repair",
ISNUMBER(SEARCH("ez seed",E396)),"EZ Seed Repair",
ISNUMBER(SEARCH("rapid grass",E396)),"Rapid Grass",
ISNUMBER(SEARCH("thick'r lawn",E396)),"Thick'R Lawn",
ISNUMBER(SEARCH("fungicide",E396)),"Fungicide",
ISNUMBER(SEARCH("moss",E396)),"Moss Control",
ISNUMBER(SEARCH("perlite",E396)),"Perlite",
ISNUMBER(SEARCH("plant food",E396)),"Plant Food",
ISNUMBER(SEARCH("spreader",E396)),"Spreader",
ISNUMBER(SEARCH("sprayer",E396)),"Sprayer",
ISNUMBER(SEARCH("mower",E396)),"Lawn Mower",
ISNUMBER(SEARCH("sweeper",E396)),"Lawn Sweeper",
OR(ISNUMBER(SEARCH("pruner",E396)),ISNUMBER(SEARCH("trimmer",E396)),ISNUMBER(SEARCH("pole saw",E396))),"Pruning Tools",
TRUE,"Other"
)</f>
        <v>Bait &amp; Poison</v>
      </c>
      <c r="J396" s="7" t="str">
        <f t="shared" si="108"/>
        <v>Other - Bait &amp; Poison</v>
      </c>
      <c r="K396" s="4">
        <v>6000</v>
      </c>
      <c r="L396" s="4">
        <v>4.2</v>
      </c>
      <c r="M396" s="4">
        <v>364</v>
      </c>
      <c r="N396" s="4" t="s">
        <v>579</v>
      </c>
      <c r="O396" s="4">
        <f>VLOOKUP(A396,'[6]Monthly Sold'!$A:$B,2,0)</f>
        <v>0</v>
      </c>
      <c r="P396" s="4">
        <f>VLOOKUP(A396,'[6]Monthly Sold'!$A:$M,3,0)</f>
        <v>0</v>
      </c>
      <c r="Q396" s="4">
        <f>VLOOKUP(A396,'[6]Monthly Sold'!$A:$M,4,0)</f>
        <v>600</v>
      </c>
      <c r="R396" s="4">
        <f>VLOOKUP(A396,'[6]Monthly Sold'!$A:$M,5,0)</f>
        <v>1000</v>
      </c>
      <c r="S396" s="4">
        <f>VLOOKUP(A396,'[6]Monthly Sold'!$A:$M,6,0)</f>
        <v>3000</v>
      </c>
      <c r="T396" s="4">
        <f>VLOOKUP(A396,'[6]Monthly Sold'!$A:$M,7,0)</f>
        <v>6000</v>
      </c>
      <c r="U396" s="4">
        <f>VLOOKUP(A396,'[6]Monthly Sold'!$A:$M,8,0)</f>
        <v>3000</v>
      </c>
      <c r="V396" s="4">
        <f>VLOOKUP(A396,'[6]Monthly Sold'!$A:$M,9,0)</f>
        <v>5000</v>
      </c>
      <c r="W396" s="4">
        <f>VLOOKUP(A396,'[6]Monthly Sold'!$A:$M,10,0)</f>
        <v>6000</v>
      </c>
      <c r="X396" s="4">
        <f>VLOOKUP(A396,'[6]Monthly Sold'!$A:$M,11,0)</f>
        <v>0</v>
      </c>
      <c r="Y396" s="4">
        <f>VLOOKUP(A396,'[6]Monthly Sold'!$A:$M,12,0)</f>
        <v>0</v>
      </c>
      <c r="Z396" s="4">
        <f>VLOOKUP(A396,'[6]Monthly Sold'!$A:$M,13,0)</f>
        <v>0</v>
      </c>
      <c r="AA396" s="4">
        <f t="shared" si="102"/>
        <v>24600</v>
      </c>
      <c r="AB396" s="7">
        <f t="shared" si="109"/>
        <v>2050</v>
      </c>
      <c r="AC396" s="15">
        <f t="shared" si="103"/>
        <v>2050</v>
      </c>
      <c r="AD396" s="16">
        <f t="shared" si="104"/>
        <v>473550</v>
      </c>
      <c r="AE396" s="16">
        <f t="shared" si="105"/>
        <v>39462.5</v>
      </c>
      <c r="AF396" s="21">
        <v>5.22</v>
      </c>
      <c r="AG396" s="21">
        <v>19.25</v>
      </c>
      <c r="AH396" s="15">
        <f t="shared" si="106"/>
        <v>9.8666666666666611E-2</v>
      </c>
      <c r="AI396" s="15">
        <f t="shared" si="107"/>
        <v>0.3453333333333331</v>
      </c>
      <c r="AJ396" s="10">
        <v>0.5</v>
      </c>
      <c r="AK396" s="10">
        <v>0.5</v>
      </c>
      <c r="AL396" s="21">
        <v>5.22</v>
      </c>
      <c r="AM396" s="9">
        <f t="shared" si="110"/>
        <v>2.8874999999999997</v>
      </c>
      <c r="AN396" s="9">
        <f t="shared" si="111"/>
        <v>0.57750000000000001</v>
      </c>
      <c r="AO396" s="9">
        <f t="shared" si="112"/>
        <v>3.85</v>
      </c>
      <c r="AP396" s="9">
        <f t="shared" si="113"/>
        <v>0.38500000000000001</v>
      </c>
      <c r="AQ396" s="9">
        <f t="shared" si="114"/>
        <v>3.85</v>
      </c>
      <c r="AR396" s="9">
        <f t="shared" si="115"/>
        <v>4.8125</v>
      </c>
      <c r="AS396" s="11">
        <f t="shared" si="116"/>
        <v>0.98666666666666603</v>
      </c>
      <c r="AT396" s="12">
        <f t="shared" si="117"/>
        <v>0.34499999999999947</v>
      </c>
    </row>
    <row r="397" spans="1:46" ht="16.5" x14ac:dyDescent="0.4">
      <c r="A397" s="4" t="s">
        <v>1811</v>
      </c>
      <c r="B397" s="4" t="s">
        <v>1895</v>
      </c>
      <c r="C397" s="4" t="s">
        <v>1784</v>
      </c>
      <c r="D397" s="4" t="s">
        <v>1917</v>
      </c>
      <c r="E397" s="4" t="s">
        <v>1918</v>
      </c>
      <c r="F397" s="4" t="s">
        <v>1919</v>
      </c>
      <c r="G397" s="7" t="str">
        <f>VLOOKUP(A397,[1]done!$A:$I,9,0)</f>
        <v>Rodent</v>
      </c>
      <c r="H397" s="7" t="str" cm="1">
        <f t="array" ref="H397">_xlfn.IFS(
OR(ISNUMBER(SEARCH("mouse",E397)),ISNUMBER(SEARCH("rat",E397)),ISNUMBER(SEARCH("mice",E397)),ISNUMBER(SEARCH("rodent",E397))),"Rodent Control",
OR(ISNUMBER(SEARCH("fly",E397)),ISNUMBER(SEARCH("gnat",E397)),ISNUMBER(SEARCH("insect",E397)),ISNUMBER(SEARCH("mosquito",E397))),"Flying Insect Control",
OR(ISNUMBER(SEARCH("roach",E397)),ISNUMBER(SEARCH("ant",E397)),ISNUMBER(SEARCH("spider",E397)),ISNUMBER(SEARCH("cricket",E397)),ISNUMBER(SEARCH("scorpion",E397)),ISNUMBER(SEARCH("centipede",E397)),ISNUMBER(SEARCH("beetle",E397))),"Crawling Insect Control",
OR(ISNUMBER(SEARCH("tree",E397)),ISNUMBER(SEARCH("lantern",E397)),ISNUMBER(SEARCH("garden",E397)),ISNUMBER(SEARCH("plant",E397))),"Garden Pest Control",
OR(ISNUMBER(SEARCH("grass seed",E397)),ISNUMBER(SEARCH("seed mix",E397))),"Grass Seed",
OR(ISNUMBER(SEARCH("lawn food",E397)),ISNUMBER(SEARCH("fertilizer",E397))),"Lawn Fertilizer",
OR(ISNUMBER(SEARCH("patch",E397)),ISNUMBER(SEARCH("repair",E397)),ISNUMBER(SEARCH("thick'r",E397)),ISNUMBER(SEARCH("thick'r lawn",E397)),ISNUMBER(SEARCH("rapid grass",E397))),"Lawn Repair",
OR(ISNUMBER(SEARCH("weed",E397)),ISNUMBER(SEARCH("crabgrass",E397))),"Weed Control",
OR(ISNUMBER(SEARCH("fungicide",E397)),ISNUMBER(SEARCH("moss",E397))),"Disease &amp; Moss Control",
OR(ISNUMBER(SEARCH("plant food",E397)),ISNUMBER(SEARCH("miracid",E397))),"Plant Nutrition",
OR(ISNUMBER(SEARCH("perlite",E397))),"Soil Amendment",
OR(ISNUMBER(SEARCH("spreader",E397)),ISNUMBER(SEARCH("sprayer",E397)),ISNUMBER(SEARCH("mower",E397)),ISNUMBER(SEARCH("sweeper",E397)),ISNUMBER(SEARCH("pruner",E397)),ISNUMBER(SEARCH("trimmer",E397)),ISNUMBER(SEARCH("pole saw",E397))),"Garden Equipment",
TRUE,"Other"
)</f>
        <v>Other</v>
      </c>
      <c r="I397" s="7" t="str" cm="1">
        <f t="array" ref="I397">_xlfn.IFS(
OR(ISNUMBER(SEARCH("glue trap",E397)),ISNUMBER(SEARCH("glue board",E397))),"Glue Traps",
OR(ISNUMBER(SEARCH("snap trap",E397)),ISNUMBER(SEARCH("power-kill",E397)),ISNUMBER(SEARCH("wide pedal",E397)),ISNUMBER(SEARCH("metal pedal",E397))),"Snap Traps",
OR(ISNUMBER(SEARCH("electronic",E397)),ISNUMBER(SEARCH("zapper",E397))),"Electronic Traps",
OR(ISNUMBER(SEARCH("live catch",E397)),ISNUMBER(SEARCH("multi-catch",E397)),ISNUMBER(SEARCH("catch &amp; hold",E397)),ISNUMBER(SEARCH("tin cat",E397))),"Live Catch Traps",
OR(ISNUMBER(SEARCH("bait",E397)),ISNUMBER(SEARCH("poison",E397))),"Bait &amp; Poison",
ISNUMBER(SEARCH("repellent",E397)),"Repellents",
OR(ISNUMBER(SEARCH("fly trap",E397)),ISNUMBER(SEARCH("fly ribbon",E397)),ISNUMBER(SEARCH("fly stick",E397)),ISNUMBER(SEARCH("window fly",E397)),ISNUMBER(SEARCH("fly magnet",E397))),"Fly Traps",
OR(ISNUMBER(SEARCH("uv",E397)),ISNUMBER(SEARCH("fly light",E397)),ISNUMBER(SEARCH("plug-in",E397))),"UV Fly Traps",
ISNUMBER(SEARCH("roach",E397)),"Roach Traps",
ISNUMBER(SEARCH("ant",E397)),"Ant Traps",
ISNUMBER(SEARCH("spider",E397)),"Spider Traps",
ISNUMBER(SEARCH("mosquito",E397)),"Mosquito Traps",
ISNUMBER(SEARCH("beetle",E397)),"Beetle Traps",
ISNUMBER(SEARCH("lantern",E397)),"Lanternfly Control",
OR(ISNUMBER(SEARCH("tree shield",E397)),ISNUMBER(SEARCH("tree banding",E397)),ISNUMBER(SEARCH("insect barrier",E397))),"Tree Barriers",
OR(ISNUMBER(SEARCH("sun &amp; shade",E397)),ISNUMBER(SEARCH("sun and shade",E397))),"Sun &amp; Shade Mix",
ISNUMBER(SEARCH("tall fescue",E397)),"Tall Fescue",
ISNUMBER(SEARCH("bermudagrass",E397)),"Bermudagrass",
ISNUMBER(SEARCH("kentucky",E397)),"Kentucky Bluegrass",
ISNUMBER(SEARCH("zoysia",E397)),"Zoysia",
ISNUMBER(SEARCH("ryegrass",E397)),"Perennial Ryegrass",
ISNUMBER(SEARCH("centipede",E397)),"Centipede Grass",
ISNUMBER(SEARCH("dense shade",E397)),"Dense Shade Mix",
ISNUMBER(SEARCH("southern gold",E397)),"Southern Gold Mix",
ISNUMBER(SEARCH("heat-tolerant blue",E397)),"Heat-Tolerant Blue Mix",
ISNUMBER(SEARCH("high traffic",E397)),"High Traffic Mix",
ISNUMBER(SEARCH("quick fix",E397)),"Quick Fix Mix",
ISNUMBER(SEARCH("starter",E397)),"Starter Fertilizer",
ISNUMBER(SEARCH("weed &amp; feed",E397)),"Weed &amp; Feed",
ISNUMBER(SEARCH("lawn food",E397)),"Lawn Food",
ISNUMBER(SEARCH("triple action",E397)),"Triple Action Fertilizer",
ISNUMBER(SEARCH("green max",E397)),"Green Max Lawn Food",
ISNUMBER(SEARCH("patchmaster",E397)),"PatchMaster Repair",
ISNUMBER(SEARCH("ez seed",E397)),"EZ Seed Repair",
ISNUMBER(SEARCH("rapid grass",E397)),"Rapid Grass",
ISNUMBER(SEARCH("thick'r lawn",E397)),"Thick'R Lawn",
ISNUMBER(SEARCH("fungicide",E397)),"Fungicide",
ISNUMBER(SEARCH("moss",E397)),"Moss Control",
ISNUMBER(SEARCH("perlite",E397)),"Perlite",
ISNUMBER(SEARCH("plant food",E397)),"Plant Food",
ISNUMBER(SEARCH("spreader",E397)),"Spreader",
ISNUMBER(SEARCH("sprayer",E397)),"Sprayer",
ISNUMBER(SEARCH("mower",E397)),"Lawn Mower",
ISNUMBER(SEARCH("sweeper",E397)),"Lawn Sweeper",
OR(ISNUMBER(SEARCH("pruner",E397)),ISNUMBER(SEARCH("trimmer",E397)),ISNUMBER(SEARCH("pole saw",E397))),"Pruning Tools",
TRUE,"Other"
)</f>
        <v>Glue Traps</v>
      </c>
      <c r="J397" s="7" t="str">
        <f t="shared" si="108"/>
        <v>Other - Glue Traps</v>
      </c>
      <c r="K397" s="4">
        <v>6000</v>
      </c>
      <c r="L397" s="4">
        <v>4.5</v>
      </c>
      <c r="M397" s="4">
        <v>8377</v>
      </c>
      <c r="N397" s="4" t="s">
        <v>579</v>
      </c>
      <c r="O397" s="4">
        <f>VLOOKUP(A397,'[6]Monthly Sold'!$A:$B,2,0)</f>
        <v>3000</v>
      </c>
      <c r="P397" s="4">
        <f>VLOOKUP(A397,'[6]Monthly Sold'!$A:$M,3,0)</f>
        <v>2000</v>
      </c>
      <c r="Q397" s="4">
        <f>VLOOKUP(A397,'[6]Monthly Sold'!$A:$M,4,0)</f>
        <v>2000</v>
      </c>
      <c r="R397" s="4">
        <f>VLOOKUP(A397,'[6]Monthly Sold'!$A:$M,5,0)</f>
        <v>3000</v>
      </c>
      <c r="S397" s="4">
        <f>VLOOKUP(A397,'[6]Monthly Sold'!$A:$M,6,0)</f>
        <v>4000</v>
      </c>
      <c r="T397" s="4">
        <f>VLOOKUP(A397,'[6]Monthly Sold'!$A:$M,7,0)</f>
        <v>4000</v>
      </c>
      <c r="U397" s="4">
        <f>VLOOKUP(A397,'[6]Monthly Sold'!$A:$M,8,0)</f>
        <v>3000</v>
      </c>
      <c r="V397" s="4">
        <f>VLOOKUP(A397,'[6]Monthly Sold'!$A:$M,9,0)</f>
        <v>4000</v>
      </c>
      <c r="W397" s="4">
        <f>VLOOKUP(A397,'[6]Monthly Sold'!$A:$M,10,0)</f>
        <v>5000</v>
      </c>
      <c r="X397" s="4">
        <f>VLOOKUP(A397,'[6]Monthly Sold'!$A:$M,11,0)</f>
        <v>6000</v>
      </c>
      <c r="Y397" s="4">
        <f>VLOOKUP(A397,'[6]Monthly Sold'!$A:$M,12,0)</f>
        <v>6000</v>
      </c>
      <c r="Z397" s="4">
        <f>VLOOKUP(A397,'[6]Monthly Sold'!$A:$M,13,0)</f>
        <v>5000</v>
      </c>
      <c r="AA397" s="4">
        <f t="shared" si="102"/>
        <v>47000</v>
      </c>
      <c r="AB397" s="7">
        <f t="shared" si="109"/>
        <v>3917</v>
      </c>
      <c r="AC397" s="15">
        <f t="shared" si="103"/>
        <v>3916.6666666666665</v>
      </c>
      <c r="AD397" s="16">
        <f t="shared" si="104"/>
        <v>158860</v>
      </c>
      <c r="AE397" s="16">
        <f t="shared" si="105"/>
        <v>13238.333333333332</v>
      </c>
      <c r="AF397" s="21">
        <v>2.54</v>
      </c>
      <c r="AG397" s="21">
        <v>3.38</v>
      </c>
      <c r="AH397" s="15">
        <f t="shared" si="106"/>
        <v>-0.14586666666666667</v>
      </c>
      <c r="AI397" s="15">
        <f t="shared" si="107"/>
        <v>-0.51053333333333339</v>
      </c>
      <c r="AJ397" s="10">
        <v>0.5</v>
      </c>
      <c r="AK397" s="10">
        <v>0.5</v>
      </c>
      <c r="AL397" s="21">
        <v>2.54</v>
      </c>
      <c r="AM397" s="9">
        <f t="shared" si="110"/>
        <v>0.50700000000000001</v>
      </c>
      <c r="AN397" s="9">
        <f t="shared" si="111"/>
        <v>0.10139999999999999</v>
      </c>
      <c r="AO397" s="9">
        <f t="shared" si="112"/>
        <v>0.67600000000000005</v>
      </c>
      <c r="AP397" s="9">
        <f t="shared" si="113"/>
        <v>6.7599999999999993E-2</v>
      </c>
      <c r="AQ397" s="9">
        <f t="shared" si="114"/>
        <v>0.67600000000000005</v>
      </c>
      <c r="AR397" s="9">
        <f t="shared" si="115"/>
        <v>0.84499999999999997</v>
      </c>
      <c r="AS397" s="11">
        <f t="shared" si="116"/>
        <v>-1.4586666666666668</v>
      </c>
      <c r="AT397" s="12">
        <f t="shared" si="117"/>
        <v>-1.5713333333333335</v>
      </c>
    </row>
    <row r="398" spans="1:46" ht="16.5" x14ac:dyDescent="0.4">
      <c r="A398" s="4" t="s">
        <v>1812</v>
      </c>
      <c r="B398" s="4" t="s">
        <v>1895</v>
      </c>
      <c r="C398" s="4" t="s">
        <v>1784</v>
      </c>
      <c r="D398" s="4" t="s">
        <v>1920</v>
      </c>
      <c r="E398" s="4" t="s">
        <v>1921</v>
      </c>
      <c r="F398" s="4" t="s">
        <v>1922</v>
      </c>
      <c r="G398" s="7" t="str">
        <f>VLOOKUP(A398,[1]done!$A:$I,9,0)</f>
        <v>Rodent</v>
      </c>
      <c r="H398" s="7" t="str" cm="1">
        <f t="array" ref="H398">_xlfn.IFS(
OR(ISNUMBER(SEARCH("mouse",E398)),ISNUMBER(SEARCH("rat",E398)),ISNUMBER(SEARCH("mice",E398)),ISNUMBER(SEARCH("rodent",E398))),"Rodent Control",
OR(ISNUMBER(SEARCH("fly",E398)),ISNUMBER(SEARCH("gnat",E398)),ISNUMBER(SEARCH("insect",E398)),ISNUMBER(SEARCH("mosquito",E398))),"Flying Insect Control",
OR(ISNUMBER(SEARCH("roach",E398)),ISNUMBER(SEARCH("ant",E398)),ISNUMBER(SEARCH("spider",E398)),ISNUMBER(SEARCH("cricket",E398)),ISNUMBER(SEARCH("scorpion",E398)),ISNUMBER(SEARCH("centipede",E398)),ISNUMBER(SEARCH("beetle",E398))),"Crawling Insect Control",
OR(ISNUMBER(SEARCH("tree",E398)),ISNUMBER(SEARCH("lantern",E398)),ISNUMBER(SEARCH("garden",E398)),ISNUMBER(SEARCH("plant",E398))),"Garden Pest Control",
OR(ISNUMBER(SEARCH("grass seed",E398)),ISNUMBER(SEARCH("seed mix",E398))),"Grass Seed",
OR(ISNUMBER(SEARCH("lawn food",E398)),ISNUMBER(SEARCH("fertilizer",E398))),"Lawn Fertilizer",
OR(ISNUMBER(SEARCH("patch",E398)),ISNUMBER(SEARCH("repair",E398)),ISNUMBER(SEARCH("thick'r",E398)),ISNUMBER(SEARCH("thick'r lawn",E398)),ISNUMBER(SEARCH("rapid grass",E398))),"Lawn Repair",
OR(ISNUMBER(SEARCH("weed",E398)),ISNUMBER(SEARCH("crabgrass",E398))),"Weed Control",
OR(ISNUMBER(SEARCH("fungicide",E398)),ISNUMBER(SEARCH("moss",E398))),"Disease &amp; Moss Control",
OR(ISNUMBER(SEARCH("plant food",E398)),ISNUMBER(SEARCH("miracid",E398))),"Plant Nutrition",
OR(ISNUMBER(SEARCH("perlite",E398))),"Soil Amendment",
OR(ISNUMBER(SEARCH("spreader",E398)),ISNUMBER(SEARCH("sprayer",E398)),ISNUMBER(SEARCH("mower",E398)),ISNUMBER(SEARCH("sweeper",E398)),ISNUMBER(SEARCH("pruner",E398)),ISNUMBER(SEARCH("trimmer",E398)),ISNUMBER(SEARCH("pole saw",E398))),"Garden Equipment",
TRUE,"Other"
)</f>
        <v>Rodent Control</v>
      </c>
      <c r="I398" s="7" t="str" cm="1">
        <f t="array" ref="I398">_xlfn.IFS(
OR(ISNUMBER(SEARCH("glue trap",E398)),ISNUMBER(SEARCH("glue board",E398))),"Glue Traps",
OR(ISNUMBER(SEARCH("snap trap",E398)),ISNUMBER(SEARCH("power-kill",E398)),ISNUMBER(SEARCH("wide pedal",E398)),ISNUMBER(SEARCH("metal pedal",E398))),"Snap Traps",
OR(ISNUMBER(SEARCH("electronic",E398)),ISNUMBER(SEARCH("zapper",E398))),"Electronic Traps",
OR(ISNUMBER(SEARCH("live catch",E398)),ISNUMBER(SEARCH("multi-catch",E398)),ISNUMBER(SEARCH("catch &amp; hold",E398)),ISNUMBER(SEARCH("tin cat",E398))),"Live Catch Traps",
OR(ISNUMBER(SEARCH("bait",E398)),ISNUMBER(SEARCH("poison",E398))),"Bait &amp; Poison",
ISNUMBER(SEARCH("repellent",E398)),"Repellents",
OR(ISNUMBER(SEARCH("fly trap",E398)),ISNUMBER(SEARCH("fly ribbon",E398)),ISNUMBER(SEARCH("fly stick",E398)),ISNUMBER(SEARCH("window fly",E398)),ISNUMBER(SEARCH("fly magnet",E398))),"Fly Traps",
OR(ISNUMBER(SEARCH("uv",E398)),ISNUMBER(SEARCH("fly light",E398)),ISNUMBER(SEARCH("plug-in",E398))),"UV Fly Traps",
ISNUMBER(SEARCH("roach",E398)),"Roach Traps",
ISNUMBER(SEARCH("ant",E398)),"Ant Traps",
ISNUMBER(SEARCH("spider",E398)),"Spider Traps",
ISNUMBER(SEARCH("mosquito",E398)),"Mosquito Traps",
ISNUMBER(SEARCH("beetle",E398)),"Beetle Traps",
ISNUMBER(SEARCH("lantern",E398)),"Lanternfly Control",
OR(ISNUMBER(SEARCH("tree shield",E398)),ISNUMBER(SEARCH("tree banding",E398)),ISNUMBER(SEARCH("insect barrier",E398))),"Tree Barriers",
OR(ISNUMBER(SEARCH("sun &amp; shade",E398)),ISNUMBER(SEARCH("sun and shade",E398))),"Sun &amp; Shade Mix",
ISNUMBER(SEARCH("tall fescue",E398)),"Tall Fescue",
ISNUMBER(SEARCH("bermudagrass",E398)),"Bermudagrass",
ISNUMBER(SEARCH("kentucky",E398)),"Kentucky Bluegrass",
ISNUMBER(SEARCH("zoysia",E398)),"Zoysia",
ISNUMBER(SEARCH("ryegrass",E398)),"Perennial Ryegrass",
ISNUMBER(SEARCH("centipede",E398)),"Centipede Grass",
ISNUMBER(SEARCH("dense shade",E398)),"Dense Shade Mix",
ISNUMBER(SEARCH("southern gold",E398)),"Southern Gold Mix",
ISNUMBER(SEARCH("heat-tolerant blue",E398)),"Heat-Tolerant Blue Mix",
ISNUMBER(SEARCH("high traffic",E398)),"High Traffic Mix",
ISNUMBER(SEARCH("quick fix",E398)),"Quick Fix Mix",
ISNUMBER(SEARCH("starter",E398)),"Starter Fertilizer",
ISNUMBER(SEARCH("weed &amp; feed",E398)),"Weed &amp; Feed",
ISNUMBER(SEARCH("lawn food",E398)),"Lawn Food",
ISNUMBER(SEARCH("triple action",E398)),"Triple Action Fertilizer",
ISNUMBER(SEARCH("green max",E398)),"Green Max Lawn Food",
ISNUMBER(SEARCH("patchmaster",E398)),"PatchMaster Repair",
ISNUMBER(SEARCH("ez seed",E398)),"EZ Seed Repair",
ISNUMBER(SEARCH("rapid grass",E398)),"Rapid Grass",
ISNUMBER(SEARCH("thick'r lawn",E398)),"Thick'R Lawn",
ISNUMBER(SEARCH("fungicide",E398)),"Fungicide",
ISNUMBER(SEARCH("moss",E398)),"Moss Control",
ISNUMBER(SEARCH("perlite",E398)),"Perlite",
ISNUMBER(SEARCH("plant food",E398)),"Plant Food",
ISNUMBER(SEARCH("spreader",E398)),"Spreader",
ISNUMBER(SEARCH("sprayer",E398)),"Sprayer",
ISNUMBER(SEARCH("mower",E398)),"Lawn Mower",
ISNUMBER(SEARCH("sweeper",E398)),"Lawn Sweeper",
OR(ISNUMBER(SEARCH("pruner",E398)),ISNUMBER(SEARCH("trimmer",E398)),ISNUMBER(SEARCH("pole saw",E398))),"Pruning Tools",
TRUE,"Other"
)</f>
        <v>Ant Traps</v>
      </c>
      <c r="J398" s="7" t="str">
        <f t="shared" si="108"/>
        <v>Rodent Control - Ant Traps</v>
      </c>
      <c r="K398" s="4">
        <v>5000</v>
      </c>
      <c r="L398" s="4">
        <v>4.2</v>
      </c>
      <c r="M398" s="4">
        <v>8301</v>
      </c>
      <c r="N398" s="4" t="s">
        <v>579</v>
      </c>
      <c r="O398" s="4">
        <f>VLOOKUP(A398,'[6]Monthly Sold'!$A:$B,2,0)</f>
        <v>2000</v>
      </c>
      <c r="P398" s="4">
        <f>VLOOKUP(A398,'[6]Monthly Sold'!$A:$M,3,0)</f>
        <v>2000</v>
      </c>
      <c r="Q398" s="4">
        <f>VLOOKUP(A398,'[6]Monthly Sold'!$A:$M,4,0)</f>
        <v>2000</v>
      </c>
      <c r="R398" s="4">
        <f>VLOOKUP(A398,'[6]Monthly Sold'!$A:$M,5,0)</f>
        <v>3000</v>
      </c>
      <c r="S398" s="4">
        <f>VLOOKUP(A398,'[6]Monthly Sold'!$A:$M,6,0)</f>
        <v>4000</v>
      </c>
      <c r="T398" s="4">
        <f>VLOOKUP(A398,'[6]Monthly Sold'!$A:$M,7,0)</f>
        <v>4000</v>
      </c>
      <c r="U398" s="4">
        <f>VLOOKUP(A398,'[6]Monthly Sold'!$A:$M,8,0)</f>
        <v>3000</v>
      </c>
      <c r="V398" s="4">
        <f>VLOOKUP(A398,'[6]Monthly Sold'!$A:$M,9,0)</f>
        <v>3000</v>
      </c>
      <c r="W398" s="4">
        <f>VLOOKUP(A398,'[6]Monthly Sold'!$A:$M,10,0)</f>
        <v>5000</v>
      </c>
      <c r="X398" s="4">
        <f>VLOOKUP(A398,'[6]Monthly Sold'!$A:$M,11,0)</f>
        <v>4000</v>
      </c>
      <c r="Y398" s="4">
        <f>VLOOKUP(A398,'[6]Monthly Sold'!$A:$M,12,0)</f>
        <v>4000</v>
      </c>
      <c r="Z398" s="4">
        <f>VLOOKUP(A398,'[6]Monthly Sold'!$A:$M,13,0)</f>
        <v>3000</v>
      </c>
      <c r="AA398" s="4">
        <f t="shared" si="102"/>
        <v>39000</v>
      </c>
      <c r="AB398" s="7">
        <f t="shared" si="109"/>
        <v>3250</v>
      </c>
      <c r="AC398" s="15">
        <f t="shared" si="103"/>
        <v>3250</v>
      </c>
      <c r="AD398" s="16">
        <f t="shared" si="104"/>
        <v>638430</v>
      </c>
      <c r="AE398" s="16">
        <f t="shared" si="105"/>
        <v>53202.5</v>
      </c>
      <c r="AF398" s="21">
        <v>5.76</v>
      </c>
      <c r="AG398" s="21">
        <v>16.37</v>
      </c>
      <c r="AH398" s="15">
        <f t="shared" si="106"/>
        <v>-1.4133333333333288E-2</v>
      </c>
      <c r="AI398" s="15">
        <f t="shared" si="107"/>
        <v>-4.9466666666666499E-2</v>
      </c>
      <c r="AJ398" s="10">
        <v>0.5</v>
      </c>
      <c r="AK398" s="10">
        <v>0.5</v>
      </c>
      <c r="AL398" s="21">
        <v>5.76</v>
      </c>
      <c r="AM398" s="9">
        <f t="shared" si="110"/>
        <v>2.4555000000000002</v>
      </c>
      <c r="AN398" s="9">
        <f t="shared" si="111"/>
        <v>0.49110000000000004</v>
      </c>
      <c r="AO398" s="9">
        <f t="shared" si="112"/>
        <v>3.2740000000000005</v>
      </c>
      <c r="AP398" s="9">
        <f t="shared" si="113"/>
        <v>0.32740000000000002</v>
      </c>
      <c r="AQ398" s="9">
        <f t="shared" si="114"/>
        <v>3.2740000000000005</v>
      </c>
      <c r="AR398" s="9">
        <f t="shared" si="115"/>
        <v>4.0925000000000002</v>
      </c>
      <c r="AS398" s="11">
        <f t="shared" si="116"/>
        <v>-0.14133333333333287</v>
      </c>
      <c r="AT398" s="12">
        <f t="shared" si="117"/>
        <v>-0.68699999999999939</v>
      </c>
    </row>
    <row r="399" spans="1:46" ht="16.5" x14ac:dyDescent="0.4">
      <c r="A399" s="4" t="s">
        <v>1813</v>
      </c>
      <c r="B399" s="4" t="s">
        <v>1895</v>
      </c>
      <c r="C399" s="4" t="s">
        <v>1784</v>
      </c>
      <c r="D399" s="4" t="s">
        <v>1923</v>
      </c>
      <c r="E399" s="4" t="s">
        <v>1924</v>
      </c>
      <c r="F399" s="4" t="s">
        <v>1925</v>
      </c>
      <c r="G399" s="7" t="str">
        <f>VLOOKUP(A399,[1]done!$A:$I,9,0)</f>
        <v>Rodent</v>
      </c>
      <c r="H399" s="7" t="str" cm="1">
        <f t="array" ref="H399">_xlfn.IFS(
OR(ISNUMBER(SEARCH("mouse",E399)),ISNUMBER(SEARCH("rat",E399)),ISNUMBER(SEARCH("mice",E399)),ISNUMBER(SEARCH("rodent",E399))),"Rodent Control",
OR(ISNUMBER(SEARCH("fly",E399)),ISNUMBER(SEARCH("gnat",E399)),ISNUMBER(SEARCH("insect",E399)),ISNUMBER(SEARCH("mosquito",E399))),"Flying Insect Control",
OR(ISNUMBER(SEARCH("roach",E399)),ISNUMBER(SEARCH("ant",E399)),ISNUMBER(SEARCH("spider",E399)),ISNUMBER(SEARCH("cricket",E399)),ISNUMBER(SEARCH("scorpion",E399)),ISNUMBER(SEARCH("centipede",E399)),ISNUMBER(SEARCH("beetle",E399))),"Crawling Insect Control",
OR(ISNUMBER(SEARCH("tree",E399)),ISNUMBER(SEARCH("lantern",E399)),ISNUMBER(SEARCH("garden",E399)),ISNUMBER(SEARCH("plant",E399))),"Garden Pest Control",
OR(ISNUMBER(SEARCH("grass seed",E399)),ISNUMBER(SEARCH("seed mix",E399))),"Grass Seed",
OR(ISNUMBER(SEARCH("lawn food",E399)),ISNUMBER(SEARCH("fertilizer",E399))),"Lawn Fertilizer",
OR(ISNUMBER(SEARCH("patch",E399)),ISNUMBER(SEARCH("repair",E399)),ISNUMBER(SEARCH("thick'r",E399)),ISNUMBER(SEARCH("thick'r lawn",E399)),ISNUMBER(SEARCH("rapid grass",E399))),"Lawn Repair",
OR(ISNUMBER(SEARCH("weed",E399)),ISNUMBER(SEARCH("crabgrass",E399))),"Weed Control",
OR(ISNUMBER(SEARCH("fungicide",E399)),ISNUMBER(SEARCH("moss",E399))),"Disease &amp; Moss Control",
OR(ISNUMBER(SEARCH("plant food",E399)),ISNUMBER(SEARCH("miracid",E399))),"Plant Nutrition",
OR(ISNUMBER(SEARCH("perlite",E399))),"Soil Amendment",
OR(ISNUMBER(SEARCH("spreader",E399)),ISNUMBER(SEARCH("sprayer",E399)),ISNUMBER(SEARCH("mower",E399)),ISNUMBER(SEARCH("sweeper",E399)),ISNUMBER(SEARCH("pruner",E399)),ISNUMBER(SEARCH("trimmer",E399)),ISNUMBER(SEARCH("pole saw",E399))),"Garden Equipment",
TRUE,"Other"
)</f>
        <v>Rodent Control</v>
      </c>
      <c r="I399" s="7" t="str" cm="1">
        <f t="array" ref="I399">_xlfn.IFS(
OR(ISNUMBER(SEARCH("glue trap",E399)),ISNUMBER(SEARCH("glue board",E399))),"Glue Traps",
OR(ISNUMBER(SEARCH("snap trap",E399)),ISNUMBER(SEARCH("power-kill",E399)),ISNUMBER(SEARCH("wide pedal",E399)),ISNUMBER(SEARCH("metal pedal",E399))),"Snap Traps",
OR(ISNUMBER(SEARCH("electronic",E399)),ISNUMBER(SEARCH("zapper",E399))),"Electronic Traps",
OR(ISNUMBER(SEARCH("live catch",E399)),ISNUMBER(SEARCH("multi-catch",E399)),ISNUMBER(SEARCH("catch &amp; hold",E399)),ISNUMBER(SEARCH("tin cat",E399))),"Live Catch Traps",
OR(ISNUMBER(SEARCH("bait",E399)),ISNUMBER(SEARCH("poison",E399))),"Bait &amp; Poison",
ISNUMBER(SEARCH("repellent",E399)),"Repellents",
OR(ISNUMBER(SEARCH("fly trap",E399)),ISNUMBER(SEARCH("fly ribbon",E399)),ISNUMBER(SEARCH("fly stick",E399)),ISNUMBER(SEARCH("window fly",E399)),ISNUMBER(SEARCH("fly magnet",E399))),"Fly Traps",
OR(ISNUMBER(SEARCH("uv",E399)),ISNUMBER(SEARCH("fly light",E399)),ISNUMBER(SEARCH("plug-in",E399))),"UV Fly Traps",
ISNUMBER(SEARCH("roach",E399)),"Roach Traps",
ISNUMBER(SEARCH("ant",E399)),"Ant Traps",
ISNUMBER(SEARCH("spider",E399)),"Spider Traps",
ISNUMBER(SEARCH("mosquito",E399)),"Mosquito Traps",
ISNUMBER(SEARCH("beetle",E399)),"Beetle Traps",
ISNUMBER(SEARCH("lantern",E399)),"Lanternfly Control",
OR(ISNUMBER(SEARCH("tree shield",E399)),ISNUMBER(SEARCH("tree banding",E399)),ISNUMBER(SEARCH("insect barrier",E399))),"Tree Barriers",
OR(ISNUMBER(SEARCH("sun &amp; shade",E399)),ISNUMBER(SEARCH("sun and shade",E399))),"Sun &amp; Shade Mix",
ISNUMBER(SEARCH("tall fescue",E399)),"Tall Fescue",
ISNUMBER(SEARCH("bermudagrass",E399)),"Bermudagrass",
ISNUMBER(SEARCH("kentucky",E399)),"Kentucky Bluegrass",
ISNUMBER(SEARCH("zoysia",E399)),"Zoysia",
ISNUMBER(SEARCH("ryegrass",E399)),"Perennial Ryegrass",
ISNUMBER(SEARCH("centipede",E399)),"Centipede Grass",
ISNUMBER(SEARCH("dense shade",E399)),"Dense Shade Mix",
ISNUMBER(SEARCH("southern gold",E399)),"Southern Gold Mix",
ISNUMBER(SEARCH("heat-tolerant blue",E399)),"Heat-Tolerant Blue Mix",
ISNUMBER(SEARCH("high traffic",E399)),"High Traffic Mix",
ISNUMBER(SEARCH("quick fix",E399)),"Quick Fix Mix",
ISNUMBER(SEARCH("starter",E399)),"Starter Fertilizer",
ISNUMBER(SEARCH("weed &amp; feed",E399)),"Weed &amp; Feed",
ISNUMBER(SEARCH("lawn food",E399)),"Lawn Food",
ISNUMBER(SEARCH("triple action",E399)),"Triple Action Fertilizer",
ISNUMBER(SEARCH("green max",E399)),"Green Max Lawn Food",
ISNUMBER(SEARCH("patchmaster",E399)),"PatchMaster Repair",
ISNUMBER(SEARCH("ez seed",E399)),"EZ Seed Repair",
ISNUMBER(SEARCH("rapid grass",E399)),"Rapid Grass",
ISNUMBER(SEARCH("thick'r lawn",E399)),"Thick'R Lawn",
ISNUMBER(SEARCH("fungicide",E399)),"Fungicide",
ISNUMBER(SEARCH("moss",E399)),"Moss Control",
ISNUMBER(SEARCH("perlite",E399)),"Perlite",
ISNUMBER(SEARCH("plant food",E399)),"Plant Food",
ISNUMBER(SEARCH("spreader",E399)),"Spreader",
ISNUMBER(SEARCH("sprayer",E399)),"Sprayer",
ISNUMBER(SEARCH("mower",E399)),"Lawn Mower",
ISNUMBER(SEARCH("sweeper",E399)),"Lawn Sweeper",
OR(ISNUMBER(SEARCH("pruner",E399)),ISNUMBER(SEARCH("trimmer",E399)),ISNUMBER(SEARCH("pole saw",E399))),"Pruning Tools",
TRUE,"Other"
)</f>
        <v>Other</v>
      </c>
      <c r="J399" s="7" t="str">
        <f t="shared" si="108"/>
        <v>Rodent Control - Other</v>
      </c>
      <c r="K399" s="4">
        <v>4000</v>
      </c>
      <c r="L399" s="4">
        <v>4.3</v>
      </c>
      <c r="M399" s="4">
        <v>4880</v>
      </c>
      <c r="N399" s="4" t="s">
        <v>579</v>
      </c>
      <c r="O399" s="4">
        <f>VLOOKUP(A399,'[6]Monthly Sold'!$A:$B,2,0)</f>
        <v>6000</v>
      </c>
      <c r="P399" s="4">
        <f>VLOOKUP(A399,'[6]Monthly Sold'!$A:$M,3,0)</f>
        <v>6000</v>
      </c>
      <c r="Q399" s="4">
        <f>VLOOKUP(A399,'[6]Monthly Sold'!$A:$M,4,0)</f>
        <v>4000</v>
      </c>
      <c r="R399" s="4">
        <f>VLOOKUP(A399,'[6]Monthly Sold'!$A:$M,5,0)</f>
        <v>3000</v>
      </c>
      <c r="S399" s="4">
        <f>VLOOKUP(A399,'[6]Monthly Sold'!$A:$M,6,0)</f>
        <v>3000</v>
      </c>
      <c r="T399" s="4">
        <f>VLOOKUP(A399,'[6]Monthly Sold'!$A:$M,7,0)</f>
        <v>3000</v>
      </c>
      <c r="U399" s="4">
        <f>VLOOKUP(A399,'[6]Monthly Sold'!$A:$M,8,0)</f>
        <v>3000</v>
      </c>
      <c r="V399" s="4">
        <f>VLOOKUP(A399,'[6]Monthly Sold'!$A:$M,9,0)</f>
        <v>3000</v>
      </c>
      <c r="W399" s="4">
        <f>VLOOKUP(A399,'[6]Monthly Sold'!$A:$M,10,0)</f>
        <v>3000</v>
      </c>
      <c r="X399" s="4">
        <f>VLOOKUP(A399,'[6]Monthly Sold'!$A:$M,11,0)</f>
        <v>10000</v>
      </c>
      <c r="Y399" s="4">
        <f>VLOOKUP(A399,'[6]Monthly Sold'!$A:$M,12,0)</f>
        <v>20000</v>
      </c>
      <c r="Z399" s="4">
        <f>VLOOKUP(A399,'[6]Monthly Sold'!$A:$M,13,0)</f>
        <v>1000</v>
      </c>
      <c r="AA399" s="4">
        <f t="shared" si="102"/>
        <v>65000</v>
      </c>
      <c r="AB399" s="7">
        <f t="shared" si="109"/>
        <v>5417</v>
      </c>
      <c r="AC399" s="15">
        <f t="shared" si="103"/>
        <v>5416.666666666667</v>
      </c>
      <c r="AD399" s="16">
        <f t="shared" si="104"/>
        <v>298350</v>
      </c>
      <c r="AE399" s="16">
        <f t="shared" si="105"/>
        <v>24862.5</v>
      </c>
      <c r="AF399" s="21">
        <v>3.24</v>
      </c>
      <c r="AG399" s="21">
        <v>4.59</v>
      </c>
      <c r="AH399" s="15">
        <f t="shared" si="106"/>
        <v>-0.1602666666666667</v>
      </c>
      <c r="AI399" s="15">
        <f t="shared" si="107"/>
        <v>-0.56093333333333339</v>
      </c>
      <c r="AJ399" s="10">
        <v>0.5</v>
      </c>
      <c r="AK399" s="10">
        <v>0.5</v>
      </c>
      <c r="AL399" s="21">
        <v>3.24</v>
      </c>
      <c r="AM399" s="9">
        <f t="shared" si="110"/>
        <v>0.6885</v>
      </c>
      <c r="AN399" s="9">
        <f t="shared" si="111"/>
        <v>0.13769999999999999</v>
      </c>
      <c r="AO399" s="9">
        <f t="shared" si="112"/>
        <v>0.91800000000000004</v>
      </c>
      <c r="AP399" s="9">
        <f t="shared" si="113"/>
        <v>9.1799999999999993E-2</v>
      </c>
      <c r="AQ399" s="9">
        <f t="shared" si="114"/>
        <v>0.91800000000000004</v>
      </c>
      <c r="AR399" s="9">
        <f t="shared" si="115"/>
        <v>1.1475</v>
      </c>
      <c r="AS399" s="11">
        <f t="shared" si="116"/>
        <v>-1.6026666666666669</v>
      </c>
      <c r="AT399" s="12">
        <f t="shared" si="117"/>
        <v>-1.7556666666666667</v>
      </c>
    </row>
    <row r="400" spans="1:46" ht="16.5" x14ac:dyDescent="0.4">
      <c r="A400" s="4" t="s">
        <v>1814</v>
      </c>
      <c r="B400" s="4" t="s">
        <v>1895</v>
      </c>
      <c r="C400" s="4" t="s">
        <v>1895</v>
      </c>
      <c r="D400" s="4" t="s">
        <v>1926</v>
      </c>
      <c r="E400" s="4" t="s">
        <v>1927</v>
      </c>
      <c r="F400" s="4" t="s">
        <v>1928</v>
      </c>
      <c r="G400" s="7" t="str">
        <f>VLOOKUP(A400,[1]done!$A:$I,9,0)</f>
        <v>Rodent</v>
      </c>
      <c r="H400" s="7" t="str" cm="1">
        <f t="array" ref="H400">_xlfn.IFS(
OR(ISNUMBER(SEARCH("mouse",E400)),ISNUMBER(SEARCH("rat",E400)),ISNUMBER(SEARCH("mice",E400)),ISNUMBER(SEARCH("rodent",E400))),"Rodent Control",
OR(ISNUMBER(SEARCH("fly",E400)),ISNUMBER(SEARCH("gnat",E400)),ISNUMBER(SEARCH("insect",E400)),ISNUMBER(SEARCH("mosquito",E400))),"Flying Insect Control",
OR(ISNUMBER(SEARCH("roach",E400)),ISNUMBER(SEARCH("ant",E400)),ISNUMBER(SEARCH("spider",E400)),ISNUMBER(SEARCH("cricket",E400)),ISNUMBER(SEARCH("scorpion",E400)),ISNUMBER(SEARCH("centipede",E400)),ISNUMBER(SEARCH("beetle",E400))),"Crawling Insect Control",
OR(ISNUMBER(SEARCH("tree",E400)),ISNUMBER(SEARCH("lantern",E400)),ISNUMBER(SEARCH("garden",E400)),ISNUMBER(SEARCH("plant",E400))),"Garden Pest Control",
OR(ISNUMBER(SEARCH("grass seed",E400)),ISNUMBER(SEARCH("seed mix",E400))),"Grass Seed",
OR(ISNUMBER(SEARCH("lawn food",E400)),ISNUMBER(SEARCH("fertilizer",E400))),"Lawn Fertilizer",
OR(ISNUMBER(SEARCH("patch",E400)),ISNUMBER(SEARCH("repair",E400)),ISNUMBER(SEARCH("thick'r",E400)),ISNUMBER(SEARCH("thick'r lawn",E400)),ISNUMBER(SEARCH("rapid grass",E400))),"Lawn Repair",
OR(ISNUMBER(SEARCH("weed",E400)),ISNUMBER(SEARCH("crabgrass",E400))),"Weed Control",
OR(ISNUMBER(SEARCH("fungicide",E400)),ISNUMBER(SEARCH("moss",E400))),"Disease &amp; Moss Control",
OR(ISNUMBER(SEARCH("plant food",E400)),ISNUMBER(SEARCH("miracid",E400))),"Plant Nutrition",
OR(ISNUMBER(SEARCH("perlite",E400))),"Soil Amendment",
OR(ISNUMBER(SEARCH("spreader",E400)),ISNUMBER(SEARCH("sprayer",E400)),ISNUMBER(SEARCH("mower",E400)),ISNUMBER(SEARCH("sweeper",E400)),ISNUMBER(SEARCH("pruner",E400)),ISNUMBER(SEARCH("trimmer",E400)),ISNUMBER(SEARCH("pole saw",E400))),"Garden Equipment",
TRUE,"Other"
)</f>
        <v>Rodent Control</v>
      </c>
      <c r="I400" s="7" t="str" cm="1">
        <f t="array" ref="I400">_xlfn.IFS(
OR(ISNUMBER(SEARCH("glue trap",E400)),ISNUMBER(SEARCH("glue board",E400))),"Glue Traps",
OR(ISNUMBER(SEARCH("snap trap",E400)),ISNUMBER(SEARCH("power-kill",E400)),ISNUMBER(SEARCH("wide pedal",E400)),ISNUMBER(SEARCH("metal pedal",E400))),"Snap Traps",
OR(ISNUMBER(SEARCH("electronic",E400)),ISNUMBER(SEARCH("zapper",E400))),"Electronic Traps",
OR(ISNUMBER(SEARCH("live catch",E400)),ISNUMBER(SEARCH("multi-catch",E400)),ISNUMBER(SEARCH("catch &amp; hold",E400)),ISNUMBER(SEARCH("tin cat",E400))),"Live Catch Traps",
OR(ISNUMBER(SEARCH("bait",E400)),ISNUMBER(SEARCH("poison",E400))),"Bait &amp; Poison",
ISNUMBER(SEARCH("repellent",E400)),"Repellents",
OR(ISNUMBER(SEARCH("fly trap",E400)),ISNUMBER(SEARCH("fly ribbon",E400)),ISNUMBER(SEARCH("fly stick",E400)),ISNUMBER(SEARCH("window fly",E400)),ISNUMBER(SEARCH("fly magnet",E400))),"Fly Traps",
OR(ISNUMBER(SEARCH("uv",E400)),ISNUMBER(SEARCH("fly light",E400)),ISNUMBER(SEARCH("plug-in",E400))),"UV Fly Traps",
ISNUMBER(SEARCH("roach",E400)),"Roach Traps",
ISNUMBER(SEARCH("ant",E400)),"Ant Traps",
ISNUMBER(SEARCH("spider",E400)),"Spider Traps",
ISNUMBER(SEARCH("mosquito",E400)),"Mosquito Traps",
ISNUMBER(SEARCH("beetle",E400)),"Beetle Traps",
ISNUMBER(SEARCH("lantern",E400)),"Lanternfly Control",
OR(ISNUMBER(SEARCH("tree shield",E400)),ISNUMBER(SEARCH("tree banding",E400)),ISNUMBER(SEARCH("insect barrier",E400))),"Tree Barriers",
OR(ISNUMBER(SEARCH("sun &amp; shade",E400)),ISNUMBER(SEARCH("sun and shade",E400))),"Sun &amp; Shade Mix",
ISNUMBER(SEARCH("tall fescue",E400)),"Tall Fescue",
ISNUMBER(SEARCH("bermudagrass",E400)),"Bermudagrass",
ISNUMBER(SEARCH("kentucky",E400)),"Kentucky Bluegrass",
ISNUMBER(SEARCH("zoysia",E400)),"Zoysia",
ISNUMBER(SEARCH("ryegrass",E400)),"Perennial Ryegrass",
ISNUMBER(SEARCH("centipede",E400)),"Centipede Grass",
ISNUMBER(SEARCH("dense shade",E400)),"Dense Shade Mix",
ISNUMBER(SEARCH("southern gold",E400)),"Southern Gold Mix",
ISNUMBER(SEARCH("heat-tolerant blue",E400)),"Heat-Tolerant Blue Mix",
ISNUMBER(SEARCH("high traffic",E400)),"High Traffic Mix",
ISNUMBER(SEARCH("quick fix",E400)),"Quick Fix Mix",
ISNUMBER(SEARCH("starter",E400)),"Starter Fertilizer",
ISNUMBER(SEARCH("weed &amp; feed",E400)),"Weed &amp; Feed",
ISNUMBER(SEARCH("lawn food",E400)),"Lawn Food",
ISNUMBER(SEARCH("triple action",E400)),"Triple Action Fertilizer",
ISNUMBER(SEARCH("green max",E400)),"Green Max Lawn Food",
ISNUMBER(SEARCH("patchmaster",E400)),"PatchMaster Repair",
ISNUMBER(SEARCH("ez seed",E400)),"EZ Seed Repair",
ISNUMBER(SEARCH("rapid grass",E400)),"Rapid Grass",
ISNUMBER(SEARCH("thick'r lawn",E400)),"Thick'R Lawn",
ISNUMBER(SEARCH("fungicide",E400)),"Fungicide",
ISNUMBER(SEARCH("moss",E400)),"Moss Control",
ISNUMBER(SEARCH("perlite",E400)),"Perlite",
ISNUMBER(SEARCH("plant food",E400)),"Plant Food",
ISNUMBER(SEARCH("spreader",E400)),"Spreader",
ISNUMBER(SEARCH("sprayer",E400)),"Sprayer",
ISNUMBER(SEARCH("mower",E400)),"Lawn Mower",
ISNUMBER(SEARCH("sweeper",E400)),"Lawn Sweeper",
OR(ISNUMBER(SEARCH("pruner",E400)),ISNUMBER(SEARCH("trimmer",E400)),ISNUMBER(SEARCH("pole saw",E400))),"Pruning Tools",
TRUE,"Other"
)</f>
        <v>Bait &amp; Poison</v>
      </c>
      <c r="J400" s="7" t="str">
        <f t="shared" si="108"/>
        <v>Rodent Control - Bait &amp; Poison</v>
      </c>
      <c r="K400" s="4">
        <v>4000</v>
      </c>
      <c r="L400" s="4">
        <v>4.4000000000000004</v>
      </c>
      <c r="M400" s="4">
        <v>3627</v>
      </c>
      <c r="N400" s="4" t="s">
        <v>453</v>
      </c>
      <c r="O400" s="4">
        <f>VLOOKUP(A400,'[6]Monthly Sold'!$A:$B,2,0)</f>
        <v>1000</v>
      </c>
      <c r="P400" s="4">
        <f>VLOOKUP(A400,'[6]Monthly Sold'!$A:$M,3,0)</f>
        <v>1000</v>
      </c>
      <c r="Q400" s="4">
        <f>VLOOKUP(A400,'[6]Monthly Sold'!$A:$M,4,0)</f>
        <v>2000</v>
      </c>
      <c r="R400" s="4">
        <f>VLOOKUP(A400,'[6]Monthly Sold'!$A:$M,5,0)</f>
        <v>2000</v>
      </c>
      <c r="S400" s="4">
        <f>VLOOKUP(A400,'[6]Monthly Sold'!$A:$M,6,0)</f>
        <v>2000</v>
      </c>
      <c r="T400" s="4">
        <f>VLOOKUP(A400,'[6]Monthly Sold'!$A:$M,7,0)</f>
        <v>3000</v>
      </c>
      <c r="U400" s="4">
        <f>VLOOKUP(A400,'[6]Monthly Sold'!$A:$M,8,0)</f>
        <v>3000</v>
      </c>
      <c r="V400" s="4">
        <f>VLOOKUP(A400,'[6]Monthly Sold'!$A:$M,9,0)</f>
        <v>3000</v>
      </c>
      <c r="W400" s="4">
        <f>VLOOKUP(A400,'[6]Monthly Sold'!$A:$M,10,0)</f>
        <v>3000</v>
      </c>
      <c r="X400" s="4">
        <f>VLOOKUP(A400,'[6]Monthly Sold'!$A:$M,11,0)</f>
        <v>2000</v>
      </c>
      <c r="Y400" s="4">
        <f>VLOOKUP(A400,'[6]Monthly Sold'!$A:$M,12,0)</f>
        <v>3000</v>
      </c>
      <c r="Z400" s="4">
        <f>VLOOKUP(A400,'[6]Monthly Sold'!$A:$M,13,0)</f>
        <v>1000</v>
      </c>
      <c r="AA400" s="4">
        <f t="shared" si="102"/>
        <v>26000</v>
      </c>
      <c r="AB400" s="7">
        <f t="shared" si="109"/>
        <v>2167</v>
      </c>
      <c r="AC400" s="15">
        <f t="shared" si="103"/>
        <v>2166.6666666666665</v>
      </c>
      <c r="AD400" s="16">
        <f t="shared" si="104"/>
        <v>441739.99999999994</v>
      </c>
      <c r="AE400" s="16">
        <f t="shared" si="105"/>
        <v>36811.666666666664</v>
      </c>
      <c r="AF400" s="21">
        <v>6.48</v>
      </c>
      <c r="AG400" s="21">
        <v>16.989999999999998</v>
      </c>
      <c r="AH400" s="15">
        <f t="shared" si="106"/>
        <v>-4.5600000000000071E-2</v>
      </c>
      <c r="AI400" s="15">
        <f t="shared" si="107"/>
        <v>-0.15960000000000024</v>
      </c>
      <c r="AJ400" s="10">
        <v>0.5</v>
      </c>
      <c r="AK400" s="10">
        <v>0.5</v>
      </c>
      <c r="AL400" s="21">
        <v>6.48</v>
      </c>
      <c r="AM400" s="9">
        <f t="shared" si="110"/>
        <v>2.5484999999999998</v>
      </c>
      <c r="AN400" s="9">
        <f t="shared" si="111"/>
        <v>0.50969999999999993</v>
      </c>
      <c r="AO400" s="9">
        <f t="shared" si="112"/>
        <v>3.3979999999999997</v>
      </c>
      <c r="AP400" s="9">
        <f t="shared" si="113"/>
        <v>0.33979999999999999</v>
      </c>
      <c r="AQ400" s="9">
        <f t="shared" si="114"/>
        <v>3.3979999999999997</v>
      </c>
      <c r="AR400" s="9">
        <f t="shared" si="115"/>
        <v>4.2474999999999996</v>
      </c>
      <c r="AS400" s="11">
        <f t="shared" si="116"/>
        <v>-0.45600000000000068</v>
      </c>
      <c r="AT400" s="12">
        <f t="shared" si="117"/>
        <v>-1.022333333333334</v>
      </c>
    </row>
    <row r="401" spans="1:46" ht="16.5" x14ac:dyDescent="0.4">
      <c r="A401" s="4" t="s">
        <v>1815</v>
      </c>
      <c r="B401" s="4" t="s">
        <v>1895</v>
      </c>
      <c r="C401" s="4" t="s">
        <v>1784</v>
      </c>
      <c r="D401" s="4" t="s">
        <v>1929</v>
      </c>
      <c r="E401" s="4" t="s">
        <v>1930</v>
      </c>
      <c r="F401" s="4" t="s">
        <v>1931</v>
      </c>
      <c r="G401" s="7" t="str">
        <f>VLOOKUP(A401,[1]done!$A:$I,9,0)</f>
        <v>Rodent</v>
      </c>
      <c r="H401" s="7" t="str" cm="1">
        <f t="array" ref="H401">_xlfn.IFS(
OR(ISNUMBER(SEARCH("mouse",E401)),ISNUMBER(SEARCH("rat",E401)),ISNUMBER(SEARCH("mice",E401)),ISNUMBER(SEARCH("rodent",E401))),"Rodent Control",
OR(ISNUMBER(SEARCH("fly",E401)),ISNUMBER(SEARCH("gnat",E401)),ISNUMBER(SEARCH("insect",E401)),ISNUMBER(SEARCH("mosquito",E401))),"Flying Insect Control",
OR(ISNUMBER(SEARCH("roach",E401)),ISNUMBER(SEARCH("ant",E401)),ISNUMBER(SEARCH("spider",E401)),ISNUMBER(SEARCH("cricket",E401)),ISNUMBER(SEARCH("scorpion",E401)),ISNUMBER(SEARCH("centipede",E401)),ISNUMBER(SEARCH("beetle",E401))),"Crawling Insect Control",
OR(ISNUMBER(SEARCH("tree",E401)),ISNUMBER(SEARCH("lantern",E401)),ISNUMBER(SEARCH("garden",E401)),ISNUMBER(SEARCH("plant",E401))),"Garden Pest Control",
OR(ISNUMBER(SEARCH("grass seed",E401)),ISNUMBER(SEARCH("seed mix",E401))),"Grass Seed",
OR(ISNUMBER(SEARCH("lawn food",E401)),ISNUMBER(SEARCH("fertilizer",E401))),"Lawn Fertilizer",
OR(ISNUMBER(SEARCH("patch",E401)),ISNUMBER(SEARCH("repair",E401)),ISNUMBER(SEARCH("thick'r",E401)),ISNUMBER(SEARCH("thick'r lawn",E401)),ISNUMBER(SEARCH("rapid grass",E401))),"Lawn Repair",
OR(ISNUMBER(SEARCH("weed",E401)),ISNUMBER(SEARCH("crabgrass",E401))),"Weed Control",
OR(ISNUMBER(SEARCH("fungicide",E401)),ISNUMBER(SEARCH("moss",E401))),"Disease &amp; Moss Control",
OR(ISNUMBER(SEARCH("plant food",E401)),ISNUMBER(SEARCH("miracid",E401))),"Plant Nutrition",
OR(ISNUMBER(SEARCH("perlite",E401))),"Soil Amendment",
OR(ISNUMBER(SEARCH("spreader",E401)),ISNUMBER(SEARCH("sprayer",E401)),ISNUMBER(SEARCH("mower",E401)),ISNUMBER(SEARCH("sweeper",E401)),ISNUMBER(SEARCH("pruner",E401)),ISNUMBER(SEARCH("trimmer",E401)),ISNUMBER(SEARCH("pole saw",E401))),"Garden Equipment",
TRUE,"Other"
)</f>
        <v>Rodent Control</v>
      </c>
      <c r="I401" s="7" t="str" cm="1">
        <f t="array" ref="I401">_xlfn.IFS(
OR(ISNUMBER(SEARCH("glue trap",E401)),ISNUMBER(SEARCH("glue board",E401))),"Glue Traps",
OR(ISNUMBER(SEARCH("snap trap",E401)),ISNUMBER(SEARCH("power-kill",E401)),ISNUMBER(SEARCH("wide pedal",E401)),ISNUMBER(SEARCH("metal pedal",E401))),"Snap Traps",
OR(ISNUMBER(SEARCH("electronic",E401)),ISNUMBER(SEARCH("zapper",E401))),"Electronic Traps",
OR(ISNUMBER(SEARCH("live catch",E401)),ISNUMBER(SEARCH("multi-catch",E401)),ISNUMBER(SEARCH("catch &amp; hold",E401)),ISNUMBER(SEARCH("tin cat",E401))),"Live Catch Traps",
OR(ISNUMBER(SEARCH("bait",E401)),ISNUMBER(SEARCH("poison",E401))),"Bait &amp; Poison",
ISNUMBER(SEARCH("repellent",E401)),"Repellents",
OR(ISNUMBER(SEARCH("fly trap",E401)),ISNUMBER(SEARCH("fly ribbon",E401)),ISNUMBER(SEARCH("fly stick",E401)),ISNUMBER(SEARCH("window fly",E401)),ISNUMBER(SEARCH("fly magnet",E401))),"Fly Traps",
OR(ISNUMBER(SEARCH("uv",E401)),ISNUMBER(SEARCH("fly light",E401)),ISNUMBER(SEARCH("plug-in",E401))),"UV Fly Traps",
ISNUMBER(SEARCH("roach",E401)),"Roach Traps",
ISNUMBER(SEARCH("ant",E401)),"Ant Traps",
ISNUMBER(SEARCH("spider",E401)),"Spider Traps",
ISNUMBER(SEARCH("mosquito",E401)),"Mosquito Traps",
ISNUMBER(SEARCH("beetle",E401)),"Beetle Traps",
ISNUMBER(SEARCH("lantern",E401)),"Lanternfly Control",
OR(ISNUMBER(SEARCH("tree shield",E401)),ISNUMBER(SEARCH("tree banding",E401)),ISNUMBER(SEARCH("insect barrier",E401))),"Tree Barriers",
OR(ISNUMBER(SEARCH("sun &amp; shade",E401)),ISNUMBER(SEARCH("sun and shade",E401))),"Sun &amp; Shade Mix",
ISNUMBER(SEARCH("tall fescue",E401)),"Tall Fescue",
ISNUMBER(SEARCH("bermudagrass",E401)),"Bermudagrass",
ISNUMBER(SEARCH("kentucky",E401)),"Kentucky Bluegrass",
ISNUMBER(SEARCH("zoysia",E401)),"Zoysia",
ISNUMBER(SEARCH("ryegrass",E401)),"Perennial Ryegrass",
ISNUMBER(SEARCH("centipede",E401)),"Centipede Grass",
ISNUMBER(SEARCH("dense shade",E401)),"Dense Shade Mix",
ISNUMBER(SEARCH("southern gold",E401)),"Southern Gold Mix",
ISNUMBER(SEARCH("heat-tolerant blue",E401)),"Heat-Tolerant Blue Mix",
ISNUMBER(SEARCH("high traffic",E401)),"High Traffic Mix",
ISNUMBER(SEARCH("quick fix",E401)),"Quick Fix Mix",
ISNUMBER(SEARCH("starter",E401)),"Starter Fertilizer",
ISNUMBER(SEARCH("weed &amp; feed",E401)),"Weed &amp; Feed",
ISNUMBER(SEARCH("lawn food",E401)),"Lawn Food",
ISNUMBER(SEARCH("triple action",E401)),"Triple Action Fertilizer",
ISNUMBER(SEARCH("green max",E401)),"Green Max Lawn Food",
ISNUMBER(SEARCH("patchmaster",E401)),"PatchMaster Repair",
ISNUMBER(SEARCH("ez seed",E401)),"EZ Seed Repair",
ISNUMBER(SEARCH("rapid grass",E401)),"Rapid Grass",
ISNUMBER(SEARCH("thick'r lawn",E401)),"Thick'R Lawn",
ISNUMBER(SEARCH("fungicide",E401)),"Fungicide",
ISNUMBER(SEARCH("moss",E401)),"Moss Control",
ISNUMBER(SEARCH("perlite",E401)),"Perlite",
ISNUMBER(SEARCH("plant food",E401)),"Plant Food",
ISNUMBER(SEARCH("spreader",E401)),"Spreader",
ISNUMBER(SEARCH("sprayer",E401)),"Sprayer",
ISNUMBER(SEARCH("mower",E401)),"Lawn Mower",
ISNUMBER(SEARCH("sweeper",E401)),"Lawn Sweeper",
OR(ISNUMBER(SEARCH("pruner",E401)),ISNUMBER(SEARCH("trimmer",E401)),ISNUMBER(SEARCH("pole saw",E401))),"Pruning Tools",
TRUE,"Other"
)</f>
        <v>Other</v>
      </c>
      <c r="J401" s="7" t="str">
        <f t="shared" si="108"/>
        <v>Rodent Control - Other</v>
      </c>
      <c r="K401" s="4">
        <v>3000</v>
      </c>
      <c r="L401" s="4">
        <v>3.5</v>
      </c>
      <c r="M401" s="4">
        <v>6122</v>
      </c>
      <c r="N401" s="4" t="s">
        <v>579</v>
      </c>
      <c r="O401" s="4">
        <f>VLOOKUP(A401,'[6]Monthly Sold'!$A:$B,2,0)</f>
        <v>5000</v>
      </c>
      <c r="P401" s="4">
        <f>VLOOKUP(A401,'[6]Monthly Sold'!$A:$M,3,0)</f>
        <v>5000</v>
      </c>
      <c r="Q401" s="4">
        <f>VLOOKUP(A401,'[6]Monthly Sold'!$A:$M,4,0)</f>
        <v>3000</v>
      </c>
      <c r="R401" s="4">
        <f>VLOOKUP(A401,'[6]Monthly Sold'!$A:$M,5,0)</f>
        <v>2000</v>
      </c>
      <c r="S401" s="4">
        <f>VLOOKUP(A401,'[6]Monthly Sold'!$A:$M,6,0)</f>
        <v>2000</v>
      </c>
      <c r="T401" s="4">
        <f>VLOOKUP(A401,'[6]Monthly Sold'!$A:$M,7,0)</f>
        <v>2000</v>
      </c>
      <c r="U401" s="4">
        <f>VLOOKUP(A401,'[6]Monthly Sold'!$A:$M,8,0)</f>
        <v>2000</v>
      </c>
      <c r="V401" s="4">
        <f>VLOOKUP(A401,'[6]Monthly Sold'!$A:$M,9,0)</f>
        <v>2000</v>
      </c>
      <c r="W401" s="4">
        <f>VLOOKUP(A401,'[6]Monthly Sold'!$A:$M,10,0)</f>
        <v>3000</v>
      </c>
      <c r="X401" s="4">
        <f>VLOOKUP(A401,'[6]Monthly Sold'!$A:$M,11,0)</f>
        <v>7000</v>
      </c>
      <c r="Y401" s="4">
        <f>VLOOKUP(A401,'[6]Monthly Sold'!$A:$M,12,0)</f>
        <v>10000</v>
      </c>
      <c r="Z401" s="4">
        <f>VLOOKUP(A401,'[6]Monthly Sold'!$A:$M,13,0)</f>
        <v>10000</v>
      </c>
      <c r="AA401" s="4">
        <f t="shared" si="102"/>
        <v>53000</v>
      </c>
      <c r="AB401" s="7">
        <f t="shared" si="109"/>
        <v>4417</v>
      </c>
      <c r="AC401" s="15">
        <f t="shared" si="103"/>
        <v>4416.666666666667</v>
      </c>
      <c r="AD401" s="16">
        <f t="shared" si="104"/>
        <v>523640.00000000006</v>
      </c>
      <c r="AE401" s="16">
        <f t="shared" si="105"/>
        <v>43636.666666666672</v>
      </c>
      <c r="AF401" s="21">
        <v>3.91</v>
      </c>
      <c r="AG401" s="21">
        <v>9.8800000000000008</v>
      </c>
      <c r="AH401" s="15">
        <f t="shared" si="106"/>
        <v>-6.3866666666666697E-2</v>
      </c>
      <c r="AI401" s="15">
        <f t="shared" si="107"/>
        <v>-0.22353333333333342</v>
      </c>
      <c r="AJ401" s="10">
        <v>0.5</v>
      </c>
      <c r="AK401" s="10">
        <v>0.5</v>
      </c>
      <c r="AL401" s="21">
        <v>3.91</v>
      </c>
      <c r="AM401" s="9">
        <f t="shared" si="110"/>
        <v>1.482</v>
      </c>
      <c r="AN401" s="9">
        <f t="shared" si="111"/>
        <v>0.2964</v>
      </c>
      <c r="AO401" s="9">
        <f t="shared" si="112"/>
        <v>1.9760000000000002</v>
      </c>
      <c r="AP401" s="9">
        <f t="shared" si="113"/>
        <v>0.19760000000000003</v>
      </c>
      <c r="AQ401" s="9">
        <f t="shared" si="114"/>
        <v>1.9760000000000002</v>
      </c>
      <c r="AR401" s="9">
        <f t="shared" si="115"/>
        <v>2.4700000000000002</v>
      </c>
      <c r="AS401" s="11">
        <f t="shared" si="116"/>
        <v>-0.63866666666666694</v>
      </c>
      <c r="AT401" s="12">
        <f t="shared" si="117"/>
        <v>-0.9680000000000003</v>
      </c>
    </row>
    <row r="402" spans="1:46" ht="16.5" x14ac:dyDescent="0.4">
      <c r="A402" s="4" t="s">
        <v>1816</v>
      </c>
      <c r="B402" s="4" t="s">
        <v>1895</v>
      </c>
      <c r="C402" s="4" t="s">
        <v>1784</v>
      </c>
      <c r="D402" s="4" t="s">
        <v>1932</v>
      </c>
      <c r="E402" s="4" t="s">
        <v>1933</v>
      </c>
      <c r="F402" s="4" t="s">
        <v>1934</v>
      </c>
      <c r="G402" s="7" t="str">
        <f>VLOOKUP(A402,[1]done!$A:$I,9,0)</f>
        <v>Rodent</v>
      </c>
      <c r="H402" s="7" t="str" cm="1">
        <f t="array" ref="H402">_xlfn.IFS(
OR(ISNUMBER(SEARCH("mouse",E402)),ISNUMBER(SEARCH("rat",E402)),ISNUMBER(SEARCH("mice",E402)),ISNUMBER(SEARCH("rodent",E402))),"Rodent Control",
OR(ISNUMBER(SEARCH("fly",E402)),ISNUMBER(SEARCH("gnat",E402)),ISNUMBER(SEARCH("insect",E402)),ISNUMBER(SEARCH("mosquito",E402))),"Flying Insect Control",
OR(ISNUMBER(SEARCH("roach",E402)),ISNUMBER(SEARCH("ant",E402)),ISNUMBER(SEARCH("spider",E402)),ISNUMBER(SEARCH("cricket",E402)),ISNUMBER(SEARCH("scorpion",E402)),ISNUMBER(SEARCH("centipede",E402)),ISNUMBER(SEARCH("beetle",E402))),"Crawling Insect Control",
OR(ISNUMBER(SEARCH("tree",E402)),ISNUMBER(SEARCH("lantern",E402)),ISNUMBER(SEARCH("garden",E402)),ISNUMBER(SEARCH("plant",E402))),"Garden Pest Control",
OR(ISNUMBER(SEARCH("grass seed",E402)),ISNUMBER(SEARCH("seed mix",E402))),"Grass Seed",
OR(ISNUMBER(SEARCH("lawn food",E402)),ISNUMBER(SEARCH("fertilizer",E402))),"Lawn Fertilizer",
OR(ISNUMBER(SEARCH("patch",E402)),ISNUMBER(SEARCH("repair",E402)),ISNUMBER(SEARCH("thick'r",E402)),ISNUMBER(SEARCH("thick'r lawn",E402)),ISNUMBER(SEARCH("rapid grass",E402))),"Lawn Repair",
OR(ISNUMBER(SEARCH("weed",E402)),ISNUMBER(SEARCH("crabgrass",E402))),"Weed Control",
OR(ISNUMBER(SEARCH("fungicide",E402)),ISNUMBER(SEARCH("moss",E402))),"Disease &amp; Moss Control",
OR(ISNUMBER(SEARCH("plant food",E402)),ISNUMBER(SEARCH("miracid",E402))),"Plant Nutrition",
OR(ISNUMBER(SEARCH("perlite",E402))),"Soil Amendment",
OR(ISNUMBER(SEARCH("spreader",E402)),ISNUMBER(SEARCH("sprayer",E402)),ISNUMBER(SEARCH("mower",E402)),ISNUMBER(SEARCH("sweeper",E402)),ISNUMBER(SEARCH("pruner",E402)),ISNUMBER(SEARCH("trimmer",E402)),ISNUMBER(SEARCH("pole saw",E402))),"Garden Equipment",
TRUE,"Other"
)</f>
        <v>Rodent Control</v>
      </c>
      <c r="I402" s="7" t="str" cm="1">
        <f t="array" ref="I402">_xlfn.IFS(
OR(ISNUMBER(SEARCH("glue trap",E402)),ISNUMBER(SEARCH("glue board",E402))),"Glue Traps",
OR(ISNUMBER(SEARCH("snap trap",E402)),ISNUMBER(SEARCH("power-kill",E402)),ISNUMBER(SEARCH("wide pedal",E402)),ISNUMBER(SEARCH("metal pedal",E402))),"Snap Traps",
OR(ISNUMBER(SEARCH("electronic",E402)),ISNUMBER(SEARCH("zapper",E402))),"Electronic Traps",
OR(ISNUMBER(SEARCH("live catch",E402)),ISNUMBER(SEARCH("multi-catch",E402)),ISNUMBER(SEARCH("catch &amp; hold",E402)),ISNUMBER(SEARCH("tin cat",E402))),"Live Catch Traps",
OR(ISNUMBER(SEARCH("bait",E402)),ISNUMBER(SEARCH("poison",E402))),"Bait &amp; Poison",
ISNUMBER(SEARCH("repellent",E402)),"Repellents",
OR(ISNUMBER(SEARCH("fly trap",E402)),ISNUMBER(SEARCH("fly ribbon",E402)),ISNUMBER(SEARCH("fly stick",E402)),ISNUMBER(SEARCH("window fly",E402)),ISNUMBER(SEARCH("fly magnet",E402))),"Fly Traps",
OR(ISNUMBER(SEARCH("uv",E402)),ISNUMBER(SEARCH("fly light",E402)),ISNUMBER(SEARCH("plug-in",E402))),"UV Fly Traps",
ISNUMBER(SEARCH("roach",E402)),"Roach Traps",
ISNUMBER(SEARCH("ant",E402)),"Ant Traps",
ISNUMBER(SEARCH("spider",E402)),"Spider Traps",
ISNUMBER(SEARCH("mosquito",E402)),"Mosquito Traps",
ISNUMBER(SEARCH("beetle",E402)),"Beetle Traps",
ISNUMBER(SEARCH("lantern",E402)),"Lanternfly Control",
OR(ISNUMBER(SEARCH("tree shield",E402)),ISNUMBER(SEARCH("tree banding",E402)),ISNUMBER(SEARCH("insect barrier",E402))),"Tree Barriers",
OR(ISNUMBER(SEARCH("sun &amp; shade",E402)),ISNUMBER(SEARCH("sun and shade",E402))),"Sun &amp; Shade Mix",
ISNUMBER(SEARCH("tall fescue",E402)),"Tall Fescue",
ISNUMBER(SEARCH("bermudagrass",E402)),"Bermudagrass",
ISNUMBER(SEARCH("kentucky",E402)),"Kentucky Bluegrass",
ISNUMBER(SEARCH("zoysia",E402)),"Zoysia",
ISNUMBER(SEARCH("ryegrass",E402)),"Perennial Ryegrass",
ISNUMBER(SEARCH("centipede",E402)),"Centipede Grass",
ISNUMBER(SEARCH("dense shade",E402)),"Dense Shade Mix",
ISNUMBER(SEARCH("southern gold",E402)),"Southern Gold Mix",
ISNUMBER(SEARCH("heat-tolerant blue",E402)),"Heat-Tolerant Blue Mix",
ISNUMBER(SEARCH("high traffic",E402)),"High Traffic Mix",
ISNUMBER(SEARCH("quick fix",E402)),"Quick Fix Mix",
ISNUMBER(SEARCH("starter",E402)),"Starter Fertilizer",
ISNUMBER(SEARCH("weed &amp; feed",E402)),"Weed &amp; Feed",
ISNUMBER(SEARCH("lawn food",E402)),"Lawn Food",
ISNUMBER(SEARCH("triple action",E402)),"Triple Action Fertilizer",
ISNUMBER(SEARCH("green max",E402)),"Green Max Lawn Food",
ISNUMBER(SEARCH("patchmaster",E402)),"PatchMaster Repair",
ISNUMBER(SEARCH("ez seed",E402)),"EZ Seed Repair",
ISNUMBER(SEARCH("rapid grass",E402)),"Rapid Grass",
ISNUMBER(SEARCH("thick'r lawn",E402)),"Thick'R Lawn",
ISNUMBER(SEARCH("fungicide",E402)),"Fungicide",
ISNUMBER(SEARCH("moss",E402)),"Moss Control",
ISNUMBER(SEARCH("perlite",E402)),"Perlite",
ISNUMBER(SEARCH("plant food",E402)),"Plant Food",
ISNUMBER(SEARCH("spreader",E402)),"Spreader",
ISNUMBER(SEARCH("sprayer",E402)),"Sprayer",
ISNUMBER(SEARCH("mower",E402)),"Lawn Mower",
ISNUMBER(SEARCH("sweeper",E402)),"Lawn Sweeper",
OR(ISNUMBER(SEARCH("pruner",E402)),ISNUMBER(SEARCH("trimmer",E402)),ISNUMBER(SEARCH("pole saw",E402))),"Pruning Tools",
TRUE,"Other"
)</f>
        <v>Other</v>
      </c>
      <c r="J402" s="7" t="str">
        <f t="shared" si="108"/>
        <v>Rodent Control - Other</v>
      </c>
      <c r="K402" s="4">
        <v>3000</v>
      </c>
      <c r="L402" s="4">
        <v>4.3</v>
      </c>
      <c r="M402" s="4">
        <v>4131</v>
      </c>
      <c r="N402" s="4" t="s">
        <v>579</v>
      </c>
      <c r="O402" s="4">
        <f>VLOOKUP(A402,'[6]Monthly Sold'!$A:$B,2,0)</f>
        <v>3000</v>
      </c>
      <c r="P402" s="4">
        <f>VLOOKUP(A402,'[6]Monthly Sold'!$A:$M,3,0)</f>
        <v>2000</v>
      </c>
      <c r="Q402" s="4">
        <f>VLOOKUP(A402,'[6]Monthly Sold'!$A:$M,4,0)</f>
        <v>2000</v>
      </c>
      <c r="R402" s="4">
        <f>VLOOKUP(A402,'[6]Monthly Sold'!$A:$M,5,0)</f>
        <v>2000</v>
      </c>
      <c r="S402" s="4">
        <f>VLOOKUP(A402,'[6]Monthly Sold'!$A:$M,6,0)</f>
        <v>3000</v>
      </c>
      <c r="T402" s="4">
        <f>VLOOKUP(A402,'[6]Monthly Sold'!$A:$M,7,0)</f>
        <v>3000</v>
      </c>
      <c r="U402" s="4">
        <f>VLOOKUP(A402,'[6]Monthly Sold'!$A:$M,8,0)</f>
        <v>1000</v>
      </c>
      <c r="V402" s="4">
        <f>VLOOKUP(A402,'[6]Monthly Sold'!$A:$M,9,0)</f>
        <v>3000</v>
      </c>
      <c r="W402" s="4">
        <f>VLOOKUP(A402,'[6]Monthly Sold'!$A:$M,10,0)</f>
        <v>3000</v>
      </c>
      <c r="X402" s="4">
        <f>VLOOKUP(A402,'[6]Monthly Sold'!$A:$M,11,0)</f>
        <v>4000</v>
      </c>
      <c r="Y402" s="4">
        <f>VLOOKUP(A402,'[6]Monthly Sold'!$A:$M,12,0)</f>
        <v>5000</v>
      </c>
      <c r="Z402" s="4">
        <f>VLOOKUP(A402,'[6]Monthly Sold'!$A:$M,13,0)</f>
        <v>4000</v>
      </c>
      <c r="AA402" s="4">
        <f t="shared" si="102"/>
        <v>35000</v>
      </c>
      <c r="AB402" s="7">
        <f t="shared" si="109"/>
        <v>2917</v>
      </c>
      <c r="AC402" s="15">
        <f t="shared" si="103"/>
        <v>2916.6666666666665</v>
      </c>
      <c r="AD402" s="16">
        <f t="shared" si="104"/>
        <v>346850</v>
      </c>
      <c r="AE402" s="16">
        <f t="shared" si="105"/>
        <v>28904.166666666664</v>
      </c>
      <c r="AF402" s="21">
        <v>4.99</v>
      </c>
      <c r="AG402" s="21">
        <v>9.91</v>
      </c>
      <c r="AH402" s="15">
        <f t="shared" si="106"/>
        <v>-0.13506666666666672</v>
      </c>
      <c r="AI402" s="15">
        <f t="shared" si="107"/>
        <v>-0.47273333333333345</v>
      </c>
      <c r="AJ402" s="10">
        <v>0.5</v>
      </c>
      <c r="AK402" s="10">
        <v>0.5</v>
      </c>
      <c r="AL402" s="21">
        <v>4.99</v>
      </c>
      <c r="AM402" s="9">
        <f t="shared" si="110"/>
        <v>1.4864999999999999</v>
      </c>
      <c r="AN402" s="9">
        <f t="shared" si="111"/>
        <v>0.29730000000000001</v>
      </c>
      <c r="AO402" s="9">
        <f t="shared" si="112"/>
        <v>1.9820000000000002</v>
      </c>
      <c r="AP402" s="9">
        <f t="shared" si="113"/>
        <v>0.19820000000000002</v>
      </c>
      <c r="AQ402" s="9">
        <f t="shared" si="114"/>
        <v>1.9820000000000002</v>
      </c>
      <c r="AR402" s="9">
        <f t="shared" si="115"/>
        <v>2.4775</v>
      </c>
      <c r="AS402" s="11">
        <f t="shared" si="116"/>
        <v>-1.3506666666666671</v>
      </c>
      <c r="AT402" s="12">
        <f t="shared" si="117"/>
        <v>-1.6810000000000003</v>
      </c>
    </row>
    <row r="403" spans="1:46" ht="16.5" x14ac:dyDescent="0.4">
      <c r="A403" s="4" t="s">
        <v>1817</v>
      </c>
      <c r="B403" s="4" t="s">
        <v>1895</v>
      </c>
      <c r="C403" s="4" t="s">
        <v>1784</v>
      </c>
      <c r="D403" s="4" t="s">
        <v>1935</v>
      </c>
      <c r="E403" s="4" t="s">
        <v>1936</v>
      </c>
      <c r="F403" s="4" t="s">
        <v>1937</v>
      </c>
      <c r="G403" s="7" t="str">
        <f>VLOOKUP(A403,[1]done!$A:$I,9,0)</f>
        <v>Rodent</v>
      </c>
      <c r="H403" s="7" t="str" cm="1">
        <f t="array" ref="H403">_xlfn.IFS(
OR(ISNUMBER(SEARCH("mouse",E403)),ISNUMBER(SEARCH("rat",E403)),ISNUMBER(SEARCH("mice",E403)),ISNUMBER(SEARCH("rodent",E403))),"Rodent Control",
OR(ISNUMBER(SEARCH("fly",E403)),ISNUMBER(SEARCH("gnat",E403)),ISNUMBER(SEARCH("insect",E403)),ISNUMBER(SEARCH("mosquito",E403))),"Flying Insect Control",
OR(ISNUMBER(SEARCH("roach",E403)),ISNUMBER(SEARCH("ant",E403)),ISNUMBER(SEARCH("spider",E403)),ISNUMBER(SEARCH("cricket",E403)),ISNUMBER(SEARCH("scorpion",E403)),ISNUMBER(SEARCH("centipede",E403)),ISNUMBER(SEARCH("beetle",E403))),"Crawling Insect Control",
OR(ISNUMBER(SEARCH("tree",E403)),ISNUMBER(SEARCH("lantern",E403)),ISNUMBER(SEARCH("garden",E403)),ISNUMBER(SEARCH("plant",E403))),"Garden Pest Control",
OR(ISNUMBER(SEARCH("grass seed",E403)),ISNUMBER(SEARCH("seed mix",E403))),"Grass Seed",
OR(ISNUMBER(SEARCH("lawn food",E403)),ISNUMBER(SEARCH("fertilizer",E403))),"Lawn Fertilizer",
OR(ISNUMBER(SEARCH("patch",E403)),ISNUMBER(SEARCH("repair",E403)),ISNUMBER(SEARCH("thick'r",E403)),ISNUMBER(SEARCH("thick'r lawn",E403)),ISNUMBER(SEARCH("rapid grass",E403))),"Lawn Repair",
OR(ISNUMBER(SEARCH("weed",E403)),ISNUMBER(SEARCH("crabgrass",E403))),"Weed Control",
OR(ISNUMBER(SEARCH("fungicide",E403)),ISNUMBER(SEARCH("moss",E403))),"Disease &amp; Moss Control",
OR(ISNUMBER(SEARCH("plant food",E403)),ISNUMBER(SEARCH("miracid",E403))),"Plant Nutrition",
OR(ISNUMBER(SEARCH("perlite",E403))),"Soil Amendment",
OR(ISNUMBER(SEARCH("spreader",E403)),ISNUMBER(SEARCH("sprayer",E403)),ISNUMBER(SEARCH("mower",E403)),ISNUMBER(SEARCH("sweeper",E403)),ISNUMBER(SEARCH("pruner",E403)),ISNUMBER(SEARCH("trimmer",E403)),ISNUMBER(SEARCH("pole saw",E403))),"Garden Equipment",
TRUE,"Other"
)</f>
        <v>Other</v>
      </c>
      <c r="I403" s="7" t="str" cm="1">
        <f t="array" ref="I403">_xlfn.IFS(
OR(ISNUMBER(SEARCH("glue trap",E403)),ISNUMBER(SEARCH("glue board",E403))),"Glue Traps",
OR(ISNUMBER(SEARCH("snap trap",E403)),ISNUMBER(SEARCH("power-kill",E403)),ISNUMBER(SEARCH("wide pedal",E403)),ISNUMBER(SEARCH("metal pedal",E403))),"Snap Traps",
OR(ISNUMBER(SEARCH("electronic",E403)),ISNUMBER(SEARCH("zapper",E403))),"Electronic Traps",
OR(ISNUMBER(SEARCH("live catch",E403)),ISNUMBER(SEARCH("multi-catch",E403)),ISNUMBER(SEARCH("catch &amp; hold",E403)),ISNUMBER(SEARCH("tin cat",E403))),"Live Catch Traps",
OR(ISNUMBER(SEARCH("bait",E403)),ISNUMBER(SEARCH("poison",E403))),"Bait &amp; Poison",
ISNUMBER(SEARCH("repellent",E403)),"Repellents",
OR(ISNUMBER(SEARCH("fly trap",E403)),ISNUMBER(SEARCH("fly ribbon",E403)),ISNUMBER(SEARCH("fly stick",E403)),ISNUMBER(SEARCH("window fly",E403)),ISNUMBER(SEARCH("fly magnet",E403))),"Fly Traps",
OR(ISNUMBER(SEARCH("uv",E403)),ISNUMBER(SEARCH("fly light",E403)),ISNUMBER(SEARCH("plug-in",E403))),"UV Fly Traps",
ISNUMBER(SEARCH("roach",E403)),"Roach Traps",
ISNUMBER(SEARCH("ant",E403)),"Ant Traps",
ISNUMBER(SEARCH("spider",E403)),"Spider Traps",
ISNUMBER(SEARCH("mosquito",E403)),"Mosquito Traps",
ISNUMBER(SEARCH("beetle",E403)),"Beetle Traps",
ISNUMBER(SEARCH("lantern",E403)),"Lanternfly Control",
OR(ISNUMBER(SEARCH("tree shield",E403)),ISNUMBER(SEARCH("tree banding",E403)),ISNUMBER(SEARCH("insect barrier",E403))),"Tree Barriers",
OR(ISNUMBER(SEARCH("sun &amp; shade",E403)),ISNUMBER(SEARCH("sun and shade",E403))),"Sun &amp; Shade Mix",
ISNUMBER(SEARCH("tall fescue",E403)),"Tall Fescue",
ISNUMBER(SEARCH("bermudagrass",E403)),"Bermudagrass",
ISNUMBER(SEARCH("kentucky",E403)),"Kentucky Bluegrass",
ISNUMBER(SEARCH("zoysia",E403)),"Zoysia",
ISNUMBER(SEARCH("ryegrass",E403)),"Perennial Ryegrass",
ISNUMBER(SEARCH("centipede",E403)),"Centipede Grass",
ISNUMBER(SEARCH("dense shade",E403)),"Dense Shade Mix",
ISNUMBER(SEARCH("southern gold",E403)),"Southern Gold Mix",
ISNUMBER(SEARCH("heat-tolerant blue",E403)),"Heat-Tolerant Blue Mix",
ISNUMBER(SEARCH("high traffic",E403)),"High Traffic Mix",
ISNUMBER(SEARCH("quick fix",E403)),"Quick Fix Mix",
ISNUMBER(SEARCH("starter",E403)),"Starter Fertilizer",
ISNUMBER(SEARCH("weed &amp; feed",E403)),"Weed &amp; Feed",
ISNUMBER(SEARCH("lawn food",E403)),"Lawn Food",
ISNUMBER(SEARCH("triple action",E403)),"Triple Action Fertilizer",
ISNUMBER(SEARCH("green max",E403)),"Green Max Lawn Food",
ISNUMBER(SEARCH("patchmaster",E403)),"PatchMaster Repair",
ISNUMBER(SEARCH("ez seed",E403)),"EZ Seed Repair",
ISNUMBER(SEARCH("rapid grass",E403)),"Rapid Grass",
ISNUMBER(SEARCH("thick'r lawn",E403)),"Thick'R Lawn",
ISNUMBER(SEARCH("fungicide",E403)),"Fungicide",
ISNUMBER(SEARCH("moss",E403)),"Moss Control",
ISNUMBER(SEARCH("perlite",E403)),"Perlite",
ISNUMBER(SEARCH("plant food",E403)),"Plant Food",
ISNUMBER(SEARCH("spreader",E403)),"Spreader",
ISNUMBER(SEARCH("sprayer",E403)),"Sprayer",
ISNUMBER(SEARCH("mower",E403)),"Lawn Mower",
ISNUMBER(SEARCH("sweeper",E403)),"Lawn Sweeper",
OR(ISNUMBER(SEARCH("pruner",E403)),ISNUMBER(SEARCH("trimmer",E403)),ISNUMBER(SEARCH("pole saw",E403))),"Pruning Tools",
TRUE,"Other"
)</f>
        <v>Bait &amp; Poison</v>
      </c>
      <c r="J403" s="7" t="str">
        <f t="shared" si="108"/>
        <v>Other - Bait &amp; Poison</v>
      </c>
      <c r="K403" s="4">
        <v>2000</v>
      </c>
      <c r="L403" s="4">
        <v>4.5</v>
      </c>
      <c r="M403" s="4">
        <v>1181</v>
      </c>
      <c r="N403" s="4" t="s">
        <v>579</v>
      </c>
      <c r="O403" s="4">
        <f>VLOOKUP(A403,'[6]Monthly Sold'!$A:$B,2,0)</f>
        <v>1000</v>
      </c>
      <c r="P403" s="4">
        <f>VLOOKUP(A403,'[6]Monthly Sold'!$A:$M,3,0)</f>
        <v>1000</v>
      </c>
      <c r="Q403" s="4">
        <f>VLOOKUP(A403,'[6]Monthly Sold'!$A:$M,4,0)</f>
        <v>1000</v>
      </c>
      <c r="R403" s="4">
        <f>VLOOKUP(A403,'[6]Monthly Sold'!$A:$M,5,0)</f>
        <v>1000</v>
      </c>
      <c r="S403" s="4">
        <f>VLOOKUP(A403,'[6]Monthly Sold'!$A:$M,6,0)</f>
        <v>1000</v>
      </c>
      <c r="T403" s="4">
        <f>VLOOKUP(A403,'[6]Monthly Sold'!$A:$M,7,0)</f>
        <v>0</v>
      </c>
      <c r="U403" s="4">
        <f>VLOOKUP(A403,'[6]Monthly Sold'!$A:$M,8,0)</f>
        <v>1000</v>
      </c>
      <c r="V403" s="4">
        <f>VLOOKUP(A403,'[6]Monthly Sold'!$A:$M,9,0)</f>
        <v>2000</v>
      </c>
      <c r="W403" s="4">
        <f>VLOOKUP(A403,'[6]Monthly Sold'!$A:$M,10,0)</f>
        <v>2000</v>
      </c>
      <c r="X403" s="4">
        <f>VLOOKUP(A403,'[6]Monthly Sold'!$A:$M,11,0)</f>
        <v>1000</v>
      </c>
      <c r="Y403" s="4">
        <f>VLOOKUP(A403,'[6]Monthly Sold'!$A:$M,12,0)</f>
        <v>2000</v>
      </c>
      <c r="Z403" s="4">
        <f>VLOOKUP(A403,'[6]Monthly Sold'!$A:$M,13,0)</f>
        <v>1000</v>
      </c>
      <c r="AA403" s="4">
        <f t="shared" si="102"/>
        <v>14000</v>
      </c>
      <c r="AB403" s="7">
        <f t="shared" si="109"/>
        <v>1167</v>
      </c>
      <c r="AC403" s="15">
        <f t="shared" si="103"/>
        <v>1166.6666666666667</v>
      </c>
      <c r="AD403" s="16">
        <f t="shared" si="104"/>
        <v>587440</v>
      </c>
      <c r="AE403" s="16">
        <f t="shared" si="105"/>
        <v>48953.333333333336</v>
      </c>
      <c r="AF403" s="21">
        <v>7.79</v>
      </c>
      <c r="AG403" s="21">
        <v>41.96</v>
      </c>
      <c r="AH403" s="15">
        <f t="shared" si="106"/>
        <v>0.53293333333333315</v>
      </c>
      <c r="AI403" s="15">
        <f t="shared" si="107"/>
        <v>1.865266666666666</v>
      </c>
      <c r="AJ403" s="10">
        <v>0.5</v>
      </c>
      <c r="AK403" s="10">
        <v>0.5</v>
      </c>
      <c r="AL403" s="21">
        <v>7.79</v>
      </c>
      <c r="AM403" s="9">
        <f t="shared" si="110"/>
        <v>6.2939999999999996</v>
      </c>
      <c r="AN403" s="9">
        <f t="shared" si="111"/>
        <v>1.2587999999999999</v>
      </c>
      <c r="AO403" s="9">
        <f t="shared" si="112"/>
        <v>8.3920000000000012</v>
      </c>
      <c r="AP403" s="9">
        <f t="shared" si="113"/>
        <v>0.83920000000000006</v>
      </c>
      <c r="AQ403" s="9">
        <f t="shared" si="114"/>
        <v>8.3920000000000012</v>
      </c>
      <c r="AR403" s="9">
        <f t="shared" si="115"/>
        <v>10.49</v>
      </c>
      <c r="AS403" s="11">
        <f t="shared" si="116"/>
        <v>5.3293333333333317</v>
      </c>
      <c r="AT403" s="12">
        <f t="shared" si="117"/>
        <v>3.9306666666666659</v>
      </c>
    </row>
    <row r="404" spans="1:46" ht="16.5" x14ac:dyDescent="0.4">
      <c r="A404" s="4" t="s">
        <v>1818</v>
      </c>
      <c r="B404" s="4" t="s">
        <v>1895</v>
      </c>
      <c r="C404" s="4" t="s">
        <v>1784</v>
      </c>
      <c r="D404" s="4" t="s">
        <v>1938</v>
      </c>
      <c r="E404" s="4" t="s">
        <v>1939</v>
      </c>
      <c r="F404" s="4" t="s">
        <v>1940</v>
      </c>
      <c r="G404" s="7" t="str">
        <f>VLOOKUP(A404,[1]done!$A:$I,9,0)</f>
        <v>Rodent</v>
      </c>
      <c r="H404" s="7" t="str" cm="1">
        <f t="array" ref="H404">_xlfn.IFS(
OR(ISNUMBER(SEARCH("mouse",E404)),ISNUMBER(SEARCH("rat",E404)),ISNUMBER(SEARCH("mice",E404)),ISNUMBER(SEARCH("rodent",E404))),"Rodent Control",
OR(ISNUMBER(SEARCH("fly",E404)),ISNUMBER(SEARCH("gnat",E404)),ISNUMBER(SEARCH("insect",E404)),ISNUMBER(SEARCH("mosquito",E404))),"Flying Insect Control",
OR(ISNUMBER(SEARCH("roach",E404)),ISNUMBER(SEARCH("ant",E404)),ISNUMBER(SEARCH("spider",E404)),ISNUMBER(SEARCH("cricket",E404)),ISNUMBER(SEARCH("scorpion",E404)),ISNUMBER(SEARCH("centipede",E404)),ISNUMBER(SEARCH("beetle",E404))),"Crawling Insect Control",
OR(ISNUMBER(SEARCH("tree",E404)),ISNUMBER(SEARCH("lantern",E404)),ISNUMBER(SEARCH("garden",E404)),ISNUMBER(SEARCH("plant",E404))),"Garden Pest Control",
OR(ISNUMBER(SEARCH("grass seed",E404)),ISNUMBER(SEARCH("seed mix",E404))),"Grass Seed",
OR(ISNUMBER(SEARCH("lawn food",E404)),ISNUMBER(SEARCH("fertilizer",E404))),"Lawn Fertilizer",
OR(ISNUMBER(SEARCH("patch",E404)),ISNUMBER(SEARCH("repair",E404)),ISNUMBER(SEARCH("thick'r",E404)),ISNUMBER(SEARCH("thick'r lawn",E404)),ISNUMBER(SEARCH("rapid grass",E404))),"Lawn Repair",
OR(ISNUMBER(SEARCH("weed",E404)),ISNUMBER(SEARCH("crabgrass",E404))),"Weed Control",
OR(ISNUMBER(SEARCH("fungicide",E404)),ISNUMBER(SEARCH("moss",E404))),"Disease &amp; Moss Control",
OR(ISNUMBER(SEARCH("plant food",E404)),ISNUMBER(SEARCH("miracid",E404))),"Plant Nutrition",
OR(ISNUMBER(SEARCH("perlite",E404))),"Soil Amendment",
OR(ISNUMBER(SEARCH("spreader",E404)),ISNUMBER(SEARCH("sprayer",E404)),ISNUMBER(SEARCH("mower",E404)),ISNUMBER(SEARCH("sweeper",E404)),ISNUMBER(SEARCH("pruner",E404)),ISNUMBER(SEARCH("trimmer",E404)),ISNUMBER(SEARCH("pole saw",E404))),"Garden Equipment",
TRUE,"Other"
)</f>
        <v>Rodent Control</v>
      </c>
      <c r="I404" s="7" t="str" cm="1">
        <f t="array" ref="I404">_xlfn.IFS(
OR(ISNUMBER(SEARCH("glue trap",E404)),ISNUMBER(SEARCH("glue board",E404))),"Glue Traps",
OR(ISNUMBER(SEARCH("snap trap",E404)),ISNUMBER(SEARCH("power-kill",E404)),ISNUMBER(SEARCH("wide pedal",E404)),ISNUMBER(SEARCH("metal pedal",E404))),"Snap Traps",
OR(ISNUMBER(SEARCH("electronic",E404)),ISNUMBER(SEARCH("zapper",E404))),"Electronic Traps",
OR(ISNUMBER(SEARCH("live catch",E404)),ISNUMBER(SEARCH("multi-catch",E404)),ISNUMBER(SEARCH("catch &amp; hold",E404)),ISNUMBER(SEARCH("tin cat",E404))),"Live Catch Traps",
OR(ISNUMBER(SEARCH("bait",E404)),ISNUMBER(SEARCH("poison",E404))),"Bait &amp; Poison",
ISNUMBER(SEARCH("repellent",E404)),"Repellents",
OR(ISNUMBER(SEARCH("fly trap",E404)),ISNUMBER(SEARCH("fly ribbon",E404)),ISNUMBER(SEARCH("fly stick",E404)),ISNUMBER(SEARCH("window fly",E404)),ISNUMBER(SEARCH("fly magnet",E404))),"Fly Traps",
OR(ISNUMBER(SEARCH("uv",E404)),ISNUMBER(SEARCH("fly light",E404)),ISNUMBER(SEARCH("plug-in",E404))),"UV Fly Traps",
ISNUMBER(SEARCH("roach",E404)),"Roach Traps",
ISNUMBER(SEARCH("ant",E404)),"Ant Traps",
ISNUMBER(SEARCH("spider",E404)),"Spider Traps",
ISNUMBER(SEARCH("mosquito",E404)),"Mosquito Traps",
ISNUMBER(SEARCH("beetle",E404)),"Beetle Traps",
ISNUMBER(SEARCH("lantern",E404)),"Lanternfly Control",
OR(ISNUMBER(SEARCH("tree shield",E404)),ISNUMBER(SEARCH("tree banding",E404)),ISNUMBER(SEARCH("insect barrier",E404))),"Tree Barriers",
OR(ISNUMBER(SEARCH("sun &amp; shade",E404)),ISNUMBER(SEARCH("sun and shade",E404))),"Sun &amp; Shade Mix",
ISNUMBER(SEARCH("tall fescue",E404)),"Tall Fescue",
ISNUMBER(SEARCH("bermudagrass",E404)),"Bermudagrass",
ISNUMBER(SEARCH("kentucky",E404)),"Kentucky Bluegrass",
ISNUMBER(SEARCH("zoysia",E404)),"Zoysia",
ISNUMBER(SEARCH("ryegrass",E404)),"Perennial Ryegrass",
ISNUMBER(SEARCH("centipede",E404)),"Centipede Grass",
ISNUMBER(SEARCH("dense shade",E404)),"Dense Shade Mix",
ISNUMBER(SEARCH("southern gold",E404)),"Southern Gold Mix",
ISNUMBER(SEARCH("heat-tolerant blue",E404)),"Heat-Tolerant Blue Mix",
ISNUMBER(SEARCH("high traffic",E404)),"High Traffic Mix",
ISNUMBER(SEARCH("quick fix",E404)),"Quick Fix Mix",
ISNUMBER(SEARCH("starter",E404)),"Starter Fertilizer",
ISNUMBER(SEARCH("weed &amp; feed",E404)),"Weed &amp; Feed",
ISNUMBER(SEARCH("lawn food",E404)),"Lawn Food",
ISNUMBER(SEARCH("triple action",E404)),"Triple Action Fertilizer",
ISNUMBER(SEARCH("green max",E404)),"Green Max Lawn Food",
ISNUMBER(SEARCH("patchmaster",E404)),"PatchMaster Repair",
ISNUMBER(SEARCH("ez seed",E404)),"EZ Seed Repair",
ISNUMBER(SEARCH("rapid grass",E404)),"Rapid Grass",
ISNUMBER(SEARCH("thick'r lawn",E404)),"Thick'R Lawn",
ISNUMBER(SEARCH("fungicide",E404)),"Fungicide",
ISNUMBER(SEARCH("moss",E404)),"Moss Control",
ISNUMBER(SEARCH("perlite",E404)),"Perlite",
ISNUMBER(SEARCH("plant food",E404)),"Plant Food",
ISNUMBER(SEARCH("spreader",E404)),"Spreader",
ISNUMBER(SEARCH("sprayer",E404)),"Sprayer",
ISNUMBER(SEARCH("mower",E404)),"Lawn Mower",
ISNUMBER(SEARCH("sweeper",E404)),"Lawn Sweeper",
OR(ISNUMBER(SEARCH("pruner",E404)),ISNUMBER(SEARCH("trimmer",E404)),ISNUMBER(SEARCH("pole saw",E404))),"Pruning Tools",
TRUE,"Other"
)</f>
        <v>Glue Traps</v>
      </c>
      <c r="J404" s="7" t="str">
        <f t="shared" si="108"/>
        <v>Rodent Control - Glue Traps</v>
      </c>
      <c r="K404" s="4">
        <v>2000</v>
      </c>
      <c r="L404" s="4">
        <v>4.4000000000000004</v>
      </c>
      <c r="M404" s="4">
        <v>8301</v>
      </c>
      <c r="N404" s="4" t="s">
        <v>579</v>
      </c>
      <c r="O404" s="4">
        <v>5000</v>
      </c>
      <c r="P404" s="4">
        <v>5000</v>
      </c>
      <c r="Q404" s="4">
        <v>4000</v>
      </c>
      <c r="R404" s="4">
        <v>2000</v>
      </c>
      <c r="S404" s="4">
        <v>2000</v>
      </c>
      <c r="T404" s="4">
        <v>3000</v>
      </c>
      <c r="U404" s="4">
        <v>3000</v>
      </c>
      <c r="V404" s="4">
        <v>2000</v>
      </c>
      <c r="W404" s="4">
        <v>2000</v>
      </c>
      <c r="X404" s="4">
        <v>5000</v>
      </c>
      <c r="Y404" s="4">
        <v>9000</v>
      </c>
      <c r="Z404" s="4">
        <v>8000</v>
      </c>
      <c r="AA404" s="4">
        <f t="shared" si="102"/>
        <v>50000</v>
      </c>
      <c r="AB404" s="7">
        <f t="shared" si="109"/>
        <v>4167</v>
      </c>
      <c r="AC404" s="15">
        <f t="shared" si="103"/>
        <v>4166.666666666667</v>
      </c>
      <c r="AD404" s="16">
        <f t="shared" si="104"/>
        <v>223500</v>
      </c>
      <c r="AE404" s="16">
        <f t="shared" si="105"/>
        <v>18625</v>
      </c>
      <c r="AF404" s="21">
        <v>2.58</v>
      </c>
      <c r="AG404" s="21">
        <v>4.47</v>
      </c>
      <c r="AH404" s="15">
        <f t="shared" si="106"/>
        <v>-0.11946666666666668</v>
      </c>
      <c r="AI404" s="15">
        <f t="shared" si="107"/>
        <v>-0.41813333333333336</v>
      </c>
      <c r="AJ404" s="10">
        <v>0.5</v>
      </c>
      <c r="AK404" s="10">
        <v>0.5</v>
      </c>
      <c r="AL404" s="21">
        <v>2.58</v>
      </c>
      <c r="AM404" s="9">
        <f t="shared" si="110"/>
        <v>0.67049999999999998</v>
      </c>
      <c r="AN404" s="9">
        <f t="shared" si="111"/>
        <v>0.1341</v>
      </c>
      <c r="AO404" s="9">
        <f t="shared" si="112"/>
        <v>0.89400000000000002</v>
      </c>
      <c r="AP404" s="9">
        <f t="shared" si="113"/>
        <v>8.9399999999999993E-2</v>
      </c>
      <c r="AQ404" s="9">
        <f t="shared" si="114"/>
        <v>0.89400000000000002</v>
      </c>
      <c r="AR404" s="9">
        <f t="shared" si="115"/>
        <v>1.1174999999999999</v>
      </c>
      <c r="AS404" s="11">
        <f t="shared" si="116"/>
        <v>-1.1946666666666668</v>
      </c>
      <c r="AT404" s="12">
        <f t="shared" si="117"/>
        <v>-1.3436666666666668</v>
      </c>
    </row>
    <row r="405" spans="1:46" ht="16.5" x14ac:dyDescent="0.4">
      <c r="A405" s="4" t="s">
        <v>1819</v>
      </c>
      <c r="B405" s="4" t="s">
        <v>1895</v>
      </c>
      <c r="C405" s="4" t="s">
        <v>1784</v>
      </c>
      <c r="D405" s="4" t="s">
        <v>1941</v>
      </c>
      <c r="E405" s="4" t="s">
        <v>1942</v>
      </c>
      <c r="F405" s="4" t="s">
        <v>1943</v>
      </c>
      <c r="G405" s="7" t="str">
        <f>VLOOKUP(A405,[1]done!$A:$I,9,0)</f>
        <v>Rodent</v>
      </c>
      <c r="H405" s="7" t="str" cm="1">
        <f t="array" ref="H405">_xlfn.IFS(
OR(ISNUMBER(SEARCH("mouse",E405)),ISNUMBER(SEARCH("rat",E405)),ISNUMBER(SEARCH("mice",E405)),ISNUMBER(SEARCH("rodent",E405))),"Rodent Control",
OR(ISNUMBER(SEARCH("fly",E405)),ISNUMBER(SEARCH("gnat",E405)),ISNUMBER(SEARCH("insect",E405)),ISNUMBER(SEARCH("mosquito",E405))),"Flying Insect Control",
OR(ISNUMBER(SEARCH("roach",E405)),ISNUMBER(SEARCH("ant",E405)),ISNUMBER(SEARCH("spider",E405)),ISNUMBER(SEARCH("cricket",E405)),ISNUMBER(SEARCH("scorpion",E405)),ISNUMBER(SEARCH("centipede",E405)),ISNUMBER(SEARCH("beetle",E405))),"Crawling Insect Control",
OR(ISNUMBER(SEARCH("tree",E405)),ISNUMBER(SEARCH("lantern",E405)),ISNUMBER(SEARCH("garden",E405)),ISNUMBER(SEARCH("plant",E405))),"Garden Pest Control",
OR(ISNUMBER(SEARCH("grass seed",E405)),ISNUMBER(SEARCH("seed mix",E405))),"Grass Seed",
OR(ISNUMBER(SEARCH("lawn food",E405)),ISNUMBER(SEARCH("fertilizer",E405))),"Lawn Fertilizer",
OR(ISNUMBER(SEARCH("patch",E405)),ISNUMBER(SEARCH("repair",E405)),ISNUMBER(SEARCH("thick'r",E405)),ISNUMBER(SEARCH("thick'r lawn",E405)),ISNUMBER(SEARCH("rapid grass",E405))),"Lawn Repair",
OR(ISNUMBER(SEARCH("weed",E405)),ISNUMBER(SEARCH("crabgrass",E405))),"Weed Control",
OR(ISNUMBER(SEARCH("fungicide",E405)),ISNUMBER(SEARCH("moss",E405))),"Disease &amp; Moss Control",
OR(ISNUMBER(SEARCH("plant food",E405)),ISNUMBER(SEARCH("miracid",E405))),"Plant Nutrition",
OR(ISNUMBER(SEARCH("perlite",E405))),"Soil Amendment",
OR(ISNUMBER(SEARCH("spreader",E405)),ISNUMBER(SEARCH("sprayer",E405)),ISNUMBER(SEARCH("mower",E405)),ISNUMBER(SEARCH("sweeper",E405)),ISNUMBER(SEARCH("pruner",E405)),ISNUMBER(SEARCH("trimmer",E405)),ISNUMBER(SEARCH("pole saw",E405))),"Garden Equipment",
TRUE,"Other"
)</f>
        <v>Rodent Control</v>
      </c>
      <c r="I405" s="7" t="str" cm="1">
        <f t="array" ref="I405">_xlfn.IFS(
OR(ISNUMBER(SEARCH("glue trap",E405)),ISNUMBER(SEARCH("glue board",E405))),"Glue Traps",
OR(ISNUMBER(SEARCH("snap trap",E405)),ISNUMBER(SEARCH("power-kill",E405)),ISNUMBER(SEARCH("wide pedal",E405)),ISNUMBER(SEARCH("metal pedal",E405))),"Snap Traps",
OR(ISNUMBER(SEARCH("electronic",E405)),ISNUMBER(SEARCH("zapper",E405))),"Electronic Traps",
OR(ISNUMBER(SEARCH("live catch",E405)),ISNUMBER(SEARCH("multi-catch",E405)),ISNUMBER(SEARCH("catch &amp; hold",E405)),ISNUMBER(SEARCH("tin cat",E405))),"Live Catch Traps",
OR(ISNUMBER(SEARCH("bait",E405)),ISNUMBER(SEARCH("poison",E405))),"Bait &amp; Poison",
ISNUMBER(SEARCH("repellent",E405)),"Repellents",
OR(ISNUMBER(SEARCH("fly trap",E405)),ISNUMBER(SEARCH("fly ribbon",E405)),ISNUMBER(SEARCH("fly stick",E405)),ISNUMBER(SEARCH("window fly",E405)),ISNUMBER(SEARCH("fly magnet",E405))),"Fly Traps",
OR(ISNUMBER(SEARCH("uv",E405)),ISNUMBER(SEARCH("fly light",E405)),ISNUMBER(SEARCH("plug-in",E405))),"UV Fly Traps",
ISNUMBER(SEARCH("roach",E405)),"Roach Traps",
ISNUMBER(SEARCH("ant",E405)),"Ant Traps",
ISNUMBER(SEARCH("spider",E405)),"Spider Traps",
ISNUMBER(SEARCH("mosquito",E405)),"Mosquito Traps",
ISNUMBER(SEARCH("beetle",E405)),"Beetle Traps",
ISNUMBER(SEARCH("lantern",E405)),"Lanternfly Control",
OR(ISNUMBER(SEARCH("tree shield",E405)),ISNUMBER(SEARCH("tree banding",E405)),ISNUMBER(SEARCH("insect barrier",E405))),"Tree Barriers",
OR(ISNUMBER(SEARCH("sun &amp; shade",E405)),ISNUMBER(SEARCH("sun and shade",E405))),"Sun &amp; Shade Mix",
ISNUMBER(SEARCH("tall fescue",E405)),"Tall Fescue",
ISNUMBER(SEARCH("bermudagrass",E405)),"Bermudagrass",
ISNUMBER(SEARCH("kentucky",E405)),"Kentucky Bluegrass",
ISNUMBER(SEARCH("zoysia",E405)),"Zoysia",
ISNUMBER(SEARCH("ryegrass",E405)),"Perennial Ryegrass",
ISNUMBER(SEARCH("centipede",E405)),"Centipede Grass",
ISNUMBER(SEARCH("dense shade",E405)),"Dense Shade Mix",
ISNUMBER(SEARCH("southern gold",E405)),"Southern Gold Mix",
ISNUMBER(SEARCH("heat-tolerant blue",E405)),"Heat-Tolerant Blue Mix",
ISNUMBER(SEARCH("high traffic",E405)),"High Traffic Mix",
ISNUMBER(SEARCH("quick fix",E405)),"Quick Fix Mix",
ISNUMBER(SEARCH("starter",E405)),"Starter Fertilizer",
ISNUMBER(SEARCH("weed &amp; feed",E405)),"Weed &amp; Feed",
ISNUMBER(SEARCH("lawn food",E405)),"Lawn Food",
ISNUMBER(SEARCH("triple action",E405)),"Triple Action Fertilizer",
ISNUMBER(SEARCH("green max",E405)),"Green Max Lawn Food",
ISNUMBER(SEARCH("patchmaster",E405)),"PatchMaster Repair",
ISNUMBER(SEARCH("ez seed",E405)),"EZ Seed Repair",
ISNUMBER(SEARCH("rapid grass",E405)),"Rapid Grass",
ISNUMBER(SEARCH("thick'r lawn",E405)),"Thick'R Lawn",
ISNUMBER(SEARCH("fungicide",E405)),"Fungicide",
ISNUMBER(SEARCH("moss",E405)),"Moss Control",
ISNUMBER(SEARCH("perlite",E405)),"Perlite",
ISNUMBER(SEARCH("plant food",E405)),"Plant Food",
ISNUMBER(SEARCH("spreader",E405)),"Spreader",
ISNUMBER(SEARCH("sprayer",E405)),"Sprayer",
ISNUMBER(SEARCH("mower",E405)),"Lawn Mower",
ISNUMBER(SEARCH("sweeper",E405)),"Lawn Sweeper",
OR(ISNUMBER(SEARCH("pruner",E405)),ISNUMBER(SEARCH("trimmer",E405)),ISNUMBER(SEARCH("pole saw",E405))),"Pruning Tools",
TRUE,"Other"
)</f>
        <v>Glue Traps</v>
      </c>
      <c r="J405" s="7" t="str">
        <f t="shared" si="108"/>
        <v>Rodent Control - Glue Traps</v>
      </c>
      <c r="K405" s="4">
        <v>2000</v>
      </c>
      <c r="L405" s="4">
        <v>4.4000000000000004</v>
      </c>
      <c r="M405" s="4">
        <v>3706</v>
      </c>
      <c r="N405" s="4" t="s">
        <v>579</v>
      </c>
      <c r="O405" s="4">
        <f>VLOOKUP(A405,'[6]Monthly Sold'!$A:$B,2,0)</f>
        <v>2000</v>
      </c>
      <c r="P405" s="4">
        <f>VLOOKUP(A405,'[6]Monthly Sold'!$A:$M,3,0)</f>
        <v>1000</v>
      </c>
      <c r="Q405" s="4">
        <f>VLOOKUP(A405,'[6]Monthly Sold'!$A:$M,4,0)</f>
        <v>1000</v>
      </c>
      <c r="R405" s="4">
        <f>VLOOKUP(A405,'[6]Monthly Sold'!$A:$M,5,0)</f>
        <v>1000</v>
      </c>
      <c r="S405" s="4">
        <f>VLOOKUP(A405,'[6]Monthly Sold'!$A:$M,6,0)</f>
        <v>1000</v>
      </c>
      <c r="T405" s="4">
        <f>VLOOKUP(A405,'[6]Monthly Sold'!$A:$M,7,0)</f>
        <v>1000</v>
      </c>
      <c r="U405" s="4">
        <f>VLOOKUP(A405,'[6]Monthly Sold'!$A:$M,8,0)</f>
        <v>1000</v>
      </c>
      <c r="V405" s="4">
        <f>VLOOKUP(A405,'[6]Monthly Sold'!$A:$M,9,0)</f>
        <v>1000</v>
      </c>
      <c r="W405" s="4">
        <f>VLOOKUP(A405,'[6]Monthly Sold'!$A:$M,10,0)</f>
        <v>1000</v>
      </c>
      <c r="X405" s="4">
        <f>VLOOKUP(A405,'[6]Monthly Sold'!$A:$M,11,0)</f>
        <v>2000</v>
      </c>
      <c r="Y405" s="4">
        <f>VLOOKUP(A405,'[6]Monthly Sold'!$A:$M,12,0)</f>
        <v>3000</v>
      </c>
      <c r="Z405" s="4">
        <f>VLOOKUP(A405,'[6]Monthly Sold'!$A:$M,13,0)</f>
        <v>2000</v>
      </c>
      <c r="AA405" s="4">
        <f t="shared" si="102"/>
        <v>17000</v>
      </c>
      <c r="AB405" s="7">
        <f t="shared" si="109"/>
        <v>1417</v>
      </c>
      <c r="AC405" s="15">
        <f t="shared" si="103"/>
        <v>1416.6666666666667</v>
      </c>
      <c r="AD405" s="16">
        <f t="shared" si="104"/>
        <v>92990</v>
      </c>
      <c r="AE405" s="16">
        <f t="shared" si="105"/>
        <v>7749.166666666667</v>
      </c>
      <c r="AF405" s="21">
        <v>2.6</v>
      </c>
      <c r="AG405" s="21">
        <v>5.47</v>
      </c>
      <c r="AH405" s="15">
        <f t="shared" si="106"/>
        <v>-9.4133333333333374E-2</v>
      </c>
      <c r="AI405" s="15">
        <f t="shared" si="107"/>
        <v>-0.3294666666666668</v>
      </c>
      <c r="AJ405" s="10">
        <v>0.5</v>
      </c>
      <c r="AK405" s="10">
        <v>0.5</v>
      </c>
      <c r="AL405" s="21">
        <v>2.6</v>
      </c>
      <c r="AM405" s="9">
        <f t="shared" si="110"/>
        <v>0.8204999999999999</v>
      </c>
      <c r="AN405" s="9">
        <f t="shared" si="111"/>
        <v>0.1641</v>
      </c>
      <c r="AO405" s="9">
        <f t="shared" si="112"/>
        <v>1.0940000000000001</v>
      </c>
      <c r="AP405" s="9">
        <f t="shared" si="113"/>
        <v>0.1094</v>
      </c>
      <c r="AQ405" s="9">
        <f t="shared" si="114"/>
        <v>1.0940000000000001</v>
      </c>
      <c r="AR405" s="9">
        <f t="shared" si="115"/>
        <v>1.3674999999999999</v>
      </c>
      <c r="AS405" s="11">
        <f t="shared" si="116"/>
        <v>-0.94133333333333369</v>
      </c>
      <c r="AT405" s="12">
        <f t="shared" si="117"/>
        <v>-1.123666666666667</v>
      </c>
    </row>
    <row r="406" spans="1:46" ht="16.5" x14ac:dyDescent="0.4">
      <c r="A406" s="4" t="s">
        <v>1820</v>
      </c>
      <c r="B406" s="4" t="s">
        <v>1895</v>
      </c>
      <c r="C406" s="4" t="s">
        <v>1784</v>
      </c>
      <c r="D406" s="4" t="s">
        <v>1944</v>
      </c>
      <c r="E406" s="4" t="s">
        <v>1945</v>
      </c>
      <c r="F406" s="4" t="s">
        <v>1946</v>
      </c>
      <c r="G406" s="7" t="str">
        <f>VLOOKUP(A406,[1]done!$A:$I,9,0)</f>
        <v>Rodent</v>
      </c>
      <c r="H406" s="7" t="str" cm="1">
        <f t="array" ref="H406">_xlfn.IFS(
OR(ISNUMBER(SEARCH("mouse",E406)),ISNUMBER(SEARCH("rat",E406)),ISNUMBER(SEARCH("mice",E406)),ISNUMBER(SEARCH("rodent",E406))),"Rodent Control",
OR(ISNUMBER(SEARCH("fly",E406)),ISNUMBER(SEARCH("gnat",E406)),ISNUMBER(SEARCH("insect",E406)),ISNUMBER(SEARCH("mosquito",E406))),"Flying Insect Control",
OR(ISNUMBER(SEARCH("roach",E406)),ISNUMBER(SEARCH("ant",E406)),ISNUMBER(SEARCH("spider",E406)),ISNUMBER(SEARCH("cricket",E406)),ISNUMBER(SEARCH("scorpion",E406)),ISNUMBER(SEARCH("centipede",E406)),ISNUMBER(SEARCH("beetle",E406))),"Crawling Insect Control",
OR(ISNUMBER(SEARCH("tree",E406)),ISNUMBER(SEARCH("lantern",E406)),ISNUMBER(SEARCH("garden",E406)),ISNUMBER(SEARCH("plant",E406))),"Garden Pest Control",
OR(ISNUMBER(SEARCH("grass seed",E406)),ISNUMBER(SEARCH("seed mix",E406))),"Grass Seed",
OR(ISNUMBER(SEARCH("lawn food",E406)),ISNUMBER(SEARCH("fertilizer",E406))),"Lawn Fertilizer",
OR(ISNUMBER(SEARCH("patch",E406)),ISNUMBER(SEARCH("repair",E406)),ISNUMBER(SEARCH("thick'r",E406)),ISNUMBER(SEARCH("thick'r lawn",E406)),ISNUMBER(SEARCH("rapid grass",E406))),"Lawn Repair",
OR(ISNUMBER(SEARCH("weed",E406)),ISNUMBER(SEARCH("crabgrass",E406))),"Weed Control",
OR(ISNUMBER(SEARCH("fungicide",E406)),ISNUMBER(SEARCH("moss",E406))),"Disease &amp; Moss Control",
OR(ISNUMBER(SEARCH("plant food",E406)),ISNUMBER(SEARCH("miracid",E406))),"Plant Nutrition",
OR(ISNUMBER(SEARCH("perlite",E406))),"Soil Amendment",
OR(ISNUMBER(SEARCH("spreader",E406)),ISNUMBER(SEARCH("sprayer",E406)),ISNUMBER(SEARCH("mower",E406)),ISNUMBER(SEARCH("sweeper",E406)),ISNUMBER(SEARCH("pruner",E406)),ISNUMBER(SEARCH("trimmer",E406)),ISNUMBER(SEARCH("pole saw",E406))),"Garden Equipment",
TRUE,"Other"
)</f>
        <v>Rodent Control</v>
      </c>
      <c r="I406" s="7" t="str" cm="1">
        <f t="array" ref="I406">_xlfn.IFS(
OR(ISNUMBER(SEARCH("glue trap",E406)),ISNUMBER(SEARCH("glue board",E406))),"Glue Traps",
OR(ISNUMBER(SEARCH("snap trap",E406)),ISNUMBER(SEARCH("power-kill",E406)),ISNUMBER(SEARCH("wide pedal",E406)),ISNUMBER(SEARCH("metal pedal",E406))),"Snap Traps",
OR(ISNUMBER(SEARCH("electronic",E406)),ISNUMBER(SEARCH("zapper",E406))),"Electronic Traps",
OR(ISNUMBER(SEARCH("live catch",E406)),ISNUMBER(SEARCH("multi-catch",E406)),ISNUMBER(SEARCH("catch &amp; hold",E406)),ISNUMBER(SEARCH("tin cat",E406))),"Live Catch Traps",
OR(ISNUMBER(SEARCH("bait",E406)),ISNUMBER(SEARCH("poison",E406))),"Bait &amp; Poison",
ISNUMBER(SEARCH("repellent",E406)),"Repellents",
OR(ISNUMBER(SEARCH("fly trap",E406)),ISNUMBER(SEARCH("fly ribbon",E406)),ISNUMBER(SEARCH("fly stick",E406)),ISNUMBER(SEARCH("window fly",E406)),ISNUMBER(SEARCH("fly magnet",E406))),"Fly Traps",
OR(ISNUMBER(SEARCH("uv",E406)),ISNUMBER(SEARCH("fly light",E406)),ISNUMBER(SEARCH("plug-in",E406))),"UV Fly Traps",
ISNUMBER(SEARCH("roach",E406)),"Roach Traps",
ISNUMBER(SEARCH("ant",E406)),"Ant Traps",
ISNUMBER(SEARCH("spider",E406)),"Spider Traps",
ISNUMBER(SEARCH("mosquito",E406)),"Mosquito Traps",
ISNUMBER(SEARCH("beetle",E406)),"Beetle Traps",
ISNUMBER(SEARCH("lantern",E406)),"Lanternfly Control",
OR(ISNUMBER(SEARCH("tree shield",E406)),ISNUMBER(SEARCH("tree banding",E406)),ISNUMBER(SEARCH("insect barrier",E406))),"Tree Barriers",
OR(ISNUMBER(SEARCH("sun &amp; shade",E406)),ISNUMBER(SEARCH("sun and shade",E406))),"Sun &amp; Shade Mix",
ISNUMBER(SEARCH("tall fescue",E406)),"Tall Fescue",
ISNUMBER(SEARCH("bermudagrass",E406)),"Bermudagrass",
ISNUMBER(SEARCH("kentucky",E406)),"Kentucky Bluegrass",
ISNUMBER(SEARCH("zoysia",E406)),"Zoysia",
ISNUMBER(SEARCH("ryegrass",E406)),"Perennial Ryegrass",
ISNUMBER(SEARCH("centipede",E406)),"Centipede Grass",
ISNUMBER(SEARCH("dense shade",E406)),"Dense Shade Mix",
ISNUMBER(SEARCH("southern gold",E406)),"Southern Gold Mix",
ISNUMBER(SEARCH("heat-tolerant blue",E406)),"Heat-Tolerant Blue Mix",
ISNUMBER(SEARCH("high traffic",E406)),"High Traffic Mix",
ISNUMBER(SEARCH("quick fix",E406)),"Quick Fix Mix",
ISNUMBER(SEARCH("starter",E406)),"Starter Fertilizer",
ISNUMBER(SEARCH("weed &amp; feed",E406)),"Weed &amp; Feed",
ISNUMBER(SEARCH("lawn food",E406)),"Lawn Food",
ISNUMBER(SEARCH("triple action",E406)),"Triple Action Fertilizer",
ISNUMBER(SEARCH("green max",E406)),"Green Max Lawn Food",
ISNUMBER(SEARCH("patchmaster",E406)),"PatchMaster Repair",
ISNUMBER(SEARCH("ez seed",E406)),"EZ Seed Repair",
ISNUMBER(SEARCH("rapid grass",E406)),"Rapid Grass",
ISNUMBER(SEARCH("thick'r lawn",E406)),"Thick'R Lawn",
ISNUMBER(SEARCH("fungicide",E406)),"Fungicide",
ISNUMBER(SEARCH("moss",E406)),"Moss Control",
ISNUMBER(SEARCH("perlite",E406)),"Perlite",
ISNUMBER(SEARCH("plant food",E406)),"Plant Food",
ISNUMBER(SEARCH("spreader",E406)),"Spreader",
ISNUMBER(SEARCH("sprayer",E406)),"Sprayer",
ISNUMBER(SEARCH("mower",E406)),"Lawn Mower",
ISNUMBER(SEARCH("sweeper",E406)),"Lawn Sweeper",
OR(ISNUMBER(SEARCH("pruner",E406)),ISNUMBER(SEARCH("trimmer",E406)),ISNUMBER(SEARCH("pole saw",E406))),"Pruning Tools",
TRUE,"Other"
)</f>
        <v>Other</v>
      </c>
      <c r="J406" s="7" t="str">
        <f t="shared" si="108"/>
        <v>Rodent Control - Other</v>
      </c>
      <c r="K406" s="4">
        <v>2000</v>
      </c>
      <c r="L406" s="4">
        <v>4.4000000000000004</v>
      </c>
      <c r="M406" s="4">
        <v>1699</v>
      </c>
      <c r="N406" s="4" t="s">
        <v>1475</v>
      </c>
      <c r="O406" s="4">
        <f>VLOOKUP(A406,'[6]Monthly Sold'!$A:$B,2,0)</f>
        <v>2000</v>
      </c>
      <c r="P406" s="4">
        <f>VLOOKUP(A406,'[6]Monthly Sold'!$A:$M,3,0)</f>
        <v>2000</v>
      </c>
      <c r="Q406" s="4">
        <f>VLOOKUP(A406,'[6]Monthly Sold'!$A:$M,4,0)</f>
        <v>1000</v>
      </c>
      <c r="R406" s="4">
        <f>VLOOKUP(A406,'[6]Monthly Sold'!$A:$M,5,0)</f>
        <v>1000</v>
      </c>
      <c r="S406" s="4">
        <f>VLOOKUP(A406,'[6]Monthly Sold'!$A:$M,6,0)</f>
        <v>1000</v>
      </c>
      <c r="T406" s="4">
        <f>VLOOKUP(A406,'[6]Monthly Sold'!$A:$M,7,0)</f>
        <v>2000</v>
      </c>
      <c r="U406" s="4">
        <f>VLOOKUP(A406,'[6]Monthly Sold'!$A:$M,8,0)</f>
        <v>1000</v>
      </c>
      <c r="V406" s="4">
        <f>VLOOKUP(A406,'[6]Monthly Sold'!$A:$M,9,0)</f>
        <v>1000</v>
      </c>
      <c r="W406" s="4">
        <f>VLOOKUP(A406,'[6]Monthly Sold'!$A:$M,10,0)</f>
        <v>2000</v>
      </c>
      <c r="X406" s="4">
        <f>VLOOKUP(A406,'[6]Monthly Sold'!$A:$M,11,0)</f>
        <v>1000</v>
      </c>
      <c r="Y406" s="4">
        <f>VLOOKUP(A406,'[6]Monthly Sold'!$A:$M,12,0)</f>
        <v>2000</v>
      </c>
      <c r="Z406" s="4">
        <f>VLOOKUP(A406,'[6]Monthly Sold'!$A:$M,13,0)</f>
        <v>2000</v>
      </c>
      <c r="AA406" s="4">
        <f t="shared" si="102"/>
        <v>18000</v>
      </c>
      <c r="AB406" s="7">
        <f t="shared" si="109"/>
        <v>1500</v>
      </c>
      <c r="AC406" s="15">
        <f t="shared" si="103"/>
        <v>1500</v>
      </c>
      <c r="AD406" s="16">
        <f t="shared" si="104"/>
        <v>449820</v>
      </c>
      <c r="AE406" s="16">
        <f t="shared" si="105"/>
        <v>37485</v>
      </c>
      <c r="AF406" s="21">
        <v>4.76</v>
      </c>
      <c r="AG406" s="21">
        <v>24.99</v>
      </c>
      <c r="AH406" s="15">
        <f t="shared" si="106"/>
        <v>0.28239999999999987</v>
      </c>
      <c r="AI406" s="15">
        <f t="shared" si="107"/>
        <v>0.98839999999999939</v>
      </c>
      <c r="AJ406" s="10">
        <v>0.5</v>
      </c>
      <c r="AK406" s="10">
        <v>0.5</v>
      </c>
      <c r="AL406" s="21">
        <v>4.76</v>
      </c>
      <c r="AM406" s="9">
        <f t="shared" si="110"/>
        <v>3.7484999999999995</v>
      </c>
      <c r="AN406" s="9">
        <f t="shared" si="111"/>
        <v>0.74969999999999992</v>
      </c>
      <c r="AO406" s="9">
        <f t="shared" si="112"/>
        <v>4.9980000000000002</v>
      </c>
      <c r="AP406" s="9">
        <f t="shared" si="113"/>
        <v>0.49979999999999997</v>
      </c>
      <c r="AQ406" s="9">
        <f t="shared" si="114"/>
        <v>4.9980000000000002</v>
      </c>
      <c r="AR406" s="9">
        <f t="shared" si="115"/>
        <v>6.2474999999999996</v>
      </c>
      <c r="AS406" s="11">
        <f t="shared" si="116"/>
        <v>2.8239999999999985</v>
      </c>
      <c r="AT406" s="12">
        <f t="shared" si="117"/>
        <v>1.990999999999999</v>
      </c>
    </row>
    <row r="407" spans="1:46" ht="16.5" x14ac:dyDescent="0.4">
      <c r="A407" s="4" t="s">
        <v>1821</v>
      </c>
      <c r="B407" s="4" t="s">
        <v>1895</v>
      </c>
      <c r="C407" s="4" t="s">
        <v>1784</v>
      </c>
      <c r="D407" s="4" t="s">
        <v>1947</v>
      </c>
      <c r="E407" s="4" t="s">
        <v>1948</v>
      </c>
      <c r="F407" s="4" t="s">
        <v>1949</v>
      </c>
      <c r="G407" s="7" t="str">
        <f>VLOOKUP(A407,[1]done!$A:$I,9,0)</f>
        <v>Rodent</v>
      </c>
      <c r="H407" s="7" t="str" cm="1">
        <f t="array" ref="H407">_xlfn.IFS(
OR(ISNUMBER(SEARCH("mouse",E407)),ISNUMBER(SEARCH("rat",E407)),ISNUMBER(SEARCH("mice",E407)),ISNUMBER(SEARCH("rodent",E407))),"Rodent Control",
OR(ISNUMBER(SEARCH("fly",E407)),ISNUMBER(SEARCH("gnat",E407)),ISNUMBER(SEARCH("insect",E407)),ISNUMBER(SEARCH("mosquito",E407))),"Flying Insect Control",
OR(ISNUMBER(SEARCH("roach",E407)),ISNUMBER(SEARCH("ant",E407)),ISNUMBER(SEARCH("spider",E407)),ISNUMBER(SEARCH("cricket",E407)),ISNUMBER(SEARCH("scorpion",E407)),ISNUMBER(SEARCH("centipede",E407)),ISNUMBER(SEARCH("beetle",E407))),"Crawling Insect Control",
OR(ISNUMBER(SEARCH("tree",E407)),ISNUMBER(SEARCH("lantern",E407)),ISNUMBER(SEARCH("garden",E407)),ISNUMBER(SEARCH("plant",E407))),"Garden Pest Control",
OR(ISNUMBER(SEARCH("grass seed",E407)),ISNUMBER(SEARCH("seed mix",E407))),"Grass Seed",
OR(ISNUMBER(SEARCH("lawn food",E407)),ISNUMBER(SEARCH("fertilizer",E407))),"Lawn Fertilizer",
OR(ISNUMBER(SEARCH("patch",E407)),ISNUMBER(SEARCH("repair",E407)),ISNUMBER(SEARCH("thick'r",E407)),ISNUMBER(SEARCH("thick'r lawn",E407)),ISNUMBER(SEARCH("rapid grass",E407))),"Lawn Repair",
OR(ISNUMBER(SEARCH("weed",E407)),ISNUMBER(SEARCH("crabgrass",E407))),"Weed Control",
OR(ISNUMBER(SEARCH("fungicide",E407)),ISNUMBER(SEARCH("moss",E407))),"Disease &amp; Moss Control",
OR(ISNUMBER(SEARCH("plant food",E407)),ISNUMBER(SEARCH("miracid",E407))),"Plant Nutrition",
OR(ISNUMBER(SEARCH("perlite",E407))),"Soil Amendment",
OR(ISNUMBER(SEARCH("spreader",E407)),ISNUMBER(SEARCH("sprayer",E407)),ISNUMBER(SEARCH("mower",E407)),ISNUMBER(SEARCH("sweeper",E407)),ISNUMBER(SEARCH("pruner",E407)),ISNUMBER(SEARCH("trimmer",E407)),ISNUMBER(SEARCH("pole saw",E407))),"Garden Equipment",
TRUE,"Other"
)</f>
        <v>Rodent Control</v>
      </c>
      <c r="I407" s="7" t="str" cm="1">
        <f t="array" ref="I407">_xlfn.IFS(
OR(ISNUMBER(SEARCH("glue trap",E407)),ISNUMBER(SEARCH("glue board",E407))),"Glue Traps",
OR(ISNUMBER(SEARCH("snap trap",E407)),ISNUMBER(SEARCH("power-kill",E407)),ISNUMBER(SEARCH("wide pedal",E407)),ISNUMBER(SEARCH("metal pedal",E407))),"Snap Traps",
OR(ISNUMBER(SEARCH("electronic",E407)),ISNUMBER(SEARCH("zapper",E407))),"Electronic Traps",
OR(ISNUMBER(SEARCH("live catch",E407)),ISNUMBER(SEARCH("multi-catch",E407)),ISNUMBER(SEARCH("catch &amp; hold",E407)),ISNUMBER(SEARCH("tin cat",E407))),"Live Catch Traps",
OR(ISNUMBER(SEARCH("bait",E407)),ISNUMBER(SEARCH("poison",E407))),"Bait &amp; Poison",
ISNUMBER(SEARCH("repellent",E407)),"Repellents",
OR(ISNUMBER(SEARCH("fly trap",E407)),ISNUMBER(SEARCH("fly ribbon",E407)),ISNUMBER(SEARCH("fly stick",E407)),ISNUMBER(SEARCH("window fly",E407)),ISNUMBER(SEARCH("fly magnet",E407))),"Fly Traps",
OR(ISNUMBER(SEARCH("uv",E407)),ISNUMBER(SEARCH("fly light",E407)),ISNUMBER(SEARCH("plug-in",E407))),"UV Fly Traps",
ISNUMBER(SEARCH("roach",E407)),"Roach Traps",
ISNUMBER(SEARCH("ant",E407)),"Ant Traps",
ISNUMBER(SEARCH("spider",E407)),"Spider Traps",
ISNUMBER(SEARCH("mosquito",E407)),"Mosquito Traps",
ISNUMBER(SEARCH("beetle",E407)),"Beetle Traps",
ISNUMBER(SEARCH("lantern",E407)),"Lanternfly Control",
OR(ISNUMBER(SEARCH("tree shield",E407)),ISNUMBER(SEARCH("tree banding",E407)),ISNUMBER(SEARCH("insect barrier",E407))),"Tree Barriers",
OR(ISNUMBER(SEARCH("sun &amp; shade",E407)),ISNUMBER(SEARCH("sun and shade",E407))),"Sun &amp; Shade Mix",
ISNUMBER(SEARCH("tall fescue",E407)),"Tall Fescue",
ISNUMBER(SEARCH("bermudagrass",E407)),"Bermudagrass",
ISNUMBER(SEARCH("kentucky",E407)),"Kentucky Bluegrass",
ISNUMBER(SEARCH("zoysia",E407)),"Zoysia",
ISNUMBER(SEARCH("ryegrass",E407)),"Perennial Ryegrass",
ISNUMBER(SEARCH("centipede",E407)),"Centipede Grass",
ISNUMBER(SEARCH("dense shade",E407)),"Dense Shade Mix",
ISNUMBER(SEARCH("southern gold",E407)),"Southern Gold Mix",
ISNUMBER(SEARCH("heat-tolerant blue",E407)),"Heat-Tolerant Blue Mix",
ISNUMBER(SEARCH("high traffic",E407)),"High Traffic Mix",
ISNUMBER(SEARCH("quick fix",E407)),"Quick Fix Mix",
ISNUMBER(SEARCH("starter",E407)),"Starter Fertilizer",
ISNUMBER(SEARCH("weed &amp; feed",E407)),"Weed &amp; Feed",
ISNUMBER(SEARCH("lawn food",E407)),"Lawn Food",
ISNUMBER(SEARCH("triple action",E407)),"Triple Action Fertilizer",
ISNUMBER(SEARCH("green max",E407)),"Green Max Lawn Food",
ISNUMBER(SEARCH("patchmaster",E407)),"PatchMaster Repair",
ISNUMBER(SEARCH("ez seed",E407)),"EZ Seed Repair",
ISNUMBER(SEARCH("rapid grass",E407)),"Rapid Grass",
ISNUMBER(SEARCH("thick'r lawn",E407)),"Thick'R Lawn",
ISNUMBER(SEARCH("fungicide",E407)),"Fungicide",
ISNUMBER(SEARCH("moss",E407)),"Moss Control",
ISNUMBER(SEARCH("perlite",E407)),"Perlite",
ISNUMBER(SEARCH("plant food",E407)),"Plant Food",
ISNUMBER(SEARCH("spreader",E407)),"Spreader",
ISNUMBER(SEARCH("sprayer",E407)),"Sprayer",
ISNUMBER(SEARCH("mower",E407)),"Lawn Mower",
ISNUMBER(SEARCH("sweeper",E407)),"Lawn Sweeper",
OR(ISNUMBER(SEARCH("pruner",E407)),ISNUMBER(SEARCH("trimmer",E407)),ISNUMBER(SEARCH("pole saw",E407))),"Pruning Tools",
TRUE,"Other"
)</f>
        <v>Repellents</v>
      </c>
      <c r="J407" s="7" t="str">
        <f t="shared" si="108"/>
        <v>Rodent Control - Repellents</v>
      </c>
      <c r="K407" s="4">
        <v>2000</v>
      </c>
      <c r="L407" s="4">
        <v>4</v>
      </c>
      <c r="M407" s="4">
        <v>11805</v>
      </c>
      <c r="N407" s="4" t="s">
        <v>1950</v>
      </c>
      <c r="O407" s="4">
        <f>VLOOKUP(A407,'[6]Monthly Sold'!$A:$B,2,0)</f>
        <v>0</v>
      </c>
      <c r="P407" s="4">
        <f>VLOOKUP(A407,'[6]Monthly Sold'!$A:$M,3,0)</f>
        <v>0</v>
      </c>
      <c r="Q407" s="4">
        <f>VLOOKUP(A407,'[6]Monthly Sold'!$A:$M,4,0)</f>
        <v>0</v>
      </c>
      <c r="R407" s="4">
        <f>VLOOKUP(A407,'[6]Monthly Sold'!$A:$M,5,0)</f>
        <v>50</v>
      </c>
      <c r="S407" s="4">
        <f>VLOOKUP(A407,'[6]Monthly Sold'!$A:$M,6,0)</f>
        <v>100</v>
      </c>
      <c r="T407" s="4">
        <f>VLOOKUP(A407,'[6]Monthly Sold'!$A:$M,7,0)</f>
        <v>200</v>
      </c>
      <c r="U407" s="4">
        <f>VLOOKUP(A407,'[6]Monthly Sold'!$A:$M,8,0)</f>
        <v>100</v>
      </c>
      <c r="V407" s="4">
        <f>VLOOKUP(A407,'[6]Monthly Sold'!$A:$M,9,0)</f>
        <v>200</v>
      </c>
      <c r="W407" s="4">
        <f>VLOOKUP(A407,'[6]Monthly Sold'!$A:$M,10,0)</f>
        <v>1000</v>
      </c>
      <c r="X407" s="4">
        <f>VLOOKUP(A407,'[6]Monthly Sold'!$A:$M,11,0)</f>
        <v>0</v>
      </c>
      <c r="Y407" s="4">
        <f>VLOOKUP(A407,'[6]Monthly Sold'!$A:$M,12,0)</f>
        <v>0</v>
      </c>
      <c r="Z407" s="4">
        <f>VLOOKUP(A407,'[6]Monthly Sold'!$A:$M,13,0)</f>
        <v>0</v>
      </c>
      <c r="AA407" s="4">
        <f t="shared" si="102"/>
        <v>1650</v>
      </c>
      <c r="AB407" s="7">
        <f t="shared" si="109"/>
        <v>138</v>
      </c>
      <c r="AC407" s="15">
        <f t="shared" si="103"/>
        <v>137.5</v>
      </c>
      <c r="AD407" s="16">
        <f t="shared" si="104"/>
        <v>63310.499999999993</v>
      </c>
      <c r="AE407" s="16">
        <f t="shared" si="105"/>
        <v>5275.875</v>
      </c>
      <c r="AF407" s="21">
        <v>10.28</v>
      </c>
      <c r="AG407" s="21">
        <v>38.369999999999997</v>
      </c>
      <c r="AH407" s="15">
        <f t="shared" si="106"/>
        <v>0.2712</v>
      </c>
      <c r="AI407" s="15">
        <f t="shared" si="107"/>
        <v>0.94919999999999982</v>
      </c>
      <c r="AJ407" s="10">
        <v>0.5</v>
      </c>
      <c r="AK407" s="10">
        <v>0.5</v>
      </c>
      <c r="AL407" s="21">
        <v>10.28</v>
      </c>
      <c r="AM407" s="9">
        <f t="shared" si="110"/>
        <v>5.7554999999999996</v>
      </c>
      <c r="AN407" s="9">
        <f t="shared" si="111"/>
        <v>1.1510999999999998</v>
      </c>
      <c r="AO407" s="9">
        <f t="shared" si="112"/>
        <v>7.6739999999999995</v>
      </c>
      <c r="AP407" s="9">
        <f t="shared" si="113"/>
        <v>0.76739999999999997</v>
      </c>
      <c r="AQ407" s="9">
        <f t="shared" si="114"/>
        <v>7.6739999999999995</v>
      </c>
      <c r="AR407" s="9">
        <f t="shared" si="115"/>
        <v>9.5924999999999994</v>
      </c>
      <c r="AS407" s="11">
        <f t="shared" si="116"/>
        <v>2.7119999999999997</v>
      </c>
      <c r="AT407" s="12">
        <f t="shared" si="117"/>
        <v>1.4329999999999998</v>
      </c>
    </row>
    <row r="408" spans="1:46" ht="16.5" x14ac:dyDescent="0.4">
      <c r="A408" s="4" t="s">
        <v>1822</v>
      </c>
      <c r="B408" s="4" t="s">
        <v>1895</v>
      </c>
      <c r="C408" s="4" t="s">
        <v>1784</v>
      </c>
      <c r="D408" s="4" t="s">
        <v>1951</v>
      </c>
      <c r="E408" s="4" t="s">
        <v>1952</v>
      </c>
      <c r="F408" s="4" t="s">
        <v>1953</v>
      </c>
      <c r="G408" s="7" t="str">
        <f>VLOOKUP(A408,[1]done!$A:$I,9,0)</f>
        <v>Rodent</v>
      </c>
      <c r="H408" s="7" t="str" cm="1">
        <f t="array" ref="H408">_xlfn.IFS(
OR(ISNUMBER(SEARCH("mouse",E408)),ISNUMBER(SEARCH("rat",E408)),ISNUMBER(SEARCH("mice",E408)),ISNUMBER(SEARCH("rodent",E408))),"Rodent Control",
OR(ISNUMBER(SEARCH("fly",E408)),ISNUMBER(SEARCH("gnat",E408)),ISNUMBER(SEARCH("insect",E408)),ISNUMBER(SEARCH("mosquito",E408))),"Flying Insect Control",
OR(ISNUMBER(SEARCH("roach",E408)),ISNUMBER(SEARCH("ant",E408)),ISNUMBER(SEARCH("spider",E408)),ISNUMBER(SEARCH("cricket",E408)),ISNUMBER(SEARCH("scorpion",E408)),ISNUMBER(SEARCH("centipede",E408)),ISNUMBER(SEARCH("beetle",E408))),"Crawling Insect Control",
OR(ISNUMBER(SEARCH("tree",E408)),ISNUMBER(SEARCH("lantern",E408)),ISNUMBER(SEARCH("garden",E408)),ISNUMBER(SEARCH("plant",E408))),"Garden Pest Control",
OR(ISNUMBER(SEARCH("grass seed",E408)),ISNUMBER(SEARCH("seed mix",E408))),"Grass Seed",
OR(ISNUMBER(SEARCH("lawn food",E408)),ISNUMBER(SEARCH("fertilizer",E408))),"Lawn Fertilizer",
OR(ISNUMBER(SEARCH("patch",E408)),ISNUMBER(SEARCH("repair",E408)),ISNUMBER(SEARCH("thick'r",E408)),ISNUMBER(SEARCH("thick'r lawn",E408)),ISNUMBER(SEARCH("rapid grass",E408))),"Lawn Repair",
OR(ISNUMBER(SEARCH("weed",E408)),ISNUMBER(SEARCH("crabgrass",E408))),"Weed Control",
OR(ISNUMBER(SEARCH("fungicide",E408)),ISNUMBER(SEARCH("moss",E408))),"Disease &amp; Moss Control",
OR(ISNUMBER(SEARCH("plant food",E408)),ISNUMBER(SEARCH("miracid",E408))),"Plant Nutrition",
OR(ISNUMBER(SEARCH("perlite",E408))),"Soil Amendment",
OR(ISNUMBER(SEARCH("spreader",E408)),ISNUMBER(SEARCH("sprayer",E408)),ISNUMBER(SEARCH("mower",E408)),ISNUMBER(SEARCH("sweeper",E408)),ISNUMBER(SEARCH("pruner",E408)),ISNUMBER(SEARCH("trimmer",E408)),ISNUMBER(SEARCH("pole saw",E408))),"Garden Equipment",
TRUE,"Other"
)</f>
        <v>Rodent Control</v>
      </c>
      <c r="I408" s="7" t="str" cm="1">
        <f t="array" ref="I408">_xlfn.IFS(
OR(ISNUMBER(SEARCH("glue trap",E408)),ISNUMBER(SEARCH("glue board",E408))),"Glue Traps",
OR(ISNUMBER(SEARCH("snap trap",E408)),ISNUMBER(SEARCH("power-kill",E408)),ISNUMBER(SEARCH("wide pedal",E408)),ISNUMBER(SEARCH("metal pedal",E408))),"Snap Traps",
OR(ISNUMBER(SEARCH("electronic",E408)),ISNUMBER(SEARCH("zapper",E408))),"Electronic Traps",
OR(ISNUMBER(SEARCH("live catch",E408)),ISNUMBER(SEARCH("multi-catch",E408)),ISNUMBER(SEARCH("catch &amp; hold",E408)),ISNUMBER(SEARCH("tin cat",E408))),"Live Catch Traps",
OR(ISNUMBER(SEARCH("bait",E408)),ISNUMBER(SEARCH("poison",E408))),"Bait &amp; Poison",
ISNUMBER(SEARCH("repellent",E408)),"Repellents",
OR(ISNUMBER(SEARCH("fly trap",E408)),ISNUMBER(SEARCH("fly ribbon",E408)),ISNUMBER(SEARCH("fly stick",E408)),ISNUMBER(SEARCH("window fly",E408)),ISNUMBER(SEARCH("fly magnet",E408))),"Fly Traps",
OR(ISNUMBER(SEARCH("uv",E408)),ISNUMBER(SEARCH("fly light",E408)),ISNUMBER(SEARCH("plug-in",E408))),"UV Fly Traps",
ISNUMBER(SEARCH("roach",E408)),"Roach Traps",
ISNUMBER(SEARCH("ant",E408)),"Ant Traps",
ISNUMBER(SEARCH("spider",E408)),"Spider Traps",
ISNUMBER(SEARCH("mosquito",E408)),"Mosquito Traps",
ISNUMBER(SEARCH("beetle",E408)),"Beetle Traps",
ISNUMBER(SEARCH("lantern",E408)),"Lanternfly Control",
OR(ISNUMBER(SEARCH("tree shield",E408)),ISNUMBER(SEARCH("tree banding",E408)),ISNUMBER(SEARCH("insect barrier",E408))),"Tree Barriers",
OR(ISNUMBER(SEARCH("sun &amp; shade",E408)),ISNUMBER(SEARCH("sun and shade",E408))),"Sun &amp; Shade Mix",
ISNUMBER(SEARCH("tall fescue",E408)),"Tall Fescue",
ISNUMBER(SEARCH("bermudagrass",E408)),"Bermudagrass",
ISNUMBER(SEARCH("kentucky",E408)),"Kentucky Bluegrass",
ISNUMBER(SEARCH("zoysia",E408)),"Zoysia",
ISNUMBER(SEARCH("ryegrass",E408)),"Perennial Ryegrass",
ISNUMBER(SEARCH("centipede",E408)),"Centipede Grass",
ISNUMBER(SEARCH("dense shade",E408)),"Dense Shade Mix",
ISNUMBER(SEARCH("southern gold",E408)),"Southern Gold Mix",
ISNUMBER(SEARCH("heat-tolerant blue",E408)),"Heat-Tolerant Blue Mix",
ISNUMBER(SEARCH("high traffic",E408)),"High Traffic Mix",
ISNUMBER(SEARCH("quick fix",E408)),"Quick Fix Mix",
ISNUMBER(SEARCH("starter",E408)),"Starter Fertilizer",
ISNUMBER(SEARCH("weed &amp; feed",E408)),"Weed &amp; Feed",
ISNUMBER(SEARCH("lawn food",E408)),"Lawn Food",
ISNUMBER(SEARCH("triple action",E408)),"Triple Action Fertilizer",
ISNUMBER(SEARCH("green max",E408)),"Green Max Lawn Food",
ISNUMBER(SEARCH("patchmaster",E408)),"PatchMaster Repair",
ISNUMBER(SEARCH("ez seed",E408)),"EZ Seed Repair",
ISNUMBER(SEARCH("rapid grass",E408)),"Rapid Grass",
ISNUMBER(SEARCH("thick'r lawn",E408)),"Thick'R Lawn",
ISNUMBER(SEARCH("fungicide",E408)),"Fungicide",
ISNUMBER(SEARCH("moss",E408)),"Moss Control",
ISNUMBER(SEARCH("perlite",E408)),"Perlite",
ISNUMBER(SEARCH("plant food",E408)),"Plant Food",
ISNUMBER(SEARCH("spreader",E408)),"Spreader",
ISNUMBER(SEARCH("sprayer",E408)),"Sprayer",
ISNUMBER(SEARCH("mower",E408)),"Lawn Mower",
ISNUMBER(SEARCH("sweeper",E408)),"Lawn Sweeper",
OR(ISNUMBER(SEARCH("pruner",E408)),ISNUMBER(SEARCH("trimmer",E408)),ISNUMBER(SEARCH("pole saw",E408))),"Pruning Tools",
TRUE,"Other"
)</f>
        <v>Repellents</v>
      </c>
      <c r="J408" s="7" t="str">
        <f t="shared" si="108"/>
        <v>Rodent Control - Repellents</v>
      </c>
      <c r="K408" s="4">
        <v>2000</v>
      </c>
      <c r="L408" s="4">
        <v>3.9</v>
      </c>
      <c r="M408" s="4">
        <v>1646</v>
      </c>
      <c r="N408" s="4" t="s">
        <v>579</v>
      </c>
      <c r="O408" s="4">
        <f>VLOOKUP(A408,'[6]Monthly Sold'!$A:$B,2,0)</f>
        <v>1000</v>
      </c>
      <c r="P408" s="4">
        <f>VLOOKUP(A408,'[6]Monthly Sold'!$A:$M,3,0)</f>
        <v>1000</v>
      </c>
      <c r="Q408" s="4">
        <f>VLOOKUP(A408,'[6]Monthly Sold'!$A:$M,4,0)</f>
        <v>1000</v>
      </c>
      <c r="R408" s="4">
        <f>VLOOKUP(A408,'[6]Monthly Sold'!$A:$M,5,0)</f>
        <v>900</v>
      </c>
      <c r="S408" s="4">
        <f>VLOOKUP(A408,'[6]Monthly Sold'!$A:$M,6,0)</f>
        <v>900</v>
      </c>
      <c r="T408" s="4">
        <f>VLOOKUP(A408,'[6]Monthly Sold'!$A:$M,7,0)</f>
        <v>1000</v>
      </c>
      <c r="U408" s="4">
        <f>VLOOKUP(A408,'[6]Monthly Sold'!$A:$M,8,0)</f>
        <v>1000</v>
      </c>
      <c r="V408" s="4">
        <f>VLOOKUP(A408,'[6]Monthly Sold'!$A:$M,9,0)</f>
        <v>1000</v>
      </c>
      <c r="W408" s="4">
        <f>VLOOKUP(A408,'[6]Monthly Sold'!$A:$M,10,0)</f>
        <v>1000</v>
      </c>
      <c r="X408" s="4">
        <f>VLOOKUP(A408,'[6]Monthly Sold'!$A:$M,11,0)</f>
        <v>1000</v>
      </c>
      <c r="Y408" s="4">
        <f>VLOOKUP(A408,'[6]Monthly Sold'!$A:$M,12,0)</f>
        <v>2000</v>
      </c>
      <c r="Z408" s="4">
        <f>VLOOKUP(A408,'[6]Monthly Sold'!$A:$M,13,0)</f>
        <v>1000</v>
      </c>
      <c r="AA408" s="4">
        <f t="shared" si="102"/>
        <v>12800</v>
      </c>
      <c r="AB408" s="7">
        <f t="shared" si="109"/>
        <v>1067</v>
      </c>
      <c r="AC408" s="15">
        <f t="shared" si="103"/>
        <v>1066.6666666666667</v>
      </c>
      <c r="AD408" s="16">
        <f t="shared" si="104"/>
        <v>166272</v>
      </c>
      <c r="AE408" s="16">
        <f t="shared" si="105"/>
        <v>13856.000000000002</v>
      </c>
      <c r="AF408" s="21">
        <v>6.13</v>
      </c>
      <c r="AG408" s="21">
        <v>12.99</v>
      </c>
      <c r="AH408" s="15">
        <f t="shared" si="106"/>
        <v>-0.12893333333333337</v>
      </c>
      <c r="AI408" s="15">
        <f t="shared" si="107"/>
        <v>-0.45126666666666676</v>
      </c>
      <c r="AJ408" s="10">
        <v>0.5</v>
      </c>
      <c r="AK408" s="10">
        <v>0.5</v>
      </c>
      <c r="AL408" s="21">
        <v>6.13</v>
      </c>
      <c r="AM408" s="9">
        <f t="shared" si="110"/>
        <v>1.9484999999999999</v>
      </c>
      <c r="AN408" s="9">
        <f t="shared" si="111"/>
        <v>0.38969999999999999</v>
      </c>
      <c r="AO408" s="9">
        <f t="shared" si="112"/>
        <v>2.5980000000000003</v>
      </c>
      <c r="AP408" s="9">
        <f t="shared" si="113"/>
        <v>0.25980000000000003</v>
      </c>
      <c r="AQ408" s="9">
        <f t="shared" si="114"/>
        <v>2.5980000000000003</v>
      </c>
      <c r="AR408" s="9">
        <f t="shared" si="115"/>
        <v>3.2475000000000001</v>
      </c>
      <c r="AS408" s="11">
        <f t="shared" si="116"/>
        <v>-1.2893333333333337</v>
      </c>
      <c r="AT408" s="12">
        <f t="shared" si="117"/>
        <v>-1.7223333333333335</v>
      </c>
    </row>
    <row r="409" spans="1:46" ht="16.5" x14ac:dyDescent="0.4">
      <c r="A409" s="4" t="s">
        <v>1823</v>
      </c>
      <c r="B409" s="4" t="s">
        <v>1895</v>
      </c>
      <c r="C409" s="4" t="s">
        <v>1954</v>
      </c>
      <c r="D409" s="4" t="s">
        <v>1955</v>
      </c>
      <c r="E409" s="4" t="s">
        <v>1956</v>
      </c>
      <c r="F409" s="4" t="s">
        <v>1957</v>
      </c>
      <c r="G409" s="7" t="str">
        <f>VLOOKUP(A409,[1]done!$A:$I,9,0)</f>
        <v>Rodent</v>
      </c>
      <c r="H409" s="7" t="str" cm="1">
        <f t="array" ref="H409">_xlfn.IFS(
OR(ISNUMBER(SEARCH("mouse",E409)),ISNUMBER(SEARCH("rat",E409)),ISNUMBER(SEARCH("mice",E409)),ISNUMBER(SEARCH("rodent",E409))),"Rodent Control",
OR(ISNUMBER(SEARCH("fly",E409)),ISNUMBER(SEARCH("gnat",E409)),ISNUMBER(SEARCH("insect",E409)),ISNUMBER(SEARCH("mosquito",E409))),"Flying Insect Control",
OR(ISNUMBER(SEARCH("roach",E409)),ISNUMBER(SEARCH("ant",E409)),ISNUMBER(SEARCH("spider",E409)),ISNUMBER(SEARCH("cricket",E409)),ISNUMBER(SEARCH("scorpion",E409)),ISNUMBER(SEARCH("centipede",E409)),ISNUMBER(SEARCH("beetle",E409))),"Crawling Insect Control",
OR(ISNUMBER(SEARCH("tree",E409)),ISNUMBER(SEARCH("lantern",E409)),ISNUMBER(SEARCH("garden",E409)),ISNUMBER(SEARCH("plant",E409))),"Garden Pest Control",
OR(ISNUMBER(SEARCH("grass seed",E409)),ISNUMBER(SEARCH("seed mix",E409))),"Grass Seed",
OR(ISNUMBER(SEARCH("lawn food",E409)),ISNUMBER(SEARCH("fertilizer",E409))),"Lawn Fertilizer",
OR(ISNUMBER(SEARCH("patch",E409)),ISNUMBER(SEARCH("repair",E409)),ISNUMBER(SEARCH("thick'r",E409)),ISNUMBER(SEARCH("thick'r lawn",E409)),ISNUMBER(SEARCH("rapid grass",E409))),"Lawn Repair",
OR(ISNUMBER(SEARCH("weed",E409)),ISNUMBER(SEARCH("crabgrass",E409))),"Weed Control",
OR(ISNUMBER(SEARCH("fungicide",E409)),ISNUMBER(SEARCH("moss",E409))),"Disease &amp; Moss Control",
OR(ISNUMBER(SEARCH("plant food",E409)),ISNUMBER(SEARCH("miracid",E409))),"Plant Nutrition",
OR(ISNUMBER(SEARCH("perlite",E409))),"Soil Amendment",
OR(ISNUMBER(SEARCH("spreader",E409)),ISNUMBER(SEARCH("sprayer",E409)),ISNUMBER(SEARCH("mower",E409)),ISNUMBER(SEARCH("sweeper",E409)),ISNUMBER(SEARCH("pruner",E409)),ISNUMBER(SEARCH("trimmer",E409)),ISNUMBER(SEARCH("pole saw",E409))),"Garden Equipment",
TRUE,"Other"
)</f>
        <v>Rodent Control</v>
      </c>
      <c r="I409" s="7" t="str" cm="1">
        <f t="array" ref="I409">_xlfn.IFS(
OR(ISNUMBER(SEARCH("glue trap",E409)),ISNUMBER(SEARCH("glue board",E409))),"Glue Traps",
OR(ISNUMBER(SEARCH("snap trap",E409)),ISNUMBER(SEARCH("power-kill",E409)),ISNUMBER(SEARCH("wide pedal",E409)),ISNUMBER(SEARCH("metal pedal",E409))),"Snap Traps",
OR(ISNUMBER(SEARCH("electronic",E409)),ISNUMBER(SEARCH("zapper",E409))),"Electronic Traps",
OR(ISNUMBER(SEARCH("live catch",E409)),ISNUMBER(SEARCH("multi-catch",E409)),ISNUMBER(SEARCH("catch &amp; hold",E409)),ISNUMBER(SEARCH("tin cat",E409))),"Live Catch Traps",
OR(ISNUMBER(SEARCH("bait",E409)),ISNUMBER(SEARCH("poison",E409))),"Bait &amp; Poison",
ISNUMBER(SEARCH("repellent",E409)),"Repellents",
OR(ISNUMBER(SEARCH("fly trap",E409)),ISNUMBER(SEARCH("fly ribbon",E409)),ISNUMBER(SEARCH("fly stick",E409)),ISNUMBER(SEARCH("window fly",E409)),ISNUMBER(SEARCH("fly magnet",E409))),"Fly Traps",
OR(ISNUMBER(SEARCH("uv",E409)),ISNUMBER(SEARCH("fly light",E409)),ISNUMBER(SEARCH("plug-in",E409))),"UV Fly Traps",
ISNUMBER(SEARCH("roach",E409)),"Roach Traps",
ISNUMBER(SEARCH("ant",E409)),"Ant Traps",
ISNUMBER(SEARCH("spider",E409)),"Spider Traps",
ISNUMBER(SEARCH("mosquito",E409)),"Mosquito Traps",
ISNUMBER(SEARCH("beetle",E409)),"Beetle Traps",
ISNUMBER(SEARCH("lantern",E409)),"Lanternfly Control",
OR(ISNUMBER(SEARCH("tree shield",E409)),ISNUMBER(SEARCH("tree banding",E409)),ISNUMBER(SEARCH("insect barrier",E409))),"Tree Barriers",
OR(ISNUMBER(SEARCH("sun &amp; shade",E409)),ISNUMBER(SEARCH("sun and shade",E409))),"Sun &amp; Shade Mix",
ISNUMBER(SEARCH("tall fescue",E409)),"Tall Fescue",
ISNUMBER(SEARCH("bermudagrass",E409)),"Bermudagrass",
ISNUMBER(SEARCH("kentucky",E409)),"Kentucky Bluegrass",
ISNUMBER(SEARCH("zoysia",E409)),"Zoysia",
ISNUMBER(SEARCH("ryegrass",E409)),"Perennial Ryegrass",
ISNUMBER(SEARCH("centipede",E409)),"Centipede Grass",
ISNUMBER(SEARCH("dense shade",E409)),"Dense Shade Mix",
ISNUMBER(SEARCH("southern gold",E409)),"Southern Gold Mix",
ISNUMBER(SEARCH("heat-tolerant blue",E409)),"Heat-Tolerant Blue Mix",
ISNUMBER(SEARCH("high traffic",E409)),"High Traffic Mix",
ISNUMBER(SEARCH("quick fix",E409)),"Quick Fix Mix",
ISNUMBER(SEARCH("starter",E409)),"Starter Fertilizer",
ISNUMBER(SEARCH("weed &amp; feed",E409)),"Weed &amp; Feed",
ISNUMBER(SEARCH("lawn food",E409)),"Lawn Food",
ISNUMBER(SEARCH("triple action",E409)),"Triple Action Fertilizer",
ISNUMBER(SEARCH("green max",E409)),"Green Max Lawn Food",
ISNUMBER(SEARCH("patchmaster",E409)),"PatchMaster Repair",
ISNUMBER(SEARCH("ez seed",E409)),"EZ Seed Repair",
ISNUMBER(SEARCH("rapid grass",E409)),"Rapid Grass",
ISNUMBER(SEARCH("thick'r lawn",E409)),"Thick'R Lawn",
ISNUMBER(SEARCH("fungicide",E409)),"Fungicide",
ISNUMBER(SEARCH("moss",E409)),"Moss Control",
ISNUMBER(SEARCH("perlite",E409)),"Perlite",
ISNUMBER(SEARCH("plant food",E409)),"Plant Food",
ISNUMBER(SEARCH("spreader",E409)),"Spreader",
ISNUMBER(SEARCH("sprayer",E409)),"Sprayer",
ISNUMBER(SEARCH("mower",E409)),"Lawn Mower",
ISNUMBER(SEARCH("sweeper",E409)),"Lawn Sweeper",
OR(ISNUMBER(SEARCH("pruner",E409)),ISNUMBER(SEARCH("trimmer",E409)),ISNUMBER(SEARCH("pole saw",E409))),"Pruning Tools",
TRUE,"Other"
)</f>
        <v>Bait &amp; Poison</v>
      </c>
      <c r="J409" s="7" t="str">
        <f t="shared" si="108"/>
        <v>Rodent Control - Bait &amp; Poison</v>
      </c>
      <c r="K409" s="4">
        <v>2000</v>
      </c>
      <c r="L409" s="4">
        <v>4.5999999999999996</v>
      </c>
      <c r="M409" s="4">
        <v>1288</v>
      </c>
      <c r="N409" s="4">
        <v>0</v>
      </c>
      <c r="O409" s="4">
        <f>VLOOKUP(A409,'[6]Monthly Sold'!$A:$B,2,0)</f>
        <v>0</v>
      </c>
      <c r="P409" s="4">
        <f>VLOOKUP(A409,'[6]Monthly Sold'!$A:$M,3,0)</f>
        <v>0</v>
      </c>
      <c r="Q409" s="4">
        <f>VLOOKUP(A409,'[6]Monthly Sold'!$A:$M,4,0)</f>
        <v>0</v>
      </c>
      <c r="R409" s="4">
        <f>VLOOKUP(A409,'[6]Monthly Sold'!$A:$M,5,0)</f>
        <v>0</v>
      </c>
      <c r="S409" s="4">
        <f>VLOOKUP(A409,'[6]Monthly Sold'!$A:$M,6,0)</f>
        <v>100</v>
      </c>
      <c r="T409" s="4">
        <f>VLOOKUP(A409,'[6]Monthly Sold'!$A:$M,7,0)</f>
        <v>500</v>
      </c>
      <c r="U409" s="4">
        <f>VLOOKUP(A409,'[6]Monthly Sold'!$A:$M,8,0)</f>
        <v>1000</v>
      </c>
      <c r="V409" s="4">
        <f>VLOOKUP(A409,'[6]Monthly Sold'!$A:$M,9,0)</f>
        <v>1000</v>
      </c>
      <c r="W409" s="4">
        <f>VLOOKUP(A409,'[6]Monthly Sold'!$A:$M,10,0)</f>
        <v>2000</v>
      </c>
      <c r="X409" s="4">
        <f>VLOOKUP(A409,'[6]Monthly Sold'!$A:$M,11,0)</f>
        <v>0</v>
      </c>
      <c r="Y409" s="4">
        <f>VLOOKUP(A409,'[6]Monthly Sold'!$A:$M,12,0)</f>
        <v>0</v>
      </c>
      <c r="Z409" s="4">
        <f>VLOOKUP(A409,'[6]Monthly Sold'!$A:$M,13,0)</f>
        <v>0</v>
      </c>
      <c r="AA409" s="4">
        <f t="shared" si="102"/>
        <v>4600</v>
      </c>
      <c r="AB409" s="7">
        <f t="shared" si="109"/>
        <v>383</v>
      </c>
      <c r="AC409" s="15">
        <f t="shared" si="103"/>
        <v>383.33333333333331</v>
      </c>
      <c r="AD409" s="16">
        <f t="shared" si="104"/>
        <v>354154</v>
      </c>
      <c r="AE409" s="16">
        <f t="shared" si="105"/>
        <v>29512.833333333328</v>
      </c>
      <c r="AF409" s="21">
        <v>14.5</v>
      </c>
      <c r="AG409" s="21">
        <v>76.989999999999995</v>
      </c>
      <c r="AH409" s="15">
        <f t="shared" si="106"/>
        <v>1.0197333333333332</v>
      </c>
      <c r="AI409" s="15">
        <f t="shared" si="107"/>
        <v>3.5690666666666657</v>
      </c>
      <c r="AJ409" s="10">
        <v>0.5</v>
      </c>
      <c r="AK409" s="10">
        <v>0.5</v>
      </c>
      <c r="AL409" s="21">
        <v>14.5</v>
      </c>
      <c r="AM409" s="9">
        <f t="shared" si="110"/>
        <v>11.548499999999999</v>
      </c>
      <c r="AN409" s="9">
        <f t="shared" si="111"/>
        <v>2.3096999999999999</v>
      </c>
      <c r="AO409" s="9">
        <f t="shared" si="112"/>
        <v>15.398</v>
      </c>
      <c r="AP409" s="9">
        <f t="shared" si="113"/>
        <v>1.5397999999999998</v>
      </c>
      <c r="AQ409" s="9">
        <f t="shared" si="114"/>
        <v>15.398</v>
      </c>
      <c r="AR409" s="9">
        <f t="shared" si="115"/>
        <v>19.247499999999999</v>
      </c>
      <c r="AS409" s="11">
        <f t="shared" si="116"/>
        <v>10.197333333333331</v>
      </c>
      <c r="AT409" s="12">
        <f t="shared" si="117"/>
        <v>7.6309999999999976</v>
      </c>
    </row>
    <row r="410" spans="1:46" ht="16.5" x14ac:dyDescent="0.4">
      <c r="A410" s="4" t="s">
        <v>1824</v>
      </c>
      <c r="B410" s="4" t="s">
        <v>1895</v>
      </c>
      <c r="C410" s="4" t="s">
        <v>1784</v>
      </c>
      <c r="D410" s="4" t="s">
        <v>1958</v>
      </c>
      <c r="E410" s="4" t="s">
        <v>1959</v>
      </c>
      <c r="F410" s="4" t="s">
        <v>1960</v>
      </c>
      <c r="G410" s="7" t="str">
        <f>VLOOKUP(A410,[1]done!$A:$I,9,0)</f>
        <v>Rodent</v>
      </c>
      <c r="H410" s="7" t="str" cm="1">
        <f t="array" ref="H410">_xlfn.IFS(
OR(ISNUMBER(SEARCH("mouse",E410)),ISNUMBER(SEARCH("rat",E410)),ISNUMBER(SEARCH("mice",E410)),ISNUMBER(SEARCH("rodent",E410))),"Rodent Control",
OR(ISNUMBER(SEARCH("fly",E410)),ISNUMBER(SEARCH("gnat",E410)),ISNUMBER(SEARCH("insect",E410)),ISNUMBER(SEARCH("mosquito",E410))),"Flying Insect Control",
OR(ISNUMBER(SEARCH("roach",E410)),ISNUMBER(SEARCH("ant",E410)),ISNUMBER(SEARCH("spider",E410)),ISNUMBER(SEARCH("cricket",E410)),ISNUMBER(SEARCH("scorpion",E410)),ISNUMBER(SEARCH("centipede",E410)),ISNUMBER(SEARCH("beetle",E410))),"Crawling Insect Control",
OR(ISNUMBER(SEARCH("tree",E410)),ISNUMBER(SEARCH("lantern",E410)),ISNUMBER(SEARCH("garden",E410)),ISNUMBER(SEARCH("plant",E410))),"Garden Pest Control",
OR(ISNUMBER(SEARCH("grass seed",E410)),ISNUMBER(SEARCH("seed mix",E410))),"Grass Seed",
OR(ISNUMBER(SEARCH("lawn food",E410)),ISNUMBER(SEARCH("fertilizer",E410))),"Lawn Fertilizer",
OR(ISNUMBER(SEARCH("patch",E410)),ISNUMBER(SEARCH("repair",E410)),ISNUMBER(SEARCH("thick'r",E410)),ISNUMBER(SEARCH("thick'r lawn",E410)),ISNUMBER(SEARCH("rapid grass",E410))),"Lawn Repair",
OR(ISNUMBER(SEARCH("weed",E410)),ISNUMBER(SEARCH("crabgrass",E410))),"Weed Control",
OR(ISNUMBER(SEARCH("fungicide",E410)),ISNUMBER(SEARCH("moss",E410))),"Disease &amp; Moss Control",
OR(ISNUMBER(SEARCH("plant food",E410)),ISNUMBER(SEARCH("miracid",E410))),"Plant Nutrition",
OR(ISNUMBER(SEARCH("perlite",E410))),"Soil Amendment",
OR(ISNUMBER(SEARCH("spreader",E410)),ISNUMBER(SEARCH("sprayer",E410)),ISNUMBER(SEARCH("mower",E410)),ISNUMBER(SEARCH("sweeper",E410)),ISNUMBER(SEARCH("pruner",E410)),ISNUMBER(SEARCH("trimmer",E410)),ISNUMBER(SEARCH("pole saw",E410))),"Garden Equipment",
TRUE,"Other"
)</f>
        <v>Rodent Control</v>
      </c>
      <c r="I410" s="7" t="str" cm="1">
        <f t="array" ref="I410">_xlfn.IFS(
OR(ISNUMBER(SEARCH("glue trap",E410)),ISNUMBER(SEARCH("glue board",E410))),"Glue Traps",
OR(ISNUMBER(SEARCH("snap trap",E410)),ISNUMBER(SEARCH("power-kill",E410)),ISNUMBER(SEARCH("wide pedal",E410)),ISNUMBER(SEARCH("metal pedal",E410))),"Snap Traps",
OR(ISNUMBER(SEARCH("electronic",E410)),ISNUMBER(SEARCH("zapper",E410))),"Electronic Traps",
OR(ISNUMBER(SEARCH("live catch",E410)),ISNUMBER(SEARCH("multi-catch",E410)),ISNUMBER(SEARCH("catch &amp; hold",E410)),ISNUMBER(SEARCH("tin cat",E410))),"Live Catch Traps",
OR(ISNUMBER(SEARCH("bait",E410)),ISNUMBER(SEARCH("poison",E410))),"Bait &amp; Poison",
ISNUMBER(SEARCH("repellent",E410)),"Repellents",
OR(ISNUMBER(SEARCH("fly trap",E410)),ISNUMBER(SEARCH("fly ribbon",E410)),ISNUMBER(SEARCH("fly stick",E410)),ISNUMBER(SEARCH("window fly",E410)),ISNUMBER(SEARCH("fly magnet",E410))),"Fly Traps",
OR(ISNUMBER(SEARCH("uv",E410)),ISNUMBER(SEARCH("fly light",E410)),ISNUMBER(SEARCH("plug-in",E410))),"UV Fly Traps",
ISNUMBER(SEARCH("roach",E410)),"Roach Traps",
ISNUMBER(SEARCH("ant",E410)),"Ant Traps",
ISNUMBER(SEARCH("spider",E410)),"Spider Traps",
ISNUMBER(SEARCH("mosquito",E410)),"Mosquito Traps",
ISNUMBER(SEARCH("beetle",E410)),"Beetle Traps",
ISNUMBER(SEARCH("lantern",E410)),"Lanternfly Control",
OR(ISNUMBER(SEARCH("tree shield",E410)),ISNUMBER(SEARCH("tree banding",E410)),ISNUMBER(SEARCH("insect barrier",E410))),"Tree Barriers",
OR(ISNUMBER(SEARCH("sun &amp; shade",E410)),ISNUMBER(SEARCH("sun and shade",E410))),"Sun &amp; Shade Mix",
ISNUMBER(SEARCH("tall fescue",E410)),"Tall Fescue",
ISNUMBER(SEARCH("bermudagrass",E410)),"Bermudagrass",
ISNUMBER(SEARCH("kentucky",E410)),"Kentucky Bluegrass",
ISNUMBER(SEARCH("zoysia",E410)),"Zoysia",
ISNUMBER(SEARCH("ryegrass",E410)),"Perennial Ryegrass",
ISNUMBER(SEARCH("centipede",E410)),"Centipede Grass",
ISNUMBER(SEARCH("dense shade",E410)),"Dense Shade Mix",
ISNUMBER(SEARCH("southern gold",E410)),"Southern Gold Mix",
ISNUMBER(SEARCH("heat-tolerant blue",E410)),"Heat-Tolerant Blue Mix",
ISNUMBER(SEARCH("high traffic",E410)),"High Traffic Mix",
ISNUMBER(SEARCH("quick fix",E410)),"Quick Fix Mix",
ISNUMBER(SEARCH("starter",E410)),"Starter Fertilizer",
ISNUMBER(SEARCH("weed &amp; feed",E410)),"Weed &amp; Feed",
ISNUMBER(SEARCH("lawn food",E410)),"Lawn Food",
ISNUMBER(SEARCH("triple action",E410)),"Triple Action Fertilizer",
ISNUMBER(SEARCH("green max",E410)),"Green Max Lawn Food",
ISNUMBER(SEARCH("patchmaster",E410)),"PatchMaster Repair",
ISNUMBER(SEARCH("ez seed",E410)),"EZ Seed Repair",
ISNUMBER(SEARCH("rapid grass",E410)),"Rapid Grass",
ISNUMBER(SEARCH("thick'r lawn",E410)),"Thick'R Lawn",
ISNUMBER(SEARCH("fungicide",E410)),"Fungicide",
ISNUMBER(SEARCH("moss",E410)),"Moss Control",
ISNUMBER(SEARCH("perlite",E410)),"Perlite",
ISNUMBER(SEARCH("plant food",E410)),"Plant Food",
ISNUMBER(SEARCH("spreader",E410)),"Spreader",
ISNUMBER(SEARCH("sprayer",E410)),"Sprayer",
ISNUMBER(SEARCH("mower",E410)),"Lawn Mower",
ISNUMBER(SEARCH("sweeper",E410)),"Lawn Sweeper",
OR(ISNUMBER(SEARCH("pruner",E410)),ISNUMBER(SEARCH("trimmer",E410)),ISNUMBER(SEARCH("pole saw",E410))),"Pruning Tools",
TRUE,"Other"
)</f>
        <v>Ant Traps</v>
      </c>
      <c r="J410" s="7" t="str">
        <f t="shared" si="108"/>
        <v>Rodent Control - Ant Traps</v>
      </c>
      <c r="K410" s="4">
        <v>1000</v>
      </c>
      <c r="L410" s="4">
        <v>4.0999999999999996</v>
      </c>
      <c r="M410" s="4">
        <v>13479</v>
      </c>
      <c r="N410" s="4" t="s">
        <v>1961</v>
      </c>
      <c r="O410" s="4">
        <f>VLOOKUP(A410,'[6]Monthly Sold'!$A:$B,2,0)</f>
        <v>2000</v>
      </c>
      <c r="P410" s="4">
        <f>VLOOKUP(A410,'[6]Monthly Sold'!$A:$M,3,0)</f>
        <v>2000</v>
      </c>
      <c r="Q410" s="4">
        <f>VLOOKUP(A410,'[6]Monthly Sold'!$A:$M,4,0)</f>
        <v>2000</v>
      </c>
      <c r="R410" s="4">
        <f>VLOOKUP(A410,'[6]Monthly Sold'!$A:$M,5,0)</f>
        <v>3000</v>
      </c>
      <c r="S410" s="4">
        <f>VLOOKUP(A410,'[6]Monthly Sold'!$A:$M,6,0)</f>
        <v>3000</v>
      </c>
      <c r="T410" s="4">
        <f>VLOOKUP(A410,'[6]Monthly Sold'!$A:$M,7,0)</f>
        <v>4000</v>
      </c>
      <c r="U410" s="4">
        <f>VLOOKUP(A410,'[6]Monthly Sold'!$A:$M,8,0)</f>
        <v>3000</v>
      </c>
      <c r="V410" s="4">
        <f>VLOOKUP(A410,'[6]Monthly Sold'!$A:$M,9,0)</f>
        <v>3000</v>
      </c>
      <c r="W410" s="4">
        <f>VLOOKUP(A410,'[6]Monthly Sold'!$A:$M,10,0)</f>
        <v>2000</v>
      </c>
      <c r="X410" s="4">
        <f>VLOOKUP(A410,'[6]Monthly Sold'!$A:$M,11,0)</f>
        <v>2000</v>
      </c>
      <c r="Y410" s="4">
        <f>VLOOKUP(A410,'[6]Monthly Sold'!$A:$M,12,0)</f>
        <v>2000</v>
      </c>
      <c r="Z410" s="4">
        <f>VLOOKUP(A410,'[6]Monthly Sold'!$A:$M,13,0)</f>
        <v>3000</v>
      </c>
      <c r="AA410" s="4">
        <f t="shared" si="102"/>
        <v>31000</v>
      </c>
      <c r="AB410" s="7">
        <f t="shared" si="109"/>
        <v>2583</v>
      </c>
      <c r="AC410" s="15">
        <f t="shared" si="103"/>
        <v>2583.3333333333335</v>
      </c>
      <c r="AD410" s="16">
        <f t="shared" si="104"/>
        <v>278690</v>
      </c>
      <c r="AE410" s="16">
        <f t="shared" si="105"/>
        <v>23224.166666666668</v>
      </c>
      <c r="AF410" s="21">
        <v>3.24</v>
      </c>
      <c r="AG410" s="21">
        <v>8.99</v>
      </c>
      <c r="AH410" s="15">
        <f t="shared" si="106"/>
        <v>-4.2933333333333344E-2</v>
      </c>
      <c r="AI410" s="15">
        <f t="shared" si="107"/>
        <v>-0.15026666666666669</v>
      </c>
      <c r="AJ410" s="10">
        <v>0.5</v>
      </c>
      <c r="AK410" s="10">
        <v>0.5</v>
      </c>
      <c r="AL410" s="21">
        <v>3.24</v>
      </c>
      <c r="AM410" s="9">
        <f t="shared" si="110"/>
        <v>1.3485</v>
      </c>
      <c r="AN410" s="9">
        <f t="shared" si="111"/>
        <v>0.2697</v>
      </c>
      <c r="AO410" s="9">
        <f t="shared" si="112"/>
        <v>1.798</v>
      </c>
      <c r="AP410" s="9">
        <f t="shared" si="113"/>
        <v>0.17980000000000002</v>
      </c>
      <c r="AQ410" s="9">
        <f t="shared" si="114"/>
        <v>1.798</v>
      </c>
      <c r="AR410" s="9">
        <f t="shared" si="115"/>
        <v>2.2475000000000001</v>
      </c>
      <c r="AS410" s="11">
        <f t="shared" si="116"/>
        <v>-0.4293333333333334</v>
      </c>
      <c r="AT410" s="12">
        <f t="shared" si="117"/>
        <v>-0.72900000000000009</v>
      </c>
    </row>
    <row r="411" spans="1:46" ht="16.5" x14ac:dyDescent="0.4">
      <c r="A411" s="4" t="s">
        <v>1825</v>
      </c>
      <c r="B411" s="4" t="s">
        <v>1895</v>
      </c>
      <c r="C411" s="4" t="s">
        <v>1784</v>
      </c>
      <c r="D411" s="4" t="s">
        <v>1962</v>
      </c>
      <c r="E411" s="4" t="s">
        <v>1963</v>
      </c>
      <c r="F411" s="4" t="s">
        <v>1964</v>
      </c>
      <c r="G411" s="7" t="str">
        <f>VLOOKUP(A411,[1]done!$A:$I,9,0)</f>
        <v>Mole Repellent</v>
      </c>
      <c r="H411" s="7" t="str" cm="1">
        <f t="array" ref="H411">_xlfn.IFS(
OR(ISNUMBER(SEARCH("mouse",E411)),ISNUMBER(SEARCH("rat",E411)),ISNUMBER(SEARCH("mice",E411)),ISNUMBER(SEARCH("rodent",E411))),"Rodent Control",
OR(ISNUMBER(SEARCH("fly",E411)),ISNUMBER(SEARCH("gnat",E411)),ISNUMBER(SEARCH("insect",E411)),ISNUMBER(SEARCH("mosquito",E411))),"Flying Insect Control",
OR(ISNUMBER(SEARCH("roach",E411)),ISNUMBER(SEARCH("ant",E411)),ISNUMBER(SEARCH("spider",E411)),ISNUMBER(SEARCH("cricket",E411)),ISNUMBER(SEARCH("scorpion",E411)),ISNUMBER(SEARCH("centipede",E411)),ISNUMBER(SEARCH("beetle",E411))),"Crawling Insect Control",
OR(ISNUMBER(SEARCH("tree",E411)),ISNUMBER(SEARCH("lantern",E411)),ISNUMBER(SEARCH("garden",E411)),ISNUMBER(SEARCH("plant",E411))),"Garden Pest Control",
OR(ISNUMBER(SEARCH("grass seed",E411)),ISNUMBER(SEARCH("seed mix",E411))),"Grass Seed",
OR(ISNUMBER(SEARCH("lawn food",E411)),ISNUMBER(SEARCH("fertilizer",E411))),"Lawn Fertilizer",
OR(ISNUMBER(SEARCH("patch",E411)),ISNUMBER(SEARCH("repair",E411)),ISNUMBER(SEARCH("thick'r",E411)),ISNUMBER(SEARCH("thick'r lawn",E411)),ISNUMBER(SEARCH("rapid grass",E411))),"Lawn Repair",
OR(ISNUMBER(SEARCH("weed",E411)),ISNUMBER(SEARCH("crabgrass",E411))),"Weed Control",
OR(ISNUMBER(SEARCH("fungicide",E411)),ISNUMBER(SEARCH("moss",E411))),"Disease &amp; Moss Control",
OR(ISNUMBER(SEARCH("plant food",E411)),ISNUMBER(SEARCH("miracid",E411))),"Plant Nutrition",
OR(ISNUMBER(SEARCH("perlite",E411))),"Soil Amendment",
OR(ISNUMBER(SEARCH("spreader",E411)),ISNUMBER(SEARCH("sprayer",E411)),ISNUMBER(SEARCH("mower",E411)),ISNUMBER(SEARCH("sweeper",E411)),ISNUMBER(SEARCH("pruner",E411)),ISNUMBER(SEARCH("trimmer",E411)),ISNUMBER(SEARCH("pole saw",E411))),"Garden Equipment",
TRUE,"Other"
)</f>
        <v>Other</v>
      </c>
      <c r="I411" s="7" t="str" cm="1">
        <f t="array" ref="I411">_xlfn.IFS(
OR(ISNUMBER(SEARCH("glue trap",E411)),ISNUMBER(SEARCH("glue board",E411))),"Glue Traps",
OR(ISNUMBER(SEARCH("snap trap",E411)),ISNUMBER(SEARCH("power-kill",E411)),ISNUMBER(SEARCH("wide pedal",E411)),ISNUMBER(SEARCH("metal pedal",E411))),"Snap Traps",
OR(ISNUMBER(SEARCH("electronic",E411)),ISNUMBER(SEARCH("zapper",E411))),"Electronic Traps",
OR(ISNUMBER(SEARCH("live catch",E411)),ISNUMBER(SEARCH("multi-catch",E411)),ISNUMBER(SEARCH("catch &amp; hold",E411)),ISNUMBER(SEARCH("tin cat",E411))),"Live Catch Traps",
OR(ISNUMBER(SEARCH("bait",E411)),ISNUMBER(SEARCH("poison",E411))),"Bait &amp; Poison",
ISNUMBER(SEARCH("repellent",E411)),"Repellents",
OR(ISNUMBER(SEARCH("fly trap",E411)),ISNUMBER(SEARCH("fly ribbon",E411)),ISNUMBER(SEARCH("fly stick",E411)),ISNUMBER(SEARCH("window fly",E411)),ISNUMBER(SEARCH("fly magnet",E411))),"Fly Traps",
OR(ISNUMBER(SEARCH("uv",E411)),ISNUMBER(SEARCH("fly light",E411)),ISNUMBER(SEARCH("plug-in",E411))),"UV Fly Traps",
ISNUMBER(SEARCH("roach",E411)),"Roach Traps",
ISNUMBER(SEARCH("ant",E411)),"Ant Traps",
ISNUMBER(SEARCH("spider",E411)),"Spider Traps",
ISNUMBER(SEARCH("mosquito",E411)),"Mosquito Traps",
ISNUMBER(SEARCH("beetle",E411)),"Beetle Traps",
ISNUMBER(SEARCH("lantern",E411)),"Lanternfly Control",
OR(ISNUMBER(SEARCH("tree shield",E411)),ISNUMBER(SEARCH("tree banding",E411)),ISNUMBER(SEARCH("insect barrier",E411))),"Tree Barriers",
OR(ISNUMBER(SEARCH("sun &amp; shade",E411)),ISNUMBER(SEARCH("sun and shade",E411))),"Sun &amp; Shade Mix",
ISNUMBER(SEARCH("tall fescue",E411)),"Tall Fescue",
ISNUMBER(SEARCH("bermudagrass",E411)),"Bermudagrass",
ISNUMBER(SEARCH("kentucky",E411)),"Kentucky Bluegrass",
ISNUMBER(SEARCH("zoysia",E411)),"Zoysia",
ISNUMBER(SEARCH("ryegrass",E411)),"Perennial Ryegrass",
ISNUMBER(SEARCH("centipede",E411)),"Centipede Grass",
ISNUMBER(SEARCH("dense shade",E411)),"Dense Shade Mix",
ISNUMBER(SEARCH("southern gold",E411)),"Southern Gold Mix",
ISNUMBER(SEARCH("heat-tolerant blue",E411)),"Heat-Tolerant Blue Mix",
ISNUMBER(SEARCH("high traffic",E411)),"High Traffic Mix",
ISNUMBER(SEARCH("quick fix",E411)),"Quick Fix Mix",
ISNUMBER(SEARCH("starter",E411)),"Starter Fertilizer",
ISNUMBER(SEARCH("weed &amp; feed",E411)),"Weed &amp; Feed",
ISNUMBER(SEARCH("lawn food",E411)),"Lawn Food",
ISNUMBER(SEARCH("triple action",E411)),"Triple Action Fertilizer",
ISNUMBER(SEARCH("green max",E411)),"Green Max Lawn Food",
ISNUMBER(SEARCH("patchmaster",E411)),"PatchMaster Repair",
ISNUMBER(SEARCH("ez seed",E411)),"EZ Seed Repair",
ISNUMBER(SEARCH("rapid grass",E411)),"Rapid Grass",
ISNUMBER(SEARCH("thick'r lawn",E411)),"Thick'R Lawn",
ISNUMBER(SEARCH("fungicide",E411)),"Fungicide",
ISNUMBER(SEARCH("moss",E411)),"Moss Control",
ISNUMBER(SEARCH("perlite",E411)),"Perlite",
ISNUMBER(SEARCH("plant food",E411)),"Plant Food",
ISNUMBER(SEARCH("spreader",E411)),"Spreader",
ISNUMBER(SEARCH("sprayer",E411)),"Sprayer",
ISNUMBER(SEARCH("mower",E411)),"Lawn Mower",
ISNUMBER(SEARCH("sweeper",E411)),"Lawn Sweeper",
OR(ISNUMBER(SEARCH("pruner",E411)),ISNUMBER(SEARCH("trimmer",E411)),ISNUMBER(SEARCH("pole saw",E411))),"Pruning Tools",
TRUE,"Other"
)</f>
        <v>Bait &amp; Poison</v>
      </c>
      <c r="J411" s="7" t="str">
        <f t="shared" si="108"/>
        <v>Other - Bait &amp; Poison</v>
      </c>
      <c r="K411" s="4">
        <v>1000</v>
      </c>
      <c r="L411" s="4">
        <v>4</v>
      </c>
      <c r="M411" s="4">
        <v>1048</v>
      </c>
      <c r="N411" s="4" t="s">
        <v>579</v>
      </c>
      <c r="O411" s="4">
        <f>VLOOKUP(A411,'[6]Monthly Sold'!$A:$B,2,0)</f>
        <v>500</v>
      </c>
      <c r="P411" s="4">
        <f>VLOOKUP(A411,'[6]Monthly Sold'!$A:$M,3,0)</f>
        <v>300</v>
      </c>
      <c r="Q411" s="4">
        <f>VLOOKUP(A411,'[6]Monthly Sold'!$A:$M,4,0)</f>
        <v>700</v>
      </c>
      <c r="R411" s="4">
        <f>VLOOKUP(A411,'[6]Monthly Sold'!$A:$M,5,0)</f>
        <v>1000</v>
      </c>
      <c r="S411" s="4">
        <f>VLOOKUP(A411,'[6]Monthly Sold'!$A:$M,6,0)</f>
        <v>2000</v>
      </c>
      <c r="T411" s="4">
        <f>VLOOKUP(A411,'[6]Monthly Sold'!$A:$M,7,0)</f>
        <v>2000</v>
      </c>
      <c r="U411" s="4">
        <f>VLOOKUP(A411,'[6]Monthly Sold'!$A:$M,8,0)</f>
        <v>1000</v>
      </c>
      <c r="V411" s="4">
        <f>VLOOKUP(A411,'[6]Monthly Sold'!$A:$M,9,0)</f>
        <v>1000</v>
      </c>
      <c r="W411" s="4">
        <f>VLOOKUP(A411,'[6]Monthly Sold'!$A:$M,10,0)</f>
        <v>1000</v>
      </c>
      <c r="X411" s="4">
        <f>VLOOKUP(A411,'[6]Monthly Sold'!$A:$M,11,0)</f>
        <v>1000</v>
      </c>
      <c r="Y411" s="4">
        <f>VLOOKUP(A411,'[6]Monthly Sold'!$A:$M,12,0)</f>
        <v>1000</v>
      </c>
      <c r="Z411" s="4">
        <f>VLOOKUP(A411,'[6]Monthly Sold'!$A:$M,13,0)</f>
        <v>400</v>
      </c>
      <c r="AA411" s="4">
        <f t="shared" si="102"/>
        <v>11900</v>
      </c>
      <c r="AB411" s="7">
        <f t="shared" si="109"/>
        <v>992</v>
      </c>
      <c r="AC411" s="15">
        <f t="shared" si="103"/>
        <v>991.66666666666663</v>
      </c>
      <c r="AD411" s="16">
        <f t="shared" si="104"/>
        <v>93891</v>
      </c>
      <c r="AE411" s="16">
        <f t="shared" si="105"/>
        <v>7824.2499999999991</v>
      </c>
      <c r="AF411" s="21">
        <v>3.24</v>
      </c>
      <c r="AG411" s="21">
        <v>7.89</v>
      </c>
      <c r="AH411" s="15">
        <f t="shared" si="106"/>
        <v>-7.2266666666666687E-2</v>
      </c>
      <c r="AI411" s="15">
        <f t="shared" si="107"/>
        <v>-0.2529333333333334</v>
      </c>
      <c r="AJ411" s="10">
        <v>0.5</v>
      </c>
      <c r="AK411" s="10">
        <v>0.5</v>
      </c>
      <c r="AL411" s="21">
        <v>3.24</v>
      </c>
      <c r="AM411" s="9">
        <f t="shared" si="110"/>
        <v>1.1835</v>
      </c>
      <c r="AN411" s="9">
        <f t="shared" si="111"/>
        <v>0.23669999999999999</v>
      </c>
      <c r="AO411" s="9">
        <f t="shared" si="112"/>
        <v>1.5780000000000001</v>
      </c>
      <c r="AP411" s="9">
        <f t="shared" si="113"/>
        <v>0.1578</v>
      </c>
      <c r="AQ411" s="9">
        <f t="shared" si="114"/>
        <v>1.5780000000000001</v>
      </c>
      <c r="AR411" s="9">
        <f t="shared" si="115"/>
        <v>1.9724999999999999</v>
      </c>
      <c r="AS411" s="11">
        <f t="shared" si="116"/>
        <v>-0.7226666666666669</v>
      </c>
      <c r="AT411" s="12">
        <f t="shared" si="117"/>
        <v>-0.9856666666666668</v>
      </c>
    </row>
    <row r="412" spans="1:46" ht="16.5" x14ac:dyDescent="0.4">
      <c r="A412" s="4" t="s">
        <v>1826</v>
      </c>
      <c r="B412" s="4" t="s">
        <v>1895</v>
      </c>
      <c r="C412" s="4" t="s">
        <v>1784</v>
      </c>
      <c r="D412" s="4" t="s">
        <v>1965</v>
      </c>
      <c r="E412" s="4" t="s">
        <v>1966</v>
      </c>
      <c r="F412" s="4" t="s">
        <v>1967</v>
      </c>
      <c r="G412" s="7" t="str">
        <f>VLOOKUP(A412,[1]done!$A:$I,9,0)</f>
        <v>Rodent</v>
      </c>
      <c r="H412" s="7" t="str" cm="1">
        <f t="array" ref="H412">_xlfn.IFS(
OR(ISNUMBER(SEARCH("mouse",E412)),ISNUMBER(SEARCH("rat",E412)),ISNUMBER(SEARCH("mice",E412)),ISNUMBER(SEARCH("rodent",E412))),"Rodent Control",
OR(ISNUMBER(SEARCH("fly",E412)),ISNUMBER(SEARCH("gnat",E412)),ISNUMBER(SEARCH("insect",E412)),ISNUMBER(SEARCH("mosquito",E412))),"Flying Insect Control",
OR(ISNUMBER(SEARCH("roach",E412)),ISNUMBER(SEARCH("ant",E412)),ISNUMBER(SEARCH("spider",E412)),ISNUMBER(SEARCH("cricket",E412)),ISNUMBER(SEARCH("scorpion",E412)),ISNUMBER(SEARCH("centipede",E412)),ISNUMBER(SEARCH("beetle",E412))),"Crawling Insect Control",
OR(ISNUMBER(SEARCH("tree",E412)),ISNUMBER(SEARCH("lantern",E412)),ISNUMBER(SEARCH("garden",E412)),ISNUMBER(SEARCH("plant",E412))),"Garden Pest Control",
OR(ISNUMBER(SEARCH("grass seed",E412)),ISNUMBER(SEARCH("seed mix",E412))),"Grass Seed",
OR(ISNUMBER(SEARCH("lawn food",E412)),ISNUMBER(SEARCH("fertilizer",E412))),"Lawn Fertilizer",
OR(ISNUMBER(SEARCH("patch",E412)),ISNUMBER(SEARCH("repair",E412)),ISNUMBER(SEARCH("thick'r",E412)),ISNUMBER(SEARCH("thick'r lawn",E412)),ISNUMBER(SEARCH("rapid grass",E412))),"Lawn Repair",
OR(ISNUMBER(SEARCH("weed",E412)),ISNUMBER(SEARCH("crabgrass",E412))),"Weed Control",
OR(ISNUMBER(SEARCH("fungicide",E412)),ISNUMBER(SEARCH("moss",E412))),"Disease &amp; Moss Control",
OR(ISNUMBER(SEARCH("plant food",E412)),ISNUMBER(SEARCH("miracid",E412))),"Plant Nutrition",
OR(ISNUMBER(SEARCH("perlite",E412))),"Soil Amendment",
OR(ISNUMBER(SEARCH("spreader",E412)),ISNUMBER(SEARCH("sprayer",E412)),ISNUMBER(SEARCH("mower",E412)),ISNUMBER(SEARCH("sweeper",E412)),ISNUMBER(SEARCH("pruner",E412)),ISNUMBER(SEARCH("trimmer",E412)),ISNUMBER(SEARCH("pole saw",E412))),"Garden Equipment",
TRUE,"Other"
)</f>
        <v>Rodent Control</v>
      </c>
      <c r="I412" s="7" t="str" cm="1">
        <f t="array" ref="I412">_xlfn.IFS(
OR(ISNUMBER(SEARCH("glue trap",E412)),ISNUMBER(SEARCH("glue board",E412))),"Glue Traps",
OR(ISNUMBER(SEARCH("snap trap",E412)),ISNUMBER(SEARCH("power-kill",E412)),ISNUMBER(SEARCH("wide pedal",E412)),ISNUMBER(SEARCH("metal pedal",E412))),"Snap Traps",
OR(ISNUMBER(SEARCH("electronic",E412)),ISNUMBER(SEARCH("zapper",E412))),"Electronic Traps",
OR(ISNUMBER(SEARCH("live catch",E412)),ISNUMBER(SEARCH("multi-catch",E412)),ISNUMBER(SEARCH("catch &amp; hold",E412)),ISNUMBER(SEARCH("tin cat",E412))),"Live Catch Traps",
OR(ISNUMBER(SEARCH("bait",E412)),ISNUMBER(SEARCH("poison",E412))),"Bait &amp; Poison",
ISNUMBER(SEARCH("repellent",E412)),"Repellents",
OR(ISNUMBER(SEARCH("fly trap",E412)),ISNUMBER(SEARCH("fly ribbon",E412)),ISNUMBER(SEARCH("fly stick",E412)),ISNUMBER(SEARCH("window fly",E412)),ISNUMBER(SEARCH("fly magnet",E412))),"Fly Traps",
OR(ISNUMBER(SEARCH("uv",E412)),ISNUMBER(SEARCH("fly light",E412)),ISNUMBER(SEARCH("plug-in",E412))),"UV Fly Traps",
ISNUMBER(SEARCH("roach",E412)),"Roach Traps",
ISNUMBER(SEARCH("ant",E412)),"Ant Traps",
ISNUMBER(SEARCH("spider",E412)),"Spider Traps",
ISNUMBER(SEARCH("mosquito",E412)),"Mosquito Traps",
ISNUMBER(SEARCH("beetle",E412)),"Beetle Traps",
ISNUMBER(SEARCH("lantern",E412)),"Lanternfly Control",
OR(ISNUMBER(SEARCH("tree shield",E412)),ISNUMBER(SEARCH("tree banding",E412)),ISNUMBER(SEARCH("insect barrier",E412))),"Tree Barriers",
OR(ISNUMBER(SEARCH("sun &amp; shade",E412)),ISNUMBER(SEARCH("sun and shade",E412))),"Sun &amp; Shade Mix",
ISNUMBER(SEARCH("tall fescue",E412)),"Tall Fescue",
ISNUMBER(SEARCH("bermudagrass",E412)),"Bermudagrass",
ISNUMBER(SEARCH("kentucky",E412)),"Kentucky Bluegrass",
ISNUMBER(SEARCH("zoysia",E412)),"Zoysia",
ISNUMBER(SEARCH("ryegrass",E412)),"Perennial Ryegrass",
ISNUMBER(SEARCH("centipede",E412)),"Centipede Grass",
ISNUMBER(SEARCH("dense shade",E412)),"Dense Shade Mix",
ISNUMBER(SEARCH("southern gold",E412)),"Southern Gold Mix",
ISNUMBER(SEARCH("heat-tolerant blue",E412)),"Heat-Tolerant Blue Mix",
ISNUMBER(SEARCH("high traffic",E412)),"High Traffic Mix",
ISNUMBER(SEARCH("quick fix",E412)),"Quick Fix Mix",
ISNUMBER(SEARCH("starter",E412)),"Starter Fertilizer",
ISNUMBER(SEARCH("weed &amp; feed",E412)),"Weed &amp; Feed",
ISNUMBER(SEARCH("lawn food",E412)),"Lawn Food",
ISNUMBER(SEARCH("triple action",E412)),"Triple Action Fertilizer",
ISNUMBER(SEARCH("green max",E412)),"Green Max Lawn Food",
ISNUMBER(SEARCH("patchmaster",E412)),"PatchMaster Repair",
ISNUMBER(SEARCH("ez seed",E412)),"EZ Seed Repair",
ISNUMBER(SEARCH("rapid grass",E412)),"Rapid Grass",
ISNUMBER(SEARCH("thick'r lawn",E412)),"Thick'R Lawn",
ISNUMBER(SEARCH("fungicide",E412)),"Fungicide",
ISNUMBER(SEARCH("moss",E412)),"Moss Control",
ISNUMBER(SEARCH("perlite",E412)),"Perlite",
ISNUMBER(SEARCH("plant food",E412)),"Plant Food",
ISNUMBER(SEARCH("spreader",E412)),"Spreader",
ISNUMBER(SEARCH("sprayer",E412)),"Sprayer",
ISNUMBER(SEARCH("mower",E412)),"Lawn Mower",
ISNUMBER(SEARCH("sweeper",E412)),"Lawn Sweeper",
OR(ISNUMBER(SEARCH("pruner",E412)),ISNUMBER(SEARCH("trimmer",E412)),ISNUMBER(SEARCH("pole saw",E412))),"Pruning Tools",
TRUE,"Other"
)</f>
        <v>Bait &amp; Poison</v>
      </c>
      <c r="J412" s="7" t="str">
        <f t="shared" si="108"/>
        <v>Rodent Control - Bait &amp; Poison</v>
      </c>
      <c r="K412" s="4">
        <v>800</v>
      </c>
      <c r="L412" s="4">
        <v>4.3</v>
      </c>
      <c r="M412" s="4">
        <v>199</v>
      </c>
      <c r="N412" s="4" t="s">
        <v>1202</v>
      </c>
      <c r="O412" s="4">
        <f>VLOOKUP(A412,'[6]Monthly Sold'!$A:$B,2,0)</f>
        <v>500</v>
      </c>
      <c r="P412" s="4">
        <f>VLOOKUP(A412,'[6]Monthly Sold'!$A:$M,3,0)</f>
        <v>300</v>
      </c>
      <c r="Q412" s="4">
        <f>VLOOKUP(A412,'[6]Monthly Sold'!$A:$M,4,0)</f>
        <v>400</v>
      </c>
      <c r="R412" s="4">
        <f>VLOOKUP(A412,'[6]Monthly Sold'!$A:$M,5,0)</f>
        <v>400</v>
      </c>
      <c r="S412" s="4">
        <f>VLOOKUP(A412,'[6]Monthly Sold'!$A:$M,6,0)</f>
        <v>200</v>
      </c>
      <c r="T412" s="4">
        <f>VLOOKUP(A412,'[6]Monthly Sold'!$A:$M,7,0)</f>
        <v>500</v>
      </c>
      <c r="U412" s="4">
        <f>VLOOKUP(A412,'[6]Monthly Sold'!$A:$M,8,0)</f>
        <v>500</v>
      </c>
      <c r="V412" s="4">
        <f>VLOOKUP(A412,'[6]Monthly Sold'!$A:$M,9,0)</f>
        <v>600</v>
      </c>
      <c r="W412" s="4">
        <f>VLOOKUP(A412,'[6]Monthly Sold'!$A:$M,10,0)</f>
        <v>800</v>
      </c>
      <c r="X412" s="4">
        <f>VLOOKUP(A412,'[6]Monthly Sold'!$A:$M,11,0)</f>
        <v>500</v>
      </c>
      <c r="Y412" s="4">
        <f>VLOOKUP(A412,'[6]Monthly Sold'!$A:$M,12,0)</f>
        <v>800</v>
      </c>
      <c r="Z412" s="4">
        <f>VLOOKUP(A412,'[6]Monthly Sold'!$A:$M,13,0)</f>
        <v>600</v>
      </c>
      <c r="AA412" s="4">
        <f t="shared" si="102"/>
        <v>6100</v>
      </c>
      <c r="AB412" s="7">
        <f t="shared" si="109"/>
        <v>508</v>
      </c>
      <c r="AC412" s="15">
        <f t="shared" si="103"/>
        <v>508.33333333333331</v>
      </c>
      <c r="AD412" s="16">
        <f t="shared" si="104"/>
        <v>280539</v>
      </c>
      <c r="AE412" s="16">
        <f t="shared" si="105"/>
        <v>23378.25</v>
      </c>
      <c r="AF412" s="21">
        <v>8.6199999999999992</v>
      </c>
      <c r="AG412" s="21">
        <v>45.99</v>
      </c>
      <c r="AH412" s="15">
        <f t="shared" si="106"/>
        <v>0.58506666666666696</v>
      </c>
      <c r="AI412" s="15">
        <f t="shared" si="107"/>
        <v>2.0477333333333338</v>
      </c>
      <c r="AJ412" s="10">
        <v>0.5</v>
      </c>
      <c r="AK412" s="10">
        <v>0.5</v>
      </c>
      <c r="AL412" s="21">
        <v>8.6199999999999992</v>
      </c>
      <c r="AM412" s="9">
        <f t="shared" si="110"/>
        <v>6.8985000000000003</v>
      </c>
      <c r="AN412" s="9">
        <f t="shared" si="111"/>
        <v>1.3796999999999999</v>
      </c>
      <c r="AO412" s="9">
        <f t="shared" si="112"/>
        <v>9.1980000000000004</v>
      </c>
      <c r="AP412" s="9">
        <f t="shared" si="113"/>
        <v>0.91980000000000006</v>
      </c>
      <c r="AQ412" s="9">
        <f t="shared" si="114"/>
        <v>9.1980000000000004</v>
      </c>
      <c r="AR412" s="9">
        <f t="shared" si="115"/>
        <v>11.4975</v>
      </c>
      <c r="AS412" s="11">
        <f t="shared" si="116"/>
        <v>5.8506666666666689</v>
      </c>
      <c r="AT412" s="12">
        <f t="shared" si="117"/>
        <v>4.3176666666666685</v>
      </c>
    </row>
    <row r="413" spans="1:46" ht="16.5" x14ac:dyDescent="0.4">
      <c r="A413" s="4" t="s">
        <v>1827</v>
      </c>
      <c r="B413" s="4" t="s">
        <v>1895</v>
      </c>
      <c r="C413" s="4" t="s">
        <v>1784</v>
      </c>
      <c r="D413" s="4" t="s">
        <v>1968</v>
      </c>
      <c r="E413" s="4" t="s">
        <v>1969</v>
      </c>
      <c r="F413" s="4" t="s">
        <v>1970</v>
      </c>
      <c r="G413" s="7" t="str">
        <f>VLOOKUP(A413,[1]done!$A:$I,9,0)</f>
        <v>Rodent</v>
      </c>
      <c r="H413" s="7" t="str" cm="1">
        <f t="array" ref="H413">_xlfn.IFS(
OR(ISNUMBER(SEARCH("mouse",E413)),ISNUMBER(SEARCH("rat",E413)),ISNUMBER(SEARCH("mice",E413)),ISNUMBER(SEARCH("rodent",E413))),"Rodent Control",
OR(ISNUMBER(SEARCH("fly",E413)),ISNUMBER(SEARCH("gnat",E413)),ISNUMBER(SEARCH("insect",E413)),ISNUMBER(SEARCH("mosquito",E413))),"Flying Insect Control",
OR(ISNUMBER(SEARCH("roach",E413)),ISNUMBER(SEARCH("ant",E413)),ISNUMBER(SEARCH("spider",E413)),ISNUMBER(SEARCH("cricket",E413)),ISNUMBER(SEARCH("scorpion",E413)),ISNUMBER(SEARCH("centipede",E413)),ISNUMBER(SEARCH("beetle",E413))),"Crawling Insect Control",
OR(ISNUMBER(SEARCH("tree",E413)),ISNUMBER(SEARCH("lantern",E413)),ISNUMBER(SEARCH("garden",E413)),ISNUMBER(SEARCH("plant",E413))),"Garden Pest Control",
OR(ISNUMBER(SEARCH("grass seed",E413)),ISNUMBER(SEARCH("seed mix",E413))),"Grass Seed",
OR(ISNUMBER(SEARCH("lawn food",E413)),ISNUMBER(SEARCH("fertilizer",E413))),"Lawn Fertilizer",
OR(ISNUMBER(SEARCH("patch",E413)),ISNUMBER(SEARCH("repair",E413)),ISNUMBER(SEARCH("thick'r",E413)),ISNUMBER(SEARCH("thick'r lawn",E413)),ISNUMBER(SEARCH("rapid grass",E413))),"Lawn Repair",
OR(ISNUMBER(SEARCH("weed",E413)),ISNUMBER(SEARCH("crabgrass",E413))),"Weed Control",
OR(ISNUMBER(SEARCH("fungicide",E413)),ISNUMBER(SEARCH("moss",E413))),"Disease &amp; Moss Control",
OR(ISNUMBER(SEARCH("plant food",E413)),ISNUMBER(SEARCH("miracid",E413))),"Plant Nutrition",
OR(ISNUMBER(SEARCH("perlite",E413))),"Soil Amendment",
OR(ISNUMBER(SEARCH("spreader",E413)),ISNUMBER(SEARCH("sprayer",E413)),ISNUMBER(SEARCH("mower",E413)),ISNUMBER(SEARCH("sweeper",E413)),ISNUMBER(SEARCH("pruner",E413)),ISNUMBER(SEARCH("trimmer",E413)),ISNUMBER(SEARCH("pole saw",E413))),"Garden Equipment",
TRUE,"Other"
)</f>
        <v>Rodent Control</v>
      </c>
      <c r="I413" s="7" t="str" cm="1">
        <f t="array" ref="I413">_xlfn.IFS(
OR(ISNUMBER(SEARCH("glue trap",E413)),ISNUMBER(SEARCH("glue board",E413))),"Glue Traps",
OR(ISNUMBER(SEARCH("snap trap",E413)),ISNUMBER(SEARCH("power-kill",E413)),ISNUMBER(SEARCH("wide pedal",E413)),ISNUMBER(SEARCH("metal pedal",E413))),"Snap Traps",
OR(ISNUMBER(SEARCH("electronic",E413)),ISNUMBER(SEARCH("zapper",E413))),"Electronic Traps",
OR(ISNUMBER(SEARCH("live catch",E413)),ISNUMBER(SEARCH("multi-catch",E413)),ISNUMBER(SEARCH("catch &amp; hold",E413)),ISNUMBER(SEARCH("tin cat",E413))),"Live Catch Traps",
OR(ISNUMBER(SEARCH("bait",E413)),ISNUMBER(SEARCH("poison",E413))),"Bait &amp; Poison",
ISNUMBER(SEARCH("repellent",E413)),"Repellents",
OR(ISNUMBER(SEARCH("fly trap",E413)),ISNUMBER(SEARCH("fly ribbon",E413)),ISNUMBER(SEARCH("fly stick",E413)),ISNUMBER(SEARCH("window fly",E413)),ISNUMBER(SEARCH("fly magnet",E413))),"Fly Traps",
OR(ISNUMBER(SEARCH("uv",E413)),ISNUMBER(SEARCH("fly light",E413)),ISNUMBER(SEARCH("plug-in",E413))),"UV Fly Traps",
ISNUMBER(SEARCH("roach",E413)),"Roach Traps",
ISNUMBER(SEARCH("ant",E413)),"Ant Traps",
ISNUMBER(SEARCH("spider",E413)),"Spider Traps",
ISNUMBER(SEARCH("mosquito",E413)),"Mosquito Traps",
ISNUMBER(SEARCH("beetle",E413)),"Beetle Traps",
ISNUMBER(SEARCH("lantern",E413)),"Lanternfly Control",
OR(ISNUMBER(SEARCH("tree shield",E413)),ISNUMBER(SEARCH("tree banding",E413)),ISNUMBER(SEARCH("insect barrier",E413))),"Tree Barriers",
OR(ISNUMBER(SEARCH("sun &amp; shade",E413)),ISNUMBER(SEARCH("sun and shade",E413))),"Sun &amp; Shade Mix",
ISNUMBER(SEARCH("tall fescue",E413)),"Tall Fescue",
ISNUMBER(SEARCH("bermudagrass",E413)),"Bermudagrass",
ISNUMBER(SEARCH("kentucky",E413)),"Kentucky Bluegrass",
ISNUMBER(SEARCH("zoysia",E413)),"Zoysia",
ISNUMBER(SEARCH("ryegrass",E413)),"Perennial Ryegrass",
ISNUMBER(SEARCH("centipede",E413)),"Centipede Grass",
ISNUMBER(SEARCH("dense shade",E413)),"Dense Shade Mix",
ISNUMBER(SEARCH("southern gold",E413)),"Southern Gold Mix",
ISNUMBER(SEARCH("heat-tolerant blue",E413)),"Heat-Tolerant Blue Mix",
ISNUMBER(SEARCH("high traffic",E413)),"High Traffic Mix",
ISNUMBER(SEARCH("quick fix",E413)),"Quick Fix Mix",
ISNUMBER(SEARCH("starter",E413)),"Starter Fertilizer",
ISNUMBER(SEARCH("weed &amp; feed",E413)),"Weed &amp; Feed",
ISNUMBER(SEARCH("lawn food",E413)),"Lawn Food",
ISNUMBER(SEARCH("triple action",E413)),"Triple Action Fertilizer",
ISNUMBER(SEARCH("green max",E413)),"Green Max Lawn Food",
ISNUMBER(SEARCH("patchmaster",E413)),"PatchMaster Repair",
ISNUMBER(SEARCH("ez seed",E413)),"EZ Seed Repair",
ISNUMBER(SEARCH("rapid grass",E413)),"Rapid Grass",
ISNUMBER(SEARCH("thick'r lawn",E413)),"Thick'R Lawn",
ISNUMBER(SEARCH("fungicide",E413)),"Fungicide",
ISNUMBER(SEARCH("moss",E413)),"Moss Control",
ISNUMBER(SEARCH("perlite",E413)),"Perlite",
ISNUMBER(SEARCH("plant food",E413)),"Plant Food",
ISNUMBER(SEARCH("spreader",E413)),"Spreader",
ISNUMBER(SEARCH("sprayer",E413)),"Sprayer",
ISNUMBER(SEARCH("mower",E413)),"Lawn Mower",
ISNUMBER(SEARCH("sweeper",E413)),"Lawn Sweeper",
OR(ISNUMBER(SEARCH("pruner",E413)),ISNUMBER(SEARCH("trimmer",E413)),ISNUMBER(SEARCH("pole saw",E413))),"Pruning Tools",
TRUE,"Other"
)</f>
        <v>Bait &amp; Poison</v>
      </c>
      <c r="J413" s="7" t="str">
        <f t="shared" si="108"/>
        <v>Rodent Control - Bait &amp; Poison</v>
      </c>
      <c r="K413" s="4">
        <v>800</v>
      </c>
      <c r="L413" s="4">
        <v>4.4000000000000004</v>
      </c>
      <c r="M413" s="4">
        <v>1484</v>
      </c>
      <c r="N413" s="4" t="s">
        <v>1971</v>
      </c>
      <c r="O413" s="4">
        <f>VLOOKUP(A413,'[6]Monthly Sold'!$A:$B,2,0)</f>
        <v>2000</v>
      </c>
      <c r="P413" s="4">
        <f>VLOOKUP(A413,'[6]Monthly Sold'!$A:$M,3,0)</f>
        <v>3000</v>
      </c>
      <c r="Q413" s="4">
        <f>VLOOKUP(A413,'[6]Monthly Sold'!$A:$M,4,0)</f>
        <v>2000</v>
      </c>
      <c r="R413" s="4">
        <f>VLOOKUP(A413,'[6]Monthly Sold'!$A:$M,5,0)</f>
        <v>1000</v>
      </c>
      <c r="S413" s="4">
        <f>VLOOKUP(A413,'[6]Monthly Sold'!$A:$M,6,0)</f>
        <v>1000</v>
      </c>
      <c r="T413" s="4">
        <f>VLOOKUP(A413,'[6]Monthly Sold'!$A:$M,7,0)</f>
        <v>2000</v>
      </c>
      <c r="U413" s="4">
        <f>VLOOKUP(A413,'[6]Monthly Sold'!$A:$M,8,0)</f>
        <v>1000</v>
      </c>
      <c r="V413" s="4">
        <f>VLOOKUP(A413,'[6]Monthly Sold'!$A:$M,9,0)</f>
        <v>700</v>
      </c>
      <c r="W413" s="4">
        <f>VLOOKUP(A413,'[6]Monthly Sold'!$A:$M,10,0)</f>
        <v>600</v>
      </c>
      <c r="X413" s="4">
        <f>VLOOKUP(A413,'[6]Monthly Sold'!$A:$M,11,0)</f>
        <v>2000</v>
      </c>
      <c r="Y413" s="4">
        <f>VLOOKUP(A413,'[6]Monthly Sold'!$A:$M,12,0)</f>
        <v>1000</v>
      </c>
      <c r="Z413" s="4">
        <f>VLOOKUP(A413,'[6]Monthly Sold'!$A:$M,13,0)</f>
        <v>1000</v>
      </c>
      <c r="AA413" s="4">
        <f t="shared" si="102"/>
        <v>17300</v>
      </c>
      <c r="AB413" s="7">
        <f t="shared" si="109"/>
        <v>1442</v>
      </c>
      <c r="AC413" s="15">
        <f t="shared" si="103"/>
        <v>1441.6666666666667</v>
      </c>
      <c r="AD413" s="16">
        <f t="shared" si="104"/>
        <v>324894</v>
      </c>
      <c r="AE413" s="16">
        <f t="shared" si="105"/>
        <v>27074.500000000004</v>
      </c>
      <c r="AF413" s="21">
        <v>6.31</v>
      </c>
      <c r="AG413" s="21">
        <v>18.78</v>
      </c>
      <c r="AH413" s="15">
        <f t="shared" si="106"/>
        <v>1.3466666666666724E-2</v>
      </c>
      <c r="AI413" s="15">
        <f t="shared" si="107"/>
        <v>4.7133333333333534E-2</v>
      </c>
      <c r="AJ413" s="10">
        <v>0.5</v>
      </c>
      <c r="AK413" s="10">
        <v>0.5</v>
      </c>
      <c r="AL413" s="21">
        <v>6.31</v>
      </c>
      <c r="AM413" s="9">
        <f t="shared" si="110"/>
        <v>2.8170000000000002</v>
      </c>
      <c r="AN413" s="9">
        <f t="shared" si="111"/>
        <v>0.56340000000000001</v>
      </c>
      <c r="AO413" s="9">
        <f t="shared" si="112"/>
        <v>3.7560000000000002</v>
      </c>
      <c r="AP413" s="9">
        <f t="shared" si="113"/>
        <v>0.37560000000000004</v>
      </c>
      <c r="AQ413" s="9">
        <f t="shared" si="114"/>
        <v>3.7560000000000002</v>
      </c>
      <c r="AR413" s="9">
        <f t="shared" si="115"/>
        <v>4.6950000000000003</v>
      </c>
      <c r="AS413" s="11">
        <f t="shared" si="116"/>
        <v>0.13466666666666724</v>
      </c>
      <c r="AT413" s="12">
        <f t="shared" si="117"/>
        <v>-0.49133333333333279</v>
      </c>
    </row>
    <row r="414" spans="1:46" ht="16.5" x14ac:dyDescent="0.4">
      <c r="A414" s="4" t="s">
        <v>1828</v>
      </c>
      <c r="B414" s="4" t="s">
        <v>1895</v>
      </c>
      <c r="C414" s="4" t="s">
        <v>1784</v>
      </c>
      <c r="D414" s="4" t="s">
        <v>1972</v>
      </c>
      <c r="E414" s="4" t="s">
        <v>1973</v>
      </c>
      <c r="F414" s="4" t="s">
        <v>1974</v>
      </c>
      <c r="G414" s="7" t="str">
        <f>VLOOKUP(A414,[1]done!$A:$I,9,0)</f>
        <v>Rodent</v>
      </c>
      <c r="H414" s="7" t="str" cm="1">
        <f t="array" ref="H414">_xlfn.IFS(
OR(ISNUMBER(SEARCH("mouse",E414)),ISNUMBER(SEARCH("rat",E414)),ISNUMBER(SEARCH("mice",E414)),ISNUMBER(SEARCH("rodent",E414))),"Rodent Control",
OR(ISNUMBER(SEARCH("fly",E414)),ISNUMBER(SEARCH("gnat",E414)),ISNUMBER(SEARCH("insect",E414)),ISNUMBER(SEARCH("mosquito",E414))),"Flying Insect Control",
OR(ISNUMBER(SEARCH("roach",E414)),ISNUMBER(SEARCH("ant",E414)),ISNUMBER(SEARCH("spider",E414)),ISNUMBER(SEARCH("cricket",E414)),ISNUMBER(SEARCH("scorpion",E414)),ISNUMBER(SEARCH("centipede",E414)),ISNUMBER(SEARCH("beetle",E414))),"Crawling Insect Control",
OR(ISNUMBER(SEARCH("tree",E414)),ISNUMBER(SEARCH("lantern",E414)),ISNUMBER(SEARCH("garden",E414)),ISNUMBER(SEARCH("plant",E414))),"Garden Pest Control",
OR(ISNUMBER(SEARCH("grass seed",E414)),ISNUMBER(SEARCH("seed mix",E414))),"Grass Seed",
OR(ISNUMBER(SEARCH("lawn food",E414)),ISNUMBER(SEARCH("fertilizer",E414))),"Lawn Fertilizer",
OR(ISNUMBER(SEARCH("patch",E414)),ISNUMBER(SEARCH("repair",E414)),ISNUMBER(SEARCH("thick'r",E414)),ISNUMBER(SEARCH("thick'r lawn",E414)),ISNUMBER(SEARCH("rapid grass",E414))),"Lawn Repair",
OR(ISNUMBER(SEARCH("weed",E414)),ISNUMBER(SEARCH("crabgrass",E414))),"Weed Control",
OR(ISNUMBER(SEARCH("fungicide",E414)),ISNUMBER(SEARCH("moss",E414))),"Disease &amp; Moss Control",
OR(ISNUMBER(SEARCH("plant food",E414)),ISNUMBER(SEARCH("miracid",E414))),"Plant Nutrition",
OR(ISNUMBER(SEARCH("perlite",E414))),"Soil Amendment",
OR(ISNUMBER(SEARCH("spreader",E414)),ISNUMBER(SEARCH("sprayer",E414)),ISNUMBER(SEARCH("mower",E414)),ISNUMBER(SEARCH("sweeper",E414)),ISNUMBER(SEARCH("pruner",E414)),ISNUMBER(SEARCH("trimmer",E414)),ISNUMBER(SEARCH("pole saw",E414))),"Garden Equipment",
TRUE,"Other"
)</f>
        <v>Rodent Control</v>
      </c>
      <c r="I414" s="7" t="str" cm="1">
        <f t="array" ref="I414">_xlfn.IFS(
OR(ISNUMBER(SEARCH("glue trap",E414)),ISNUMBER(SEARCH("glue board",E414))),"Glue Traps",
OR(ISNUMBER(SEARCH("snap trap",E414)),ISNUMBER(SEARCH("power-kill",E414)),ISNUMBER(SEARCH("wide pedal",E414)),ISNUMBER(SEARCH("metal pedal",E414))),"Snap Traps",
OR(ISNUMBER(SEARCH("electronic",E414)),ISNUMBER(SEARCH("zapper",E414))),"Electronic Traps",
OR(ISNUMBER(SEARCH("live catch",E414)),ISNUMBER(SEARCH("multi-catch",E414)),ISNUMBER(SEARCH("catch &amp; hold",E414)),ISNUMBER(SEARCH("tin cat",E414))),"Live Catch Traps",
OR(ISNUMBER(SEARCH("bait",E414)),ISNUMBER(SEARCH("poison",E414))),"Bait &amp; Poison",
ISNUMBER(SEARCH("repellent",E414)),"Repellents",
OR(ISNUMBER(SEARCH("fly trap",E414)),ISNUMBER(SEARCH("fly ribbon",E414)),ISNUMBER(SEARCH("fly stick",E414)),ISNUMBER(SEARCH("window fly",E414)),ISNUMBER(SEARCH("fly magnet",E414))),"Fly Traps",
OR(ISNUMBER(SEARCH("uv",E414)),ISNUMBER(SEARCH("fly light",E414)),ISNUMBER(SEARCH("plug-in",E414))),"UV Fly Traps",
ISNUMBER(SEARCH("roach",E414)),"Roach Traps",
ISNUMBER(SEARCH("ant",E414)),"Ant Traps",
ISNUMBER(SEARCH("spider",E414)),"Spider Traps",
ISNUMBER(SEARCH("mosquito",E414)),"Mosquito Traps",
ISNUMBER(SEARCH("beetle",E414)),"Beetle Traps",
ISNUMBER(SEARCH("lantern",E414)),"Lanternfly Control",
OR(ISNUMBER(SEARCH("tree shield",E414)),ISNUMBER(SEARCH("tree banding",E414)),ISNUMBER(SEARCH("insect barrier",E414))),"Tree Barriers",
OR(ISNUMBER(SEARCH("sun &amp; shade",E414)),ISNUMBER(SEARCH("sun and shade",E414))),"Sun &amp; Shade Mix",
ISNUMBER(SEARCH("tall fescue",E414)),"Tall Fescue",
ISNUMBER(SEARCH("bermudagrass",E414)),"Bermudagrass",
ISNUMBER(SEARCH("kentucky",E414)),"Kentucky Bluegrass",
ISNUMBER(SEARCH("zoysia",E414)),"Zoysia",
ISNUMBER(SEARCH("ryegrass",E414)),"Perennial Ryegrass",
ISNUMBER(SEARCH("centipede",E414)),"Centipede Grass",
ISNUMBER(SEARCH("dense shade",E414)),"Dense Shade Mix",
ISNUMBER(SEARCH("southern gold",E414)),"Southern Gold Mix",
ISNUMBER(SEARCH("heat-tolerant blue",E414)),"Heat-Tolerant Blue Mix",
ISNUMBER(SEARCH("high traffic",E414)),"High Traffic Mix",
ISNUMBER(SEARCH("quick fix",E414)),"Quick Fix Mix",
ISNUMBER(SEARCH("starter",E414)),"Starter Fertilizer",
ISNUMBER(SEARCH("weed &amp; feed",E414)),"Weed &amp; Feed",
ISNUMBER(SEARCH("lawn food",E414)),"Lawn Food",
ISNUMBER(SEARCH("triple action",E414)),"Triple Action Fertilizer",
ISNUMBER(SEARCH("green max",E414)),"Green Max Lawn Food",
ISNUMBER(SEARCH("patchmaster",E414)),"PatchMaster Repair",
ISNUMBER(SEARCH("ez seed",E414)),"EZ Seed Repair",
ISNUMBER(SEARCH("rapid grass",E414)),"Rapid Grass",
ISNUMBER(SEARCH("thick'r lawn",E414)),"Thick'R Lawn",
ISNUMBER(SEARCH("fungicide",E414)),"Fungicide",
ISNUMBER(SEARCH("moss",E414)),"Moss Control",
ISNUMBER(SEARCH("perlite",E414)),"Perlite",
ISNUMBER(SEARCH("plant food",E414)),"Plant Food",
ISNUMBER(SEARCH("spreader",E414)),"Spreader",
ISNUMBER(SEARCH("sprayer",E414)),"Sprayer",
ISNUMBER(SEARCH("mower",E414)),"Lawn Mower",
ISNUMBER(SEARCH("sweeper",E414)),"Lawn Sweeper",
OR(ISNUMBER(SEARCH("pruner",E414)),ISNUMBER(SEARCH("trimmer",E414)),ISNUMBER(SEARCH("pole saw",E414))),"Pruning Tools",
TRUE,"Other"
)</f>
        <v>Glue Traps</v>
      </c>
      <c r="J414" s="7" t="str">
        <f t="shared" si="108"/>
        <v>Rodent Control - Glue Traps</v>
      </c>
      <c r="K414" s="4">
        <v>700</v>
      </c>
      <c r="L414" s="4">
        <v>4.4000000000000004</v>
      </c>
      <c r="M414" s="4">
        <v>45909</v>
      </c>
      <c r="N414" s="4" t="s">
        <v>1975</v>
      </c>
      <c r="O414" s="4">
        <f>VLOOKUP(A414,'[6]Monthly Sold'!$A:$B,2,0)</f>
        <v>1000</v>
      </c>
      <c r="P414" s="4">
        <f>VLOOKUP(A414,'[6]Monthly Sold'!$A:$M,3,0)</f>
        <v>900</v>
      </c>
      <c r="Q414" s="4">
        <f>VLOOKUP(A414,'[6]Monthly Sold'!$A:$M,4,0)</f>
        <v>200</v>
      </c>
      <c r="R414" s="4">
        <f>VLOOKUP(A414,'[6]Monthly Sold'!$A:$M,5,0)</f>
        <v>200</v>
      </c>
      <c r="S414" s="4">
        <f>VLOOKUP(A414,'[6]Monthly Sold'!$A:$M,6,0)</f>
        <v>100</v>
      </c>
      <c r="T414" s="4">
        <f>VLOOKUP(A414,'[6]Monthly Sold'!$A:$M,7,0)</f>
        <v>100</v>
      </c>
      <c r="U414" s="4">
        <f>VLOOKUP(A414,'[6]Monthly Sold'!$A:$M,8,0)</f>
        <v>100</v>
      </c>
      <c r="V414" s="4">
        <f>VLOOKUP(A414,'[6]Monthly Sold'!$A:$M,9,0)</f>
        <v>100</v>
      </c>
      <c r="W414" s="4">
        <f>VLOOKUP(A414,'[6]Monthly Sold'!$A:$M,10,0)</f>
        <v>300</v>
      </c>
      <c r="X414" s="4">
        <f>VLOOKUP(A414,'[6]Monthly Sold'!$A:$M,11,0)</f>
        <v>1000</v>
      </c>
      <c r="Y414" s="4">
        <f>VLOOKUP(A414,'[6]Monthly Sold'!$A:$M,12,0)</f>
        <v>1000</v>
      </c>
      <c r="Z414" s="4">
        <f>VLOOKUP(A414,'[6]Monthly Sold'!$A:$M,13,0)</f>
        <v>1000</v>
      </c>
      <c r="AA414" s="4">
        <f t="shared" si="102"/>
        <v>6000</v>
      </c>
      <c r="AB414" s="7">
        <f t="shared" si="109"/>
        <v>500</v>
      </c>
      <c r="AC414" s="15">
        <f t="shared" si="103"/>
        <v>500</v>
      </c>
      <c r="AD414" s="16">
        <f t="shared" si="104"/>
        <v>84480</v>
      </c>
      <c r="AE414" s="16">
        <f t="shared" si="105"/>
        <v>7040</v>
      </c>
      <c r="AF414" s="21">
        <v>5.22</v>
      </c>
      <c r="AG414" s="21">
        <v>14.08</v>
      </c>
      <c r="AH414" s="15">
        <f t="shared" si="106"/>
        <v>-3.9199999999999978E-2</v>
      </c>
      <c r="AI414" s="15">
        <f t="shared" si="107"/>
        <v>-0.13719999999999991</v>
      </c>
      <c r="AJ414" s="10">
        <v>0.5</v>
      </c>
      <c r="AK414" s="10">
        <v>0.5</v>
      </c>
      <c r="AL414" s="21">
        <v>5.22</v>
      </c>
      <c r="AM414" s="9">
        <f t="shared" si="110"/>
        <v>2.1120000000000001</v>
      </c>
      <c r="AN414" s="9">
        <f t="shared" si="111"/>
        <v>0.4224</v>
      </c>
      <c r="AO414" s="9">
        <f t="shared" si="112"/>
        <v>2.8160000000000003</v>
      </c>
      <c r="AP414" s="9">
        <f t="shared" si="113"/>
        <v>0.28160000000000002</v>
      </c>
      <c r="AQ414" s="9">
        <f t="shared" si="114"/>
        <v>2.8160000000000003</v>
      </c>
      <c r="AR414" s="9">
        <f t="shared" si="115"/>
        <v>3.52</v>
      </c>
      <c r="AS414" s="11">
        <f t="shared" si="116"/>
        <v>-0.39199999999999974</v>
      </c>
      <c r="AT414" s="12">
        <f t="shared" si="117"/>
        <v>-0.86133333333333295</v>
      </c>
    </row>
    <row r="415" spans="1:46" ht="16.5" x14ac:dyDescent="0.4">
      <c r="A415" s="4" t="s">
        <v>1829</v>
      </c>
      <c r="B415" s="4" t="s">
        <v>1895</v>
      </c>
      <c r="C415" s="4" t="s">
        <v>1784</v>
      </c>
      <c r="D415" s="4" t="s">
        <v>1976</v>
      </c>
      <c r="E415" s="4" t="s">
        <v>1977</v>
      </c>
      <c r="F415" s="4" t="s">
        <v>1978</v>
      </c>
      <c r="G415" s="7" t="str">
        <f>VLOOKUP(A415,[1]done!$A:$I,9,0)</f>
        <v>Rodent</v>
      </c>
      <c r="H415" s="7" t="str" cm="1">
        <f t="array" ref="H415">_xlfn.IFS(
OR(ISNUMBER(SEARCH("mouse",E415)),ISNUMBER(SEARCH("rat",E415)),ISNUMBER(SEARCH("mice",E415)),ISNUMBER(SEARCH("rodent",E415))),"Rodent Control",
OR(ISNUMBER(SEARCH("fly",E415)),ISNUMBER(SEARCH("gnat",E415)),ISNUMBER(SEARCH("insect",E415)),ISNUMBER(SEARCH("mosquito",E415))),"Flying Insect Control",
OR(ISNUMBER(SEARCH("roach",E415)),ISNUMBER(SEARCH("ant",E415)),ISNUMBER(SEARCH("spider",E415)),ISNUMBER(SEARCH("cricket",E415)),ISNUMBER(SEARCH("scorpion",E415)),ISNUMBER(SEARCH("centipede",E415)),ISNUMBER(SEARCH("beetle",E415))),"Crawling Insect Control",
OR(ISNUMBER(SEARCH("tree",E415)),ISNUMBER(SEARCH("lantern",E415)),ISNUMBER(SEARCH("garden",E415)),ISNUMBER(SEARCH("plant",E415))),"Garden Pest Control",
OR(ISNUMBER(SEARCH("grass seed",E415)),ISNUMBER(SEARCH("seed mix",E415))),"Grass Seed",
OR(ISNUMBER(SEARCH("lawn food",E415)),ISNUMBER(SEARCH("fertilizer",E415))),"Lawn Fertilizer",
OR(ISNUMBER(SEARCH("patch",E415)),ISNUMBER(SEARCH("repair",E415)),ISNUMBER(SEARCH("thick'r",E415)),ISNUMBER(SEARCH("thick'r lawn",E415)),ISNUMBER(SEARCH("rapid grass",E415))),"Lawn Repair",
OR(ISNUMBER(SEARCH("weed",E415)),ISNUMBER(SEARCH("crabgrass",E415))),"Weed Control",
OR(ISNUMBER(SEARCH("fungicide",E415)),ISNUMBER(SEARCH("moss",E415))),"Disease &amp; Moss Control",
OR(ISNUMBER(SEARCH("plant food",E415)),ISNUMBER(SEARCH("miracid",E415))),"Plant Nutrition",
OR(ISNUMBER(SEARCH("perlite",E415))),"Soil Amendment",
OR(ISNUMBER(SEARCH("spreader",E415)),ISNUMBER(SEARCH("sprayer",E415)),ISNUMBER(SEARCH("mower",E415)),ISNUMBER(SEARCH("sweeper",E415)),ISNUMBER(SEARCH("pruner",E415)),ISNUMBER(SEARCH("trimmer",E415)),ISNUMBER(SEARCH("pole saw",E415))),"Garden Equipment",
TRUE,"Other"
)</f>
        <v>Rodent Control</v>
      </c>
      <c r="I415" s="7" t="str" cm="1">
        <f t="array" ref="I415">_xlfn.IFS(
OR(ISNUMBER(SEARCH("glue trap",E415)),ISNUMBER(SEARCH("glue board",E415))),"Glue Traps",
OR(ISNUMBER(SEARCH("snap trap",E415)),ISNUMBER(SEARCH("power-kill",E415)),ISNUMBER(SEARCH("wide pedal",E415)),ISNUMBER(SEARCH("metal pedal",E415))),"Snap Traps",
OR(ISNUMBER(SEARCH("electronic",E415)),ISNUMBER(SEARCH("zapper",E415))),"Electronic Traps",
OR(ISNUMBER(SEARCH("live catch",E415)),ISNUMBER(SEARCH("multi-catch",E415)),ISNUMBER(SEARCH("catch &amp; hold",E415)),ISNUMBER(SEARCH("tin cat",E415))),"Live Catch Traps",
OR(ISNUMBER(SEARCH("bait",E415)),ISNUMBER(SEARCH("poison",E415))),"Bait &amp; Poison",
ISNUMBER(SEARCH("repellent",E415)),"Repellents",
OR(ISNUMBER(SEARCH("fly trap",E415)),ISNUMBER(SEARCH("fly ribbon",E415)),ISNUMBER(SEARCH("fly stick",E415)),ISNUMBER(SEARCH("window fly",E415)),ISNUMBER(SEARCH("fly magnet",E415))),"Fly Traps",
OR(ISNUMBER(SEARCH("uv",E415)),ISNUMBER(SEARCH("fly light",E415)),ISNUMBER(SEARCH("plug-in",E415))),"UV Fly Traps",
ISNUMBER(SEARCH("roach",E415)),"Roach Traps",
ISNUMBER(SEARCH("ant",E415)),"Ant Traps",
ISNUMBER(SEARCH("spider",E415)),"Spider Traps",
ISNUMBER(SEARCH("mosquito",E415)),"Mosquito Traps",
ISNUMBER(SEARCH("beetle",E415)),"Beetle Traps",
ISNUMBER(SEARCH("lantern",E415)),"Lanternfly Control",
OR(ISNUMBER(SEARCH("tree shield",E415)),ISNUMBER(SEARCH("tree banding",E415)),ISNUMBER(SEARCH("insect barrier",E415))),"Tree Barriers",
OR(ISNUMBER(SEARCH("sun &amp; shade",E415)),ISNUMBER(SEARCH("sun and shade",E415))),"Sun &amp; Shade Mix",
ISNUMBER(SEARCH("tall fescue",E415)),"Tall Fescue",
ISNUMBER(SEARCH("bermudagrass",E415)),"Bermudagrass",
ISNUMBER(SEARCH("kentucky",E415)),"Kentucky Bluegrass",
ISNUMBER(SEARCH("zoysia",E415)),"Zoysia",
ISNUMBER(SEARCH("ryegrass",E415)),"Perennial Ryegrass",
ISNUMBER(SEARCH("centipede",E415)),"Centipede Grass",
ISNUMBER(SEARCH("dense shade",E415)),"Dense Shade Mix",
ISNUMBER(SEARCH("southern gold",E415)),"Southern Gold Mix",
ISNUMBER(SEARCH("heat-tolerant blue",E415)),"Heat-Tolerant Blue Mix",
ISNUMBER(SEARCH("high traffic",E415)),"High Traffic Mix",
ISNUMBER(SEARCH("quick fix",E415)),"Quick Fix Mix",
ISNUMBER(SEARCH("starter",E415)),"Starter Fertilizer",
ISNUMBER(SEARCH("weed &amp; feed",E415)),"Weed &amp; Feed",
ISNUMBER(SEARCH("lawn food",E415)),"Lawn Food",
ISNUMBER(SEARCH("triple action",E415)),"Triple Action Fertilizer",
ISNUMBER(SEARCH("green max",E415)),"Green Max Lawn Food",
ISNUMBER(SEARCH("patchmaster",E415)),"PatchMaster Repair",
ISNUMBER(SEARCH("ez seed",E415)),"EZ Seed Repair",
ISNUMBER(SEARCH("rapid grass",E415)),"Rapid Grass",
ISNUMBER(SEARCH("thick'r lawn",E415)),"Thick'R Lawn",
ISNUMBER(SEARCH("fungicide",E415)),"Fungicide",
ISNUMBER(SEARCH("moss",E415)),"Moss Control",
ISNUMBER(SEARCH("perlite",E415)),"Perlite",
ISNUMBER(SEARCH("plant food",E415)),"Plant Food",
ISNUMBER(SEARCH("spreader",E415)),"Spreader",
ISNUMBER(SEARCH("sprayer",E415)),"Sprayer",
ISNUMBER(SEARCH("mower",E415)),"Lawn Mower",
ISNUMBER(SEARCH("sweeper",E415)),"Lawn Sweeper",
OR(ISNUMBER(SEARCH("pruner",E415)),ISNUMBER(SEARCH("trimmer",E415)),ISNUMBER(SEARCH("pole saw",E415))),"Pruning Tools",
TRUE,"Other"
)</f>
        <v>Bait &amp; Poison</v>
      </c>
      <c r="J415" s="7" t="str">
        <f t="shared" si="108"/>
        <v>Rodent Control - Bait &amp; Poison</v>
      </c>
      <c r="K415" s="4">
        <v>600</v>
      </c>
      <c r="L415" s="4">
        <v>4.2</v>
      </c>
      <c r="M415" s="4">
        <v>428</v>
      </c>
      <c r="N415" s="4" t="s">
        <v>1971</v>
      </c>
      <c r="O415" s="4">
        <f>VLOOKUP(A415,'[6]Monthly Sold'!$A:$B,2,0)</f>
        <v>400</v>
      </c>
      <c r="P415" s="4">
        <f>VLOOKUP(A415,'[6]Monthly Sold'!$A:$M,3,0)</f>
        <v>300</v>
      </c>
      <c r="Q415" s="4">
        <f>VLOOKUP(A415,'[6]Monthly Sold'!$A:$M,4,0)</f>
        <v>200</v>
      </c>
      <c r="R415" s="4">
        <f>VLOOKUP(A415,'[6]Monthly Sold'!$A:$M,5,0)</f>
        <v>300</v>
      </c>
      <c r="S415" s="4">
        <f>VLOOKUP(A415,'[6]Monthly Sold'!$A:$M,6,0)</f>
        <v>300</v>
      </c>
      <c r="T415" s="4">
        <f>VLOOKUP(A415,'[6]Monthly Sold'!$A:$M,7,0)</f>
        <v>400</v>
      </c>
      <c r="U415" s="4">
        <f>VLOOKUP(A415,'[6]Monthly Sold'!$A:$M,8,0)</f>
        <v>300</v>
      </c>
      <c r="V415" s="4">
        <f>VLOOKUP(A415,'[6]Monthly Sold'!$A:$M,9,0)</f>
        <v>300</v>
      </c>
      <c r="W415" s="4">
        <f>VLOOKUP(A415,'[6]Monthly Sold'!$A:$M,10,0)</f>
        <v>400</v>
      </c>
      <c r="X415" s="4">
        <f>VLOOKUP(A415,'[6]Monthly Sold'!$A:$M,11,0)</f>
        <v>600</v>
      </c>
      <c r="Y415" s="4">
        <f>VLOOKUP(A415,'[6]Monthly Sold'!$A:$M,12,0)</f>
        <v>700</v>
      </c>
      <c r="Z415" s="4">
        <f>VLOOKUP(A415,'[6]Monthly Sold'!$A:$M,13,0)</f>
        <v>500</v>
      </c>
      <c r="AA415" s="4">
        <f t="shared" si="102"/>
        <v>4700</v>
      </c>
      <c r="AB415" s="7">
        <f t="shared" si="109"/>
        <v>392</v>
      </c>
      <c r="AC415" s="15">
        <f t="shared" si="103"/>
        <v>391.66666666666669</v>
      </c>
      <c r="AD415" s="16">
        <f t="shared" si="104"/>
        <v>28200</v>
      </c>
      <c r="AE415" s="16">
        <f t="shared" si="105"/>
        <v>2350</v>
      </c>
      <c r="AF415" s="21">
        <v>3.24</v>
      </c>
      <c r="AG415" s="21">
        <v>6</v>
      </c>
      <c r="AH415" s="15">
        <f t="shared" si="106"/>
        <v>-0.12266666666666673</v>
      </c>
      <c r="AI415" s="15">
        <f t="shared" si="107"/>
        <v>-0.42933333333333351</v>
      </c>
      <c r="AJ415" s="10">
        <v>0.5</v>
      </c>
      <c r="AK415" s="10">
        <v>0.5</v>
      </c>
      <c r="AL415" s="21">
        <v>3.24</v>
      </c>
      <c r="AM415" s="9">
        <f t="shared" si="110"/>
        <v>0.89999999999999991</v>
      </c>
      <c r="AN415" s="9">
        <f t="shared" si="111"/>
        <v>0.18</v>
      </c>
      <c r="AO415" s="9">
        <f t="shared" si="112"/>
        <v>1.2000000000000002</v>
      </c>
      <c r="AP415" s="9">
        <f t="shared" si="113"/>
        <v>0.12</v>
      </c>
      <c r="AQ415" s="9">
        <f t="shared" si="114"/>
        <v>1.2000000000000002</v>
      </c>
      <c r="AR415" s="9">
        <f t="shared" si="115"/>
        <v>1.5</v>
      </c>
      <c r="AS415" s="11">
        <f t="shared" si="116"/>
        <v>-1.2266666666666672</v>
      </c>
      <c r="AT415" s="12">
        <f t="shared" si="117"/>
        <v>-1.426666666666667</v>
      </c>
    </row>
    <row r="416" spans="1:46" ht="16.5" x14ac:dyDescent="0.4">
      <c r="A416" s="4" t="s">
        <v>1830</v>
      </c>
      <c r="B416" s="4" t="s">
        <v>1895</v>
      </c>
      <c r="C416" s="4" t="s">
        <v>1784</v>
      </c>
      <c r="D416" s="4" t="s">
        <v>1979</v>
      </c>
      <c r="E416" s="4" t="s">
        <v>1980</v>
      </c>
      <c r="F416" s="4" t="s">
        <v>1981</v>
      </c>
      <c r="G416" s="7" t="str">
        <f>VLOOKUP(A416,[1]done!$A:$I,9,0)</f>
        <v>Rodent</v>
      </c>
      <c r="H416" s="7" t="str" cm="1">
        <f t="array" ref="H416">_xlfn.IFS(
OR(ISNUMBER(SEARCH("mouse",E416)),ISNUMBER(SEARCH("rat",E416)),ISNUMBER(SEARCH("mice",E416)),ISNUMBER(SEARCH("rodent",E416))),"Rodent Control",
OR(ISNUMBER(SEARCH("fly",E416)),ISNUMBER(SEARCH("gnat",E416)),ISNUMBER(SEARCH("insect",E416)),ISNUMBER(SEARCH("mosquito",E416))),"Flying Insect Control",
OR(ISNUMBER(SEARCH("roach",E416)),ISNUMBER(SEARCH("ant",E416)),ISNUMBER(SEARCH("spider",E416)),ISNUMBER(SEARCH("cricket",E416)),ISNUMBER(SEARCH("scorpion",E416)),ISNUMBER(SEARCH("centipede",E416)),ISNUMBER(SEARCH("beetle",E416))),"Crawling Insect Control",
OR(ISNUMBER(SEARCH("tree",E416)),ISNUMBER(SEARCH("lantern",E416)),ISNUMBER(SEARCH("garden",E416)),ISNUMBER(SEARCH("plant",E416))),"Garden Pest Control",
OR(ISNUMBER(SEARCH("grass seed",E416)),ISNUMBER(SEARCH("seed mix",E416))),"Grass Seed",
OR(ISNUMBER(SEARCH("lawn food",E416)),ISNUMBER(SEARCH("fertilizer",E416))),"Lawn Fertilizer",
OR(ISNUMBER(SEARCH("patch",E416)),ISNUMBER(SEARCH("repair",E416)),ISNUMBER(SEARCH("thick'r",E416)),ISNUMBER(SEARCH("thick'r lawn",E416)),ISNUMBER(SEARCH("rapid grass",E416))),"Lawn Repair",
OR(ISNUMBER(SEARCH("weed",E416)),ISNUMBER(SEARCH("crabgrass",E416))),"Weed Control",
OR(ISNUMBER(SEARCH("fungicide",E416)),ISNUMBER(SEARCH("moss",E416))),"Disease &amp; Moss Control",
OR(ISNUMBER(SEARCH("plant food",E416)),ISNUMBER(SEARCH("miracid",E416))),"Plant Nutrition",
OR(ISNUMBER(SEARCH("perlite",E416))),"Soil Amendment",
OR(ISNUMBER(SEARCH("spreader",E416)),ISNUMBER(SEARCH("sprayer",E416)),ISNUMBER(SEARCH("mower",E416)),ISNUMBER(SEARCH("sweeper",E416)),ISNUMBER(SEARCH("pruner",E416)),ISNUMBER(SEARCH("trimmer",E416)),ISNUMBER(SEARCH("pole saw",E416))),"Garden Equipment",
TRUE,"Other"
)</f>
        <v>Other</v>
      </c>
      <c r="I416" s="7" t="str" cm="1">
        <f t="array" ref="I416">_xlfn.IFS(
OR(ISNUMBER(SEARCH("glue trap",E416)),ISNUMBER(SEARCH("glue board",E416))),"Glue Traps",
OR(ISNUMBER(SEARCH("snap trap",E416)),ISNUMBER(SEARCH("power-kill",E416)),ISNUMBER(SEARCH("wide pedal",E416)),ISNUMBER(SEARCH("metal pedal",E416))),"Snap Traps",
OR(ISNUMBER(SEARCH("electronic",E416)),ISNUMBER(SEARCH("zapper",E416))),"Electronic Traps",
OR(ISNUMBER(SEARCH("live catch",E416)),ISNUMBER(SEARCH("multi-catch",E416)),ISNUMBER(SEARCH("catch &amp; hold",E416)),ISNUMBER(SEARCH("tin cat",E416))),"Live Catch Traps",
OR(ISNUMBER(SEARCH("bait",E416)),ISNUMBER(SEARCH("poison",E416))),"Bait &amp; Poison",
ISNUMBER(SEARCH("repellent",E416)),"Repellents",
OR(ISNUMBER(SEARCH("fly trap",E416)),ISNUMBER(SEARCH("fly ribbon",E416)),ISNUMBER(SEARCH("fly stick",E416)),ISNUMBER(SEARCH("window fly",E416)),ISNUMBER(SEARCH("fly magnet",E416))),"Fly Traps",
OR(ISNUMBER(SEARCH("uv",E416)),ISNUMBER(SEARCH("fly light",E416)),ISNUMBER(SEARCH("plug-in",E416))),"UV Fly Traps",
ISNUMBER(SEARCH("roach",E416)),"Roach Traps",
ISNUMBER(SEARCH("ant",E416)),"Ant Traps",
ISNUMBER(SEARCH("spider",E416)),"Spider Traps",
ISNUMBER(SEARCH("mosquito",E416)),"Mosquito Traps",
ISNUMBER(SEARCH("beetle",E416)),"Beetle Traps",
ISNUMBER(SEARCH("lantern",E416)),"Lanternfly Control",
OR(ISNUMBER(SEARCH("tree shield",E416)),ISNUMBER(SEARCH("tree banding",E416)),ISNUMBER(SEARCH("insect barrier",E416))),"Tree Barriers",
OR(ISNUMBER(SEARCH("sun &amp; shade",E416)),ISNUMBER(SEARCH("sun and shade",E416))),"Sun &amp; Shade Mix",
ISNUMBER(SEARCH("tall fescue",E416)),"Tall Fescue",
ISNUMBER(SEARCH("bermudagrass",E416)),"Bermudagrass",
ISNUMBER(SEARCH("kentucky",E416)),"Kentucky Bluegrass",
ISNUMBER(SEARCH("zoysia",E416)),"Zoysia",
ISNUMBER(SEARCH("ryegrass",E416)),"Perennial Ryegrass",
ISNUMBER(SEARCH("centipede",E416)),"Centipede Grass",
ISNUMBER(SEARCH("dense shade",E416)),"Dense Shade Mix",
ISNUMBER(SEARCH("southern gold",E416)),"Southern Gold Mix",
ISNUMBER(SEARCH("heat-tolerant blue",E416)),"Heat-Tolerant Blue Mix",
ISNUMBER(SEARCH("high traffic",E416)),"High Traffic Mix",
ISNUMBER(SEARCH("quick fix",E416)),"Quick Fix Mix",
ISNUMBER(SEARCH("starter",E416)),"Starter Fertilizer",
ISNUMBER(SEARCH("weed &amp; feed",E416)),"Weed &amp; Feed",
ISNUMBER(SEARCH("lawn food",E416)),"Lawn Food",
ISNUMBER(SEARCH("triple action",E416)),"Triple Action Fertilizer",
ISNUMBER(SEARCH("green max",E416)),"Green Max Lawn Food",
ISNUMBER(SEARCH("patchmaster",E416)),"PatchMaster Repair",
ISNUMBER(SEARCH("ez seed",E416)),"EZ Seed Repair",
ISNUMBER(SEARCH("rapid grass",E416)),"Rapid Grass",
ISNUMBER(SEARCH("thick'r lawn",E416)),"Thick'R Lawn",
ISNUMBER(SEARCH("fungicide",E416)),"Fungicide",
ISNUMBER(SEARCH("moss",E416)),"Moss Control",
ISNUMBER(SEARCH("perlite",E416)),"Perlite",
ISNUMBER(SEARCH("plant food",E416)),"Plant Food",
ISNUMBER(SEARCH("spreader",E416)),"Spreader",
ISNUMBER(SEARCH("sprayer",E416)),"Sprayer",
ISNUMBER(SEARCH("mower",E416)),"Lawn Mower",
ISNUMBER(SEARCH("sweeper",E416)),"Lawn Sweeper",
OR(ISNUMBER(SEARCH("pruner",E416)),ISNUMBER(SEARCH("trimmer",E416)),ISNUMBER(SEARCH("pole saw",E416))),"Pruning Tools",
TRUE,"Other"
)</f>
        <v>Glue Traps</v>
      </c>
      <c r="J416" s="7" t="str">
        <f t="shared" si="108"/>
        <v>Other - Glue Traps</v>
      </c>
      <c r="K416" s="4">
        <v>500</v>
      </c>
      <c r="L416" s="4">
        <v>4.7</v>
      </c>
      <c r="M416" s="4">
        <v>148</v>
      </c>
      <c r="N416" s="4" t="s">
        <v>427</v>
      </c>
      <c r="O416" s="4">
        <f>VLOOKUP(A416,'[6]Monthly Sold'!$A:$B,2,0)</f>
        <v>300</v>
      </c>
      <c r="P416" s="4">
        <f>VLOOKUP(A416,'[6]Monthly Sold'!$A:$M,3,0)</f>
        <v>200</v>
      </c>
      <c r="Q416" s="4">
        <f>VLOOKUP(A416,'[6]Monthly Sold'!$A:$M,4,0)</f>
        <v>300</v>
      </c>
      <c r="R416" s="4">
        <f>VLOOKUP(A416,'[6]Monthly Sold'!$A:$M,5,0)</f>
        <v>200</v>
      </c>
      <c r="S416" s="4">
        <f>VLOOKUP(A416,'[6]Monthly Sold'!$A:$M,6,0)</f>
        <v>200</v>
      </c>
      <c r="T416" s="4">
        <f>VLOOKUP(A416,'[6]Monthly Sold'!$A:$M,7,0)</f>
        <v>300</v>
      </c>
      <c r="U416" s="4">
        <f>VLOOKUP(A416,'[6]Monthly Sold'!$A:$M,8,0)</f>
        <v>300</v>
      </c>
      <c r="V416" s="4">
        <f>VLOOKUP(A416,'[6]Monthly Sold'!$A:$M,9,0)</f>
        <v>200</v>
      </c>
      <c r="W416" s="4">
        <f>VLOOKUP(A416,'[6]Monthly Sold'!$A:$M,10,0)</f>
        <v>600</v>
      </c>
      <c r="X416" s="4">
        <f>VLOOKUP(A416,'[6]Monthly Sold'!$A:$M,11,0)</f>
        <v>100</v>
      </c>
      <c r="Y416" s="4">
        <f>VLOOKUP(A416,'[6]Monthly Sold'!$A:$M,12,0)</f>
        <v>200</v>
      </c>
      <c r="Z416" s="4">
        <f>VLOOKUP(A416,'[6]Monthly Sold'!$A:$M,13,0)</f>
        <v>500</v>
      </c>
      <c r="AA416" s="4">
        <f t="shared" si="102"/>
        <v>3400</v>
      </c>
      <c r="AB416" s="7">
        <f t="shared" si="109"/>
        <v>283</v>
      </c>
      <c r="AC416" s="15">
        <f t="shared" si="103"/>
        <v>283.33333333333331</v>
      </c>
      <c r="AD416" s="16">
        <f t="shared" si="104"/>
        <v>34476</v>
      </c>
      <c r="AE416" s="16">
        <f t="shared" si="105"/>
        <v>2873</v>
      </c>
      <c r="AF416" s="21">
        <v>2.75</v>
      </c>
      <c r="AG416" s="21">
        <v>10.14</v>
      </c>
      <c r="AH416" s="15">
        <f t="shared" si="106"/>
        <v>2.0400000000000033E-2</v>
      </c>
      <c r="AI416" s="15">
        <f t="shared" si="107"/>
        <v>7.1400000000000102E-2</v>
      </c>
      <c r="AJ416" s="10">
        <v>0.5</v>
      </c>
      <c r="AK416" s="10">
        <v>0.5</v>
      </c>
      <c r="AL416" s="21">
        <v>2.75</v>
      </c>
      <c r="AM416" s="9">
        <f t="shared" si="110"/>
        <v>1.5210000000000001</v>
      </c>
      <c r="AN416" s="9">
        <f t="shared" si="111"/>
        <v>0.30420000000000003</v>
      </c>
      <c r="AO416" s="9">
        <f t="shared" si="112"/>
        <v>2.028</v>
      </c>
      <c r="AP416" s="9">
        <f t="shared" si="113"/>
        <v>0.20280000000000001</v>
      </c>
      <c r="AQ416" s="9">
        <f t="shared" si="114"/>
        <v>2.028</v>
      </c>
      <c r="AR416" s="9">
        <f t="shared" si="115"/>
        <v>2.5350000000000001</v>
      </c>
      <c r="AS416" s="11">
        <f t="shared" si="116"/>
        <v>0.20400000000000032</v>
      </c>
      <c r="AT416" s="12">
        <f t="shared" si="117"/>
        <v>-0.13399999999999976</v>
      </c>
    </row>
    <row r="417" spans="1:46" ht="16.5" x14ac:dyDescent="0.4">
      <c r="A417" s="4" t="s">
        <v>1831</v>
      </c>
      <c r="B417" s="4" t="s">
        <v>1895</v>
      </c>
      <c r="C417" s="4" t="s">
        <v>1784</v>
      </c>
      <c r="D417" s="4" t="s">
        <v>1982</v>
      </c>
      <c r="E417" s="4" t="s">
        <v>1983</v>
      </c>
      <c r="F417" s="4" t="s">
        <v>1984</v>
      </c>
      <c r="G417" s="7" t="str">
        <f>VLOOKUP(A417,[1]done!$A:$I,9,0)</f>
        <v>Rodent</v>
      </c>
      <c r="H417" s="7" t="str" cm="1">
        <f t="array" ref="H417">_xlfn.IFS(
OR(ISNUMBER(SEARCH("mouse",E417)),ISNUMBER(SEARCH("rat",E417)),ISNUMBER(SEARCH("mice",E417)),ISNUMBER(SEARCH("rodent",E417))),"Rodent Control",
OR(ISNUMBER(SEARCH("fly",E417)),ISNUMBER(SEARCH("gnat",E417)),ISNUMBER(SEARCH("insect",E417)),ISNUMBER(SEARCH("mosquito",E417))),"Flying Insect Control",
OR(ISNUMBER(SEARCH("roach",E417)),ISNUMBER(SEARCH("ant",E417)),ISNUMBER(SEARCH("spider",E417)),ISNUMBER(SEARCH("cricket",E417)),ISNUMBER(SEARCH("scorpion",E417)),ISNUMBER(SEARCH("centipede",E417)),ISNUMBER(SEARCH("beetle",E417))),"Crawling Insect Control",
OR(ISNUMBER(SEARCH("tree",E417)),ISNUMBER(SEARCH("lantern",E417)),ISNUMBER(SEARCH("garden",E417)),ISNUMBER(SEARCH("plant",E417))),"Garden Pest Control",
OR(ISNUMBER(SEARCH("grass seed",E417)),ISNUMBER(SEARCH("seed mix",E417))),"Grass Seed",
OR(ISNUMBER(SEARCH("lawn food",E417)),ISNUMBER(SEARCH("fertilizer",E417))),"Lawn Fertilizer",
OR(ISNUMBER(SEARCH("patch",E417)),ISNUMBER(SEARCH("repair",E417)),ISNUMBER(SEARCH("thick'r",E417)),ISNUMBER(SEARCH("thick'r lawn",E417)),ISNUMBER(SEARCH("rapid grass",E417))),"Lawn Repair",
OR(ISNUMBER(SEARCH("weed",E417)),ISNUMBER(SEARCH("crabgrass",E417))),"Weed Control",
OR(ISNUMBER(SEARCH("fungicide",E417)),ISNUMBER(SEARCH("moss",E417))),"Disease &amp; Moss Control",
OR(ISNUMBER(SEARCH("plant food",E417)),ISNUMBER(SEARCH("miracid",E417))),"Plant Nutrition",
OR(ISNUMBER(SEARCH("perlite",E417))),"Soil Amendment",
OR(ISNUMBER(SEARCH("spreader",E417)),ISNUMBER(SEARCH("sprayer",E417)),ISNUMBER(SEARCH("mower",E417)),ISNUMBER(SEARCH("sweeper",E417)),ISNUMBER(SEARCH("pruner",E417)),ISNUMBER(SEARCH("trimmer",E417)),ISNUMBER(SEARCH("pole saw",E417))),"Garden Equipment",
TRUE,"Other"
)</f>
        <v>Rodent Control</v>
      </c>
      <c r="I417" s="7" t="str" cm="1">
        <f t="array" ref="I417">_xlfn.IFS(
OR(ISNUMBER(SEARCH("glue trap",E417)),ISNUMBER(SEARCH("glue board",E417))),"Glue Traps",
OR(ISNUMBER(SEARCH("snap trap",E417)),ISNUMBER(SEARCH("power-kill",E417)),ISNUMBER(SEARCH("wide pedal",E417)),ISNUMBER(SEARCH("metal pedal",E417))),"Snap Traps",
OR(ISNUMBER(SEARCH("electronic",E417)),ISNUMBER(SEARCH("zapper",E417))),"Electronic Traps",
OR(ISNUMBER(SEARCH("live catch",E417)),ISNUMBER(SEARCH("multi-catch",E417)),ISNUMBER(SEARCH("catch &amp; hold",E417)),ISNUMBER(SEARCH("tin cat",E417))),"Live Catch Traps",
OR(ISNUMBER(SEARCH("bait",E417)),ISNUMBER(SEARCH("poison",E417))),"Bait &amp; Poison",
ISNUMBER(SEARCH("repellent",E417)),"Repellents",
OR(ISNUMBER(SEARCH("fly trap",E417)),ISNUMBER(SEARCH("fly ribbon",E417)),ISNUMBER(SEARCH("fly stick",E417)),ISNUMBER(SEARCH("window fly",E417)),ISNUMBER(SEARCH("fly magnet",E417))),"Fly Traps",
OR(ISNUMBER(SEARCH("uv",E417)),ISNUMBER(SEARCH("fly light",E417)),ISNUMBER(SEARCH("plug-in",E417))),"UV Fly Traps",
ISNUMBER(SEARCH("roach",E417)),"Roach Traps",
ISNUMBER(SEARCH("ant",E417)),"Ant Traps",
ISNUMBER(SEARCH("spider",E417)),"Spider Traps",
ISNUMBER(SEARCH("mosquito",E417)),"Mosquito Traps",
ISNUMBER(SEARCH("beetle",E417)),"Beetle Traps",
ISNUMBER(SEARCH("lantern",E417)),"Lanternfly Control",
OR(ISNUMBER(SEARCH("tree shield",E417)),ISNUMBER(SEARCH("tree banding",E417)),ISNUMBER(SEARCH("insect barrier",E417))),"Tree Barriers",
OR(ISNUMBER(SEARCH("sun &amp; shade",E417)),ISNUMBER(SEARCH("sun and shade",E417))),"Sun &amp; Shade Mix",
ISNUMBER(SEARCH("tall fescue",E417)),"Tall Fescue",
ISNUMBER(SEARCH("bermudagrass",E417)),"Bermudagrass",
ISNUMBER(SEARCH("kentucky",E417)),"Kentucky Bluegrass",
ISNUMBER(SEARCH("zoysia",E417)),"Zoysia",
ISNUMBER(SEARCH("ryegrass",E417)),"Perennial Ryegrass",
ISNUMBER(SEARCH("centipede",E417)),"Centipede Grass",
ISNUMBER(SEARCH("dense shade",E417)),"Dense Shade Mix",
ISNUMBER(SEARCH("southern gold",E417)),"Southern Gold Mix",
ISNUMBER(SEARCH("heat-tolerant blue",E417)),"Heat-Tolerant Blue Mix",
ISNUMBER(SEARCH("high traffic",E417)),"High Traffic Mix",
ISNUMBER(SEARCH("quick fix",E417)),"Quick Fix Mix",
ISNUMBER(SEARCH("starter",E417)),"Starter Fertilizer",
ISNUMBER(SEARCH("weed &amp; feed",E417)),"Weed &amp; Feed",
ISNUMBER(SEARCH("lawn food",E417)),"Lawn Food",
ISNUMBER(SEARCH("triple action",E417)),"Triple Action Fertilizer",
ISNUMBER(SEARCH("green max",E417)),"Green Max Lawn Food",
ISNUMBER(SEARCH("patchmaster",E417)),"PatchMaster Repair",
ISNUMBER(SEARCH("ez seed",E417)),"EZ Seed Repair",
ISNUMBER(SEARCH("rapid grass",E417)),"Rapid Grass",
ISNUMBER(SEARCH("thick'r lawn",E417)),"Thick'R Lawn",
ISNUMBER(SEARCH("fungicide",E417)),"Fungicide",
ISNUMBER(SEARCH("moss",E417)),"Moss Control",
ISNUMBER(SEARCH("perlite",E417)),"Perlite",
ISNUMBER(SEARCH("plant food",E417)),"Plant Food",
ISNUMBER(SEARCH("spreader",E417)),"Spreader",
ISNUMBER(SEARCH("sprayer",E417)),"Sprayer",
ISNUMBER(SEARCH("mower",E417)),"Lawn Mower",
ISNUMBER(SEARCH("sweeper",E417)),"Lawn Sweeper",
OR(ISNUMBER(SEARCH("pruner",E417)),ISNUMBER(SEARCH("trimmer",E417)),ISNUMBER(SEARCH("pole saw",E417))),"Pruning Tools",
TRUE,"Other"
)</f>
        <v>Glue Traps</v>
      </c>
      <c r="J417" s="7" t="str">
        <f t="shared" si="108"/>
        <v>Rodent Control - Glue Traps</v>
      </c>
      <c r="K417" s="4">
        <v>500</v>
      </c>
      <c r="L417" s="4">
        <v>4.4000000000000004</v>
      </c>
      <c r="M417" s="4">
        <v>8302</v>
      </c>
      <c r="N417" s="4" t="s">
        <v>1202</v>
      </c>
      <c r="O417" s="4">
        <f>VLOOKUP(A417,'[6]Monthly Sold'!$A:$B,2,0)</f>
        <v>800</v>
      </c>
      <c r="P417" s="4">
        <f>VLOOKUP(A417,'[6]Monthly Sold'!$A:$M,3,0)</f>
        <v>800</v>
      </c>
      <c r="Q417" s="4">
        <f>VLOOKUP(A417,'[6]Monthly Sold'!$A:$M,4,0)</f>
        <v>900</v>
      </c>
      <c r="R417" s="4">
        <f>VLOOKUP(A417,'[6]Monthly Sold'!$A:$M,5,0)</f>
        <v>300</v>
      </c>
      <c r="S417" s="4">
        <f>VLOOKUP(A417,'[6]Monthly Sold'!$A:$M,6,0)</f>
        <v>400</v>
      </c>
      <c r="T417" s="4">
        <f>VLOOKUP(A417,'[6]Monthly Sold'!$A:$M,7,0)</f>
        <v>500</v>
      </c>
      <c r="U417" s="4">
        <f>VLOOKUP(A417,'[6]Monthly Sold'!$A:$M,8,0)</f>
        <v>400</v>
      </c>
      <c r="V417" s="4">
        <f>VLOOKUP(A417,'[6]Monthly Sold'!$A:$M,9,0)</f>
        <v>500</v>
      </c>
      <c r="W417" s="4">
        <f>VLOOKUP(A417,'[6]Monthly Sold'!$A:$M,10,0)</f>
        <v>500</v>
      </c>
      <c r="X417" s="4">
        <f>VLOOKUP(A417,'[6]Monthly Sold'!$A:$M,11,0)</f>
        <v>1000</v>
      </c>
      <c r="Y417" s="4">
        <f>VLOOKUP(A417,'[6]Monthly Sold'!$A:$M,12,0)</f>
        <v>1000</v>
      </c>
      <c r="Z417" s="4">
        <f>VLOOKUP(A417,'[6]Monthly Sold'!$A:$M,13,0)</f>
        <v>2000</v>
      </c>
      <c r="AA417" s="4">
        <f t="shared" si="102"/>
        <v>9100</v>
      </c>
      <c r="AB417" s="7">
        <f t="shared" si="109"/>
        <v>758</v>
      </c>
      <c r="AC417" s="15">
        <f t="shared" si="103"/>
        <v>758.33333333333337</v>
      </c>
      <c r="AD417" s="16">
        <f t="shared" si="104"/>
        <v>80808</v>
      </c>
      <c r="AE417" s="16">
        <f t="shared" si="105"/>
        <v>6734.0000000000009</v>
      </c>
      <c r="AF417" s="21">
        <v>3.5</v>
      </c>
      <c r="AG417" s="21">
        <v>8.8800000000000008</v>
      </c>
      <c r="AH417" s="15">
        <f t="shared" si="106"/>
        <v>-6.3200000000000006E-2</v>
      </c>
      <c r="AI417" s="15">
        <f t="shared" si="107"/>
        <v>-0.22119999999999998</v>
      </c>
      <c r="AJ417" s="10">
        <v>0.5</v>
      </c>
      <c r="AK417" s="10">
        <v>0.5</v>
      </c>
      <c r="AL417" s="21">
        <v>3.5</v>
      </c>
      <c r="AM417" s="9">
        <f t="shared" si="110"/>
        <v>1.3320000000000001</v>
      </c>
      <c r="AN417" s="9">
        <f t="shared" si="111"/>
        <v>0.26640000000000003</v>
      </c>
      <c r="AO417" s="9">
        <f t="shared" si="112"/>
        <v>1.7760000000000002</v>
      </c>
      <c r="AP417" s="9">
        <f t="shared" si="113"/>
        <v>0.17760000000000001</v>
      </c>
      <c r="AQ417" s="9">
        <f t="shared" si="114"/>
        <v>1.7760000000000002</v>
      </c>
      <c r="AR417" s="9">
        <f t="shared" si="115"/>
        <v>2.2200000000000002</v>
      </c>
      <c r="AS417" s="11">
        <f t="shared" si="116"/>
        <v>-0.63200000000000001</v>
      </c>
      <c r="AT417" s="12">
        <f t="shared" si="117"/>
        <v>-0.92799999999999994</v>
      </c>
    </row>
    <row r="418" spans="1:46" ht="16.5" x14ac:dyDescent="0.4">
      <c r="A418" s="4" t="s">
        <v>1832</v>
      </c>
      <c r="B418" s="4" t="s">
        <v>1895</v>
      </c>
      <c r="C418" s="4" t="s">
        <v>1784</v>
      </c>
      <c r="D418" s="4" t="s">
        <v>1985</v>
      </c>
      <c r="E418" s="4" t="s">
        <v>1986</v>
      </c>
      <c r="F418" s="4" t="s">
        <v>1987</v>
      </c>
      <c r="G418" s="7" t="str">
        <f>VLOOKUP(A418,[1]done!$A:$I,9,0)</f>
        <v>Rodent</v>
      </c>
      <c r="H418" s="7" t="str" cm="1">
        <f t="array" ref="H418">_xlfn.IFS(
OR(ISNUMBER(SEARCH("mouse",E418)),ISNUMBER(SEARCH("rat",E418)),ISNUMBER(SEARCH("mice",E418)),ISNUMBER(SEARCH("rodent",E418))),"Rodent Control",
OR(ISNUMBER(SEARCH("fly",E418)),ISNUMBER(SEARCH("gnat",E418)),ISNUMBER(SEARCH("insect",E418)),ISNUMBER(SEARCH("mosquito",E418))),"Flying Insect Control",
OR(ISNUMBER(SEARCH("roach",E418)),ISNUMBER(SEARCH("ant",E418)),ISNUMBER(SEARCH("spider",E418)),ISNUMBER(SEARCH("cricket",E418)),ISNUMBER(SEARCH("scorpion",E418)),ISNUMBER(SEARCH("centipede",E418)),ISNUMBER(SEARCH("beetle",E418))),"Crawling Insect Control",
OR(ISNUMBER(SEARCH("tree",E418)),ISNUMBER(SEARCH("lantern",E418)),ISNUMBER(SEARCH("garden",E418)),ISNUMBER(SEARCH("plant",E418))),"Garden Pest Control",
OR(ISNUMBER(SEARCH("grass seed",E418)),ISNUMBER(SEARCH("seed mix",E418))),"Grass Seed",
OR(ISNUMBER(SEARCH("lawn food",E418)),ISNUMBER(SEARCH("fertilizer",E418))),"Lawn Fertilizer",
OR(ISNUMBER(SEARCH("patch",E418)),ISNUMBER(SEARCH("repair",E418)),ISNUMBER(SEARCH("thick'r",E418)),ISNUMBER(SEARCH("thick'r lawn",E418)),ISNUMBER(SEARCH("rapid grass",E418))),"Lawn Repair",
OR(ISNUMBER(SEARCH("weed",E418)),ISNUMBER(SEARCH("crabgrass",E418))),"Weed Control",
OR(ISNUMBER(SEARCH("fungicide",E418)),ISNUMBER(SEARCH("moss",E418))),"Disease &amp; Moss Control",
OR(ISNUMBER(SEARCH("plant food",E418)),ISNUMBER(SEARCH("miracid",E418))),"Plant Nutrition",
OR(ISNUMBER(SEARCH("perlite",E418))),"Soil Amendment",
OR(ISNUMBER(SEARCH("spreader",E418)),ISNUMBER(SEARCH("sprayer",E418)),ISNUMBER(SEARCH("mower",E418)),ISNUMBER(SEARCH("sweeper",E418)),ISNUMBER(SEARCH("pruner",E418)),ISNUMBER(SEARCH("trimmer",E418)),ISNUMBER(SEARCH("pole saw",E418))),"Garden Equipment",
TRUE,"Other"
)</f>
        <v>Rodent Control</v>
      </c>
      <c r="I418" s="7" t="str" cm="1">
        <f t="array" ref="I418">_xlfn.IFS(
OR(ISNUMBER(SEARCH("glue trap",E418)),ISNUMBER(SEARCH("glue board",E418))),"Glue Traps",
OR(ISNUMBER(SEARCH("snap trap",E418)),ISNUMBER(SEARCH("power-kill",E418)),ISNUMBER(SEARCH("wide pedal",E418)),ISNUMBER(SEARCH("metal pedal",E418))),"Snap Traps",
OR(ISNUMBER(SEARCH("electronic",E418)),ISNUMBER(SEARCH("zapper",E418))),"Electronic Traps",
OR(ISNUMBER(SEARCH("live catch",E418)),ISNUMBER(SEARCH("multi-catch",E418)),ISNUMBER(SEARCH("catch &amp; hold",E418)),ISNUMBER(SEARCH("tin cat",E418))),"Live Catch Traps",
OR(ISNUMBER(SEARCH("bait",E418)),ISNUMBER(SEARCH("poison",E418))),"Bait &amp; Poison",
ISNUMBER(SEARCH("repellent",E418)),"Repellents",
OR(ISNUMBER(SEARCH("fly trap",E418)),ISNUMBER(SEARCH("fly ribbon",E418)),ISNUMBER(SEARCH("fly stick",E418)),ISNUMBER(SEARCH("window fly",E418)),ISNUMBER(SEARCH("fly magnet",E418))),"Fly Traps",
OR(ISNUMBER(SEARCH("uv",E418)),ISNUMBER(SEARCH("fly light",E418)),ISNUMBER(SEARCH("plug-in",E418))),"UV Fly Traps",
ISNUMBER(SEARCH("roach",E418)),"Roach Traps",
ISNUMBER(SEARCH("ant",E418)),"Ant Traps",
ISNUMBER(SEARCH("spider",E418)),"Spider Traps",
ISNUMBER(SEARCH("mosquito",E418)),"Mosquito Traps",
ISNUMBER(SEARCH("beetle",E418)),"Beetle Traps",
ISNUMBER(SEARCH("lantern",E418)),"Lanternfly Control",
OR(ISNUMBER(SEARCH("tree shield",E418)),ISNUMBER(SEARCH("tree banding",E418)),ISNUMBER(SEARCH("insect barrier",E418))),"Tree Barriers",
OR(ISNUMBER(SEARCH("sun &amp; shade",E418)),ISNUMBER(SEARCH("sun and shade",E418))),"Sun &amp; Shade Mix",
ISNUMBER(SEARCH("tall fescue",E418)),"Tall Fescue",
ISNUMBER(SEARCH("bermudagrass",E418)),"Bermudagrass",
ISNUMBER(SEARCH("kentucky",E418)),"Kentucky Bluegrass",
ISNUMBER(SEARCH("zoysia",E418)),"Zoysia",
ISNUMBER(SEARCH("ryegrass",E418)),"Perennial Ryegrass",
ISNUMBER(SEARCH("centipede",E418)),"Centipede Grass",
ISNUMBER(SEARCH("dense shade",E418)),"Dense Shade Mix",
ISNUMBER(SEARCH("southern gold",E418)),"Southern Gold Mix",
ISNUMBER(SEARCH("heat-tolerant blue",E418)),"Heat-Tolerant Blue Mix",
ISNUMBER(SEARCH("high traffic",E418)),"High Traffic Mix",
ISNUMBER(SEARCH("quick fix",E418)),"Quick Fix Mix",
ISNUMBER(SEARCH("starter",E418)),"Starter Fertilizer",
ISNUMBER(SEARCH("weed &amp; feed",E418)),"Weed &amp; Feed",
ISNUMBER(SEARCH("lawn food",E418)),"Lawn Food",
ISNUMBER(SEARCH("triple action",E418)),"Triple Action Fertilizer",
ISNUMBER(SEARCH("green max",E418)),"Green Max Lawn Food",
ISNUMBER(SEARCH("patchmaster",E418)),"PatchMaster Repair",
ISNUMBER(SEARCH("ez seed",E418)),"EZ Seed Repair",
ISNUMBER(SEARCH("rapid grass",E418)),"Rapid Grass",
ISNUMBER(SEARCH("thick'r lawn",E418)),"Thick'R Lawn",
ISNUMBER(SEARCH("fungicide",E418)),"Fungicide",
ISNUMBER(SEARCH("moss",E418)),"Moss Control",
ISNUMBER(SEARCH("perlite",E418)),"Perlite",
ISNUMBER(SEARCH("plant food",E418)),"Plant Food",
ISNUMBER(SEARCH("spreader",E418)),"Spreader",
ISNUMBER(SEARCH("sprayer",E418)),"Sprayer",
ISNUMBER(SEARCH("mower",E418)),"Lawn Mower",
ISNUMBER(SEARCH("sweeper",E418)),"Lawn Sweeper",
OR(ISNUMBER(SEARCH("pruner",E418)),ISNUMBER(SEARCH("trimmer",E418)),ISNUMBER(SEARCH("pole saw",E418))),"Pruning Tools",
TRUE,"Other"
)</f>
        <v>Other</v>
      </c>
      <c r="J418" s="7" t="str">
        <f t="shared" si="108"/>
        <v>Rodent Control - Other</v>
      </c>
      <c r="K418" s="4">
        <v>500</v>
      </c>
      <c r="L418" s="4">
        <v>4</v>
      </c>
      <c r="M418" s="4">
        <v>399</v>
      </c>
      <c r="N418" s="4" t="s">
        <v>579</v>
      </c>
      <c r="O418" s="4">
        <f>VLOOKUP(A418,'[6]Monthly Sold'!$A:$B,2,0)</f>
        <v>300</v>
      </c>
      <c r="P418" s="4">
        <f>VLOOKUP(A418,'[6]Monthly Sold'!$A:$M,3,0)</f>
        <v>400</v>
      </c>
      <c r="Q418" s="4">
        <f>VLOOKUP(A418,'[6]Monthly Sold'!$A:$M,4,0)</f>
        <v>300</v>
      </c>
      <c r="R418" s="4">
        <f>VLOOKUP(A418,'[6]Monthly Sold'!$A:$M,5,0)</f>
        <v>200</v>
      </c>
      <c r="S418" s="4">
        <f>VLOOKUP(A418,'[6]Monthly Sold'!$A:$M,6,0)</f>
        <v>600</v>
      </c>
      <c r="T418" s="4">
        <f>VLOOKUP(A418,'[6]Monthly Sold'!$A:$M,7,0)</f>
        <v>700</v>
      </c>
      <c r="U418" s="4">
        <f>VLOOKUP(A418,'[6]Monthly Sold'!$A:$M,8,0)</f>
        <v>200</v>
      </c>
      <c r="V418" s="4">
        <f>VLOOKUP(A418,'[6]Monthly Sold'!$A:$M,9,0)</f>
        <v>200</v>
      </c>
      <c r="W418" s="4">
        <f>VLOOKUP(A418,'[6]Monthly Sold'!$A:$M,10,0)</f>
        <v>500</v>
      </c>
      <c r="X418" s="4">
        <f>VLOOKUP(A418,'[6]Monthly Sold'!$A:$M,11,0)</f>
        <v>500</v>
      </c>
      <c r="Y418" s="4">
        <f>VLOOKUP(A418,'[6]Monthly Sold'!$A:$M,12,0)</f>
        <v>100</v>
      </c>
      <c r="Z418" s="4">
        <f>VLOOKUP(A418,'[6]Monthly Sold'!$A:$M,13,0)</f>
        <v>600</v>
      </c>
      <c r="AA418" s="4">
        <f t="shared" si="102"/>
        <v>4600</v>
      </c>
      <c r="AB418" s="7">
        <f t="shared" si="109"/>
        <v>383</v>
      </c>
      <c r="AC418" s="15">
        <f t="shared" si="103"/>
        <v>383.33333333333331</v>
      </c>
      <c r="AD418" s="16">
        <f t="shared" si="104"/>
        <v>25576</v>
      </c>
      <c r="AE418" s="16">
        <f t="shared" si="105"/>
        <v>2131.333333333333</v>
      </c>
      <c r="AF418" s="21">
        <v>3.5</v>
      </c>
      <c r="AG418" s="21">
        <v>5.56</v>
      </c>
      <c r="AH418" s="15">
        <f t="shared" si="106"/>
        <v>-0.15173333333333333</v>
      </c>
      <c r="AI418" s="15">
        <f t="shared" si="107"/>
        <v>-0.53106666666666658</v>
      </c>
      <c r="AJ418" s="10">
        <v>0.5</v>
      </c>
      <c r="AK418" s="10">
        <v>0.5</v>
      </c>
      <c r="AL418" s="21">
        <v>3.5</v>
      </c>
      <c r="AM418" s="9">
        <f t="shared" si="110"/>
        <v>0.83399999999999996</v>
      </c>
      <c r="AN418" s="9">
        <f t="shared" si="111"/>
        <v>0.16679999999999998</v>
      </c>
      <c r="AO418" s="9">
        <f t="shared" si="112"/>
        <v>1.1119999999999999</v>
      </c>
      <c r="AP418" s="9">
        <f t="shared" si="113"/>
        <v>0.11119999999999999</v>
      </c>
      <c r="AQ418" s="9">
        <f t="shared" si="114"/>
        <v>1.1119999999999999</v>
      </c>
      <c r="AR418" s="9">
        <f t="shared" si="115"/>
        <v>1.39</v>
      </c>
      <c r="AS418" s="11">
        <f t="shared" si="116"/>
        <v>-1.5173333333333332</v>
      </c>
      <c r="AT418" s="12">
        <f t="shared" si="117"/>
        <v>-1.7026666666666668</v>
      </c>
    </row>
    <row r="419" spans="1:46" ht="16.5" x14ac:dyDescent="0.4">
      <c r="A419" s="4" t="s">
        <v>1833</v>
      </c>
      <c r="B419" s="4" t="s">
        <v>1895</v>
      </c>
      <c r="C419" s="4" t="s">
        <v>1784</v>
      </c>
      <c r="D419" s="4" t="s">
        <v>1988</v>
      </c>
      <c r="E419" s="4" t="s">
        <v>1989</v>
      </c>
      <c r="F419" s="4" t="s">
        <v>1990</v>
      </c>
      <c r="G419" s="7" t="str">
        <f>VLOOKUP(A419,[1]done!$A:$I,9,0)</f>
        <v>Rodent</v>
      </c>
      <c r="H419" s="7" t="str" cm="1">
        <f t="array" ref="H419">_xlfn.IFS(
OR(ISNUMBER(SEARCH("mouse",E419)),ISNUMBER(SEARCH("rat",E419)),ISNUMBER(SEARCH("mice",E419)),ISNUMBER(SEARCH("rodent",E419))),"Rodent Control",
OR(ISNUMBER(SEARCH("fly",E419)),ISNUMBER(SEARCH("gnat",E419)),ISNUMBER(SEARCH("insect",E419)),ISNUMBER(SEARCH("mosquito",E419))),"Flying Insect Control",
OR(ISNUMBER(SEARCH("roach",E419)),ISNUMBER(SEARCH("ant",E419)),ISNUMBER(SEARCH("spider",E419)),ISNUMBER(SEARCH("cricket",E419)),ISNUMBER(SEARCH("scorpion",E419)),ISNUMBER(SEARCH("centipede",E419)),ISNUMBER(SEARCH("beetle",E419))),"Crawling Insect Control",
OR(ISNUMBER(SEARCH("tree",E419)),ISNUMBER(SEARCH("lantern",E419)),ISNUMBER(SEARCH("garden",E419)),ISNUMBER(SEARCH("plant",E419))),"Garden Pest Control",
OR(ISNUMBER(SEARCH("grass seed",E419)),ISNUMBER(SEARCH("seed mix",E419))),"Grass Seed",
OR(ISNUMBER(SEARCH("lawn food",E419)),ISNUMBER(SEARCH("fertilizer",E419))),"Lawn Fertilizer",
OR(ISNUMBER(SEARCH("patch",E419)),ISNUMBER(SEARCH("repair",E419)),ISNUMBER(SEARCH("thick'r",E419)),ISNUMBER(SEARCH("thick'r lawn",E419)),ISNUMBER(SEARCH("rapid grass",E419))),"Lawn Repair",
OR(ISNUMBER(SEARCH("weed",E419)),ISNUMBER(SEARCH("crabgrass",E419))),"Weed Control",
OR(ISNUMBER(SEARCH("fungicide",E419)),ISNUMBER(SEARCH("moss",E419))),"Disease &amp; Moss Control",
OR(ISNUMBER(SEARCH("plant food",E419)),ISNUMBER(SEARCH("miracid",E419))),"Plant Nutrition",
OR(ISNUMBER(SEARCH("perlite",E419))),"Soil Amendment",
OR(ISNUMBER(SEARCH("spreader",E419)),ISNUMBER(SEARCH("sprayer",E419)),ISNUMBER(SEARCH("mower",E419)),ISNUMBER(SEARCH("sweeper",E419)),ISNUMBER(SEARCH("pruner",E419)),ISNUMBER(SEARCH("trimmer",E419)),ISNUMBER(SEARCH("pole saw",E419))),"Garden Equipment",
TRUE,"Other"
)</f>
        <v>Rodent Control</v>
      </c>
      <c r="I419" s="7" t="str" cm="1">
        <f t="array" ref="I419">_xlfn.IFS(
OR(ISNUMBER(SEARCH("glue trap",E419)),ISNUMBER(SEARCH("glue board",E419))),"Glue Traps",
OR(ISNUMBER(SEARCH("snap trap",E419)),ISNUMBER(SEARCH("power-kill",E419)),ISNUMBER(SEARCH("wide pedal",E419)),ISNUMBER(SEARCH("metal pedal",E419))),"Snap Traps",
OR(ISNUMBER(SEARCH("electronic",E419)),ISNUMBER(SEARCH("zapper",E419))),"Electronic Traps",
OR(ISNUMBER(SEARCH("live catch",E419)),ISNUMBER(SEARCH("multi-catch",E419)),ISNUMBER(SEARCH("catch &amp; hold",E419)),ISNUMBER(SEARCH("tin cat",E419))),"Live Catch Traps",
OR(ISNUMBER(SEARCH("bait",E419)),ISNUMBER(SEARCH("poison",E419))),"Bait &amp; Poison",
ISNUMBER(SEARCH("repellent",E419)),"Repellents",
OR(ISNUMBER(SEARCH("fly trap",E419)),ISNUMBER(SEARCH("fly ribbon",E419)),ISNUMBER(SEARCH("fly stick",E419)),ISNUMBER(SEARCH("window fly",E419)),ISNUMBER(SEARCH("fly magnet",E419))),"Fly Traps",
OR(ISNUMBER(SEARCH("uv",E419)),ISNUMBER(SEARCH("fly light",E419)),ISNUMBER(SEARCH("plug-in",E419))),"UV Fly Traps",
ISNUMBER(SEARCH("roach",E419)),"Roach Traps",
ISNUMBER(SEARCH("ant",E419)),"Ant Traps",
ISNUMBER(SEARCH("spider",E419)),"Spider Traps",
ISNUMBER(SEARCH("mosquito",E419)),"Mosquito Traps",
ISNUMBER(SEARCH("beetle",E419)),"Beetle Traps",
ISNUMBER(SEARCH("lantern",E419)),"Lanternfly Control",
OR(ISNUMBER(SEARCH("tree shield",E419)),ISNUMBER(SEARCH("tree banding",E419)),ISNUMBER(SEARCH("insect barrier",E419))),"Tree Barriers",
OR(ISNUMBER(SEARCH("sun &amp; shade",E419)),ISNUMBER(SEARCH("sun and shade",E419))),"Sun &amp; Shade Mix",
ISNUMBER(SEARCH("tall fescue",E419)),"Tall Fescue",
ISNUMBER(SEARCH("bermudagrass",E419)),"Bermudagrass",
ISNUMBER(SEARCH("kentucky",E419)),"Kentucky Bluegrass",
ISNUMBER(SEARCH("zoysia",E419)),"Zoysia",
ISNUMBER(SEARCH("ryegrass",E419)),"Perennial Ryegrass",
ISNUMBER(SEARCH("centipede",E419)),"Centipede Grass",
ISNUMBER(SEARCH("dense shade",E419)),"Dense Shade Mix",
ISNUMBER(SEARCH("southern gold",E419)),"Southern Gold Mix",
ISNUMBER(SEARCH("heat-tolerant blue",E419)),"Heat-Tolerant Blue Mix",
ISNUMBER(SEARCH("high traffic",E419)),"High Traffic Mix",
ISNUMBER(SEARCH("quick fix",E419)),"Quick Fix Mix",
ISNUMBER(SEARCH("starter",E419)),"Starter Fertilizer",
ISNUMBER(SEARCH("weed &amp; feed",E419)),"Weed &amp; Feed",
ISNUMBER(SEARCH("lawn food",E419)),"Lawn Food",
ISNUMBER(SEARCH("triple action",E419)),"Triple Action Fertilizer",
ISNUMBER(SEARCH("green max",E419)),"Green Max Lawn Food",
ISNUMBER(SEARCH("patchmaster",E419)),"PatchMaster Repair",
ISNUMBER(SEARCH("ez seed",E419)),"EZ Seed Repair",
ISNUMBER(SEARCH("rapid grass",E419)),"Rapid Grass",
ISNUMBER(SEARCH("thick'r lawn",E419)),"Thick'R Lawn",
ISNUMBER(SEARCH("fungicide",E419)),"Fungicide",
ISNUMBER(SEARCH("moss",E419)),"Moss Control",
ISNUMBER(SEARCH("perlite",E419)),"Perlite",
ISNUMBER(SEARCH("plant food",E419)),"Plant Food",
ISNUMBER(SEARCH("spreader",E419)),"Spreader",
ISNUMBER(SEARCH("sprayer",E419)),"Sprayer",
ISNUMBER(SEARCH("mower",E419)),"Lawn Mower",
ISNUMBER(SEARCH("sweeper",E419)),"Lawn Sweeper",
OR(ISNUMBER(SEARCH("pruner",E419)),ISNUMBER(SEARCH("trimmer",E419)),ISNUMBER(SEARCH("pole saw",E419))),"Pruning Tools",
TRUE,"Other"
)</f>
        <v>Other</v>
      </c>
      <c r="J419" s="7" t="str">
        <f t="shared" si="108"/>
        <v>Rodent Control - Other</v>
      </c>
      <c r="K419" s="4">
        <v>500</v>
      </c>
      <c r="L419" s="4">
        <v>3.4</v>
      </c>
      <c r="M419" s="4">
        <v>1202</v>
      </c>
      <c r="N419" s="4" t="s">
        <v>579</v>
      </c>
      <c r="O419" s="4">
        <f>VLOOKUP(A419,'[6]Monthly Sold'!$A:$B,2,0)</f>
        <v>1000</v>
      </c>
      <c r="P419" s="4">
        <f>VLOOKUP(A419,'[6]Monthly Sold'!$A:$M,3,0)</f>
        <v>1000</v>
      </c>
      <c r="Q419" s="4">
        <f>VLOOKUP(A419,'[6]Monthly Sold'!$A:$M,4,0)</f>
        <v>600</v>
      </c>
      <c r="R419" s="4">
        <f>VLOOKUP(A419,'[6]Monthly Sold'!$A:$M,5,0)</f>
        <v>200</v>
      </c>
      <c r="S419" s="4">
        <f>VLOOKUP(A419,'[6]Monthly Sold'!$A:$M,6,0)</f>
        <v>200</v>
      </c>
      <c r="T419" s="4">
        <f>VLOOKUP(A419,'[6]Monthly Sold'!$A:$M,7,0)</f>
        <v>300</v>
      </c>
      <c r="U419" s="4">
        <f>VLOOKUP(A419,'[6]Monthly Sold'!$A:$M,8,0)</f>
        <v>200</v>
      </c>
      <c r="V419" s="4">
        <f>VLOOKUP(A419,'[6]Monthly Sold'!$A:$M,9,0)</f>
        <v>300</v>
      </c>
      <c r="W419" s="4">
        <f>VLOOKUP(A419,'[6]Monthly Sold'!$A:$M,10,0)</f>
        <v>400</v>
      </c>
      <c r="X419" s="4">
        <f>VLOOKUP(A419,'[6]Monthly Sold'!$A:$M,11,0)</f>
        <v>1000</v>
      </c>
      <c r="Y419" s="4">
        <f>VLOOKUP(A419,'[6]Monthly Sold'!$A:$M,12,0)</f>
        <v>4000</v>
      </c>
      <c r="Z419" s="4">
        <f>VLOOKUP(A419,'[6]Monthly Sold'!$A:$M,13,0)</f>
        <v>3000</v>
      </c>
      <c r="AA419" s="4">
        <f t="shared" si="102"/>
        <v>12200</v>
      </c>
      <c r="AB419" s="7">
        <f t="shared" si="109"/>
        <v>1017</v>
      </c>
      <c r="AC419" s="15">
        <f t="shared" si="103"/>
        <v>1016.6666666666666</v>
      </c>
      <c r="AD419" s="16">
        <f t="shared" si="104"/>
        <v>104798</v>
      </c>
      <c r="AE419" s="16">
        <f t="shared" si="105"/>
        <v>8733.1666666666661</v>
      </c>
      <c r="AF419" s="21">
        <v>3.91</v>
      </c>
      <c r="AG419" s="21">
        <v>8.59</v>
      </c>
      <c r="AH419" s="15">
        <f t="shared" si="106"/>
        <v>-9.8266666666666683E-2</v>
      </c>
      <c r="AI419" s="15">
        <f t="shared" si="107"/>
        <v>-0.34393333333333337</v>
      </c>
      <c r="AJ419" s="10">
        <v>0.5</v>
      </c>
      <c r="AK419" s="10">
        <v>0.5</v>
      </c>
      <c r="AL419" s="21">
        <v>3.91</v>
      </c>
      <c r="AM419" s="9">
        <f t="shared" si="110"/>
        <v>1.2885</v>
      </c>
      <c r="AN419" s="9">
        <f t="shared" si="111"/>
        <v>0.25769999999999998</v>
      </c>
      <c r="AO419" s="9">
        <f t="shared" si="112"/>
        <v>1.718</v>
      </c>
      <c r="AP419" s="9">
        <f t="shared" si="113"/>
        <v>0.17180000000000001</v>
      </c>
      <c r="AQ419" s="9">
        <f t="shared" si="114"/>
        <v>1.718</v>
      </c>
      <c r="AR419" s="9">
        <f t="shared" si="115"/>
        <v>2.1475</v>
      </c>
      <c r="AS419" s="11">
        <f t="shared" si="116"/>
        <v>-0.9826666666666668</v>
      </c>
      <c r="AT419" s="12">
        <f t="shared" si="117"/>
        <v>-1.2690000000000001</v>
      </c>
    </row>
    <row r="420" spans="1:46" ht="16.5" x14ac:dyDescent="0.4">
      <c r="A420" s="4" t="s">
        <v>1834</v>
      </c>
      <c r="B420" s="4" t="s">
        <v>1895</v>
      </c>
      <c r="C420" s="4" t="s">
        <v>1895</v>
      </c>
      <c r="D420" s="4" t="s">
        <v>1991</v>
      </c>
      <c r="E420" s="4" t="s">
        <v>1992</v>
      </c>
      <c r="F420" s="4" t="s">
        <v>1993</v>
      </c>
      <c r="G420" s="7" t="str">
        <f>VLOOKUP(A420,[1]done!$A:$I,9,0)</f>
        <v>Rodent</v>
      </c>
      <c r="H420" s="7" t="str" cm="1">
        <f t="array" ref="H420">_xlfn.IFS(
OR(ISNUMBER(SEARCH("mouse",E420)),ISNUMBER(SEARCH("rat",E420)),ISNUMBER(SEARCH("mice",E420)),ISNUMBER(SEARCH("rodent",E420))),"Rodent Control",
OR(ISNUMBER(SEARCH("fly",E420)),ISNUMBER(SEARCH("gnat",E420)),ISNUMBER(SEARCH("insect",E420)),ISNUMBER(SEARCH("mosquito",E420))),"Flying Insect Control",
OR(ISNUMBER(SEARCH("roach",E420)),ISNUMBER(SEARCH("ant",E420)),ISNUMBER(SEARCH("spider",E420)),ISNUMBER(SEARCH("cricket",E420)),ISNUMBER(SEARCH("scorpion",E420)),ISNUMBER(SEARCH("centipede",E420)),ISNUMBER(SEARCH("beetle",E420))),"Crawling Insect Control",
OR(ISNUMBER(SEARCH("tree",E420)),ISNUMBER(SEARCH("lantern",E420)),ISNUMBER(SEARCH("garden",E420)),ISNUMBER(SEARCH("plant",E420))),"Garden Pest Control",
OR(ISNUMBER(SEARCH("grass seed",E420)),ISNUMBER(SEARCH("seed mix",E420))),"Grass Seed",
OR(ISNUMBER(SEARCH("lawn food",E420)),ISNUMBER(SEARCH("fertilizer",E420))),"Lawn Fertilizer",
OR(ISNUMBER(SEARCH("patch",E420)),ISNUMBER(SEARCH("repair",E420)),ISNUMBER(SEARCH("thick'r",E420)),ISNUMBER(SEARCH("thick'r lawn",E420)),ISNUMBER(SEARCH("rapid grass",E420))),"Lawn Repair",
OR(ISNUMBER(SEARCH("weed",E420)),ISNUMBER(SEARCH("crabgrass",E420))),"Weed Control",
OR(ISNUMBER(SEARCH("fungicide",E420)),ISNUMBER(SEARCH("moss",E420))),"Disease &amp; Moss Control",
OR(ISNUMBER(SEARCH("plant food",E420)),ISNUMBER(SEARCH("miracid",E420))),"Plant Nutrition",
OR(ISNUMBER(SEARCH("perlite",E420))),"Soil Amendment",
OR(ISNUMBER(SEARCH("spreader",E420)),ISNUMBER(SEARCH("sprayer",E420)),ISNUMBER(SEARCH("mower",E420)),ISNUMBER(SEARCH("sweeper",E420)),ISNUMBER(SEARCH("pruner",E420)),ISNUMBER(SEARCH("trimmer",E420)),ISNUMBER(SEARCH("pole saw",E420))),"Garden Equipment",
TRUE,"Other"
)</f>
        <v>Rodent Control</v>
      </c>
      <c r="I420" s="7" t="str" cm="1">
        <f t="array" ref="I420">_xlfn.IFS(
OR(ISNUMBER(SEARCH("glue trap",E420)),ISNUMBER(SEARCH("glue board",E420))),"Glue Traps",
OR(ISNUMBER(SEARCH("snap trap",E420)),ISNUMBER(SEARCH("power-kill",E420)),ISNUMBER(SEARCH("wide pedal",E420)),ISNUMBER(SEARCH("metal pedal",E420))),"Snap Traps",
OR(ISNUMBER(SEARCH("electronic",E420)),ISNUMBER(SEARCH("zapper",E420))),"Electronic Traps",
OR(ISNUMBER(SEARCH("live catch",E420)),ISNUMBER(SEARCH("multi-catch",E420)),ISNUMBER(SEARCH("catch &amp; hold",E420)),ISNUMBER(SEARCH("tin cat",E420))),"Live Catch Traps",
OR(ISNUMBER(SEARCH("bait",E420)),ISNUMBER(SEARCH("poison",E420))),"Bait &amp; Poison",
ISNUMBER(SEARCH("repellent",E420)),"Repellents",
OR(ISNUMBER(SEARCH("fly trap",E420)),ISNUMBER(SEARCH("fly ribbon",E420)),ISNUMBER(SEARCH("fly stick",E420)),ISNUMBER(SEARCH("window fly",E420)),ISNUMBER(SEARCH("fly magnet",E420))),"Fly Traps",
OR(ISNUMBER(SEARCH("uv",E420)),ISNUMBER(SEARCH("fly light",E420)),ISNUMBER(SEARCH("plug-in",E420))),"UV Fly Traps",
ISNUMBER(SEARCH("roach",E420)),"Roach Traps",
ISNUMBER(SEARCH("ant",E420)),"Ant Traps",
ISNUMBER(SEARCH("spider",E420)),"Spider Traps",
ISNUMBER(SEARCH("mosquito",E420)),"Mosquito Traps",
ISNUMBER(SEARCH("beetle",E420)),"Beetle Traps",
ISNUMBER(SEARCH("lantern",E420)),"Lanternfly Control",
OR(ISNUMBER(SEARCH("tree shield",E420)),ISNUMBER(SEARCH("tree banding",E420)),ISNUMBER(SEARCH("insect barrier",E420))),"Tree Barriers",
OR(ISNUMBER(SEARCH("sun &amp; shade",E420)),ISNUMBER(SEARCH("sun and shade",E420))),"Sun &amp; Shade Mix",
ISNUMBER(SEARCH("tall fescue",E420)),"Tall Fescue",
ISNUMBER(SEARCH("bermudagrass",E420)),"Bermudagrass",
ISNUMBER(SEARCH("kentucky",E420)),"Kentucky Bluegrass",
ISNUMBER(SEARCH("zoysia",E420)),"Zoysia",
ISNUMBER(SEARCH("ryegrass",E420)),"Perennial Ryegrass",
ISNUMBER(SEARCH("centipede",E420)),"Centipede Grass",
ISNUMBER(SEARCH("dense shade",E420)),"Dense Shade Mix",
ISNUMBER(SEARCH("southern gold",E420)),"Southern Gold Mix",
ISNUMBER(SEARCH("heat-tolerant blue",E420)),"Heat-Tolerant Blue Mix",
ISNUMBER(SEARCH("high traffic",E420)),"High Traffic Mix",
ISNUMBER(SEARCH("quick fix",E420)),"Quick Fix Mix",
ISNUMBER(SEARCH("starter",E420)),"Starter Fertilizer",
ISNUMBER(SEARCH("weed &amp; feed",E420)),"Weed &amp; Feed",
ISNUMBER(SEARCH("lawn food",E420)),"Lawn Food",
ISNUMBER(SEARCH("triple action",E420)),"Triple Action Fertilizer",
ISNUMBER(SEARCH("green max",E420)),"Green Max Lawn Food",
ISNUMBER(SEARCH("patchmaster",E420)),"PatchMaster Repair",
ISNUMBER(SEARCH("ez seed",E420)),"EZ Seed Repair",
ISNUMBER(SEARCH("rapid grass",E420)),"Rapid Grass",
ISNUMBER(SEARCH("thick'r lawn",E420)),"Thick'R Lawn",
ISNUMBER(SEARCH("fungicide",E420)),"Fungicide",
ISNUMBER(SEARCH("moss",E420)),"Moss Control",
ISNUMBER(SEARCH("perlite",E420)),"Perlite",
ISNUMBER(SEARCH("plant food",E420)),"Plant Food",
ISNUMBER(SEARCH("spreader",E420)),"Spreader",
ISNUMBER(SEARCH("sprayer",E420)),"Sprayer",
ISNUMBER(SEARCH("mower",E420)),"Lawn Mower",
ISNUMBER(SEARCH("sweeper",E420)),"Lawn Sweeper",
OR(ISNUMBER(SEARCH("pruner",E420)),ISNUMBER(SEARCH("trimmer",E420)),ISNUMBER(SEARCH("pole saw",E420))),"Pruning Tools",
TRUE,"Other"
)</f>
        <v>Repellents</v>
      </c>
      <c r="J420" s="7" t="str">
        <f t="shared" si="108"/>
        <v>Rodent Control - Repellents</v>
      </c>
      <c r="K420" s="4">
        <v>500</v>
      </c>
      <c r="L420" s="4">
        <v>4</v>
      </c>
      <c r="M420" s="4">
        <v>1640</v>
      </c>
      <c r="N420" s="4" t="s">
        <v>1994</v>
      </c>
      <c r="O420" s="4">
        <f>VLOOKUP(A420,'[6]Monthly Sold'!$A:$B,2,0)</f>
        <v>500</v>
      </c>
      <c r="P420" s="4">
        <f>VLOOKUP(A420,'[6]Monthly Sold'!$A:$M,3,0)</f>
        <v>600</v>
      </c>
      <c r="Q420" s="4">
        <f>VLOOKUP(A420,'[6]Monthly Sold'!$A:$M,4,0)</f>
        <v>400</v>
      </c>
      <c r="R420" s="4">
        <f>VLOOKUP(A420,'[6]Monthly Sold'!$A:$M,5,0)</f>
        <v>300</v>
      </c>
      <c r="S420" s="4">
        <f>VLOOKUP(A420,'[6]Monthly Sold'!$A:$M,6,0)</f>
        <v>200</v>
      </c>
      <c r="T420" s="4">
        <f>VLOOKUP(A420,'[6]Monthly Sold'!$A:$M,7,0)</f>
        <v>500</v>
      </c>
      <c r="U420" s="4">
        <f>VLOOKUP(A420,'[6]Monthly Sold'!$A:$M,8,0)</f>
        <v>300</v>
      </c>
      <c r="V420" s="4">
        <f>VLOOKUP(A420,'[6]Monthly Sold'!$A:$M,9,0)</f>
        <v>400</v>
      </c>
      <c r="W420" s="4">
        <f>VLOOKUP(A420,'[6]Monthly Sold'!$A:$M,10,0)</f>
        <v>400</v>
      </c>
      <c r="X420" s="4">
        <f>VLOOKUP(A420,'[6]Monthly Sold'!$A:$M,11,0)</f>
        <v>700</v>
      </c>
      <c r="Y420" s="4">
        <f>VLOOKUP(A420,'[6]Monthly Sold'!$A:$M,12,0)</f>
        <v>900</v>
      </c>
      <c r="Z420" s="4">
        <f>VLOOKUP(A420,'[6]Monthly Sold'!$A:$M,13,0)</f>
        <v>700</v>
      </c>
      <c r="AA420" s="4">
        <f t="shared" si="102"/>
        <v>5900</v>
      </c>
      <c r="AB420" s="7">
        <f t="shared" si="109"/>
        <v>492</v>
      </c>
      <c r="AC420" s="15">
        <f t="shared" si="103"/>
        <v>491.66666666666669</v>
      </c>
      <c r="AD420" s="16">
        <f t="shared" si="104"/>
        <v>70564</v>
      </c>
      <c r="AE420" s="16">
        <f t="shared" si="105"/>
        <v>5880.3333333333339</v>
      </c>
      <c r="AF420" s="21">
        <v>5.22</v>
      </c>
      <c r="AG420" s="21">
        <v>11.96</v>
      </c>
      <c r="AH420" s="15">
        <f t="shared" si="106"/>
        <v>-9.5733333333333337E-2</v>
      </c>
      <c r="AI420" s="15">
        <f t="shared" si="107"/>
        <v>-0.33506666666666662</v>
      </c>
      <c r="AJ420" s="10">
        <v>0.5</v>
      </c>
      <c r="AK420" s="10">
        <v>0.5</v>
      </c>
      <c r="AL420" s="21">
        <v>5.22</v>
      </c>
      <c r="AM420" s="9">
        <f t="shared" si="110"/>
        <v>1.794</v>
      </c>
      <c r="AN420" s="9">
        <f t="shared" si="111"/>
        <v>0.35880000000000001</v>
      </c>
      <c r="AO420" s="9">
        <f t="shared" si="112"/>
        <v>2.3920000000000003</v>
      </c>
      <c r="AP420" s="9">
        <f t="shared" si="113"/>
        <v>0.23920000000000002</v>
      </c>
      <c r="AQ420" s="9">
        <f t="shared" si="114"/>
        <v>2.3920000000000003</v>
      </c>
      <c r="AR420" s="9">
        <f t="shared" si="115"/>
        <v>2.99</v>
      </c>
      <c r="AS420" s="11">
        <f t="shared" si="116"/>
        <v>-0.95733333333333326</v>
      </c>
      <c r="AT420" s="12">
        <f t="shared" si="117"/>
        <v>-1.3559999999999999</v>
      </c>
    </row>
    <row r="421" spans="1:46" ht="16.5" x14ac:dyDescent="0.4">
      <c r="A421" s="4" t="s">
        <v>1835</v>
      </c>
      <c r="B421" s="4" t="s">
        <v>1895</v>
      </c>
      <c r="C421" s="4" t="s">
        <v>1784</v>
      </c>
      <c r="D421" s="4" t="s">
        <v>1995</v>
      </c>
      <c r="E421" s="4" t="s">
        <v>1996</v>
      </c>
      <c r="F421" s="4" t="s">
        <v>1997</v>
      </c>
      <c r="G421" s="7" t="str">
        <f>VLOOKUP(A421,[1]done!$A:$I,9,0)</f>
        <v>Rodent</v>
      </c>
      <c r="H421" s="7" t="str" cm="1">
        <f t="array" ref="H421">_xlfn.IFS(
OR(ISNUMBER(SEARCH("mouse",E421)),ISNUMBER(SEARCH("rat",E421)),ISNUMBER(SEARCH("mice",E421)),ISNUMBER(SEARCH("rodent",E421))),"Rodent Control",
OR(ISNUMBER(SEARCH("fly",E421)),ISNUMBER(SEARCH("gnat",E421)),ISNUMBER(SEARCH("insect",E421)),ISNUMBER(SEARCH("mosquito",E421))),"Flying Insect Control",
OR(ISNUMBER(SEARCH("roach",E421)),ISNUMBER(SEARCH("ant",E421)),ISNUMBER(SEARCH("spider",E421)),ISNUMBER(SEARCH("cricket",E421)),ISNUMBER(SEARCH("scorpion",E421)),ISNUMBER(SEARCH("centipede",E421)),ISNUMBER(SEARCH("beetle",E421))),"Crawling Insect Control",
OR(ISNUMBER(SEARCH("tree",E421)),ISNUMBER(SEARCH("lantern",E421)),ISNUMBER(SEARCH("garden",E421)),ISNUMBER(SEARCH("plant",E421))),"Garden Pest Control",
OR(ISNUMBER(SEARCH("grass seed",E421)),ISNUMBER(SEARCH("seed mix",E421))),"Grass Seed",
OR(ISNUMBER(SEARCH("lawn food",E421)),ISNUMBER(SEARCH("fertilizer",E421))),"Lawn Fertilizer",
OR(ISNUMBER(SEARCH("patch",E421)),ISNUMBER(SEARCH("repair",E421)),ISNUMBER(SEARCH("thick'r",E421)),ISNUMBER(SEARCH("thick'r lawn",E421)),ISNUMBER(SEARCH("rapid grass",E421))),"Lawn Repair",
OR(ISNUMBER(SEARCH("weed",E421)),ISNUMBER(SEARCH("crabgrass",E421))),"Weed Control",
OR(ISNUMBER(SEARCH("fungicide",E421)),ISNUMBER(SEARCH("moss",E421))),"Disease &amp; Moss Control",
OR(ISNUMBER(SEARCH("plant food",E421)),ISNUMBER(SEARCH("miracid",E421))),"Plant Nutrition",
OR(ISNUMBER(SEARCH("perlite",E421))),"Soil Amendment",
OR(ISNUMBER(SEARCH("spreader",E421)),ISNUMBER(SEARCH("sprayer",E421)),ISNUMBER(SEARCH("mower",E421)),ISNUMBER(SEARCH("sweeper",E421)),ISNUMBER(SEARCH("pruner",E421)),ISNUMBER(SEARCH("trimmer",E421)),ISNUMBER(SEARCH("pole saw",E421))),"Garden Equipment",
TRUE,"Other"
)</f>
        <v>Rodent Control</v>
      </c>
      <c r="I421" s="7" t="str" cm="1">
        <f t="array" ref="I421">_xlfn.IFS(
OR(ISNUMBER(SEARCH("glue trap",E421)),ISNUMBER(SEARCH("glue board",E421))),"Glue Traps",
OR(ISNUMBER(SEARCH("snap trap",E421)),ISNUMBER(SEARCH("power-kill",E421)),ISNUMBER(SEARCH("wide pedal",E421)),ISNUMBER(SEARCH("metal pedal",E421))),"Snap Traps",
OR(ISNUMBER(SEARCH("electronic",E421)),ISNUMBER(SEARCH("zapper",E421))),"Electronic Traps",
OR(ISNUMBER(SEARCH("live catch",E421)),ISNUMBER(SEARCH("multi-catch",E421)),ISNUMBER(SEARCH("catch &amp; hold",E421)),ISNUMBER(SEARCH("tin cat",E421))),"Live Catch Traps",
OR(ISNUMBER(SEARCH("bait",E421)),ISNUMBER(SEARCH("poison",E421))),"Bait &amp; Poison",
ISNUMBER(SEARCH("repellent",E421)),"Repellents",
OR(ISNUMBER(SEARCH("fly trap",E421)),ISNUMBER(SEARCH("fly ribbon",E421)),ISNUMBER(SEARCH("fly stick",E421)),ISNUMBER(SEARCH("window fly",E421)),ISNUMBER(SEARCH("fly magnet",E421))),"Fly Traps",
OR(ISNUMBER(SEARCH("uv",E421)),ISNUMBER(SEARCH("fly light",E421)),ISNUMBER(SEARCH("plug-in",E421))),"UV Fly Traps",
ISNUMBER(SEARCH("roach",E421)),"Roach Traps",
ISNUMBER(SEARCH("ant",E421)),"Ant Traps",
ISNUMBER(SEARCH("spider",E421)),"Spider Traps",
ISNUMBER(SEARCH("mosquito",E421)),"Mosquito Traps",
ISNUMBER(SEARCH("beetle",E421)),"Beetle Traps",
ISNUMBER(SEARCH("lantern",E421)),"Lanternfly Control",
OR(ISNUMBER(SEARCH("tree shield",E421)),ISNUMBER(SEARCH("tree banding",E421)),ISNUMBER(SEARCH("insect barrier",E421))),"Tree Barriers",
OR(ISNUMBER(SEARCH("sun &amp; shade",E421)),ISNUMBER(SEARCH("sun and shade",E421))),"Sun &amp; Shade Mix",
ISNUMBER(SEARCH("tall fescue",E421)),"Tall Fescue",
ISNUMBER(SEARCH("bermudagrass",E421)),"Bermudagrass",
ISNUMBER(SEARCH("kentucky",E421)),"Kentucky Bluegrass",
ISNUMBER(SEARCH("zoysia",E421)),"Zoysia",
ISNUMBER(SEARCH("ryegrass",E421)),"Perennial Ryegrass",
ISNUMBER(SEARCH("centipede",E421)),"Centipede Grass",
ISNUMBER(SEARCH("dense shade",E421)),"Dense Shade Mix",
ISNUMBER(SEARCH("southern gold",E421)),"Southern Gold Mix",
ISNUMBER(SEARCH("heat-tolerant blue",E421)),"Heat-Tolerant Blue Mix",
ISNUMBER(SEARCH("high traffic",E421)),"High Traffic Mix",
ISNUMBER(SEARCH("quick fix",E421)),"Quick Fix Mix",
ISNUMBER(SEARCH("starter",E421)),"Starter Fertilizer",
ISNUMBER(SEARCH("weed &amp; feed",E421)),"Weed &amp; Feed",
ISNUMBER(SEARCH("lawn food",E421)),"Lawn Food",
ISNUMBER(SEARCH("triple action",E421)),"Triple Action Fertilizer",
ISNUMBER(SEARCH("green max",E421)),"Green Max Lawn Food",
ISNUMBER(SEARCH("patchmaster",E421)),"PatchMaster Repair",
ISNUMBER(SEARCH("ez seed",E421)),"EZ Seed Repair",
ISNUMBER(SEARCH("rapid grass",E421)),"Rapid Grass",
ISNUMBER(SEARCH("thick'r lawn",E421)),"Thick'R Lawn",
ISNUMBER(SEARCH("fungicide",E421)),"Fungicide",
ISNUMBER(SEARCH("moss",E421)),"Moss Control",
ISNUMBER(SEARCH("perlite",E421)),"Perlite",
ISNUMBER(SEARCH("plant food",E421)),"Plant Food",
ISNUMBER(SEARCH("spreader",E421)),"Spreader",
ISNUMBER(SEARCH("sprayer",E421)),"Sprayer",
ISNUMBER(SEARCH("mower",E421)),"Lawn Mower",
ISNUMBER(SEARCH("sweeper",E421)),"Lawn Sweeper",
OR(ISNUMBER(SEARCH("pruner",E421)),ISNUMBER(SEARCH("trimmer",E421)),ISNUMBER(SEARCH("pole saw",E421))),"Pruning Tools",
TRUE,"Other"
)</f>
        <v>Other</v>
      </c>
      <c r="J421" s="7" t="str">
        <f t="shared" si="108"/>
        <v>Rodent Control - Other</v>
      </c>
      <c r="K421" s="4">
        <v>500</v>
      </c>
      <c r="L421" s="4">
        <v>4.3</v>
      </c>
      <c r="M421" s="4">
        <v>4151</v>
      </c>
      <c r="N421" s="4" t="s">
        <v>579</v>
      </c>
      <c r="O421" s="4">
        <f>VLOOKUP(A421,'[6]Monthly Sold'!$A:$B,2,0)</f>
        <v>300</v>
      </c>
      <c r="P421" s="4">
        <f>VLOOKUP(A421,'[6]Monthly Sold'!$A:$M,3,0)</f>
        <v>500</v>
      </c>
      <c r="Q421" s="4">
        <f>VLOOKUP(A421,'[6]Monthly Sold'!$A:$M,4,0)</f>
        <v>400</v>
      </c>
      <c r="R421" s="4">
        <f>VLOOKUP(A421,'[6]Monthly Sold'!$A:$M,5,0)</f>
        <v>400</v>
      </c>
      <c r="S421" s="4">
        <f>VLOOKUP(A421,'[6]Monthly Sold'!$A:$M,6,0)</f>
        <v>400</v>
      </c>
      <c r="T421" s="4">
        <f>VLOOKUP(A421,'[6]Monthly Sold'!$A:$M,7,0)</f>
        <v>400</v>
      </c>
      <c r="U421" s="4">
        <f>VLOOKUP(A421,'[6]Monthly Sold'!$A:$M,8,0)</f>
        <v>300</v>
      </c>
      <c r="V421" s="4">
        <f>VLOOKUP(A421,'[6]Monthly Sold'!$A:$M,9,0)</f>
        <v>500</v>
      </c>
      <c r="W421" s="4">
        <f>VLOOKUP(A421,'[6]Monthly Sold'!$A:$M,10,0)</f>
        <v>500</v>
      </c>
      <c r="X421" s="4">
        <f>VLOOKUP(A421,'[6]Monthly Sold'!$A:$M,11,0)</f>
        <v>300</v>
      </c>
      <c r="Y421" s="4">
        <f>VLOOKUP(A421,'[6]Monthly Sold'!$A:$M,12,0)</f>
        <v>1000</v>
      </c>
      <c r="Z421" s="4">
        <f>VLOOKUP(A421,'[6]Monthly Sold'!$A:$M,13,0)</f>
        <v>1000</v>
      </c>
      <c r="AA421" s="4">
        <f t="shared" si="102"/>
        <v>6000</v>
      </c>
      <c r="AB421" s="7">
        <f t="shared" si="109"/>
        <v>500</v>
      </c>
      <c r="AC421" s="15">
        <f t="shared" si="103"/>
        <v>500</v>
      </c>
      <c r="AD421" s="16">
        <f t="shared" si="104"/>
        <v>18180</v>
      </c>
      <c r="AE421" s="16">
        <f t="shared" si="105"/>
        <v>1515</v>
      </c>
      <c r="AF421" s="21">
        <v>2.52</v>
      </c>
      <c r="AG421" s="21">
        <v>3.03</v>
      </c>
      <c r="AH421" s="15">
        <f t="shared" si="106"/>
        <v>-0.15386666666666671</v>
      </c>
      <c r="AI421" s="15">
        <f t="shared" si="107"/>
        <v>-0.53853333333333331</v>
      </c>
      <c r="AJ421" s="10">
        <v>0.5</v>
      </c>
      <c r="AK421" s="10">
        <v>0.5</v>
      </c>
      <c r="AL421" s="21">
        <v>2.52</v>
      </c>
      <c r="AM421" s="9">
        <f t="shared" si="110"/>
        <v>0.45449999999999996</v>
      </c>
      <c r="AN421" s="9">
        <f t="shared" si="111"/>
        <v>9.0899999999999995E-2</v>
      </c>
      <c r="AO421" s="9">
        <f t="shared" si="112"/>
        <v>0.60599999999999998</v>
      </c>
      <c r="AP421" s="9">
        <f t="shared" si="113"/>
        <v>6.0599999999999994E-2</v>
      </c>
      <c r="AQ421" s="9">
        <f t="shared" si="114"/>
        <v>0.60599999999999998</v>
      </c>
      <c r="AR421" s="9">
        <f t="shared" si="115"/>
        <v>0.75749999999999995</v>
      </c>
      <c r="AS421" s="11">
        <f t="shared" si="116"/>
        <v>-1.5386666666666668</v>
      </c>
      <c r="AT421" s="12">
        <f t="shared" si="117"/>
        <v>-1.6396666666666668</v>
      </c>
    </row>
    <row r="422" spans="1:46" ht="16.5" x14ac:dyDescent="0.4">
      <c r="A422" s="4" t="s">
        <v>1836</v>
      </c>
      <c r="B422" s="4" t="s">
        <v>1895</v>
      </c>
      <c r="C422" s="4" t="s">
        <v>1784</v>
      </c>
      <c r="D422" s="4" t="s">
        <v>1998</v>
      </c>
      <c r="E422" s="4" t="s">
        <v>1999</v>
      </c>
      <c r="F422" s="4" t="s">
        <v>2000</v>
      </c>
      <c r="G422" s="7" t="str">
        <f>VLOOKUP(A422,[1]done!$A:$I,9,0)</f>
        <v>Rodent</v>
      </c>
      <c r="H422" s="7" t="str" cm="1">
        <f t="array" ref="H422">_xlfn.IFS(
OR(ISNUMBER(SEARCH("mouse",E422)),ISNUMBER(SEARCH("rat",E422)),ISNUMBER(SEARCH("mice",E422)),ISNUMBER(SEARCH("rodent",E422))),"Rodent Control",
OR(ISNUMBER(SEARCH("fly",E422)),ISNUMBER(SEARCH("gnat",E422)),ISNUMBER(SEARCH("insect",E422)),ISNUMBER(SEARCH("mosquito",E422))),"Flying Insect Control",
OR(ISNUMBER(SEARCH("roach",E422)),ISNUMBER(SEARCH("ant",E422)),ISNUMBER(SEARCH("spider",E422)),ISNUMBER(SEARCH("cricket",E422)),ISNUMBER(SEARCH("scorpion",E422)),ISNUMBER(SEARCH("centipede",E422)),ISNUMBER(SEARCH("beetle",E422))),"Crawling Insect Control",
OR(ISNUMBER(SEARCH("tree",E422)),ISNUMBER(SEARCH("lantern",E422)),ISNUMBER(SEARCH("garden",E422)),ISNUMBER(SEARCH("plant",E422))),"Garden Pest Control",
OR(ISNUMBER(SEARCH("grass seed",E422)),ISNUMBER(SEARCH("seed mix",E422))),"Grass Seed",
OR(ISNUMBER(SEARCH("lawn food",E422)),ISNUMBER(SEARCH("fertilizer",E422))),"Lawn Fertilizer",
OR(ISNUMBER(SEARCH("patch",E422)),ISNUMBER(SEARCH("repair",E422)),ISNUMBER(SEARCH("thick'r",E422)),ISNUMBER(SEARCH("thick'r lawn",E422)),ISNUMBER(SEARCH("rapid grass",E422))),"Lawn Repair",
OR(ISNUMBER(SEARCH("weed",E422)),ISNUMBER(SEARCH("crabgrass",E422))),"Weed Control",
OR(ISNUMBER(SEARCH("fungicide",E422)),ISNUMBER(SEARCH("moss",E422))),"Disease &amp; Moss Control",
OR(ISNUMBER(SEARCH("plant food",E422)),ISNUMBER(SEARCH("miracid",E422))),"Plant Nutrition",
OR(ISNUMBER(SEARCH("perlite",E422))),"Soil Amendment",
OR(ISNUMBER(SEARCH("spreader",E422)),ISNUMBER(SEARCH("sprayer",E422)),ISNUMBER(SEARCH("mower",E422)),ISNUMBER(SEARCH("sweeper",E422)),ISNUMBER(SEARCH("pruner",E422)),ISNUMBER(SEARCH("trimmer",E422)),ISNUMBER(SEARCH("pole saw",E422))),"Garden Equipment",
TRUE,"Other"
)</f>
        <v>Rodent Control</v>
      </c>
      <c r="I422" s="7" t="str" cm="1">
        <f t="array" ref="I422">_xlfn.IFS(
OR(ISNUMBER(SEARCH("glue trap",E422)),ISNUMBER(SEARCH("glue board",E422))),"Glue Traps",
OR(ISNUMBER(SEARCH("snap trap",E422)),ISNUMBER(SEARCH("power-kill",E422)),ISNUMBER(SEARCH("wide pedal",E422)),ISNUMBER(SEARCH("metal pedal",E422))),"Snap Traps",
OR(ISNUMBER(SEARCH("electronic",E422)),ISNUMBER(SEARCH("zapper",E422))),"Electronic Traps",
OR(ISNUMBER(SEARCH("live catch",E422)),ISNUMBER(SEARCH("multi-catch",E422)),ISNUMBER(SEARCH("catch &amp; hold",E422)),ISNUMBER(SEARCH("tin cat",E422))),"Live Catch Traps",
OR(ISNUMBER(SEARCH("bait",E422)),ISNUMBER(SEARCH("poison",E422))),"Bait &amp; Poison",
ISNUMBER(SEARCH("repellent",E422)),"Repellents",
OR(ISNUMBER(SEARCH("fly trap",E422)),ISNUMBER(SEARCH("fly ribbon",E422)),ISNUMBER(SEARCH("fly stick",E422)),ISNUMBER(SEARCH("window fly",E422)),ISNUMBER(SEARCH("fly magnet",E422))),"Fly Traps",
OR(ISNUMBER(SEARCH("uv",E422)),ISNUMBER(SEARCH("fly light",E422)),ISNUMBER(SEARCH("plug-in",E422))),"UV Fly Traps",
ISNUMBER(SEARCH("roach",E422)),"Roach Traps",
ISNUMBER(SEARCH("ant",E422)),"Ant Traps",
ISNUMBER(SEARCH("spider",E422)),"Spider Traps",
ISNUMBER(SEARCH("mosquito",E422)),"Mosquito Traps",
ISNUMBER(SEARCH("beetle",E422)),"Beetle Traps",
ISNUMBER(SEARCH("lantern",E422)),"Lanternfly Control",
OR(ISNUMBER(SEARCH("tree shield",E422)),ISNUMBER(SEARCH("tree banding",E422)),ISNUMBER(SEARCH("insect barrier",E422))),"Tree Barriers",
OR(ISNUMBER(SEARCH("sun &amp; shade",E422)),ISNUMBER(SEARCH("sun and shade",E422))),"Sun &amp; Shade Mix",
ISNUMBER(SEARCH("tall fescue",E422)),"Tall Fescue",
ISNUMBER(SEARCH("bermudagrass",E422)),"Bermudagrass",
ISNUMBER(SEARCH("kentucky",E422)),"Kentucky Bluegrass",
ISNUMBER(SEARCH("zoysia",E422)),"Zoysia",
ISNUMBER(SEARCH("ryegrass",E422)),"Perennial Ryegrass",
ISNUMBER(SEARCH("centipede",E422)),"Centipede Grass",
ISNUMBER(SEARCH("dense shade",E422)),"Dense Shade Mix",
ISNUMBER(SEARCH("southern gold",E422)),"Southern Gold Mix",
ISNUMBER(SEARCH("heat-tolerant blue",E422)),"Heat-Tolerant Blue Mix",
ISNUMBER(SEARCH("high traffic",E422)),"High Traffic Mix",
ISNUMBER(SEARCH("quick fix",E422)),"Quick Fix Mix",
ISNUMBER(SEARCH("starter",E422)),"Starter Fertilizer",
ISNUMBER(SEARCH("weed &amp; feed",E422)),"Weed &amp; Feed",
ISNUMBER(SEARCH("lawn food",E422)),"Lawn Food",
ISNUMBER(SEARCH("triple action",E422)),"Triple Action Fertilizer",
ISNUMBER(SEARCH("green max",E422)),"Green Max Lawn Food",
ISNUMBER(SEARCH("patchmaster",E422)),"PatchMaster Repair",
ISNUMBER(SEARCH("ez seed",E422)),"EZ Seed Repair",
ISNUMBER(SEARCH("rapid grass",E422)),"Rapid Grass",
ISNUMBER(SEARCH("thick'r lawn",E422)),"Thick'R Lawn",
ISNUMBER(SEARCH("fungicide",E422)),"Fungicide",
ISNUMBER(SEARCH("moss",E422)),"Moss Control",
ISNUMBER(SEARCH("perlite",E422)),"Perlite",
ISNUMBER(SEARCH("plant food",E422)),"Plant Food",
ISNUMBER(SEARCH("spreader",E422)),"Spreader",
ISNUMBER(SEARCH("sprayer",E422)),"Sprayer",
ISNUMBER(SEARCH("mower",E422)),"Lawn Mower",
ISNUMBER(SEARCH("sweeper",E422)),"Lawn Sweeper",
OR(ISNUMBER(SEARCH("pruner",E422)),ISNUMBER(SEARCH("trimmer",E422)),ISNUMBER(SEARCH("pole saw",E422))),"Pruning Tools",
TRUE,"Other"
)</f>
        <v>Bait &amp; Poison</v>
      </c>
      <c r="J422" s="7" t="str">
        <f t="shared" si="108"/>
        <v>Rodent Control - Bait &amp; Poison</v>
      </c>
      <c r="K422" s="4">
        <v>400</v>
      </c>
      <c r="L422" s="4">
        <v>4.2</v>
      </c>
      <c r="M422" s="4">
        <v>714</v>
      </c>
      <c r="N422" s="4" t="s">
        <v>579</v>
      </c>
      <c r="O422" s="4">
        <f>VLOOKUP(A422,'[6]Monthly Sold'!$A:$B,2,0)</f>
        <v>1000</v>
      </c>
      <c r="P422" s="4">
        <f>VLOOKUP(A422,'[6]Monthly Sold'!$A:$M,3,0)</f>
        <v>200</v>
      </c>
      <c r="Q422" s="4">
        <f>VLOOKUP(A422,'[6]Monthly Sold'!$A:$M,4,0)</f>
        <v>100</v>
      </c>
      <c r="R422" s="4">
        <f>VLOOKUP(A422,'[6]Monthly Sold'!$A:$M,5,0)</f>
        <v>100</v>
      </c>
      <c r="S422" s="4">
        <f>VLOOKUP(A422,'[6]Monthly Sold'!$A:$M,6,0)</f>
        <v>200</v>
      </c>
      <c r="T422" s="4">
        <f>VLOOKUP(A422,'[6]Monthly Sold'!$A:$M,7,0)</f>
        <v>200</v>
      </c>
      <c r="U422" s="4">
        <f>VLOOKUP(A422,'[6]Monthly Sold'!$A:$M,8,0)</f>
        <v>500</v>
      </c>
      <c r="V422" s="4">
        <f>VLOOKUP(A422,'[6]Monthly Sold'!$A:$M,9,0)</f>
        <v>200</v>
      </c>
      <c r="W422" s="4">
        <f>VLOOKUP(A422,'[6]Monthly Sold'!$A:$M,10,0)</f>
        <v>300</v>
      </c>
      <c r="X422" s="4">
        <f>VLOOKUP(A422,'[6]Monthly Sold'!$A:$M,11,0)</f>
        <v>1000</v>
      </c>
      <c r="Y422" s="4">
        <f>VLOOKUP(A422,'[6]Monthly Sold'!$A:$M,12,0)</f>
        <v>1000</v>
      </c>
      <c r="Z422" s="4">
        <f>VLOOKUP(A422,'[6]Monthly Sold'!$A:$M,13,0)</f>
        <v>700</v>
      </c>
      <c r="AA422" s="4">
        <f t="shared" si="102"/>
        <v>5500</v>
      </c>
      <c r="AB422" s="7">
        <f t="shared" si="109"/>
        <v>458</v>
      </c>
      <c r="AC422" s="15">
        <f t="shared" si="103"/>
        <v>458.33333333333331</v>
      </c>
      <c r="AD422" s="16">
        <f t="shared" si="104"/>
        <v>62534.999999999993</v>
      </c>
      <c r="AE422" s="16">
        <f t="shared" si="105"/>
        <v>5211.2499999999991</v>
      </c>
      <c r="AF422" s="21">
        <v>6.13</v>
      </c>
      <c r="AG422" s="21">
        <v>11.37</v>
      </c>
      <c r="AH422" s="15">
        <f t="shared" si="106"/>
        <v>-0.17213333333333339</v>
      </c>
      <c r="AI422" s="15">
        <f t="shared" si="107"/>
        <v>-0.60246666666666682</v>
      </c>
      <c r="AJ422" s="10">
        <v>0.5</v>
      </c>
      <c r="AK422" s="10">
        <v>0.5</v>
      </c>
      <c r="AL422" s="21">
        <v>6.13</v>
      </c>
      <c r="AM422" s="9">
        <f t="shared" si="110"/>
        <v>1.7054999999999998</v>
      </c>
      <c r="AN422" s="9">
        <f t="shared" si="111"/>
        <v>0.34109999999999996</v>
      </c>
      <c r="AO422" s="9">
        <f t="shared" si="112"/>
        <v>2.274</v>
      </c>
      <c r="AP422" s="9">
        <f t="shared" si="113"/>
        <v>0.22739999999999999</v>
      </c>
      <c r="AQ422" s="9">
        <f t="shared" si="114"/>
        <v>2.274</v>
      </c>
      <c r="AR422" s="9">
        <f t="shared" si="115"/>
        <v>2.8424999999999998</v>
      </c>
      <c r="AS422" s="11">
        <f t="shared" si="116"/>
        <v>-1.7213333333333338</v>
      </c>
      <c r="AT422" s="12">
        <f t="shared" si="117"/>
        <v>-2.1003333333333338</v>
      </c>
    </row>
    <row r="423" spans="1:46" ht="16.5" x14ac:dyDescent="0.4">
      <c r="A423" s="4" t="s">
        <v>1837</v>
      </c>
      <c r="B423" s="4" t="s">
        <v>1895</v>
      </c>
      <c r="C423" s="4" t="s">
        <v>1784</v>
      </c>
      <c r="D423" s="4" t="s">
        <v>2001</v>
      </c>
      <c r="E423" s="4" t="s">
        <v>2002</v>
      </c>
      <c r="F423" s="4" t="s">
        <v>2003</v>
      </c>
      <c r="G423" s="7" t="str">
        <f>VLOOKUP(A423,[1]done!$A:$I,9,0)</f>
        <v>Rodent</v>
      </c>
      <c r="H423" s="7" t="str" cm="1">
        <f t="array" ref="H423">_xlfn.IFS(
OR(ISNUMBER(SEARCH("mouse",E423)),ISNUMBER(SEARCH("rat",E423)),ISNUMBER(SEARCH("mice",E423)),ISNUMBER(SEARCH("rodent",E423))),"Rodent Control",
OR(ISNUMBER(SEARCH("fly",E423)),ISNUMBER(SEARCH("gnat",E423)),ISNUMBER(SEARCH("insect",E423)),ISNUMBER(SEARCH("mosquito",E423))),"Flying Insect Control",
OR(ISNUMBER(SEARCH("roach",E423)),ISNUMBER(SEARCH("ant",E423)),ISNUMBER(SEARCH("spider",E423)),ISNUMBER(SEARCH("cricket",E423)),ISNUMBER(SEARCH("scorpion",E423)),ISNUMBER(SEARCH("centipede",E423)),ISNUMBER(SEARCH("beetle",E423))),"Crawling Insect Control",
OR(ISNUMBER(SEARCH("tree",E423)),ISNUMBER(SEARCH("lantern",E423)),ISNUMBER(SEARCH("garden",E423)),ISNUMBER(SEARCH("plant",E423))),"Garden Pest Control",
OR(ISNUMBER(SEARCH("grass seed",E423)),ISNUMBER(SEARCH("seed mix",E423))),"Grass Seed",
OR(ISNUMBER(SEARCH("lawn food",E423)),ISNUMBER(SEARCH("fertilizer",E423))),"Lawn Fertilizer",
OR(ISNUMBER(SEARCH("patch",E423)),ISNUMBER(SEARCH("repair",E423)),ISNUMBER(SEARCH("thick'r",E423)),ISNUMBER(SEARCH("thick'r lawn",E423)),ISNUMBER(SEARCH("rapid grass",E423))),"Lawn Repair",
OR(ISNUMBER(SEARCH("weed",E423)),ISNUMBER(SEARCH("crabgrass",E423))),"Weed Control",
OR(ISNUMBER(SEARCH("fungicide",E423)),ISNUMBER(SEARCH("moss",E423))),"Disease &amp; Moss Control",
OR(ISNUMBER(SEARCH("plant food",E423)),ISNUMBER(SEARCH("miracid",E423))),"Plant Nutrition",
OR(ISNUMBER(SEARCH("perlite",E423))),"Soil Amendment",
OR(ISNUMBER(SEARCH("spreader",E423)),ISNUMBER(SEARCH("sprayer",E423)),ISNUMBER(SEARCH("mower",E423)),ISNUMBER(SEARCH("sweeper",E423)),ISNUMBER(SEARCH("pruner",E423)),ISNUMBER(SEARCH("trimmer",E423)),ISNUMBER(SEARCH("pole saw",E423))),"Garden Equipment",
TRUE,"Other"
)</f>
        <v>Other</v>
      </c>
      <c r="I423" s="7" t="str" cm="1">
        <f t="array" ref="I423">_xlfn.IFS(
OR(ISNUMBER(SEARCH("glue trap",E423)),ISNUMBER(SEARCH("glue board",E423))),"Glue Traps",
OR(ISNUMBER(SEARCH("snap trap",E423)),ISNUMBER(SEARCH("power-kill",E423)),ISNUMBER(SEARCH("wide pedal",E423)),ISNUMBER(SEARCH("metal pedal",E423))),"Snap Traps",
OR(ISNUMBER(SEARCH("electronic",E423)),ISNUMBER(SEARCH("zapper",E423))),"Electronic Traps",
OR(ISNUMBER(SEARCH("live catch",E423)),ISNUMBER(SEARCH("multi-catch",E423)),ISNUMBER(SEARCH("catch &amp; hold",E423)),ISNUMBER(SEARCH("tin cat",E423))),"Live Catch Traps",
OR(ISNUMBER(SEARCH("bait",E423)),ISNUMBER(SEARCH("poison",E423))),"Bait &amp; Poison",
ISNUMBER(SEARCH("repellent",E423)),"Repellents",
OR(ISNUMBER(SEARCH("fly trap",E423)),ISNUMBER(SEARCH("fly ribbon",E423)),ISNUMBER(SEARCH("fly stick",E423)),ISNUMBER(SEARCH("window fly",E423)),ISNUMBER(SEARCH("fly magnet",E423))),"Fly Traps",
OR(ISNUMBER(SEARCH("uv",E423)),ISNUMBER(SEARCH("fly light",E423)),ISNUMBER(SEARCH("plug-in",E423))),"UV Fly Traps",
ISNUMBER(SEARCH("roach",E423)),"Roach Traps",
ISNUMBER(SEARCH("ant",E423)),"Ant Traps",
ISNUMBER(SEARCH("spider",E423)),"Spider Traps",
ISNUMBER(SEARCH("mosquito",E423)),"Mosquito Traps",
ISNUMBER(SEARCH("beetle",E423)),"Beetle Traps",
ISNUMBER(SEARCH("lantern",E423)),"Lanternfly Control",
OR(ISNUMBER(SEARCH("tree shield",E423)),ISNUMBER(SEARCH("tree banding",E423)),ISNUMBER(SEARCH("insect barrier",E423))),"Tree Barriers",
OR(ISNUMBER(SEARCH("sun &amp; shade",E423)),ISNUMBER(SEARCH("sun and shade",E423))),"Sun &amp; Shade Mix",
ISNUMBER(SEARCH("tall fescue",E423)),"Tall Fescue",
ISNUMBER(SEARCH("bermudagrass",E423)),"Bermudagrass",
ISNUMBER(SEARCH("kentucky",E423)),"Kentucky Bluegrass",
ISNUMBER(SEARCH("zoysia",E423)),"Zoysia",
ISNUMBER(SEARCH("ryegrass",E423)),"Perennial Ryegrass",
ISNUMBER(SEARCH("centipede",E423)),"Centipede Grass",
ISNUMBER(SEARCH("dense shade",E423)),"Dense Shade Mix",
ISNUMBER(SEARCH("southern gold",E423)),"Southern Gold Mix",
ISNUMBER(SEARCH("heat-tolerant blue",E423)),"Heat-Tolerant Blue Mix",
ISNUMBER(SEARCH("high traffic",E423)),"High Traffic Mix",
ISNUMBER(SEARCH("quick fix",E423)),"Quick Fix Mix",
ISNUMBER(SEARCH("starter",E423)),"Starter Fertilizer",
ISNUMBER(SEARCH("weed &amp; feed",E423)),"Weed &amp; Feed",
ISNUMBER(SEARCH("lawn food",E423)),"Lawn Food",
ISNUMBER(SEARCH("triple action",E423)),"Triple Action Fertilizer",
ISNUMBER(SEARCH("green max",E423)),"Green Max Lawn Food",
ISNUMBER(SEARCH("patchmaster",E423)),"PatchMaster Repair",
ISNUMBER(SEARCH("ez seed",E423)),"EZ Seed Repair",
ISNUMBER(SEARCH("rapid grass",E423)),"Rapid Grass",
ISNUMBER(SEARCH("thick'r lawn",E423)),"Thick'R Lawn",
ISNUMBER(SEARCH("fungicide",E423)),"Fungicide",
ISNUMBER(SEARCH("moss",E423)),"Moss Control",
ISNUMBER(SEARCH("perlite",E423)),"Perlite",
ISNUMBER(SEARCH("plant food",E423)),"Plant Food",
ISNUMBER(SEARCH("spreader",E423)),"Spreader",
ISNUMBER(SEARCH("sprayer",E423)),"Sprayer",
ISNUMBER(SEARCH("mower",E423)),"Lawn Mower",
ISNUMBER(SEARCH("sweeper",E423)),"Lawn Sweeper",
OR(ISNUMBER(SEARCH("pruner",E423)),ISNUMBER(SEARCH("trimmer",E423)),ISNUMBER(SEARCH("pole saw",E423))),"Pruning Tools",
TRUE,"Other"
)</f>
        <v>Glue Traps</v>
      </c>
      <c r="J423" s="7" t="str">
        <f t="shared" si="108"/>
        <v>Other - Glue Traps</v>
      </c>
      <c r="K423" s="4">
        <v>400</v>
      </c>
      <c r="L423" s="4">
        <v>4.5999999999999996</v>
      </c>
      <c r="M423" s="4">
        <v>535</v>
      </c>
      <c r="N423" s="4" t="s">
        <v>579</v>
      </c>
      <c r="O423" s="4">
        <f>VLOOKUP(A423,'[6]Monthly Sold'!$A:$B,2,0)</f>
        <v>100</v>
      </c>
      <c r="P423" s="4">
        <f>VLOOKUP(A423,'[6]Monthly Sold'!$A:$M,3,0)</f>
        <v>100</v>
      </c>
      <c r="Q423" s="4">
        <f>VLOOKUP(A423,'[6]Monthly Sold'!$A:$M,4,0)</f>
        <v>100</v>
      </c>
      <c r="R423" s="4">
        <f>VLOOKUP(A423,'[6]Monthly Sold'!$A:$M,5,0)</f>
        <v>200</v>
      </c>
      <c r="S423" s="4">
        <f>VLOOKUP(A423,'[6]Monthly Sold'!$A:$M,6,0)</f>
        <v>300</v>
      </c>
      <c r="T423" s="4">
        <f>VLOOKUP(A423,'[6]Monthly Sold'!$A:$M,7,0)</f>
        <v>300</v>
      </c>
      <c r="U423" s="4">
        <f>VLOOKUP(A423,'[6]Monthly Sold'!$A:$M,8,0)</f>
        <v>300</v>
      </c>
      <c r="V423" s="4">
        <f>VLOOKUP(A423,'[6]Monthly Sold'!$A:$M,9,0)</f>
        <v>50</v>
      </c>
      <c r="W423" s="4">
        <f>VLOOKUP(A423,'[6]Monthly Sold'!$A:$M,10,0)</f>
        <v>400</v>
      </c>
      <c r="X423" s="4">
        <f>VLOOKUP(A423,'[6]Monthly Sold'!$A:$M,11,0)</f>
        <v>300</v>
      </c>
      <c r="Y423" s="4">
        <f>VLOOKUP(A423,'[6]Monthly Sold'!$A:$M,12,0)</f>
        <v>200</v>
      </c>
      <c r="Z423" s="4">
        <f>VLOOKUP(A423,'[6]Monthly Sold'!$A:$M,13,0)</f>
        <v>100</v>
      </c>
      <c r="AA423" s="4">
        <f t="shared" si="102"/>
        <v>2450</v>
      </c>
      <c r="AB423" s="7">
        <f t="shared" si="109"/>
        <v>204</v>
      </c>
      <c r="AC423" s="15">
        <f t="shared" si="103"/>
        <v>204.16666666666666</v>
      </c>
      <c r="AD423" s="16">
        <f t="shared" si="104"/>
        <v>17101</v>
      </c>
      <c r="AE423" s="16">
        <f t="shared" si="105"/>
        <v>1425.0833333333333</v>
      </c>
      <c r="AF423" s="21">
        <v>2.58</v>
      </c>
      <c r="AG423" s="21">
        <v>6.98</v>
      </c>
      <c r="AH423" s="15">
        <f t="shared" si="106"/>
        <v>-5.2533333333333369E-2</v>
      </c>
      <c r="AI423" s="15">
        <f t="shared" si="107"/>
        <v>-0.18386666666666676</v>
      </c>
      <c r="AJ423" s="10">
        <v>0.5</v>
      </c>
      <c r="AK423" s="10">
        <v>0.5</v>
      </c>
      <c r="AL423" s="21">
        <v>2.58</v>
      </c>
      <c r="AM423" s="9">
        <f t="shared" si="110"/>
        <v>1.0469999999999999</v>
      </c>
      <c r="AN423" s="9">
        <f t="shared" si="111"/>
        <v>0.2094</v>
      </c>
      <c r="AO423" s="9">
        <f t="shared" si="112"/>
        <v>1.3960000000000001</v>
      </c>
      <c r="AP423" s="9">
        <f t="shared" si="113"/>
        <v>0.1396</v>
      </c>
      <c r="AQ423" s="9">
        <f t="shared" si="114"/>
        <v>1.3960000000000001</v>
      </c>
      <c r="AR423" s="9">
        <f t="shared" si="115"/>
        <v>1.7450000000000001</v>
      </c>
      <c r="AS423" s="11">
        <f t="shared" si="116"/>
        <v>-0.52533333333333365</v>
      </c>
      <c r="AT423" s="12">
        <f t="shared" si="117"/>
        <v>-0.75800000000000034</v>
      </c>
    </row>
    <row r="424" spans="1:46" ht="16.5" x14ac:dyDescent="0.4">
      <c r="A424" s="4" t="s">
        <v>1838</v>
      </c>
      <c r="B424" s="4" t="s">
        <v>1895</v>
      </c>
      <c r="C424" s="4" t="s">
        <v>1784</v>
      </c>
      <c r="D424" s="4" t="s">
        <v>2004</v>
      </c>
      <c r="E424" s="4" t="s">
        <v>2005</v>
      </c>
      <c r="F424" s="4" t="s">
        <v>2006</v>
      </c>
      <c r="G424" s="7" t="str">
        <f>VLOOKUP(A424,[1]done!$A:$I,9,0)</f>
        <v>Rodent</v>
      </c>
      <c r="H424" s="7" t="str" cm="1">
        <f t="array" ref="H424">_xlfn.IFS(
OR(ISNUMBER(SEARCH("mouse",E424)),ISNUMBER(SEARCH("rat",E424)),ISNUMBER(SEARCH("mice",E424)),ISNUMBER(SEARCH("rodent",E424))),"Rodent Control",
OR(ISNUMBER(SEARCH("fly",E424)),ISNUMBER(SEARCH("gnat",E424)),ISNUMBER(SEARCH("insect",E424)),ISNUMBER(SEARCH("mosquito",E424))),"Flying Insect Control",
OR(ISNUMBER(SEARCH("roach",E424)),ISNUMBER(SEARCH("ant",E424)),ISNUMBER(SEARCH("spider",E424)),ISNUMBER(SEARCH("cricket",E424)),ISNUMBER(SEARCH("scorpion",E424)),ISNUMBER(SEARCH("centipede",E424)),ISNUMBER(SEARCH("beetle",E424))),"Crawling Insect Control",
OR(ISNUMBER(SEARCH("tree",E424)),ISNUMBER(SEARCH("lantern",E424)),ISNUMBER(SEARCH("garden",E424)),ISNUMBER(SEARCH("plant",E424))),"Garden Pest Control",
OR(ISNUMBER(SEARCH("grass seed",E424)),ISNUMBER(SEARCH("seed mix",E424))),"Grass Seed",
OR(ISNUMBER(SEARCH("lawn food",E424)),ISNUMBER(SEARCH("fertilizer",E424))),"Lawn Fertilizer",
OR(ISNUMBER(SEARCH("patch",E424)),ISNUMBER(SEARCH("repair",E424)),ISNUMBER(SEARCH("thick'r",E424)),ISNUMBER(SEARCH("thick'r lawn",E424)),ISNUMBER(SEARCH("rapid grass",E424))),"Lawn Repair",
OR(ISNUMBER(SEARCH("weed",E424)),ISNUMBER(SEARCH("crabgrass",E424))),"Weed Control",
OR(ISNUMBER(SEARCH("fungicide",E424)),ISNUMBER(SEARCH("moss",E424))),"Disease &amp; Moss Control",
OR(ISNUMBER(SEARCH("plant food",E424)),ISNUMBER(SEARCH("miracid",E424))),"Plant Nutrition",
OR(ISNUMBER(SEARCH("perlite",E424))),"Soil Amendment",
OR(ISNUMBER(SEARCH("spreader",E424)),ISNUMBER(SEARCH("sprayer",E424)),ISNUMBER(SEARCH("mower",E424)),ISNUMBER(SEARCH("sweeper",E424)),ISNUMBER(SEARCH("pruner",E424)),ISNUMBER(SEARCH("trimmer",E424)),ISNUMBER(SEARCH("pole saw",E424))),"Garden Equipment",
TRUE,"Other"
)</f>
        <v>Rodent Control</v>
      </c>
      <c r="I424" s="7" t="str" cm="1">
        <f t="array" ref="I424">_xlfn.IFS(
OR(ISNUMBER(SEARCH("glue trap",E424)),ISNUMBER(SEARCH("glue board",E424))),"Glue Traps",
OR(ISNUMBER(SEARCH("snap trap",E424)),ISNUMBER(SEARCH("power-kill",E424)),ISNUMBER(SEARCH("wide pedal",E424)),ISNUMBER(SEARCH("metal pedal",E424))),"Snap Traps",
OR(ISNUMBER(SEARCH("electronic",E424)),ISNUMBER(SEARCH("zapper",E424))),"Electronic Traps",
OR(ISNUMBER(SEARCH("live catch",E424)),ISNUMBER(SEARCH("multi-catch",E424)),ISNUMBER(SEARCH("catch &amp; hold",E424)),ISNUMBER(SEARCH("tin cat",E424))),"Live Catch Traps",
OR(ISNUMBER(SEARCH("bait",E424)),ISNUMBER(SEARCH("poison",E424))),"Bait &amp; Poison",
ISNUMBER(SEARCH("repellent",E424)),"Repellents",
OR(ISNUMBER(SEARCH("fly trap",E424)),ISNUMBER(SEARCH("fly ribbon",E424)),ISNUMBER(SEARCH("fly stick",E424)),ISNUMBER(SEARCH("window fly",E424)),ISNUMBER(SEARCH("fly magnet",E424))),"Fly Traps",
OR(ISNUMBER(SEARCH("uv",E424)),ISNUMBER(SEARCH("fly light",E424)),ISNUMBER(SEARCH("plug-in",E424))),"UV Fly Traps",
ISNUMBER(SEARCH("roach",E424)),"Roach Traps",
ISNUMBER(SEARCH("ant",E424)),"Ant Traps",
ISNUMBER(SEARCH("spider",E424)),"Spider Traps",
ISNUMBER(SEARCH("mosquito",E424)),"Mosquito Traps",
ISNUMBER(SEARCH("beetle",E424)),"Beetle Traps",
ISNUMBER(SEARCH("lantern",E424)),"Lanternfly Control",
OR(ISNUMBER(SEARCH("tree shield",E424)),ISNUMBER(SEARCH("tree banding",E424)),ISNUMBER(SEARCH("insect barrier",E424))),"Tree Barriers",
OR(ISNUMBER(SEARCH("sun &amp; shade",E424)),ISNUMBER(SEARCH("sun and shade",E424))),"Sun &amp; Shade Mix",
ISNUMBER(SEARCH("tall fescue",E424)),"Tall Fescue",
ISNUMBER(SEARCH("bermudagrass",E424)),"Bermudagrass",
ISNUMBER(SEARCH("kentucky",E424)),"Kentucky Bluegrass",
ISNUMBER(SEARCH("zoysia",E424)),"Zoysia",
ISNUMBER(SEARCH("ryegrass",E424)),"Perennial Ryegrass",
ISNUMBER(SEARCH("centipede",E424)),"Centipede Grass",
ISNUMBER(SEARCH("dense shade",E424)),"Dense Shade Mix",
ISNUMBER(SEARCH("southern gold",E424)),"Southern Gold Mix",
ISNUMBER(SEARCH("heat-tolerant blue",E424)),"Heat-Tolerant Blue Mix",
ISNUMBER(SEARCH("high traffic",E424)),"High Traffic Mix",
ISNUMBER(SEARCH("quick fix",E424)),"Quick Fix Mix",
ISNUMBER(SEARCH("starter",E424)),"Starter Fertilizer",
ISNUMBER(SEARCH("weed &amp; feed",E424)),"Weed &amp; Feed",
ISNUMBER(SEARCH("lawn food",E424)),"Lawn Food",
ISNUMBER(SEARCH("triple action",E424)),"Triple Action Fertilizer",
ISNUMBER(SEARCH("green max",E424)),"Green Max Lawn Food",
ISNUMBER(SEARCH("patchmaster",E424)),"PatchMaster Repair",
ISNUMBER(SEARCH("ez seed",E424)),"EZ Seed Repair",
ISNUMBER(SEARCH("rapid grass",E424)),"Rapid Grass",
ISNUMBER(SEARCH("thick'r lawn",E424)),"Thick'R Lawn",
ISNUMBER(SEARCH("fungicide",E424)),"Fungicide",
ISNUMBER(SEARCH("moss",E424)),"Moss Control",
ISNUMBER(SEARCH("perlite",E424)),"Perlite",
ISNUMBER(SEARCH("plant food",E424)),"Plant Food",
ISNUMBER(SEARCH("spreader",E424)),"Spreader",
ISNUMBER(SEARCH("sprayer",E424)),"Sprayer",
ISNUMBER(SEARCH("mower",E424)),"Lawn Mower",
ISNUMBER(SEARCH("sweeper",E424)),"Lawn Sweeper",
OR(ISNUMBER(SEARCH("pruner",E424)),ISNUMBER(SEARCH("trimmer",E424)),ISNUMBER(SEARCH("pole saw",E424))),"Pruning Tools",
TRUE,"Other"
)</f>
        <v>Other</v>
      </c>
      <c r="J424" s="7" t="str">
        <f t="shared" si="108"/>
        <v>Rodent Control - Other</v>
      </c>
      <c r="K424" s="4">
        <v>400</v>
      </c>
      <c r="L424" s="4">
        <v>4.4000000000000004</v>
      </c>
      <c r="M424" s="4">
        <v>1699</v>
      </c>
      <c r="N424" s="4" t="s">
        <v>2007</v>
      </c>
      <c r="O424" s="4">
        <f>VLOOKUP(A424,'[6]Monthly Sold'!$A:$B,2,0)</f>
        <v>700</v>
      </c>
      <c r="P424" s="4">
        <f>VLOOKUP(A424,'[6]Monthly Sold'!$A:$M,3,0)</f>
        <v>400</v>
      </c>
      <c r="Q424" s="4">
        <f>VLOOKUP(A424,'[6]Monthly Sold'!$A:$M,4,0)</f>
        <v>400</v>
      </c>
      <c r="R424" s="4">
        <f>VLOOKUP(A424,'[6]Monthly Sold'!$A:$M,5,0)</f>
        <v>400</v>
      </c>
      <c r="S424" s="4">
        <f>VLOOKUP(A424,'[6]Monthly Sold'!$A:$M,6,0)</f>
        <v>300</v>
      </c>
      <c r="T424" s="4">
        <f>VLOOKUP(A424,'[6]Monthly Sold'!$A:$M,7,0)</f>
        <v>400</v>
      </c>
      <c r="U424" s="4">
        <f>VLOOKUP(A424,'[6]Monthly Sold'!$A:$M,8,0)</f>
        <v>300</v>
      </c>
      <c r="V424" s="4">
        <f>VLOOKUP(A424,'[6]Monthly Sold'!$A:$M,9,0)</f>
        <v>400</v>
      </c>
      <c r="W424" s="4">
        <f>VLOOKUP(A424,'[6]Monthly Sold'!$A:$M,10,0)</f>
        <v>400</v>
      </c>
      <c r="X424" s="4">
        <f>VLOOKUP(A424,'[6]Monthly Sold'!$A:$M,11,0)</f>
        <v>800</v>
      </c>
      <c r="Y424" s="4">
        <f>VLOOKUP(A424,'[6]Monthly Sold'!$A:$M,12,0)</f>
        <v>700</v>
      </c>
      <c r="Z424" s="4">
        <f>VLOOKUP(A424,'[6]Monthly Sold'!$A:$M,13,0)</f>
        <v>2000</v>
      </c>
      <c r="AA424" s="4">
        <f t="shared" si="102"/>
        <v>7200</v>
      </c>
      <c r="AB424" s="7">
        <f t="shared" si="109"/>
        <v>600</v>
      </c>
      <c r="AC424" s="15">
        <f t="shared" si="103"/>
        <v>600</v>
      </c>
      <c r="AD424" s="16">
        <f t="shared" si="104"/>
        <v>313128</v>
      </c>
      <c r="AE424" s="16">
        <f t="shared" si="105"/>
        <v>26094</v>
      </c>
      <c r="AF424" s="21">
        <v>6.9</v>
      </c>
      <c r="AG424" s="21">
        <v>43.49</v>
      </c>
      <c r="AH424" s="15">
        <f t="shared" si="106"/>
        <v>0.63306666666666689</v>
      </c>
      <c r="AI424" s="15">
        <f t="shared" si="107"/>
        <v>2.215733333333334</v>
      </c>
      <c r="AJ424" s="10">
        <v>0.5</v>
      </c>
      <c r="AK424" s="10">
        <v>0.5</v>
      </c>
      <c r="AL424" s="21">
        <v>6.9</v>
      </c>
      <c r="AM424" s="9">
        <f t="shared" si="110"/>
        <v>6.5235000000000003</v>
      </c>
      <c r="AN424" s="9">
        <f t="shared" si="111"/>
        <v>1.3047</v>
      </c>
      <c r="AO424" s="9">
        <f t="shared" si="112"/>
        <v>8.6980000000000004</v>
      </c>
      <c r="AP424" s="9">
        <f t="shared" si="113"/>
        <v>0.86980000000000002</v>
      </c>
      <c r="AQ424" s="9">
        <f t="shared" si="114"/>
        <v>8.6980000000000004</v>
      </c>
      <c r="AR424" s="9">
        <f t="shared" si="115"/>
        <v>10.8725</v>
      </c>
      <c r="AS424" s="11">
        <f t="shared" si="116"/>
        <v>6.3306666666666684</v>
      </c>
      <c r="AT424" s="12">
        <f t="shared" si="117"/>
        <v>4.8810000000000011</v>
      </c>
    </row>
    <row r="425" spans="1:46" ht="16.5" x14ac:dyDescent="0.4">
      <c r="A425" s="4" t="s">
        <v>1839</v>
      </c>
      <c r="B425" s="4" t="s">
        <v>1895</v>
      </c>
      <c r="C425" s="4" t="s">
        <v>1784</v>
      </c>
      <c r="D425" s="4" t="s">
        <v>2008</v>
      </c>
      <c r="E425" s="4" t="s">
        <v>2009</v>
      </c>
      <c r="F425" s="4" t="s">
        <v>2010</v>
      </c>
      <c r="G425" s="7" t="str">
        <f>VLOOKUP(A425,[1]done!$A:$I,9,0)</f>
        <v>Rodent</v>
      </c>
      <c r="H425" s="7" t="str" cm="1">
        <f t="array" ref="H425">_xlfn.IFS(
OR(ISNUMBER(SEARCH("mouse",E425)),ISNUMBER(SEARCH("rat",E425)),ISNUMBER(SEARCH("mice",E425)),ISNUMBER(SEARCH("rodent",E425))),"Rodent Control",
OR(ISNUMBER(SEARCH("fly",E425)),ISNUMBER(SEARCH("gnat",E425)),ISNUMBER(SEARCH("insect",E425)),ISNUMBER(SEARCH("mosquito",E425))),"Flying Insect Control",
OR(ISNUMBER(SEARCH("roach",E425)),ISNUMBER(SEARCH("ant",E425)),ISNUMBER(SEARCH("spider",E425)),ISNUMBER(SEARCH("cricket",E425)),ISNUMBER(SEARCH("scorpion",E425)),ISNUMBER(SEARCH("centipede",E425)),ISNUMBER(SEARCH("beetle",E425))),"Crawling Insect Control",
OR(ISNUMBER(SEARCH("tree",E425)),ISNUMBER(SEARCH("lantern",E425)),ISNUMBER(SEARCH("garden",E425)),ISNUMBER(SEARCH("plant",E425))),"Garden Pest Control",
OR(ISNUMBER(SEARCH("grass seed",E425)),ISNUMBER(SEARCH("seed mix",E425))),"Grass Seed",
OR(ISNUMBER(SEARCH("lawn food",E425)),ISNUMBER(SEARCH("fertilizer",E425))),"Lawn Fertilizer",
OR(ISNUMBER(SEARCH("patch",E425)),ISNUMBER(SEARCH("repair",E425)),ISNUMBER(SEARCH("thick'r",E425)),ISNUMBER(SEARCH("thick'r lawn",E425)),ISNUMBER(SEARCH("rapid grass",E425))),"Lawn Repair",
OR(ISNUMBER(SEARCH("weed",E425)),ISNUMBER(SEARCH("crabgrass",E425))),"Weed Control",
OR(ISNUMBER(SEARCH("fungicide",E425)),ISNUMBER(SEARCH("moss",E425))),"Disease &amp; Moss Control",
OR(ISNUMBER(SEARCH("plant food",E425)),ISNUMBER(SEARCH("miracid",E425))),"Plant Nutrition",
OR(ISNUMBER(SEARCH("perlite",E425))),"Soil Amendment",
OR(ISNUMBER(SEARCH("spreader",E425)),ISNUMBER(SEARCH("sprayer",E425)),ISNUMBER(SEARCH("mower",E425)),ISNUMBER(SEARCH("sweeper",E425)),ISNUMBER(SEARCH("pruner",E425)),ISNUMBER(SEARCH("trimmer",E425)),ISNUMBER(SEARCH("pole saw",E425))),"Garden Equipment",
TRUE,"Other"
)</f>
        <v>Rodent Control</v>
      </c>
      <c r="I425" s="7" t="str" cm="1">
        <f t="array" ref="I425">_xlfn.IFS(
OR(ISNUMBER(SEARCH("glue trap",E425)),ISNUMBER(SEARCH("glue board",E425))),"Glue Traps",
OR(ISNUMBER(SEARCH("snap trap",E425)),ISNUMBER(SEARCH("power-kill",E425)),ISNUMBER(SEARCH("wide pedal",E425)),ISNUMBER(SEARCH("metal pedal",E425))),"Snap Traps",
OR(ISNUMBER(SEARCH("electronic",E425)),ISNUMBER(SEARCH("zapper",E425))),"Electronic Traps",
OR(ISNUMBER(SEARCH("live catch",E425)),ISNUMBER(SEARCH("multi-catch",E425)),ISNUMBER(SEARCH("catch &amp; hold",E425)),ISNUMBER(SEARCH("tin cat",E425))),"Live Catch Traps",
OR(ISNUMBER(SEARCH("bait",E425)),ISNUMBER(SEARCH("poison",E425))),"Bait &amp; Poison",
ISNUMBER(SEARCH("repellent",E425)),"Repellents",
OR(ISNUMBER(SEARCH("fly trap",E425)),ISNUMBER(SEARCH("fly ribbon",E425)),ISNUMBER(SEARCH("fly stick",E425)),ISNUMBER(SEARCH("window fly",E425)),ISNUMBER(SEARCH("fly magnet",E425))),"Fly Traps",
OR(ISNUMBER(SEARCH("uv",E425)),ISNUMBER(SEARCH("fly light",E425)),ISNUMBER(SEARCH("plug-in",E425))),"UV Fly Traps",
ISNUMBER(SEARCH("roach",E425)),"Roach Traps",
ISNUMBER(SEARCH("ant",E425)),"Ant Traps",
ISNUMBER(SEARCH("spider",E425)),"Spider Traps",
ISNUMBER(SEARCH("mosquito",E425)),"Mosquito Traps",
ISNUMBER(SEARCH("beetle",E425)),"Beetle Traps",
ISNUMBER(SEARCH("lantern",E425)),"Lanternfly Control",
OR(ISNUMBER(SEARCH("tree shield",E425)),ISNUMBER(SEARCH("tree banding",E425)),ISNUMBER(SEARCH("insect barrier",E425))),"Tree Barriers",
OR(ISNUMBER(SEARCH("sun &amp; shade",E425)),ISNUMBER(SEARCH("sun and shade",E425))),"Sun &amp; Shade Mix",
ISNUMBER(SEARCH("tall fescue",E425)),"Tall Fescue",
ISNUMBER(SEARCH("bermudagrass",E425)),"Bermudagrass",
ISNUMBER(SEARCH("kentucky",E425)),"Kentucky Bluegrass",
ISNUMBER(SEARCH("zoysia",E425)),"Zoysia",
ISNUMBER(SEARCH("ryegrass",E425)),"Perennial Ryegrass",
ISNUMBER(SEARCH("centipede",E425)),"Centipede Grass",
ISNUMBER(SEARCH("dense shade",E425)),"Dense Shade Mix",
ISNUMBER(SEARCH("southern gold",E425)),"Southern Gold Mix",
ISNUMBER(SEARCH("heat-tolerant blue",E425)),"Heat-Tolerant Blue Mix",
ISNUMBER(SEARCH("high traffic",E425)),"High Traffic Mix",
ISNUMBER(SEARCH("quick fix",E425)),"Quick Fix Mix",
ISNUMBER(SEARCH("starter",E425)),"Starter Fertilizer",
ISNUMBER(SEARCH("weed &amp; feed",E425)),"Weed &amp; Feed",
ISNUMBER(SEARCH("lawn food",E425)),"Lawn Food",
ISNUMBER(SEARCH("triple action",E425)),"Triple Action Fertilizer",
ISNUMBER(SEARCH("green max",E425)),"Green Max Lawn Food",
ISNUMBER(SEARCH("patchmaster",E425)),"PatchMaster Repair",
ISNUMBER(SEARCH("ez seed",E425)),"EZ Seed Repair",
ISNUMBER(SEARCH("rapid grass",E425)),"Rapid Grass",
ISNUMBER(SEARCH("thick'r lawn",E425)),"Thick'R Lawn",
ISNUMBER(SEARCH("fungicide",E425)),"Fungicide",
ISNUMBER(SEARCH("moss",E425)),"Moss Control",
ISNUMBER(SEARCH("perlite",E425)),"Perlite",
ISNUMBER(SEARCH("plant food",E425)),"Plant Food",
ISNUMBER(SEARCH("spreader",E425)),"Spreader",
ISNUMBER(SEARCH("sprayer",E425)),"Sprayer",
ISNUMBER(SEARCH("mower",E425)),"Lawn Mower",
ISNUMBER(SEARCH("sweeper",E425)),"Lawn Sweeper",
OR(ISNUMBER(SEARCH("pruner",E425)),ISNUMBER(SEARCH("trimmer",E425)),ISNUMBER(SEARCH("pole saw",E425))),"Pruning Tools",
TRUE,"Other"
)</f>
        <v>Bait &amp; Poison</v>
      </c>
      <c r="J425" s="7" t="str">
        <f t="shared" si="108"/>
        <v>Rodent Control - Bait &amp; Poison</v>
      </c>
      <c r="K425" s="4">
        <v>400</v>
      </c>
      <c r="L425" s="4">
        <v>4.4000000000000004</v>
      </c>
      <c r="M425" s="4">
        <v>434</v>
      </c>
      <c r="N425" s="4" t="s">
        <v>1971</v>
      </c>
      <c r="O425" s="4">
        <f>VLOOKUP(A425,'[6]Monthly Sold'!$A:$B,2,0)</f>
        <v>100</v>
      </c>
      <c r="P425" s="4">
        <f>VLOOKUP(A425,'[6]Monthly Sold'!$A:$M,3,0)</f>
        <v>100</v>
      </c>
      <c r="Q425" s="4">
        <f>VLOOKUP(A425,'[6]Monthly Sold'!$A:$M,4,0)</f>
        <v>100</v>
      </c>
      <c r="R425" s="4">
        <f>VLOOKUP(A425,'[6]Monthly Sold'!$A:$M,5,0)</f>
        <v>100</v>
      </c>
      <c r="S425" s="4">
        <f>VLOOKUP(A425,'[6]Monthly Sold'!$A:$M,6,0)</f>
        <v>100</v>
      </c>
      <c r="T425" s="4">
        <f>VLOOKUP(A425,'[6]Monthly Sold'!$A:$M,7,0)</f>
        <v>200</v>
      </c>
      <c r="U425" s="4">
        <f>VLOOKUP(A425,'[6]Monthly Sold'!$A:$M,8,0)</f>
        <v>100</v>
      </c>
      <c r="V425" s="4">
        <f>VLOOKUP(A425,'[6]Monthly Sold'!$A:$M,9,0)</f>
        <v>200</v>
      </c>
      <c r="W425" s="4">
        <f>VLOOKUP(A425,'[6]Monthly Sold'!$A:$M,10,0)</f>
        <v>200</v>
      </c>
      <c r="X425" s="4">
        <f>VLOOKUP(A425,'[6]Monthly Sold'!$A:$M,11,0)</f>
        <v>500</v>
      </c>
      <c r="Y425" s="4">
        <f>VLOOKUP(A425,'[6]Monthly Sold'!$A:$M,12,0)</f>
        <v>500</v>
      </c>
      <c r="Z425" s="4">
        <f>VLOOKUP(A425,'[6]Monthly Sold'!$A:$M,13,0)</f>
        <v>300</v>
      </c>
      <c r="AA425" s="4">
        <f t="shared" si="102"/>
        <v>2500</v>
      </c>
      <c r="AB425" s="7">
        <f t="shared" si="109"/>
        <v>208</v>
      </c>
      <c r="AC425" s="15">
        <f t="shared" si="103"/>
        <v>208.33333333333334</v>
      </c>
      <c r="AD425" s="16">
        <f t="shared" si="104"/>
        <v>18600</v>
      </c>
      <c r="AE425" s="16">
        <f t="shared" si="105"/>
        <v>1550.0000000000002</v>
      </c>
      <c r="AF425" s="21">
        <v>3.5</v>
      </c>
      <c r="AG425" s="21">
        <v>7.44</v>
      </c>
      <c r="AH425" s="15">
        <f t="shared" si="106"/>
        <v>-0.10159999999999998</v>
      </c>
      <c r="AI425" s="15">
        <f t="shared" si="107"/>
        <v>-0.35559999999999992</v>
      </c>
      <c r="AJ425" s="10">
        <v>0.5</v>
      </c>
      <c r="AK425" s="10">
        <v>0.5</v>
      </c>
      <c r="AL425" s="21">
        <v>3.5</v>
      </c>
      <c r="AM425" s="9">
        <f t="shared" si="110"/>
        <v>1.1160000000000001</v>
      </c>
      <c r="AN425" s="9">
        <f t="shared" si="111"/>
        <v>0.22320000000000001</v>
      </c>
      <c r="AO425" s="9">
        <f t="shared" si="112"/>
        <v>1.4880000000000002</v>
      </c>
      <c r="AP425" s="9">
        <f t="shared" si="113"/>
        <v>0.14880000000000002</v>
      </c>
      <c r="AQ425" s="9">
        <f t="shared" si="114"/>
        <v>1.4880000000000002</v>
      </c>
      <c r="AR425" s="9">
        <f t="shared" si="115"/>
        <v>1.86</v>
      </c>
      <c r="AS425" s="11">
        <f t="shared" si="116"/>
        <v>-1.0159999999999998</v>
      </c>
      <c r="AT425" s="12">
        <f t="shared" si="117"/>
        <v>-1.2639999999999998</v>
      </c>
    </row>
    <row r="426" spans="1:46" ht="16.5" x14ac:dyDescent="0.4">
      <c r="A426" s="4" t="s">
        <v>1840</v>
      </c>
      <c r="B426" s="4" t="s">
        <v>1895</v>
      </c>
      <c r="C426" s="4" t="s">
        <v>1789</v>
      </c>
      <c r="D426" s="4" t="s">
        <v>2011</v>
      </c>
      <c r="E426" s="4" t="s">
        <v>2012</v>
      </c>
      <c r="F426" s="4" t="s">
        <v>2013</v>
      </c>
      <c r="G426" s="7" t="str">
        <f>VLOOKUP(A426,[1]done!$A:$I,9,0)</f>
        <v>Rodent</v>
      </c>
      <c r="H426" s="7" t="str" cm="1">
        <f t="array" ref="H426">_xlfn.IFS(
OR(ISNUMBER(SEARCH("mouse",E426)),ISNUMBER(SEARCH("rat",E426)),ISNUMBER(SEARCH("mice",E426)),ISNUMBER(SEARCH("rodent",E426))),"Rodent Control",
OR(ISNUMBER(SEARCH("fly",E426)),ISNUMBER(SEARCH("gnat",E426)),ISNUMBER(SEARCH("insect",E426)),ISNUMBER(SEARCH("mosquito",E426))),"Flying Insect Control",
OR(ISNUMBER(SEARCH("roach",E426)),ISNUMBER(SEARCH("ant",E426)),ISNUMBER(SEARCH("spider",E426)),ISNUMBER(SEARCH("cricket",E426)),ISNUMBER(SEARCH("scorpion",E426)),ISNUMBER(SEARCH("centipede",E426)),ISNUMBER(SEARCH("beetle",E426))),"Crawling Insect Control",
OR(ISNUMBER(SEARCH("tree",E426)),ISNUMBER(SEARCH("lantern",E426)),ISNUMBER(SEARCH("garden",E426)),ISNUMBER(SEARCH("plant",E426))),"Garden Pest Control",
OR(ISNUMBER(SEARCH("grass seed",E426)),ISNUMBER(SEARCH("seed mix",E426))),"Grass Seed",
OR(ISNUMBER(SEARCH("lawn food",E426)),ISNUMBER(SEARCH("fertilizer",E426))),"Lawn Fertilizer",
OR(ISNUMBER(SEARCH("patch",E426)),ISNUMBER(SEARCH("repair",E426)),ISNUMBER(SEARCH("thick'r",E426)),ISNUMBER(SEARCH("thick'r lawn",E426)),ISNUMBER(SEARCH("rapid grass",E426))),"Lawn Repair",
OR(ISNUMBER(SEARCH("weed",E426)),ISNUMBER(SEARCH("crabgrass",E426))),"Weed Control",
OR(ISNUMBER(SEARCH("fungicide",E426)),ISNUMBER(SEARCH("moss",E426))),"Disease &amp; Moss Control",
OR(ISNUMBER(SEARCH("plant food",E426)),ISNUMBER(SEARCH("miracid",E426))),"Plant Nutrition",
OR(ISNUMBER(SEARCH("perlite",E426))),"Soil Amendment",
OR(ISNUMBER(SEARCH("spreader",E426)),ISNUMBER(SEARCH("sprayer",E426)),ISNUMBER(SEARCH("mower",E426)),ISNUMBER(SEARCH("sweeper",E426)),ISNUMBER(SEARCH("pruner",E426)),ISNUMBER(SEARCH("trimmer",E426)),ISNUMBER(SEARCH("pole saw",E426))),"Garden Equipment",
TRUE,"Other"
)</f>
        <v>Rodent Control</v>
      </c>
      <c r="I426" s="7" t="str" cm="1">
        <f t="array" ref="I426">_xlfn.IFS(
OR(ISNUMBER(SEARCH("glue trap",E426)),ISNUMBER(SEARCH("glue board",E426))),"Glue Traps",
OR(ISNUMBER(SEARCH("snap trap",E426)),ISNUMBER(SEARCH("power-kill",E426)),ISNUMBER(SEARCH("wide pedal",E426)),ISNUMBER(SEARCH("metal pedal",E426))),"Snap Traps",
OR(ISNUMBER(SEARCH("electronic",E426)),ISNUMBER(SEARCH("zapper",E426))),"Electronic Traps",
OR(ISNUMBER(SEARCH("live catch",E426)),ISNUMBER(SEARCH("multi-catch",E426)),ISNUMBER(SEARCH("catch &amp; hold",E426)),ISNUMBER(SEARCH("tin cat",E426))),"Live Catch Traps",
OR(ISNUMBER(SEARCH("bait",E426)),ISNUMBER(SEARCH("poison",E426))),"Bait &amp; Poison",
ISNUMBER(SEARCH("repellent",E426)),"Repellents",
OR(ISNUMBER(SEARCH("fly trap",E426)),ISNUMBER(SEARCH("fly ribbon",E426)),ISNUMBER(SEARCH("fly stick",E426)),ISNUMBER(SEARCH("window fly",E426)),ISNUMBER(SEARCH("fly magnet",E426))),"Fly Traps",
OR(ISNUMBER(SEARCH("uv",E426)),ISNUMBER(SEARCH("fly light",E426)),ISNUMBER(SEARCH("plug-in",E426))),"UV Fly Traps",
ISNUMBER(SEARCH("roach",E426)),"Roach Traps",
ISNUMBER(SEARCH("ant",E426)),"Ant Traps",
ISNUMBER(SEARCH("spider",E426)),"Spider Traps",
ISNUMBER(SEARCH("mosquito",E426)),"Mosquito Traps",
ISNUMBER(SEARCH("beetle",E426)),"Beetle Traps",
ISNUMBER(SEARCH("lantern",E426)),"Lanternfly Control",
OR(ISNUMBER(SEARCH("tree shield",E426)),ISNUMBER(SEARCH("tree banding",E426)),ISNUMBER(SEARCH("insect barrier",E426))),"Tree Barriers",
OR(ISNUMBER(SEARCH("sun &amp; shade",E426)),ISNUMBER(SEARCH("sun and shade",E426))),"Sun &amp; Shade Mix",
ISNUMBER(SEARCH("tall fescue",E426)),"Tall Fescue",
ISNUMBER(SEARCH("bermudagrass",E426)),"Bermudagrass",
ISNUMBER(SEARCH("kentucky",E426)),"Kentucky Bluegrass",
ISNUMBER(SEARCH("zoysia",E426)),"Zoysia",
ISNUMBER(SEARCH("ryegrass",E426)),"Perennial Ryegrass",
ISNUMBER(SEARCH("centipede",E426)),"Centipede Grass",
ISNUMBER(SEARCH("dense shade",E426)),"Dense Shade Mix",
ISNUMBER(SEARCH("southern gold",E426)),"Southern Gold Mix",
ISNUMBER(SEARCH("heat-tolerant blue",E426)),"Heat-Tolerant Blue Mix",
ISNUMBER(SEARCH("high traffic",E426)),"High Traffic Mix",
ISNUMBER(SEARCH("quick fix",E426)),"Quick Fix Mix",
ISNUMBER(SEARCH("starter",E426)),"Starter Fertilizer",
ISNUMBER(SEARCH("weed &amp; feed",E426)),"Weed &amp; Feed",
ISNUMBER(SEARCH("lawn food",E426)),"Lawn Food",
ISNUMBER(SEARCH("triple action",E426)),"Triple Action Fertilizer",
ISNUMBER(SEARCH("green max",E426)),"Green Max Lawn Food",
ISNUMBER(SEARCH("patchmaster",E426)),"PatchMaster Repair",
ISNUMBER(SEARCH("ez seed",E426)),"EZ Seed Repair",
ISNUMBER(SEARCH("rapid grass",E426)),"Rapid Grass",
ISNUMBER(SEARCH("thick'r lawn",E426)),"Thick'R Lawn",
ISNUMBER(SEARCH("fungicide",E426)),"Fungicide",
ISNUMBER(SEARCH("moss",E426)),"Moss Control",
ISNUMBER(SEARCH("perlite",E426)),"Perlite",
ISNUMBER(SEARCH("plant food",E426)),"Plant Food",
ISNUMBER(SEARCH("spreader",E426)),"Spreader",
ISNUMBER(SEARCH("sprayer",E426)),"Sprayer",
ISNUMBER(SEARCH("mower",E426)),"Lawn Mower",
ISNUMBER(SEARCH("sweeper",E426)),"Lawn Sweeper",
OR(ISNUMBER(SEARCH("pruner",E426)),ISNUMBER(SEARCH("trimmer",E426)),ISNUMBER(SEARCH("pole saw",E426))),"Pruning Tools",
TRUE,"Other"
)</f>
        <v>Other</v>
      </c>
      <c r="J426" s="7" t="str">
        <f t="shared" si="108"/>
        <v>Rodent Control - Other</v>
      </c>
      <c r="K426" s="4">
        <v>400</v>
      </c>
      <c r="L426" s="4">
        <v>4.4000000000000004</v>
      </c>
      <c r="M426" s="4">
        <v>1169</v>
      </c>
      <c r="N426" s="4" t="s">
        <v>2014</v>
      </c>
      <c r="O426" s="4">
        <f>VLOOKUP(A426,'[6]Monthly Sold'!$A:$B,2,0)</f>
        <v>250</v>
      </c>
      <c r="P426" s="4">
        <f>VLOOKUP(A426,'[6]Monthly Sold'!$A:$M,3,0)</f>
        <v>250</v>
      </c>
      <c r="Q426" s="4">
        <f>VLOOKUP(A426,'[6]Monthly Sold'!$A:$M,4,0)</f>
        <v>250</v>
      </c>
      <c r="R426" s="4">
        <f>VLOOKUP(A426,'[6]Monthly Sold'!$A:$M,5,0)</f>
        <v>250</v>
      </c>
      <c r="S426" s="4">
        <f>VLOOKUP(A426,'[6]Monthly Sold'!$A:$M,6,0)</f>
        <v>250</v>
      </c>
      <c r="T426" s="4">
        <f>VLOOKUP(A426,'[6]Monthly Sold'!$A:$M,7,0)</f>
        <v>250</v>
      </c>
      <c r="U426" s="4">
        <f>VLOOKUP(A426,'[6]Monthly Sold'!$A:$M,8,0)</f>
        <v>250</v>
      </c>
      <c r="V426" s="4">
        <f>VLOOKUP(A426,'[6]Monthly Sold'!$A:$M,9,0)</f>
        <v>500</v>
      </c>
      <c r="W426" s="4">
        <f>VLOOKUP(A426,'[6]Monthly Sold'!$A:$M,10,0)</f>
        <v>500</v>
      </c>
      <c r="X426" s="4">
        <f>VLOOKUP(A426,'[6]Monthly Sold'!$A:$M,11,0)</f>
        <v>500</v>
      </c>
      <c r="Y426" s="4">
        <f>VLOOKUP(A426,'[6]Monthly Sold'!$A:$M,12,0)</f>
        <v>500</v>
      </c>
      <c r="Z426" s="4">
        <f>VLOOKUP(A426,'[6]Monthly Sold'!$A:$M,13,0)</f>
        <v>500</v>
      </c>
      <c r="AA426" s="4">
        <f t="shared" si="102"/>
        <v>4250</v>
      </c>
      <c r="AB426" s="7">
        <f t="shared" si="109"/>
        <v>354</v>
      </c>
      <c r="AC426" s="15">
        <f t="shared" si="103"/>
        <v>354.16666666666669</v>
      </c>
      <c r="AD426" s="16">
        <f t="shared" si="104"/>
        <v>26307.5</v>
      </c>
      <c r="AE426" s="16">
        <f t="shared" si="105"/>
        <v>2192.291666666667</v>
      </c>
      <c r="AF426" s="21">
        <v>3.24</v>
      </c>
      <c r="AG426" s="21">
        <v>6.19</v>
      </c>
      <c r="AH426" s="15">
        <f t="shared" si="106"/>
        <v>-0.11760000000000004</v>
      </c>
      <c r="AI426" s="15">
        <f t="shared" si="107"/>
        <v>-0.41160000000000013</v>
      </c>
      <c r="AJ426" s="10">
        <v>0.5</v>
      </c>
      <c r="AK426" s="10">
        <v>0.5</v>
      </c>
      <c r="AL426" s="21">
        <v>3.24</v>
      </c>
      <c r="AM426" s="9">
        <f t="shared" si="110"/>
        <v>0.92849999999999999</v>
      </c>
      <c r="AN426" s="9">
        <f t="shared" si="111"/>
        <v>0.1857</v>
      </c>
      <c r="AO426" s="9">
        <f t="shared" si="112"/>
        <v>1.2380000000000002</v>
      </c>
      <c r="AP426" s="9">
        <f t="shared" si="113"/>
        <v>0.12380000000000001</v>
      </c>
      <c r="AQ426" s="9">
        <f t="shared" si="114"/>
        <v>1.2380000000000002</v>
      </c>
      <c r="AR426" s="9">
        <f t="shared" si="115"/>
        <v>1.5475000000000001</v>
      </c>
      <c r="AS426" s="11">
        <f t="shared" si="116"/>
        <v>-1.1760000000000004</v>
      </c>
      <c r="AT426" s="12">
        <f t="shared" si="117"/>
        <v>-1.3823333333333334</v>
      </c>
    </row>
    <row r="427" spans="1:46" ht="16.5" x14ac:dyDescent="0.4">
      <c r="A427" s="4" t="s">
        <v>1841</v>
      </c>
      <c r="B427" s="4" t="s">
        <v>1895</v>
      </c>
      <c r="C427" s="4" t="s">
        <v>1784</v>
      </c>
      <c r="D427" s="4" t="s">
        <v>2015</v>
      </c>
      <c r="E427" s="4" t="s">
        <v>2016</v>
      </c>
      <c r="F427" s="4" t="s">
        <v>2017</v>
      </c>
      <c r="G427" s="7" t="str">
        <f>VLOOKUP(A427,[1]done!$A:$I,9,0)</f>
        <v>Rodent</v>
      </c>
      <c r="H427" s="7" t="str" cm="1">
        <f t="array" ref="H427">_xlfn.IFS(
OR(ISNUMBER(SEARCH("mouse",E427)),ISNUMBER(SEARCH("rat",E427)),ISNUMBER(SEARCH("mice",E427)),ISNUMBER(SEARCH("rodent",E427))),"Rodent Control",
OR(ISNUMBER(SEARCH("fly",E427)),ISNUMBER(SEARCH("gnat",E427)),ISNUMBER(SEARCH("insect",E427)),ISNUMBER(SEARCH("mosquito",E427))),"Flying Insect Control",
OR(ISNUMBER(SEARCH("roach",E427)),ISNUMBER(SEARCH("ant",E427)),ISNUMBER(SEARCH("spider",E427)),ISNUMBER(SEARCH("cricket",E427)),ISNUMBER(SEARCH("scorpion",E427)),ISNUMBER(SEARCH("centipede",E427)),ISNUMBER(SEARCH("beetle",E427))),"Crawling Insect Control",
OR(ISNUMBER(SEARCH("tree",E427)),ISNUMBER(SEARCH("lantern",E427)),ISNUMBER(SEARCH("garden",E427)),ISNUMBER(SEARCH("plant",E427))),"Garden Pest Control",
OR(ISNUMBER(SEARCH("grass seed",E427)),ISNUMBER(SEARCH("seed mix",E427))),"Grass Seed",
OR(ISNUMBER(SEARCH("lawn food",E427)),ISNUMBER(SEARCH("fertilizer",E427))),"Lawn Fertilizer",
OR(ISNUMBER(SEARCH("patch",E427)),ISNUMBER(SEARCH("repair",E427)),ISNUMBER(SEARCH("thick'r",E427)),ISNUMBER(SEARCH("thick'r lawn",E427)),ISNUMBER(SEARCH("rapid grass",E427))),"Lawn Repair",
OR(ISNUMBER(SEARCH("weed",E427)),ISNUMBER(SEARCH("crabgrass",E427))),"Weed Control",
OR(ISNUMBER(SEARCH("fungicide",E427)),ISNUMBER(SEARCH("moss",E427))),"Disease &amp; Moss Control",
OR(ISNUMBER(SEARCH("plant food",E427)),ISNUMBER(SEARCH("miracid",E427))),"Plant Nutrition",
OR(ISNUMBER(SEARCH("perlite",E427))),"Soil Amendment",
OR(ISNUMBER(SEARCH("spreader",E427)),ISNUMBER(SEARCH("sprayer",E427)),ISNUMBER(SEARCH("mower",E427)),ISNUMBER(SEARCH("sweeper",E427)),ISNUMBER(SEARCH("pruner",E427)),ISNUMBER(SEARCH("trimmer",E427)),ISNUMBER(SEARCH("pole saw",E427))),"Garden Equipment",
TRUE,"Other"
)</f>
        <v>Rodent Control</v>
      </c>
      <c r="I427" s="7" t="str" cm="1">
        <f t="array" ref="I427">_xlfn.IFS(
OR(ISNUMBER(SEARCH("glue trap",E427)),ISNUMBER(SEARCH("glue board",E427))),"Glue Traps",
OR(ISNUMBER(SEARCH("snap trap",E427)),ISNUMBER(SEARCH("power-kill",E427)),ISNUMBER(SEARCH("wide pedal",E427)),ISNUMBER(SEARCH("metal pedal",E427))),"Snap Traps",
OR(ISNUMBER(SEARCH("electronic",E427)),ISNUMBER(SEARCH("zapper",E427))),"Electronic Traps",
OR(ISNUMBER(SEARCH("live catch",E427)),ISNUMBER(SEARCH("multi-catch",E427)),ISNUMBER(SEARCH("catch &amp; hold",E427)),ISNUMBER(SEARCH("tin cat",E427))),"Live Catch Traps",
OR(ISNUMBER(SEARCH("bait",E427)),ISNUMBER(SEARCH("poison",E427))),"Bait &amp; Poison",
ISNUMBER(SEARCH("repellent",E427)),"Repellents",
OR(ISNUMBER(SEARCH("fly trap",E427)),ISNUMBER(SEARCH("fly ribbon",E427)),ISNUMBER(SEARCH("fly stick",E427)),ISNUMBER(SEARCH("window fly",E427)),ISNUMBER(SEARCH("fly magnet",E427))),"Fly Traps",
OR(ISNUMBER(SEARCH("uv",E427)),ISNUMBER(SEARCH("fly light",E427)),ISNUMBER(SEARCH("plug-in",E427))),"UV Fly Traps",
ISNUMBER(SEARCH("roach",E427)),"Roach Traps",
ISNUMBER(SEARCH("ant",E427)),"Ant Traps",
ISNUMBER(SEARCH("spider",E427)),"Spider Traps",
ISNUMBER(SEARCH("mosquito",E427)),"Mosquito Traps",
ISNUMBER(SEARCH("beetle",E427)),"Beetle Traps",
ISNUMBER(SEARCH("lantern",E427)),"Lanternfly Control",
OR(ISNUMBER(SEARCH("tree shield",E427)),ISNUMBER(SEARCH("tree banding",E427)),ISNUMBER(SEARCH("insect barrier",E427))),"Tree Barriers",
OR(ISNUMBER(SEARCH("sun &amp; shade",E427)),ISNUMBER(SEARCH("sun and shade",E427))),"Sun &amp; Shade Mix",
ISNUMBER(SEARCH("tall fescue",E427)),"Tall Fescue",
ISNUMBER(SEARCH("bermudagrass",E427)),"Bermudagrass",
ISNUMBER(SEARCH("kentucky",E427)),"Kentucky Bluegrass",
ISNUMBER(SEARCH("zoysia",E427)),"Zoysia",
ISNUMBER(SEARCH("ryegrass",E427)),"Perennial Ryegrass",
ISNUMBER(SEARCH("centipede",E427)),"Centipede Grass",
ISNUMBER(SEARCH("dense shade",E427)),"Dense Shade Mix",
ISNUMBER(SEARCH("southern gold",E427)),"Southern Gold Mix",
ISNUMBER(SEARCH("heat-tolerant blue",E427)),"Heat-Tolerant Blue Mix",
ISNUMBER(SEARCH("high traffic",E427)),"High Traffic Mix",
ISNUMBER(SEARCH("quick fix",E427)),"Quick Fix Mix",
ISNUMBER(SEARCH("starter",E427)),"Starter Fertilizer",
ISNUMBER(SEARCH("weed &amp; feed",E427)),"Weed &amp; Feed",
ISNUMBER(SEARCH("lawn food",E427)),"Lawn Food",
ISNUMBER(SEARCH("triple action",E427)),"Triple Action Fertilizer",
ISNUMBER(SEARCH("green max",E427)),"Green Max Lawn Food",
ISNUMBER(SEARCH("patchmaster",E427)),"PatchMaster Repair",
ISNUMBER(SEARCH("ez seed",E427)),"EZ Seed Repair",
ISNUMBER(SEARCH("rapid grass",E427)),"Rapid Grass",
ISNUMBER(SEARCH("thick'r lawn",E427)),"Thick'R Lawn",
ISNUMBER(SEARCH("fungicide",E427)),"Fungicide",
ISNUMBER(SEARCH("moss",E427)),"Moss Control",
ISNUMBER(SEARCH("perlite",E427)),"Perlite",
ISNUMBER(SEARCH("plant food",E427)),"Plant Food",
ISNUMBER(SEARCH("spreader",E427)),"Spreader",
ISNUMBER(SEARCH("sprayer",E427)),"Sprayer",
ISNUMBER(SEARCH("mower",E427)),"Lawn Mower",
ISNUMBER(SEARCH("sweeper",E427)),"Lawn Sweeper",
OR(ISNUMBER(SEARCH("pruner",E427)),ISNUMBER(SEARCH("trimmer",E427)),ISNUMBER(SEARCH("pole saw",E427))),"Pruning Tools",
TRUE,"Other"
)</f>
        <v>Snap Traps</v>
      </c>
      <c r="J427" s="7" t="str">
        <f t="shared" si="108"/>
        <v>Rodent Control - Snap Traps</v>
      </c>
      <c r="K427" s="4">
        <v>300</v>
      </c>
      <c r="L427" s="4">
        <v>3.9</v>
      </c>
      <c r="M427" s="4">
        <v>2125</v>
      </c>
      <c r="N427" s="4" t="s">
        <v>1202</v>
      </c>
      <c r="O427" s="4">
        <f>VLOOKUP(A427,'[6]Monthly Sold'!$A:$B,2,0)</f>
        <v>300</v>
      </c>
      <c r="P427" s="4">
        <f>VLOOKUP(A427,'[6]Monthly Sold'!$A:$M,3,0)</f>
        <v>100</v>
      </c>
      <c r="Q427" s="4">
        <f>VLOOKUP(A427,'[6]Monthly Sold'!$A:$M,4,0)</f>
        <v>200</v>
      </c>
      <c r="R427" s="4">
        <f>VLOOKUP(A427,'[6]Monthly Sold'!$A:$M,5,0)</f>
        <v>200</v>
      </c>
      <c r="S427" s="4">
        <f>VLOOKUP(A427,'[6]Monthly Sold'!$A:$M,6,0)</f>
        <v>200</v>
      </c>
      <c r="T427" s="4">
        <f>VLOOKUP(A427,'[6]Monthly Sold'!$A:$M,7,0)</f>
        <v>300</v>
      </c>
      <c r="U427" s="4">
        <f>VLOOKUP(A427,'[6]Monthly Sold'!$A:$M,8,0)</f>
        <v>200</v>
      </c>
      <c r="V427" s="4">
        <f>VLOOKUP(A427,'[6]Monthly Sold'!$A:$M,9,0)</f>
        <v>400</v>
      </c>
      <c r="W427" s="4">
        <f>VLOOKUP(A427,'[6]Monthly Sold'!$A:$M,10,0)</f>
        <v>300</v>
      </c>
      <c r="X427" s="4">
        <f>VLOOKUP(A427,'[6]Monthly Sold'!$A:$M,11,0)</f>
        <v>300</v>
      </c>
      <c r="Y427" s="4">
        <f>VLOOKUP(A427,'[6]Monthly Sold'!$A:$M,12,0)</f>
        <v>600</v>
      </c>
      <c r="Z427" s="4">
        <f>VLOOKUP(A427,'[6]Monthly Sold'!$A:$M,13,0)</f>
        <v>600</v>
      </c>
      <c r="AA427" s="4">
        <f t="shared" ref="AA427:AA490" si="118">SUM(O427:Z427)</f>
        <v>3700</v>
      </c>
      <c r="AB427" s="7">
        <f t="shared" si="109"/>
        <v>308</v>
      </c>
      <c r="AC427" s="15">
        <f t="shared" ref="AC427:AC490" si="119">AVERAGE(O427:Z427)</f>
        <v>308.33333333333331</v>
      </c>
      <c r="AD427" s="16">
        <f t="shared" ref="AD427:AD490" si="120">AG427*AA427</f>
        <v>27602</v>
      </c>
      <c r="AE427" s="16">
        <f t="shared" ref="AE427:AE490" si="121">AG427*AC427</f>
        <v>2300.1666666666665</v>
      </c>
      <c r="AF427" s="21">
        <v>3.91</v>
      </c>
      <c r="AG427" s="21">
        <v>7.46</v>
      </c>
      <c r="AH427" s="15">
        <f t="shared" ref="AH427:AH479" si="122">0.1*AS427</f>
        <v>-0.12840000000000001</v>
      </c>
      <c r="AI427" s="15">
        <f t="shared" ref="AI427:AI479" si="123">0.35*AS427</f>
        <v>-0.44939999999999997</v>
      </c>
      <c r="AJ427" s="10">
        <v>0.5</v>
      </c>
      <c r="AK427" s="10">
        <v>0.5</v>
      </c>
      <c r="AL427" s="21">
        <v>3.91</v>
      </c>
      <c r="AM427" s="9">
        <f t="shared" si="110"/>
        <v>1.119</v>
      </c>
      <c r="AN427" s="9">
        <f t="shared" si="111"/>
        <v>0.2238</v>
      </c>
      <c r="AO427" s="9">
        <f t="shared" si="112"/>
        <v>1.492</v>
      </c>
      <c r="AP427" s="9">
        <f t="shared" si="113"/>
        <v>0.1492</v>
      </c>
      <c r="AQ427" s="9">
        <f t="shared" si="114"/>
        <v>1.492</v>
      </c>
      <c r="AR427" s="9">
        <f t="shared" si="115"/>
        <v>1.865</v>
      </c>
      <c r="AS427" s="11">
        <f t="shared" si="116"/>
        <v>-1.284</v>
      </c>
      <c r="AT427" s="12">
        <f t="shared" si="117"/>
        <v>-1.5326666666666668</v>
      </c>
    </row>
    <row r="428" spans="1:46" ht="16.5" x14ac:dyDescent="0.4">
      <c r="A428" s="4" t="s">
        <v>1842</v>
      </c>
      <c r="B428" s="4" t="s">
        <v>1895</v>
      </c>
      <c r="C428" s="4" t="s">
        <v>1785</v>
      </c>
      <c r="D428" s="4" t="s">
        <v>2018</v>
      </c>
      <c r="E428" s="4" t="s">
        <v>2019</v>
      </c>
      <c r="F428" s="4" t="s">
        <v>2020</v>
      </c>
      <c r="G428" s="7" t="str">
        <f>VLOOKUP(A428,[1]done!$A:$I,9,0)</f>
        <v>Rodent</v>
      </c>
      <c r="H428" s="7" t="str" cm="1">
        <f t="array" ref="H428">_xlfn.IFS(
OR(ISNUMBER(SEARCH("mouse",E428)),ISNUMBER(SEARCH("rat",E428)),ISNUMBER(SEARCH("mice",E428)),ISNUMBER(SEARCH("rodent",E428))),"Rodent Control",
OR(ISNUMBER(SEARCH("fly",E428)),ISNUMBER(SEARCH("gnat",E428)),ISNUMBER(SEARCH("insect",E428)),ISNUMBER(SEARCH("mosquito",E428))),"Flying Insect Control",
OR(ISNUMBER(SEARCH("roach",E428)),ISNUMBER(SEARCH("ant",E428)),ISNUMBER(SEARCH("spider",E428)),ISNUMBER(SEARCH("cricket",E428)),ISNUMBER(SEARCH("scorpion",E428)),ISNUMBER(SEARCH("centipede",E428)),ISNUMBER(SEARCH("beetle",E428))),"Crawling Insect Control",
OR(ISNUMBER(SEARCH("tree",E428)),ISNUMBER(SEARCH("lantern",E428)),ISNUMBER(SEARCH("garden",E428)),ISNUMBER(SEARCH("plant",E428))),"Garden Pest Control",
OR(ISNUMBER(SEARCH("grass seed",E428)),ISNUMBER(SEARCH("seed mix",E428))),"Grass Seed",
OR(ISNUMBER(SEARCH("lawn food",E428)),ISNUMBER(SEARCH("fertilizer",E428))),"Lawn Fertilizer",
OR(ISNUMBER(SEARCH("patch",E428)),ISNUMBER(SEARCH("repair",E428)),ISNUMBER(SEARCH("thick'r",E428)),ISNUMBER(SEARCH("thick'r lawn",E428)),ISNUMBER(SEARCH("rapid grass",E428))),"Lawn Repair",
OR(ISNUMBER(SEARCH("weed",E428)),ISNUMBER(SEARCH("crabgrass",E428))),"Weed Control",
OR(ISNUMBER(SEARCH("fungicide",E428)),ISNUMBER(SEARCH("moss",E428))),"Disease &amp; Moss Control",
OR(ISNUMBER(SEARCH("plant food",E428)),ISNUMBER(SEARCH("miracid",E428))),"Plant Nutrition",
OR(ISNUMBER(SEARCH("perlite",E428))),"Soil Amendment",
OR(ISNUMBER(SEARCH("spreader",E428)),ISNUMBER(SEARCH("sprayer",E428)),ISNUMBER(SEARCH("mower",E428)),ISNUMBER(SEARCH("sweeper",E428)),ISNUMBER(SEARCH("pruner",E428)),ISNUMBER(SEARCH("trimmer",E428)),ISNUMBER(SEARCH("pole saw",E428))),"Garden Equipment",
TRUE,"Other"
)</f>
        <v>Rodent Control</v>
      </c>
      <c r="I428" s="7" t="str" cm="1">
        <f t="array" ref="I428">_xlfn.IFS(
OR(ISNUMBER(SEARCH("glue trap",E428)),ISNUMBER(SEARCH("glue board",E428))),"Glue Traps",
OR(ISNUMBER(SEARCH("snap trap",E428)),ISNUMBER(SEARCH("power-kill",E428)),ISNUMBER(SEARCH("wide pedal",E428)),ISNUMBER(SEARCH("metal pedal",E428))),"Snap Traps",
OR(ISNUMBER(SEARCH("electronic",E428)),ISNUMBER(SEARCH("zapper",E428))),"Electronic Traps",
OR(ISNUMBER(SEARCH("live catch",E428)),ISNUMBER(SEARCH("multi-catch",E428)),ISNUMBER(SEARCH("catch &amp; hold",E428)),ISNUMBER(SEARCH("tin cat",E428))),"Live Catch Traps",
OR(ISNUMBER(SEARCH("bait",E428)),ISNUMBER(SEARCH("poison",E428))),"Bait &amp; Poison",
ISNUMBER(SEARCH("repellent",E428)),"Repellents",
OR(ISNUMBER(SEARCH("fly trap",E428)),ISNUMBER(SEARCH("fly ribbon",E428)),ISNUMBER(SEARCH("fly stick",E428)),ISNUMBER(SEARCH("window fly",E428)),ISNUMBER(SEARCH("fly magnet",E428))),"Fly Traps",
OR(ISNUMBER(SEARCH("uv",E428)),ISNUMBER(SEARCH("fly light",E428)),ISNUMBER(SEARCH("plug-in",E428))),"UV Fly Traps",
ISNUMBER(SEARCH("roach",E428)),"Roach Traps",
ISNUMBER(SEARCH("ant",E428)),"Ant Traps",
ISNUMBER(SEARCH("spider",E428)),"Spider Traps",
ISNUMBER(SEARCH("mosquito",E428)),"Mosquito Traps",
ISNUMBER(SEARCH("beetle",E428)),"Beetle Traps",
ISNUMBER(SEARCH("lantern",E428)),"Lanternfly Control",
OR(ISNUMBER(SEARCH("tree shield",E428)),ISNUMBER(SEARCH("tree banding",E428)),ISNUMBER(SEARCH("insect barrier",E428))),"Tree Barriers",
OR(ISNUMBER(SEARCH("sun &amp; shade",E428)),ISNUMBER(SEARCH("sun and shade",E428))),"Sun &amp; Shade Mix",
ISNUMBER(SEARCH("tall fescue",E428)),"Tall Fescue",
ISNUMBER(SEARCH("bermudagrass",E428)),"Bermudagrass",
ISNUMBER(SEARCH("kentucky",E428)),"Kentucky Bluegrass",
ISNUMBER(SEARCH("zoysia",E428)),"Zoysia",
ISNUMBER(SEARCH("ryegrass",E428)),"Perennial Ryegrass",
ISNUMBER(SEARCH("centipede",E428)),"Centipede Grass",
ISNUMBER(SEARCH("dense shade",E428)),"Dense Shade Mix",
ISNUMBER(SEARCH("southern gold",E428)),"Southern Gold Mix",
ISNUMBER(SEARCH("heat-tolerant blue",E428)),"Heat-Tolerant Blue Mix",
ISNUMBER(SEARCH("high traffic",E428)),"High Traffic Mix",
ISNUMBER(SEARCH("quick fix",E428)),"Quick Fix Mix",
ISNUMBER(SEARCH("starter",E428)),"Starter Fertilizer",
ISNUMBER(SEARCH("weed &amp; feed",E428)),"Weed &amp; Feed",
ISNUMBER(SEARCH("lawn food",E428)),"Lawn Food",
ISNUMBER(SEARCH("triple action",E428)),"Triple Action Fertilizer",
ISNUMBER(SEARCH("green max",E428)),"Green Max Lawn Food",
ISNUMBER(SEARCH("patchmaster",E428)),"PatchMaster Repair",
ISNUMBER(SEARCH("ez seed",E428)),"EZ Seed Repair",
ISNUMBER(SEARCH("rapid grass",E428)),"Rapid Grass",
ISNUMBER(SEARCH("thick'r lawn",E428)),"Thick'R Lawn",
ISNUMBER(SEARCH("fungicide",E428)),"Fungicide",
ISNUMBER(SEARCH("moss",E428)),"Moss Control",
ISNUMBER(SEARCH("perlite",E428)),"Perlite",
ISNUMBER(SEARCH("plant food",E428)),"Plant Food",
ISNUMBER(SEARCH("spreader",E428)),"Spreader",
ISNUMBER(SEARCH("sprayer",E428)),"Sprayer",
ISNUMBER(SEARCH("mower",E428)),"Lawn Mower",
ISNUMBER(SEARCH("sweeper",E428)),"Lawn Sweeper",
OR(ISNUMBER(SEARCH("pruner",E428)),ISNUMBER(SEARCH("trimmer",E428)),ISNUMBER(SEARCH("pole saw",E428))),"Pruning Tools",
TRUE,"Other"
)</f>
        <v>Snap Traps</v>
      </c>
      <c r="J428" s="7" t="str">
        <f t="shared" si="108"/>
        <v>Rodent Control - Snap Traps</v>
      </c>
      <c r="K428" s="4">
        <v>300</v>
      </c>
      <c r="L428" s="4">
        <v>4.3</v>
      </c>
      <c r="M428" s="4">
        <v>9568</v>
      </c>
      <c r="N428" s="4" t="s">
        <v>2021</v>
      </c>
      <c r="O428" s="4">
        <f>VLOOKUP(A428,'[6]Monthly Sold'!$A:$B,2,0)</f>
        <v>0</v>
      </c>
      <c r="P428" s="4">
        <f>VLOOKUP(A428,'[6]Monthly Sold'!$A:$M,3,0)</f>
        <v>0</v>
      </c>
      <c r="Q428" s="4">
        <f>VLOOKUP(A428,'[6]Monthly Sold'!$A:$M,4,0)</f>
        <v>100</v>
      </c>
      <c r="R428" s="4">
        <f>VLOOKUP(A428,'[6]Monthly Sold'!$A:$M,5,0)</f>
        <v>100</v>
      </c>
      <c r="S428" s="4">
        <f>VLOOKUP(A428,'[6]Monthly Sold'!$A:$M,6,0)</f>
        <v>200</v>
      </c>
      <c r="T428" s="4">
        <f>VLOOKUP(A428,'[6]Monthly Sold'!$A:$M,7,0)</f>
        <v>300</v>
      </c>
      <c r="U428" s="4">
        <f>VLOOKUP(A428,'[6]Monthly Sold'!$A:$M,8,0)</f>
        <v>400</v>
      </c>
      <c r="V428" s="4">
        <f>VLOOKUP(A428,'[6]Monthly Sold'!$A:$M,9,0)</f>
        <v>300</v>
      </c>
      <c r="W428" s="4">
        <f>VLOOKUP(A428,'[6]Monthly Sold'!$A:$M,10,0)</f>
        <v>300</v>
      </c>
      <c r="X428" s="4">
        <f>VLOOKUP(A428,'[6]Monthly Sold'!$A:$M,11,0)</f>
        <v>0</v>
      </c>
      <c r="Y428" s="4">
        <f>VLOOKUP(A428,'[6]Monthly Sold'!$A:$M,12,0)</f>
        <v>0</v>
      </c>
      <c r="Z428" s="4">
        <f>VLOOKUP(A428,'[6]Monthly Sold'!$A:$M,13,0)</f>
        <v>0</v>
      </c>
      <c r="AA428" s="4">
        <f t="shared" si="118"/>
        <v>1700</v>
      </c>
      <c r="AB428" s="7">
        <f t="shared" si="109"/>
        <v>142</v>
      </c>
      <c r="AC428" s="15">
        <f t="shared" si="119"/>
        <v>141.66666666666666</v>
      </c>
      <c r="AD428" s="16">
        <f t="shared" si="120"/>
        <v>55233</v>
      </c>
      <c r="AE428" s="16">
        <f t="shared" si="121"/>
        <v>4602.75</v>
      </c>
      <c r="AF428" s="21">
        <v>7.55</v>
      </c>
      <c r="AG428" s="21">
        <v>32.49</v>
      </c>
      <c r="AH428" s="15">
        <f t="shared" si="122"/>
        <v>0.29639999999999989</v>
      </c>
      <c r="AI428" s="15">
        <f t="shared" si="123"/>
        <v>1.0373999999999994</v>
      </c>
      <c r="AJ428" s="10">
        <v>0.5</v>
      </c>
      <c r="AK428" s="10">
        <v>0.5</v>
      </c>
      <c r="AL428" s="21">
        <v>7.55</v>
      </c>
      <c r="AM428" s="9">
        <f t="shared" si="110"/>
        <v>4.8734999999999999</v>
      </c>
      <c r="AN428" s="9">
        <f t="shared" si="111"/>
        <v>0.97470000000000001</v>
      </c>
      <c r="AO428" s="9">
        <f t="shared" si="112"/>
        <v>6.4980000000000011</v>
      </c>
      <c r="AP428" s="9">
        <f t="shared" si="113"/>
        <v>0.64980000000000004</v>
      </c>
      <c r="AQ428" s="9">
        <f t="shared" si="114"/>
        <v>6.4980000000000011</v>
      </c>
      <c r="AR428" s="9">
        <f t="shared" si="115"/>
        <v>8.1225000000000005</v>
      </c>
      <c r="AS428" s="11">
        <f t="shared" si="116"/>
        <v>2.9639999999999986</v>
      </c>
      <c r="AT428" s="12">
        <f t="shared" si="117"/>
        <v>1.8809999999999991</v>
      </c>
    </row>
    <row r="429" spans="1:46" ht="16.5" x14ac:dyDescent="0.4">
      <c r="A429" s="4" t="s">
        <v>1843</v>
      </c>
      <c r="B429" s="4" t="s">
        <v>1895</v>
      </c>
      <c r="C429" s="4" t="s">
        <v>1784</v>
      </c>
      <c r="D429" s="4" t="s">
        <v>2022</v>
      </c>
      <c r="E429" s="4" t="s">
        <v>2023</v>
      </c>
      <c r="F429" s="4" t="s">
        <v>2024</v>
      </c>
      <c r="G429" s="7" t="str">
        <f>VLOOKUP(A429,[1]done!$A:$I,9,0)</f>
        <v>Mole Repellent</v>
      </c>
      <c r="H429" s="7" t="str" cm="1">
        <f t="array" ref="H429">_xlfn.IFS(
OR(ISNUMBER(SEARCH("mouse",E429)),ISNUMBER(SEARCH("rat",E429)),ISNUMBER(SEARCH("mice",E429)),ISNUMBER(SEARCH("rodent",E429))),"Rodent Control",
OR(ISNUMBER(SEARCH("fly",E429)),ISNUMBER(SEARCH("gnat",E429)),ISNUMBER(SEARCH("insect",E429)),ISNUMBER(SEARCH("mosquito",E429))),"Flying Insect Control",
OR(ISNUMBER(SEARCH("roach",E429)),ISNUMBER(SEARCH("ant",E429)),ISNUMBER(SEARCH("spider",E429)),ISNUMBER(SEARCH("cricket",E429)),ISNUMBER(SEARCH("scorpion",E429)),ISNUMBER(SEARCH("centipede",E429)),ISNUMBER(SEARCH("beetle",E429))),"Crawling Insect Control",
OR(ISNUMBER(SEARCH("tree",E429)),ISNUMBER(SEARCH("lantern",E429)),ISNUMBER(SEARCH("garden",E429)),ISNUMBER(SEARCH("plant",E429))),"Garden Pest Control",
OR(ISNUMBER(SEARCH("grass seed",E429)),ISNUMBER(SEARCH("seed mix",E429))),"Grass Seed",
OR(ISNUMBER(SEARCH("lawn food",E429)),ISNUMBER(SEARCH("fertilizer",E429))),"Lawn Fertilizer",
OR(ISNUMBER(SEARCH("patch",E429)),ISNUMBER(SEARCH("repair",E429)),ISNUMBER(SEARCH("thick'r",E429)),ISNUMBER(SEARCH("thick'r lawn",E429)),ISNUMBER(SEARCH("rapid grass",E429))),"Lawn Repair",
OR(ISNUMBER(SEARCH("weed",E429)),ISNUMBER(SEARCH("crabgrass",E429))),"Weed Control",
OR(ISNUMBER(SEARCH("fungicide",E429)),ISNUMBER(SEARCH("moss",E429))),"Disease &amp; Moss Control",
OR(ISNUMBER(SEARCH("plant food",E429)),ISNUMBER(SEARCH("miracid",E429))),"Plant Nutrition",
OR(ISNUMBER(SEARCH("perlite",E429))),"Soil Amendment",
OR(ISNUMBER(SEARCH("spreader",E429)),ISNUMBER(SEARCH("sprayer",E429)),ISNUMBER(SEARCH("mower",E429)),ISNUMBER(SEARCH("sweeper",E429)),ISNUMBER(SEARCH("pruner",E429)),ISNUMBER(SEARCH("trimmer",E429)),ISNUMBER(SEARCH("pole saw",E429))),"Garden Equipment",
TRUE,"Other"
)</f>
        <v>Other</v>
      </c>
      <c r="I429" s="7" t="str" cm="1">
        <f t="array" ref="I429">_xlfn.IFS(
OR(ISNUMBER(SEARCH("glue trap",E429)),ISNUMBER(SEARCH("glue board",E429))),"Glue Traps",
OR(ISNUMBER(SEARCH("snap trap",E429)),ISNUMBER(SEARCH("power-kill",E429)),ISNUMBER(SEARCH("wide pedal",E429)),ISNUMBER(SEARCH("metal pedal",E429))),"Snap Traps",
OR(ISNUMBER(SEARCH("electronic",E429)),ISNUMBER(SEARCH("zapper",E429))),"Electronic Traps",
OR(ISNUMBER(SEARCH("live catch",E429)),ISNUMBER(SEARCH("multi-catch",E429)),ISNUMBER(SEARCH("catch &amp; hold",E429)),ISNUMBER(SEARCH("tin cat",E429))),"Live Catch Traps",
OR(ISNUMBER(SEARCH("bait",E429)),ISNUMBER(SEARCH("poison",E429))),"Bait &amp; Poison",
ISNUMBER(SEARCH("repellent",E429)),"Repellents",
OR(ISNUMBER(SEARCH("fly trap",E429)),ISNUMBER(SEARCH("fly ribbon",E429)),ISNUMBER(SEARCH("fly stick",E429)),ISNUMBER(SEARCH("window fly",E429)),ISNUMBER(SEARCH("fly magnet",E429))),"Fly Traps",
OR(ISNUMBER(SEARCH("uv",E429)),ISNUMBER(SEARCH("fly light",E429)),ISNUMBER(SEARCH("plug-in",E429))),"UV Fly Traps",
ISNUMBER(SEARCH("roach",E429)),"Roach Traps",
ISNUMBER(SEARCH("ant",E429)),"Ant Traps",
ISNUMBER(SEARCH("spider",E429)),"Spider Traps",
ISNUMBER(SEARCH("mosquito",E429)),"Mosquito Traps",
ISNUMBER(SEARCH("beetle",E429)),"Beetle Traps",
ISNUMBER(SEARCH("lantern",E429)),"Lanternfly Control",
OR(ISNUMBER(SEARCH("tree shield",E429)),ISNUMBER(SEARCH("tree banding",E429)),ISNUMBER(SEARCH("insect barrier",E429))),"Tree Barriers",
OR(ISNUMBER(SEARCH("sun &amp; shade",E429)),ISNUMBER(SEARCH("sun and shade",E429))),"Sun &amp; Shade Mix",
ISNUMBER(SEARCH("tall fescue",E429)),"Tall Fescue",
ISNUMBER(SEARCH("bermudagrass",E429)),"Bermudagrass",
ISNUMBER(SEARCH("kentucky",E429)),"Kentucky Bluegrass",
ISNUMBER(SEARCH("zoysia",E429)),"Zoysia",
ISNUMBER(SEARCH("ryegrass",E429)),"Perennial Ryegrass",
ISNUMBER(SEARCH("centipede",E429)),"Centipede Grass",
ISNUMBER(SEARCH("dense shade",E429)),"Dense Shade Mix",
ISNUMBER(SEARCH("southern gold",E429)),"Southern Gold Mix",
ISNUMBER(SEARCH("heat-tolerant blue",E429)),"Heat-Tolerant Blue Mix",
ISNUMBER(SEARCH("high traffic",E429)),"High Traffic Mix",
ISNUMBER(SEARCH("quick fix",E429)),"Quick Fix Mix",
ISNUMBER(SEARCH("starter",E429)),"Starter Fertilizer",
ISNUMBER(SEARCH("weed &amp; feed",E429)),"Weed &amp; Feed",
ISNUMBER(SEARCH("lawn food",E429)),"Lawn Food",
ISNUMBER(SEARCH("triple action",E429)),"Triple Action Fertilizer",
ISNUMBER(SEARCH("green max",E429)),"Green Max Lawn Food",
ISNUMBER(SEARCH("patchmaster",E429)),"PatchMaster Repair",
ISNUMBER(SEARCH("ez seed",E429)),"EZ Seed Repair",
ISNUMBER(SEARCH("rapid grass",E429)),"Rapid Grass",
ISNUMBER(SEARCH("thick'r lawn",E429)),"Thick'R Lawn",
ISNUMBER(SEARCH("fungicide",E429)),"Fungicide",
ISNUMBER(SEARCH("moss",E429)),"Moss Control",
ISNUMBER(SEARCH("perlite",E429)),"Perlite",
ISNUMBER(SEARCH("plant food",E429)),"Plant Food",
ISNUMBER(SEARCH("spreader",E429)),"Spreader",
ISNUMBER(SEARCH("sprayer",E429)),"Sprayer",
ISNUMBER(SEARCH("mower",E429)),"Lawn Mower",
ISNUMBER(SEARCH("sweeper",E429)),"Lawn Sweeper",
OR(ISNUMBER(SEARCH("pruner",E429)),ISNUMBER(SEARCH("trimmer",E429)),ISNUMBER(SEARCH("pole saw",E429))),"Pruning Tools",
TRUE,"Other"
)</f>
        <v>Repellents</v>
      </c>
      <c r="J429" s="7" t="str">
        <f t="shared" si="108"/>
        <v>Other - Repellents</v>
      </c>
      <c r="K429" s="4">
        <v>300</v>
      </c>
      <c r="L429" s="4">
        <v>3.7</v>
      </c>
      <c r="M429" s="4">
        <v>3459</v>
      </c>
      <c r="N429" s="4" t="s">
        <v>579</v>
      </c>
      <c r="O429" s="4">
        <f>VLOOKUP(A429,'[6]Monthly Sold'!$A:$B,2,0)</f>
        <v>200</v>
      </c>
      <c r="P429" s="4">
        <f>VLOOKUP(A429,'[6]Monthly Sold'!$A:$M,3,0)</f>
        <v>200</v>
      </c>
      <c r="Q429" s="4">
        <f>VLOOKUP(A429,'[6]Monthly Sold'!$A:$M,4,0)</f>
        <v>400</v>
      </c>
      <c r="R429" s="4">
        <f>VLOOKUP(A429,'[6]Monthly Sold'!$A:$M,5,0)</f>
        <v>400</v>
      </c>
      <c r="S429" s="4">
        <f>VLOOKUP(A429,'[6]Monthly Sold'!$A:$M,6,0)</f>
        <v>400</v>
      </c>
      <c r="T429" s="4">
        <f>VLOOKUP(A429,'[6]Monthly Sold'!$A:$M,7,0)</f>
        <v>500</v>
      </c>
      <c r="U429" s="4">
        <f>VLOOKUP(A429,'[6]Monthly Sold'!$A:$M,8,0)</f>
        <v>300</v>
      </c>
      <c r="V429" s="4">
        <f>VLOOKUP(A429,'[6]Monthly Sold'!$A:$M,9,0)</f>
        <v>300</v>
      </c>
      <c r="W429" s="4">
        <f>VLOOKUP(A429,'[6]Monthly Sold'!$A:$M,10,0)</f>
        <v>300</v>
      </c>
      <c r="X429" s="4">
        <f>VLOOKUP(A429,'[6]Monthly Sold'!$A:$M,11,0)</f>
        <v>500</v>
      </c>
      <c r="Y429" s="4">
        <f>VLOOKUP(A429,'[6]Monthly Sold'!$A:$M,12,0)</f>
        <v>400</v>
      </c>
      <c r="Z429" s="4">
        <f>VLOOKUP(A429,'[6]Monthly Sold'!$A:$M,13,0)</f>
        <v>200</v>
      </c>
      <c r="AA429" s="4">
        <f t="shared" si="118"/>
        <v>4100</v>
      </c>
      <c r="AB429" s="7">
        <f t="shared" si="109"/>
        <v>342</v>
      </c>
      <c r="AC429" s="15">
        <f t="shared" si="119"/>
        <v>341.66666666666669</v>
      </c>
      <c r="AD429" s="16">
        <f t="shared" si="120"/>
        <v>65190</v>
      </c>
      <c r="AE429" s="16">
        <f t="shared" si="121"/>
        <v>5432.5</v>
      </c>
      <c r="AF429" s="21">
        <v>7.63</v>
      </c>
      <c r="AG429" s="21">
        <v>15.9</v>
      </c>
      <c r="AH429" s="15">
        <f t="shared" si="122"/>
        <v>-0.1513333333333334</v>
      </c>
      <c r="AI429" s="15">
        <f t="shared" si="123"/>
        <v>-0.52966666666666684</v>
      </c>
      <c r="AJ429" s="10">
        <v>0.5</v>
      </c>
      <c r="AK429" s="10">
        <v>0.5</v>
      </c>
      <c r="AL429" s="21">
        <v>7.63</v>
      </c>
      <c r="AM429" s="9">
        <f t="shared" si="110"/>
        <v>2.3849999999999998</v>
      </c>
      <c r="AN429" s="9">
        <f t="shared" si="111"/>
        <v>0.47699999999999998</v>
      </c>
      <c r="AO429" s="9">
        <f t="shared" si="112"/>
        <v>3.18</v>
      </c>
      <c r="AP429" s="9">
        <f t="shared" si="113"/>
        <v>0.318</v>
      </c>
      <c r="AQ429" s="9">
        <f t="shared" si="114"/>
        <v>3.18</v>
      </c>
      <c r="AR429" s="9">
        <f t="shared" si="115"/>
        <v>3.9750000000000001</v>
      </c>
      <c r="AS429" s="11">
        <f t="shared" si="116"/>
        <v>-1.5133333333333339</v>
      </c>
      <c r="AT429" s="12">
        <f t="shared" si="117"/>
        <v>-2.0433333333333339</v>
      </c>
    </row>
    <row r="430" spans="1:46" ht="16.5" x14ac:dyDescent="0.4">
      <c r="A430" s="4" t="s">
        <v>1844</v>
      </c>
      <c r="B430" s="4" t="s">
        <v>1895</v>
      </c>
      <c r="C430" s="4" t="s">
        <v>1784</v>
      </c>
      <c r="D430" s="4" t="s">
        <v>2025</v>
      </c>
      <c r="E430" s="4" t="s">
        <v>2026</v>
      </c>
      <c r="F430" s="4" t="s">
        <v>2027</v>
      </c>
      <c r="G430" s="7" t="str">
        <f>VLOOKUP(A430,[1]done!$A:$I,9,0)</f>
        <v>Rodent</v>
      </c>
      <c r="H430" s="7" t="str" cm="1">
        <f t="array" ref="H430">_xlfn.IFS(
OR(ISNUMBER(SEARCH("mouse",E430)),ISNUMBER(SEARCH("rat",E430)),ISNUMBER(SEARCH("mice",E430)),ISNUMBER(SEARCH("rodent",E430))),"Rodent Control",
OR(ISNUMBER(SEARCH("fly",E430)),ISNUMBER(SEARCH("gnat",E430)),ISNUMBER(SEARCH("insect",E430)),ISNUMBER(SEARCH("mosquito",E430))),"Flying Insect Control",
OR(ISNUMBER(SEARCH("roach",E430)),ISNUMBER(SEARCH("ant",E430)),ISNUMBER(SEARCH("spider",E430)),ISNUMBER(SEARCH("cricket",E430)),ISNUMBER(SEARCH("scorpion",E430)),ISNUMBER(SEARCH("centipede",E430)),ISNUMBER(SEARCH("beetle",E430))),"Crawling Insect Control",
OR(ISNUMBER(SEARCH("tree",E430)),ISNUMBER(SEARCH("lantern",E430)),ISNUMBER(SEARCH("garden",E430)),ISNUMBER(SEARCH("plant",E430))),"Garden Pest Control",
OR(ISNUMBER(SEARCH("grass seed",E430)),ISNUMBER(SEARCH("seed mix",E430))),"Grass Seed",
OR(ISNUMBER(SEARCH("lawn food",E430)),ISNUMBER(SEARCH("fertilizer",E430))),"Lawn Fertilizer",
OR(ISNUMBER(SEARCH("patch",E430)),ISNUMBER(SEARCH("repair",E430)),ISNUMBER(SEARCH("thick'r",E430)),ISNUMBER(SEARCH("thick'r lawn",E430)),ISNUMBER(SEARCH("rapid grass",E430))),"Lawn Repair",
OR(ISNUMBER(SEARCH("weed",E430)),ISNUMBER(SEARCH("crabgrass",E430))),"Weed Control",
OR(ISNUMBER(SEARCH("fungicide",E430)),ISNUMBER(SEARCH("moss",E430))),"Disease &amp; Moss Control",
OR(ISNUMBER(SEARCH("plant food",E430)),ISNUMBER(SEARCH("miracid",E430))),"Plant Nutrition",
OR(ISNUMBER(SEARCH("perlite",E430))),"Soil Amendment",
OR(ISNUMBER(SEARCH("spreader",E430)),ISNUMBER(SEARCH("sprayer",E430)),ISNUMBER(SEARCH("mower",E430)),ISNUMBER(SEARCH("sweeper",E430)),ISNUMBER(SEARCH("pruner",E430)),ISNUMBER(SEARCH("trimmer",E430)),ISNUMBER(SEARCH("pole saw",E430))),"Garden Equipment",
TRUE,"Other"
)</f>
        <v>Other</v>
      </c>
      <c r="I430" s="7" t="str" cm="1">
        <f t="array" ref="I430">_xlfn.IFS(
OR(ISNUMBER(SEARCH("glue trap",E430)),ISNUMBER(SEARCH("glue board",E430))),"Glue Traps",
OR(ISNUMBER(SEARCH("snap trap",E430)),ISNUMBER(SEARCH("power-kill",E430)),ISNUMBER(SEARCH("wide pedal",E430)),ISNUMBER(SEARCH("metal pedal",E430))),"Snap Traps",
OR(ISNUMBER(SEARCH("electronic",E430)),ISNUMBER(SEARCH("zapper",E430))),"Electronic Traps",
OR(ISNUMBER(SEARCH("live catch",E430)),ISNUMBER(SEARCH("multi-catch",E430)),ISNUMBER(SEARCH("catch &amp; hold",E430)),ISNUMBER(SEARCH("tin cat",E430))),"Live Catch Traps",
OR(ISNUMBER(SEARCH("bait",E430)),ISNUMBER(SEARCH("poison",E430))),"Bait &amp; Poison",
ISNUMBER(SEARCH("repellent",E430)),"Repellents",
OR(ISNUMBER(SEARCH("fly trap",E430)),ISNUMBER(SEARCH("fly ribbon",E430)),ISNUMBER(SEARCH("fly stick",E430)),ISNUMBER(SEARCH("window fly",E430)),ISNUMBER(SEARCH("fly magnet",E430))),"Fly Traps",
OR(ISNUMBER(SEARCH("uv",E430)),ISNUMBER(SEARCH("fly light",E430)),ISNUMBER(SEARCH("plug-in",E430))),"UV Fly Traps",
ISNUMBER(SEARCH("roach",E430)),"Roach Traps",
ISNUMBER(SEARCH("ant",E430)),"Ant Traps",
ISNUMBER(SEARCH("spider",E430)),"Spider Traps",
ISNUMBER(SEARCH("mosquito",E430)),"Mosquito Traps",
ISNUMBER(SEARCH("beetle",E430)),"Beetle Traps",
ISNUMBER(SEARCH("lantern",E430)),"Lanternfly Control",
OR(ISNUMBER(SEARCH("tree shield",E430)),ISNUMBER(SEARCH("tree banding",E430)),ISNUMBER(SEARCH("insect barrier",E430))),"Tree Barriers",
OR(ISNUMBER(SEARCH("sun &amp; shade",E430)),ISNUMBER(SEARCH("sun and shade",E430))),"Sun &amp; Shade Mix",
ISNUMBER(SEARCH("tall fescue",E430)),"Tall Fescue",
ISNUMBER(SEARCH("bermudagrass",E430)),"Bermudagrass",
ISNUMBER(SEARCH("kentucky",E430)),"Kentucky Bluegrass",
ISNUMBER(SEARCH("zoysia",E430)),"Zoysia",
ISNUMBER(SEARCH("ryegrass",E430)),"Perennial Ryegrass",
ISNUMBER(SEARCH("centipede",E430)),"Centipede Grass",
ISNUMBER(SEARCH("dense shade",E430)),"Dense Shade Mix",
ISNUMBER(SEARCH("southern gold",E430)),"Southern Gold Mix",
ISNUMBER(SEARCH("heat-tolerant blue",E430)),"Heat-Tolerant Blue Mix",
ISNUMBER(SEARCH("high traffic",E430)),"High Traffic Mix",
ISNUMBER(SEARCH("quick fix",E430)),"Quick Fix Mix",
ISNUMBER(SEARCH("starter",E430)),"Starter Fertilizer",
ISNUMBER(SEARCH("weed &amp; feed",E430)),"Weed &amp; Feed",
ISNUMBER(SEARCH("lawn food",E430)),"Lawn Food",
ISNUMBER(SEARCH("triple action",E430)),"Triple Action Fertilizer",
ISNUMBER(SEARCH("green max",E430)),"Green Max Lawn Food",
ISNUMBER(SEARCH("patchmaster",E430)),"PatchMaster Repair",
ISNUMBER(SEARCH("ez seed",E430)),"EZ Seed Repair",
ISNUMBER(SEARCH("rapid grass",E430)),"Rapid Grass",
ISNUMBER(SEARCH("thick'r lawn",E430)),"Thick'R Lawn",
ISNUMBER(SEARCH("fungicide",E430)),"Fungicide",
ISNUMBER(SEARCH("moss",E430)),"Moss Control",
ISNUMBER(SEARCH("perlite",E430)),"Perlite",
ISNUMBER(SEARCH("plant food",E430)),"Plant Food",
ISNUMBER(SEARCH("spreader",E430)),"Spreader",
ISNUMBER(SEARCH("sprayer",E430)),"Sprayer",
ISNUMBER(SEARCH("mower",E430)),"Lawn Mower",
ISNUMBER(SEARCH("sweeper",E430)),"Lawn Sweeper",
OR(ISNUMBER(SEARCH("pruner",E430)),ISNUMBER(SEARCH("trimmer",E430)),ISNUMBER(SEARCH("pole saw",E430))),"Pruning Tools",
TRUE,"Other"
)</f>
        <v>Glue Traps</v>
      </c>
      <c r="J430" s="7" t="str">
        <f t="shared" si="108"/>
        <v>Other - Glue Traps</v>
      </c>
      <c r="K430" s="4">
        <v>300</v>
      </c>
      <c r="L430" s="4">
        <v>4.7</v>
      </c>
      <c r="M430" s="4">
        <v>162</v>
      </c>
      <c r="N430" s="4" t="s">
        <v>2028</v>
      </c>
      <c r="O430" s="4">
        <f>VLOOKUP(A430,'[6]Monthly Sold'!$A:$B,2,0)</f>
        <v>100</v>
      </c>
      <c r="P430" s="4">
        <f>VLOOKUP(A430,'[6]Monthly Sold'!$A:$M,3,0)</f>
        <v>300</v>
      </c>
      <c r="Q430" s="4">
        <f>VLOOKUP(A430,'[6]Monthly Sold'!$A:$M,4,0)</f>
        <v>200</v>
      </c>
      <c r="R430" s="4">
        <f>VLOOKUP(A430,'[6]Monthly Sold'!$A:$M,5,0)</f>
        <v>200</v>
      </c>
      <c r="S430" s="4">
        <f>VLOOKUP(A430,'[6]Monthly Sold'!$A:$M,6,0)</f>
        <v>200</v>
      </c>
      <c r="T430" s="4">
        <f>VLOOKUP(A430,'[6]Monthly Sold'!$A:$M,7,0)</f>
        <v>300</v>
      </c>
      <c r="U430" s="4">
        <f>VLOOKUP(A430,'[6]Monthly Sold'!$A:$M,8,0)</f>
        <v>200</v>
      </c>
      <c r="V430" s="4">
        <f>VLOOKUP(A430,'[6]Monthly Sold'!$A:$M,9,0)</f>
        <v>300</v>
      </c>
      <c r="W430" s="4">
        <f>VLOOKUP(A430,'[6]Monthly Sold'!$A:$M,10,0)</f>
        <v>300</v>
      </c>
      <c r="X430" s="4">
        <f>VLOOKUP(A430,'[6]Monthly Sold'!$A:$M,11,0)</f>
        <v>500</v>
      </c>
      <c r="Y430" s="4">
        <f>VLOOKUP(A430,'[6]Monthly Sold'!$A:$M,12,0)</f>
        <v>600</v>
      </c>
      <c r="Z430" s="4">
        <f>VLOOKUP(A430,'[6]Monthly Sold'!$A:$M,13,0)</f>
        <v>400</v>
      </c>
      <c r="AA430" s="4">
        <f t="shared" si="118"/>
        <v>3600</v>
      </c>
      <c r="AB430" s="7">
        <f t="shared" si="109"/>
        <v>300</v>
      </c>
      <c r="AC430" s="15">
        <f t="shared" si="119"/>
        <v>300</v>
      </c>
      <c r="AD430" s="16">
        <f t="shared" si="120"/>
        <v>104364</v>
      </c>
      <c r="AE430" s="16">
        <f t="shared" si="121"/>
        <v>8697</v>
      </c>
      <c r="AF430" s="21">
        <v>5.22</v>
      </c>
      <c r="AG430" s="21">
        <v>28.99</v>
      </c>
      <c r="AH430" s="15">
        <f t="shared" si="122"/>
        <v>0.3584</v>
      </c>
      <c r="AI430" s="15">
        <f t="shared" si="123"/>
        <v>1.2543999999999997</v>
      </c>
      <c r="AJ430" s="10">
        <v>0.5</v>
      </c>
      <c r="AK430" s="10">
        <v>0.5</v>
      </c>
      <c r="AL430" s="21">
        <v>5.22</v>
      </c>
      <c r="AM430" s="9">
        <f t="shared" si="110"/>
        <v>4.3484999999999996</v>
      </c>
      <c r="AN430" s="9">
        <f t="shared" si="111"/>
        <v>0.86969999999999992</v>
      </c>
      <c r="AO430" s="9">
        <f t="shared" si="112"/>
        <v>5.798</v>
      </c>
      <c r="AP430" s="9">
        <f t="shared" si="113"/>
        <v>0.57979999999999998</v>
      </c>
      <c r="AQ430" s="9">
        <f t="shared" si="114"/>
        <v>5.798</v>
      </c>
      <c r="AR430" s="9">
        <f t="shared" si="115"/>
        <v>7.2474999999999996</v>
      </c>
      <c r="AS430" s="11">
        <f t="shared" si="116"/>
        <v>3.5839999999999996</v>
      </c>
      <c r="AT430" s="12">
        <f t="shared" si="117"/>
        <v>2.6176666666666666</v>
      </c>
    </row>
    <row r="431" spans="1:46" ht="16.5" x14ac:dyDescent="0.4">
      <c r="A431" s="4" t="s">
        <v>1845</v>
      </c>
      <c r="B431" s="4" t="s">
        <v>1895</v>
      </c>
      <c r="C431" s="4" t="s">
        <v>1784</v>
      </c>
      <c r="D431" s="4" t="s">
        <v>2029</v>
      </c>
      <c r="E431" s="4" t="s">
        <v>2030</v>
      </c>
      <c r="F431" s="4" t="s">
        <v>2031</v>
      </c>
      <c r="G431" s="7" t="str">
        <f>VLOOKUP(A431,[1]done!$A:$I,9,0)</f>
        <v>Rodent</v>
      </c>
      <c r="H431" s="7" t="str" cm="1">
        <f t="array" ref="H431">_xlfn.IFS(
OR(ISNUMBER(SEARCH("mouse",E431)),ISNUMBER(SEARCH("rat",E431)),ISNUMBER(SEARCH("mice",E431)),ISNUMBER(SEARCH("rodent",E431))),"Rodent Control",
OR(ISNUMBER(SEARCH("fly",E431)),ISNUMBER(SEARCH("gnat",E431)),ISNUMBER(SEARCH("insect",E431)),ISNUMBER(SEARCH("mosquito",E431))),"Flying Insect Control",
OR(ISNUMBER(SEARCH("roach",E431)),ISNUMBER(SEARCH("ant",E431)),ISNUMBER(SEARCH("spider",E431)),ISNUMBER(SEARCH("cricket",E431)),ISNUMBER(SEARCH("scorpion",E431)),ISNUMBER(SEARCH("centipede",E431)),ISNUMBER(SEARCH("beetle",E431))),"Crawling Insect Control",
OR(ISNUMBER(SEARCH("tree",E431)),ISNUMBER(SEARCH("lantern",E431)),ISNUMBER(SEARCH("garden",E431)),ISNUMBER(SEARCH("plant",E431))),"Garden Pest Control",
OR(ISNUMBER(SEARCH("grass seed",E431)),ISNUMBER(SEARCH("seed mix",E431))),"Grass Seed",
OR(ISNUMBER(SEARCH("lawn food",E431)),ISNUMBER(SEARCH("fertilizer",E431))),"Lawn Fertilizer",
OR(ISNUMBER(SEARCH("patch",E431)),ISNUMBER(SEARCH("repair",E431)),ISNUMBER(SEARCH("thick'r",E431)),ISNUMBER(SEARCH("thick'r lawn",E431)),ISNUMBER(SEARCH("rapid grass",E431))),"Lawn Repair",
OR(ISNUMBER(SEARCH("weed",E431)),ISNUMBER(SEARCH("crabgrass",E431))),"Weed Control",
OR(ISNUMBER(SEARCH("fungicide",E431)),ISNUMBER(SEARCH("moss",E431))),"Disease &amp; Moss Control",
OR(ISNUMBER(SEARCH("plant food",E431)),ISNUMBER(SEARCH("miracid",E431))),"Plant Nutrition",
OR(ISNUMBER(SEARCH("perlite",E431))),"Soil Amendment",
OR(ISNUMBER(SEARCH("spreader",E431)),ISNUMBER(SEARCH("sprayer",E431)),ISNUMBER(SEARCH("mower",E431)),ISNUMBER(SEARCH("sweeper",E431)),ISNUMBER(SEARCH("pruner",E431)),ISNUMBER(SEARCH("trimmer",E431)),ISNUMBER(SEARCH("pole saw",E431))),"Garden Equipment",
TRUE,"Other"
)</f>
        <v>Rodent Control</v>
      </c>
      <c r="I431" s="7" t="str" cm="1">
        <f t="array" ref="I431">_xlfn.IFS(
OR(ISNUMBER(SEARCH("glue trap",E431)),ISNUMBER(SEARCH("glue board",E431))),"Glue Traps",
OR(ISNUMBER(SEARCH("snap trap",E431)),ISNUMBER(SEARCH("power-kill",E431)),ISNUMBER(SEARCH("wide pedal",E431)),ISNUMBER(SEARCH("metal pedal",E431))),"Snap Traps",
OR(ISNUMBER(SEARCH("electronic",E431)),ISNUMBER(SEARCH("zapper",E431))),"Electronic Traps",
OR(ISNUMBER(SEARCH("live catch",E431)),ISNUMBER(SEARCH("multi-catch",E431)),ISNUMBER(SEARCH("catch &amp; hold",E431)),ISNUMBER(SEARCH("tin cat",E431))),"Live Catch Traps",
OR(ISNUMBER(SEARCH("bait",E431)),ISNUMBER(SEARCH("poison",E431))),"Bait &amp; Poison",
ISNUMBER(SEARCH("repellent",E431)),"Repellents",
OR(ISNUMBER(SEARCH("fly trap",E431)),ISNUMBER(SEARCH("fly ribbon",E431)),ISNUMBER(SEARCH("fly stick",E431)),ISNUMBER(SEARCH("window fly",E431)),ISNUMBER(SEARCH("fly magnet",E431))),"Fly Traps",
OR(ISNUMBER(SEARCH("uv",E431)),ISNUMBER(SEARCH("fly light",E431)),ISNUMBER(SEARCH("plug-in",E431))),"UV Fly Traps",
ISNUMBER(SEARCH("roach",E431)),"Roach Traps",
ISNUMBER(SEARCH("ant",E431)),"Ant Traps",
ISNUMBER(SEARCH("spider",E431)),"Spider Traps",
ISNUMBER(SEARCH("mosquito",E431)),"Mosquito Traps",
ISNUMBER(SEARCH("beetle",E431)),"Beetle Traps",
ISNUMBER(SEARCH("lantern",E431)),"Lanternfly Control",
OR(ISNUMBER(SEARCH("tree shield",E431)),ISNUMBER(SEARCH("tree banding",E431)),ISNUMBER(SEARCH("insect barrier",E431))),"Tree Barriers",
OR(ISNUMBER(SEARCH("sun &amp; shade",E431)),ISNUMBER(SEARCH("sun and shade",E431))),"Sun &amp; Shade Mix",
ISNUMBER(SEARCH("tall fescue",E431)),"Tall Fescue",
ISNUMBER(SEARCH("bermudagrass",E431)),"Bermudagrass",
ISNUMBER(SEARCH("kentucky",E431)),"Kentucky Bluegrass",
ISNUMBER(SEARCH("zoysia",E431)),"Zoysia",
ISNUMBER(SEARCH("ryegrass",E431)),"Perennial Ryegrass",
ISNUMBER(SEARCH("centipede",E431)),"Centipede Grass",
ISNUMBER(SEARCH("dense shade",E431)),"Dense Shade Mix",
ISNUMBER(SEARCH("southern gold",E431)),"Southern Gold Mix",
ISNUMBER(SEARCH("heat-tolerant blue",E431)),"Heat-Tolerant Blue Mix",
ISNUMBER(SEARCH("high traffic",E431)),"High Traffic Mix",
ISNUMBER(SEARCH("quick fix",E431)),"Quick Fix Mix",
ISNUMBER(SEARCH("starter",E431)),"Starter Fertilizer",
ISNUMBER(SEARCH("weed &amp; feed",E431)),"Weed &amp; Feed",
ISNUMBER(SEARCH("lawn food",E431)),"Lawn Food",
ISNUMBER(SEARCH("triple action",E431)),"Triple Action Fertilizer",
ISNUMBER(SEARCH("green max",E431)),"Green Max Lawn Food",
ISNUMBER(SEARCH("patchmaster",E431)),"PatchMaster Repair",
ISNUMBER(SEARCH("ez seed",E431)),"EZ Seed Repair",
ISNUMBER(SEARCH("rapid grass",E431)),"Rapid Grass",
ISNUMBER(SEARCH("thick'r lawn",E431)),"Thick'R Lawn",
ISNUMBER(SEARCH("fungicide",E431)),"Fungicide",
ISNUMBER(SEARCH("moss",E431)),"Moss Control",
ISNUMBER(SEARCH("perlite",E431)),"Perlite",
ISNUMBER(SEARCH("plant food",E431)),"Plant Food",
ISNUMBER(SEARCH("spreader",E431)),"Spreader",
ISNUMBER(SEARCH("sprayer",E431)),"Sprayer",
ISNUMBER(SEARCH("mower",E431)),"Lawn Mower",
ISNUMBER(SEARCH("sweeper",E431)),"Lawn Sweeper",
OR(ISNUMBER(SEARCH("pruner",E431)),ISNUMBER(SEARCH("trimmer",E431)),ISNUMBER(SEARCH("pole saw",E431))),"Pruning Tools",
TRUE,"Other"
)</f>
        <v>Other</v>
      </c>
      <c r="J431" s="7" t="str">
        <f t="shared" si="108"/>
        <v>Rodent Control - Other</v>
      </c>
      <c r="K431" s="4">
        <v>300</v>
      </c>
      <c r="L431" s="4">
        <v>4.3</v>
      </c>
      <c r="M431" s="4">
        <v>4124</v>
      </c>
      <c r="N431" s="4" t="s">
        <v>1202</v>
      </c>
      <c r="O431" s="4">
        <f>VLOOKUP(A431,'[6]Monthly Sold'!$A:$B,2,0)</f>
        <v>0</v>
      </c>
      <c r="P431" s="4">
        <f>VLOOKUP(A431,'[6]Monthly Sold'!$A:$M,3,0)</f>
        <v>0</v>
      </c>
      <c r="Q431" s="4">
        <f>VLOOKUP(A431,'[6]Monthly Sold'!$A:$M,4,0)</f>
        <v>0</v>
      </c>
      <c r="R431" s="4">
        <f>VLOOKUP(A431,'[6]Monthly Sold'!$A:$M,5,0)</f>
        <v>0</v>
      </c>
      <c r="S431" s="4">
        <f>VLOOKUP(A431,'[6]Monthly Sold'!$A:$M,6,0)</f>
        <v>0</v>
      </c>
      <c r="T431" s="4">
        <f>VLOOKUP(A431,'[6]Monthly Sold'!$A:$M,7,0)</f>
        <v>200</v>
      </c>
      <c r="U431" s="4">
        <f>VLOOKUP(A431,'[6]Monthly Sold'!$A:$M,8,0)</f>
        <v>200</v>
      </c>
      <c r="V431" s="4">
        <f>VLOOKUP(A431,'[6]Monthly Sold'!$A:$M,9,0)</f>
        <v>200</v>
      </c>
      <c r="W431" s="4">
        <f>VLOOKUP(A431,'[6]Monthly Sold'!$A:$M,10,0)</f>
        <v>200</v>
      </c>
      <c r="X431" s="4">
        <f>VLOOKUP(A431,'[6]Monthly Sold'!$A:$M,11,0)</f>
        <v>0</v>
      </c>
      <c r="Y431" s="4">
        <f>VLOOKUP(A431,'[6]Monthly Sold'!$A:$M,12,0)</f>
        <v>0</v>
      </c>
      <c r="Z431" s="4">
        <f>VLOOKUP(A431,'[6]Monthly Sold'!$A:$M,13,0)</f>
        <v>0</v>
      </c>
      <c r="AA431" s="4">
        <f t="shared" si="118"/>
        <v>800</v>
      </c>
      <c r="AB431" s="7">
        <f t="shared" si="109"/>
        <v>67</v>
      </c>
      <c r="AC431" s="15">
        <f t="shared" si="119"/>
        <v>66.666666666666671</v>
      </c>
      <c r="AD431" s="16">
        <f t="shared" si="120"/>
        <v>19584</v>
      </c>
      <c r="AE431" s="16">
        <f t="shared" si="121"/>
        <v>1632.0000000000002</v>
      </c>
      <c r="AF431" s="21">
        <v>6.6</v>
      </c>
      <c r="AG431" s="21">
        <v>24.48</v>
      </c>
      <c r="AH431" s="15">
        <f t="shared" si="122"/>
        <v>0.14613333333333323</v>
      </c>
      <c r="AI431" s="15">
        <f t="shared" si="123"/>
        <v>0.51146666666666629</v>
      </c>
      <c r="AJ431" s="10">
        <v>0.5</v>
      </c>
      <c r="AK431" s="10">
        <v>0.5</v>
      </c>
      <c r="AL431" s="21">
        <v>6.6</v>
      </c>
      <c r="AM431" s="9">
        <f t="shared" si="110"/>
        <v>3.6719999999999997</v>
      </c>
      <c r="AN431" s="9">
        <f t="shared" si="111"/>
        <v>0.73439999999999994</v>
      </c>
      <c r="AO431" s="9">
        <f t="shared" si="112"/>
        <v>4.8960000000000008</v>
      </c>
      <c r="AP431" s="9">
        <f t="shared" si="113"/>
        <v>0.48960000000000004</v>
      </c>
      <c r="AQ431" s="9">
        <f t="shared" si="114"/>
        <v>4.8960000000000008</v>
      </c>
      <c r="AR431" s="9">
        <f t="shared" si="115"/>
        <v>6.12</v>
      </c>
      <c r="AS431" s="11">
        <f t="shared" si="116"/>
        <v>1.4613333333333323</v>
      </c>
      <c r="AT431" s="12">
        <f t="shared" si="117"/>
        <v>0.64533333333333276</v>
      </c>
    </row>
    <row r="432" spans="1:46" ht="16.5" x14ac:dyDescent="0.4">
      <c r="A432" s="4" t="s">
        <v>1846</v>
      </c>
      <c r="B432" s="4" t="s">
        <v>1895</v>
      </c>
      <c r="C432" s="4" t="s">
        <v>1785</v>
      </c>
      <c r="D432" s="4" t="s">
        <v>2032</v>
      </c>
      <c r="E432" s="4" t="s">
        <v>2033</v>
      </c>
      <c r="F432" s="4" t="s">
        <v>2034</v>
      </c>
      <c r="G432" s="7" t="str">
        <f>VLOOKUP(A432,[1]done!$A:$I,9,0)</f>
        <v>Rodent</v>
      </c>
      <c r="H432" s="7" t="str" cm="1">
        <f t="array" ref="H432">_xlfn.IFS(
OR(ISNUMBER(SEARCH("mouse",E432)),ISNUMBER(SEARCH("rat",E432)),ISNUMBER(SEARCH("mice",E432)),ISNUMBER(SEARCH("rodent",E432))),"Rodent Control",
OR(ISNUMBER(SEARCH("fly",E432)),ISNUMBER(SEARCH("gnat",E432)),ISNUMBER(SEARCH("insect",E432)),ISNUMBER(SEARCH("mosquito",E432))),"Flying Insect Control",
OR(ISNUMBER(SEARCH("roach",E432)),ISNUMBER(SEARCH("ant",E432)),ISNUMBER(SEARCH("spider",E432)),ISNUMBER(SEARCH("cricket",E432)),ISNUMBER(SEARCH("scorpion",E432)),ISNUMBER(SEARCH("centipede",E432)),ISNUMBER(SEARCH("beetle",E432))),"Crawling Insect Control",
OR(ISNUMBER(SEARCH("tree",E432)),ISNUMBER(SEARCH("lantern",E432)),ISNUMBER(SEARCH("garden",E432)),ISNUMBER(SEARCH("plant",E432))),"Garden Pest Control",
OR(ISNUMBER(SEARCH("grass seed",E432)),ISNUMBER(SEARCH("seed mix",E432))),"Grass Seed",
OR(ISNUMBER(SEARCH("lawn food",E432)),ISNUMBER(SEARCH("fertilizer",E432))),"Lawn Fertilizer",
OR(ISNUMBER(SEARCH("patch",E432)),ISNUMBER(SEARCH("repair",E432)),ISNUMBER(SEARCH("thick'r",E432)),ISNUMBER(SEARCH("thick'r lawn",E432)),ISNUMBER(SEARCH("rapid grass",E432))),"Lawn Repair",
OR(ISNUMBER(SEARCH("weed",E432)),ISNUMBER(SEARCH("crabgrass",E432))),"Weed Control",
OR(ISNUMBER(SEARCH("fungicide",E432)),ISNUMBER(SEARCH("moss",E432))),"Disease &amp; Moss Control",
OR(ISNUMBER(SEARCH("plant food",E432)),ISNUMBER(SEARCH("miracid",E432))),"Plant Nutrition",
OR(ISNUMBER(SEARCH("perlite",E432))),"Soil Amendment",
OR(ISNUMBER(SEARCH("spreader",E432)),ISNUMBER(SEARCH("sprayer",E432)),ISNUMBER(SEARCH("mower",E432)),ISNUMBER(SEARCH("sweeper",E432)),ISNUMBER(SEARCH("pruner",E432)),ISNUMBER(SEARCH("trimmer",E432)),ISNUMBER(SEARCH("pole saw",E432))),"Garden Equipment",
TRUE,"Other"
)</f>
        <v>Rodent Control</v>
      </c>
      <c r="I432" s="7" t="str" cm="1">
        <f t="array" ref="I432">_xlfn.IFS(
OR(ISNUMBER(SEARCH("glue trap",E432)),ISNUMBER(SEARCH("glue board",E432))),"Glue Traps",
OR(ISNUMBER(SEARCH("snap trap",E432)),ISNUMBER(SEARCH("power-kill",E432)),ISNUMBER(SEARCH("wide pedal",E432)),ISNUMBER(SEARCH("metal pedal",E432))),"Snap Traps",
OR(ISNUMBER(SEARCH("electronic",E432)),ISNUMBER(SEARCH("zapper",E432))),"Electronic Traps",
OR(ISNUMBER(SEARCH("live catch",E432)),ISNUMBER(SEARCH("multi-catch",E432)),ISNUMBER(SEARCH("catch &amp; hold",E432)),ISNUMBER(SEARCH("tin cat",E432))),"Live Catch Traps",
OR(ISNUMBER(SEARCH("bait",E432)),ISNUMBER(SEARCH("poison",E432))),"Bait &amp; Poison",
ISNUMBER(SEARCH("repellent",E432)),"Repellents",
OR(ISNUMBER(SEARCH("fly trap",E432)),ISNUMBER(SEARCH("fly ribbon",E432)),ISNUMBER(SEARCH("fly stick",E432)),ISNUMBER(SEARCH("window fly",E432)),ISNUMBER(SEARCH("fly magnet",E432))),"Fly Traps",
OR(ISNUMBER(SEARCH("uv",E432)),ISNUMBER(SEARCH("fly light",E432)),ISNUMBER(SEARCH("plug-in",E432))),"UV Fly Traps",
ISNUMBER(SEARCH("roach",E432)),"Roach Traps",
ISNUMBER(SEARCH("ant",E432)),"Ant Traps",
ISNUMBER(SEARCH("spider",E432)),"Spider Traps",
ISNUMBER(SEARCH("mosquito",E432)),"Mosquito Traps",
ISNUMBER(SEARCH("beetle",E432)),"Beetle Traps",
ISNUMBER(SEARCH("lantern",E432)),"Lanternfly Control",
OR(ISNUMBER(SEARCH("tree shield",E432)),ISNUMBER(SEARCH("tree banding",E432)),ISNUMBER(SEARCH("insect barrier",E432))),"Tree Barriers",
OR(ISNUMBER(SEARCH("sun &amp; shade",E432)),ISNUMBER(SEARCH("sun and shade",E432))),"Sun &amp; Shade Mix",
ISNUMBER(SEARCH("tall fescue",E432)),"Tall Fescue",
ISNUMBER(SEARCH("bermudagrass",E432)),"Bermudagrass",
ISNUMBER(SEARCH("kentucky",E432)),"Kentucky Bluegrass",
ISNUMBER(SEARCH("zoysia",E432)),"Zoysia",
ISNUMBER(SEARCH("ryegrass",E432)),"Perennial Ryegrass",
ISNUMBER(SEARCH("centipede",E432)),"Centipede Grass",
ISNUMBER(SEARCH("dense shade",E432)),"Dense Shade Mix",
ISNUMBER(SEARCH("southern gold",E432)),"Southern Gold Mix",
ISNUMBER(SEARCH("heat-tolerant blue",E432)),"Heat-Tolerant Blue Mix",
ISNUMBER(SEARCH("high traffic",E432)),"High Traffic Mix",
ISNUMBER(SEARCH("quick fix",E432)),"Quick Fix Mix",
ISNUMBER(SEARCH("starter",E432)),"Starter Fertilizer",
ISNUMBER(SEARCH("weed &amp; feed",E432)),"Weed &amp; Feed",
ISNUMBER(SEARCH("lawn food",E432)),"Lawn Food",
ISNUMBER(SEARCH("triple action",E432)),"Triple Action Fertilizer",
ISNUMBER(SEARCH("green max",E432)),"Green Max Lawn Food",
ISNUMBER(SEARCH("patchmaster",E432)),"PatchMaster Repair",
ISNUMBER(SEARCH("ez seed",E432)),"EZ Seed Repair",
ISNUMBER(SEARCH("rapid grass",E432)),"Rapid Grass",
ISNUMBER(SEARCH("thick'r lawn",E432)),"Thick'R Lawn",
ISNUMBER(SEARCH("fungicide",E432)),"Fungicide",
ISNUMBER(SEARCH("moss",E432)),"Moss Control",
ISNUMBER(SEARCH("perlite",E432)),"Perlite",
ISNUMBER(SEARCH("plant food",E432)),"Plant Food",
ISNUMBER(SEARCH("spreader",E432)),"Spreader",
ISNUMBER(SEARCH("sprayer",E432)),"Sprayer",
ISNUMBER(SEARCH("mower",E432)),"Lawn Mower",
ISNUMBER(SEARCH("sweeper",E432)),"Lawn Sweeper",
OR(ISNUMBER(SEARCH("pruner",E432)),ISNUMBER(SEARCH("trimmer",E432)),ISNUMBER(SEARCH("pole saw",E432))),"Pruning Tools",
TRUE,"Other"
)</f>
        <v>Repellents</v>
      </c>
      <c r="J432" s="7" t="str">
        <f t="shared" si="108"/>
        <v>Rodent Control - Repellents</v>
      </c>
      <c r="K432" s="4">
        <v>300</v>
      </c>
      <c r="L432" s="4">
        <v>4.0999999999999996</v>
      </c>
      <c r="M432" s="4">
        <v>163</v>
      </c>
      <c r="N432" s="4" t="s">
        <v>579</v>
      </c>
      <c r="O432" s="4">
        <f>VLOOKUP(A432,'[6]Monthly Sold'!$A:$B,2,0)</f>
        <v>200</v>
      </c>
      <c r="P432" s="4">
        <f>VLOOKUP(A432,'[6]Monthly Sold'!$A:$M,3,0)</f>
        <v>300</v>
      </c>
      <c r="Q432" s="4">
        <f>VLOOKUP(A432,'[6]Monthly Sold'!$A:$M,4,0)</f>
        <v>600</v>
      </c>
      <c r="R432" s="4">
        <f>VLOOKUP(A432,'[6]Monthly Sold'!$A:$M,5,0)</f>
        <v>200</v>
      </c>
      <c r="S432" s="4">
        <f>VLOOKUP(A432,'[6]Monthly Sold'!$A:$M,6,0)</f>
        <v>200</v>
      </c>
      <c r="T432" s="4">
        <f>VLOOKUP(A432,'[6]Monthly Sold'!$A:$M,7,0)</f>
        <v>200</v>
      </c>
      <c r="U432" s="4">
        <f>VLOOKUP(A432,'[6]Monthly Sold'!$A:$M,8,0)</f>
        <v>200</v>
      </c>
      <c r="V432" s="4">
        <f>VLOOKUP(A432,'[6]Monthly Sold'!$A:$M,9,0)</f>
        <v>200</v>
      </c>
      <c r="W432" s="4">
        <f>VLOOKUP(A432,'[6]Monthly Sold'!$A:$M,10,0)</f>
        <v>200</v>
      </c>
      <c r="X432" s="4">
        <f>VLOOKUP(A432,'[6]Monthly Sold'!$A:$M,11,0)</f>
        <v>600</v>
      </c>
      <c r="Y432" s="4">
        <f>VLOOKUP(A432,'[6]Monthly Sold'!$A:$M,12,0)</f>
        <v>900</v>
      </c>
      <c r="Z432" s="4">
        <f>VLOOKUP(A432,'[6]Monthly Sold'!$A:$M,13,0)</f>
        <v>1000</v>
      </c>
      <c r="AA432" s="4">
        <f t="shared" si="118"/>
        <v>4800</v>
      </c>
      <c r="AB432" s="7">
        <f t="shared" si="109"/>
        <v>400</v>
      </c>
      <c r="AC432" s="15">
        <f t="shared" si="119"/>
        <v>400</v>
      </c>
      <c r="AD432" s="16">
        <f t="shared" si="120"/>
        <v>54672</v>
      </c>
      <c r="AE432" s="16">
        <f t="shared" si="121"/>
        <v>4556</v>
      </c>
      <c r="AF432" s="21">
        <v>4.28</v>
      </c>
      <c r="AG432" s="21">
        <v>11.39</v>
      </c>
      <c r="AH432" s="15">
        <f t="shared" si="122"/>
        <v>-4.8266666666666652E-2</v>
      </c>
      <c r="AI432" s="15">
        <f t="shared" si="123"/>
        <v>-0.16893333333333327</v>
      </c>
      <c r="AJ432" s="10">
        <v>0.5</v>
      </c>
      <c r="AK432" s="10">
        <v>0.5</v>
      </c>
      <c r="AL432" s="21">
        <v>4.28</v>
      </c>
      <c r="AM432" s="9">
        <f t="shared" si="110"/>
        <v>1.7085000000000001</v>
      </c>
      <c r="AN432" s="9">
        <f t="shared" si="111"/>
        <v>0.3417</v>
      </c>
      <c r="AO432" s="9">
        <f t="shared" si="112"/>
        <v>2.278</v>
      </c>
      <c r="AP432" s="9">
        <f t="shared" si="113"/>
        <v>0.2278</v>
      </c>
      <c r="AQ432" s="9">
        <f t="shared" si="114"/>
        <v>2.278</v>
      </c>
      <c r="AR432" s="9">
        <f t="shared" si="115"/>
        <v>2.8475000000000001</v>
      </c>
      <c r="AS432" s="11">
        <f t="shared" si="116"/>
        <v>-0.48266666666666652</v>
      </c>
      <c r="AT432" s="12">
        <f t="shared" si="117"/>
        <v>-0.86233333333333329</v>
      </c>
    </row>
    <row r="433" spans="1:46" ht="16.5" x14ac:dyDescent="0.4">
      <c r="A433" s="4" t="s">
        <v>1847</v>
      </c>
      <c r="B433" s="4" t="s">
        <v>1895</v>
      </c>
      <c r="C433" s="4" t="s">
        <v>1784</v>
      </c>
      <c r="D433" s="4" t="s">
        <v>2035</v>
      </c>
      <c r="E433" s="4" t="s">
        <v>2036</v>
      </c>
      <c r="F433" s="4" t="s">
        <v>2037</v>
      </c>
      <c r="G433" s="7" t="str">
        <f>VLOOKUP(A433,[1]done!$A:$I,9,0)</f>
        <v>Rodent</v>
      </c>
      <c r="H433" s="7" t="str" cm="1">
        <f t="array" ref="H433">_xlfn.IFS(
OR(ISNUMBER(SEARCH("mouse",E433)),ISNUMBER(SEARCH("rat",E433)),ISNUMBER(SEARCH("mice",E433)),ISNUMBER(SEARCH("rodent",E433))),"Rodent Control",
OR(ISNUMBER(SEARCH("fly",E433)),ISNUMBER(SEARCH("gnat",E433)),ISNUMBER(SEARCH("insect",E433)),ISNUMBER(SEARCH("mosquito",E433))),"Flying Insect Control",
OR(ISNUMBER(SEARCH("roach",E433)),ISNUMBER(SEARCH("ant",E433)),ISNUMBER(SEARCH("spider",E433)),ISNUMBER(SEARCH("cricket",E433)),ISNUMBER(SEARCH("scorpion",E433)),ISNUMBER(SEARCH("centipede",E433)),ISNUMBER(SEARCH("beetle",E433))),"Crawling Insect Control",
OR(ISNUMBER(SEARCH("tree",E433)),ISNUMBER(SEARCH("lantern",E433)),ISNUMBER(SEARCH("garden",E433)),ISNUMBER(SEARCH("plant",E433))),"Garden Pest Control",
OR(ISNUMBER(SEARCH("grass seed",E433)),ISNUMBER(SEARCH("seed mix",E433))),"Grass Seed",
OR(ISNUMBER(SEARCH("lawn food",E433)),ISNUMBER(SEARCH("fertilizer",E433))),"Lawn Fertilizer",
OR(ISNUMBER(SEARCH("patch",E433)),ISNUMBER(SEARCH("repair",E433)),ISNUMBER(SEARCH("thick'r",E433)),ISNUMBER(SEARCH("thick'r lawn",E433)),ISNUMBER(SEARCH("rapid grass",E433))),"Lawn Repair",
OR(ISNUMBER(SEARCH("weed",E433)),ISNUMBER(SEARCH("crabgrass",E433))),"Weed Control",
OR(ISNUMBER(SEARCH("fungicide",E433)),ISNUMBER(SEARCH("moss",E433))),"Disease &amp; Moss Control",
OR(ISNUMBER(SEARCH("plant food",E433)),ISNUMBER(SEARCH("miracid",E433))),"Plant Nutrition",
OR(ISNUMBER(SEARCH("perlite",E433))),"Soil Amendment",
OR(ISNUMBER(SEARCH("spreader",E433)),ISNUMBER(SEARCH("sprayer",E433)),ISNUMBER(SEARCH("mower",E433)),ISNUMBER(SEARCH("sweeper",E433)),ISNUMBER(SEARCH("pruner",E433)),ISNUMBER(SEARCH("trimmer",E433)),ISNUMBER(SEARCH("pole saw",E433))),"Garden Equipment",
TRUE,"Other"
)</f>
        <v>Rodent Control</v>
      </c>
      <c r="I433" s="7" t="str" cm="1">
        <f t="array" ref="I433">_xlfn.IFS(
OR(ISNUMBER(SEARCH("glue trap",E433)),ISNUMBER(SEARCH("glue board",E433))),"Glue Traps",
OR(ISNUMBER(SEARCH("snap trap",E433)),ISNUMBER(SEARCH("power-kill",E433)),ISNUMBER(SEARCH("wide pedal",E433)),ISNUMBER(SEARCH("metal pedal",E433))),"Snap Traps",
OR(ISNUMBER(SEARCH("electronic",E433)),ISNUMBER(SEARCH("zapper",E433))),"Electronic Traps",
OR(ISNUMBER(SEARCH("live catch",E433)),ISNUMBER(SEARCH("multi-catch",E433)),ISNUMBER(SEARCH("catch &amp; hold",E433)),ISNUMBER(SEARCH("tin cat",E433))),"Live Catch Traps",
OR(ISNUMBER(SEARCH("bait",E433)),ISNUMBER(SEARCH("poison",E433))),"Bait &amp; Poison",
ISNUMBER(SEARCH("repellent",E433)),"Repellents",
OR(ISNUMBER(SEARCH("fly trap",E433)),ISNUMBER(SEARCH("fly ribbon",E433)),ISNUMBER(SEARCH("fly stick",E433)),ISNUMBER(SEARCH("window fly",E433)),ISNUMBER(SEARCH("fly magnet",E433))),"Fly Traps",
OR(ISNUMBER(SEARCH("uv",E433)),ISNUMBER(SEARCH("fly light",E433)),ISNUMBER(SEARCH("plug-in",E433))),"UV Fly Traps",
ISNUMBER(SEARCH("roach",E433)),"Roach Traps",
ISNUMBER(SEARCH("ant",E433)),"Ant Traps",
ISNUMBER(SEARCH("spider",E433)),"Spider Traps",
ISNUMBER(SEARCH("mosquito",E433)),"Mosquito Traps",
ISNUMBER(SEARCH("beetle",E433)),"Beetle Traps",
ISNUMBER(SEARCH("lantern",E433)),"Lanternfly Control",
OR(ISNUMBER(SEARCH("tree shield",E433)),ISNUMBER(SEARCH("tree banding",E433)),ISNUMBER(SEARCH("insect barrier",E433))),"Tree Barriers",
OR(ISNUMBER(SEARCH("sun &amp; shade",E433)),ISNUMBER(SEARCH("sun and shade",E433))),"Sun &amp; Shade Mix",
ISNUMBER(SEARCH("tall fescue",E433)),"Tall Fescue",
ISNUMBER(SEARCH("bermudagrass",E433)),"Bermudagrass",
ISNUMBER(SEARCH("kentucky",E433)),"Kentucky Bluegrass",
ISNUMBER(SEARCH("zoysia",E433)),"Zoysia",
ISNUMBER(SEARCH("ryegrass",E433)),"Perennial Ryegrass",
ISNUMBER(SEARCH("centipede",E433)),"Centipede Grass",
ISNUMBER(SEARCH("dense shade",E433)),"Dense Shade Mix",
ISNUMBER(SEARCH("southern gold",E433)),"Southern Gold Mix",
ISNUMBER(SEARCH("heat-tolerant blue",E433)),"Heat-Tolerant Blue Mix",
ISNUMBER(SEARCH("high traffic",E433)),"High Traffic Mix",
ISNUMBER(SEARCH("quick fix",E433)),"Quick Fix Mix",
ISNUMBER(SEARCH("starter",E433)),"Starter Fertilizer",
ISNUMBER(SEARCH("weed &amp; feed",E433)),"Weed &amp; Feed",
ISNUMBER(SEARCH("lawn food",E433)),"Lawn Food",
ISNUMBER(SEARCH("triple action",E433)),"Triple Action Fertilizer",
ISNUMBER(SEARCH("green max",E433)),"Green Max Lawn Food",
ISNUMBER(SEARCH("patchmaster",E433)),"PatchMaster Repair",
ISNUMBER(SEARCH("ez seed",E433)),"EZ Seed Repair",
ISNUMBER(SEARCH("rapid grass",E433)),"Rapid Grass",
ISNUMBER(SEARCH("thick'r lawn",E433)),"Thick'R Lawn",
ISNUMBER(SEARCH("fungicide",E433)),"Fungicide",
ISNUMBER(SEARCH("moss",E433)),"Moss Control",
ISNUMBER(SEARCH("perlite",E433)),"Perlite",
ISNUMBER(SEARCH("plant food",E433)),"Plant Food",
ISNUMBER(SEARCH("spreader",E433)),"Spreader",
ISNUMBER(SEARCH("sprayer",E433)),"Sprayer",
ISNUMBER(SEARCH("mower",E433)),"Lawn Mower",
ISNUMBER(SEARCH("sweeper",E433)),"Lawn Sweeper",
OR(ISNUMBER(SEARCH("pruner",E433)),ISNUMBER(SEARCH("trimmer",E433)),ISNUMBER(SEARCH("pole saw",E433))),"Pruning Tools",
TRUE,"Other"
)</f>
        <v>Repellents</v>
      </c>
      <c r="J433" s="7" t="str">
        <f t="shared" si="108"/>
        <v>Rodent Control - Repellents</v>
      </c>
      <c r="K433" s="4">
        <v>300</v>
      </c>
      <c r="L433" s="4">
        <v>4.3</v>
      </c>
      <c r="M433" s="4">
        <v>135</v>
      </c>
      <c r="N433" s="4" t="s">
        <v>2038</v>
      </c>
      <c r="O433" s="4">
        <f>VLOOKUP(A433,'[6]Monthly Sold'!$A:$B,2,0)</f>
        <v>100</v>
      </c>
      <c r="P433" s="4">
        <f>VLOOKUP(A433,'[6]Monthly Sold'!$A:$M,3,0)</f>
        <v>50</v>
      </c>
      <c r="Q433" s="4">
        <f>VLOOKUP(A433,'[6]Monthly Sold'!$A:$M,4,0)</f>
        <v>50</v>
      </c>
      <c r="R433" s="4">
        <f>VLOOKUP(A433,'[6]Monthly Sold'!$A:$M,5,0)</f>
        <v>50</v>
      </c>
      <c r="S433" s="4">
        <f>VLOOKUP(A433,'[6]Monthly Sold'!$A:$M,6,0)</f>
        <v>50</v>
      </c>
      <c r="T433" s="4">
        <f>VLOOKUP(A433,'[6]Monthly Sold'!$A:$M,7,0)</f>
        <v>100</v>
      </c>
      <c r="U433" s="4">
        <f>VLOOKUP(A433,'[6]Monthly Sold'!$A:$M,8,0)</f>
        <v>100</v>
      </c>
      <c r="V433" s="4">
        <f>VLOOKUP(A433,'[6]Monthly Sold'!$A:$M,9,0)</f>
        <v>100</v>
      </c>
      <c r="W433" s="4">
        <f>VLOOKUP(A433,'[6]Monthly Sold'!$A:$M,10,0)</f>
        <v>200</v>
      </c>
      <c r="X433" s="4">
        <f>VLOOKUP(A433,'[6]Monthly Sold'!$A:$M,11,0)</f>
        <v>200</v>
      </c>
      <c r="Y433" s="4">
        <f>VLOOKUP(A433,'[6]Monthly Sold'!$A:$M,12,0)</f>
        <v>300</v>
      </c>
      <c r="Z433" s="4">
        <f>VLOOKUP(A433,'[6]Monthly Sold'!$A:$M,13,0)</f>
        <v>100</v>
      </c>
      <c r="AA433" s="4">
        <f t="shared" si="118"/>
        <v>1400</v>
      </c>
      <c r="AB433" s="7">
        <f t="shared" si="109"/>
        <v>117</v>
      </c>
      <c r="AC433" s="15">
        <f t="shared" si="119"/>
        <v>116.66666666666667</v>
      </c>
      <c r="AD433" s="16">
        <f t="shared" si="120"/>
        <v>69972</v>
      </c>
      <c r="AE433" s="16">
        <f t="shared" si="121"/>
        <v>5831</v>
      </c>
      <c r="AF433" s="21">
        <v>17.489999999999998</v>
      </c>
      <c r="AG433" s="21">
        <v>49.98</v>
      </c>
      <c r="AH433" s="15">
        <f t="shared" si="122"/>
        <v>0.10013333333333314</v>
      </c>
      <c r="AI433" s="15">
        <f t="shared" si="123"/>
        <v>0.35046666666666598</v>
      </c>
      <c r="AJ433" s="10">
        <v>0.5</v>
      </c>
      <c r="AK433" s="10">
        <v>0.5</v>
      </c>
      <c r="AL433" s="21">
        <v>17.489999999999998</v>
      </c>
      <c r="AM433" s="9">
        <f t="shared" si="110"/>
        <v>7.496999999999999</v>
      </c>
      <c r="AN433" s="9">
        <f t="shared" si="111"/>
        <v>1.4993999999999998</v>
      </c>
      <c r="AO433" s="9">
        <f t="shared" si="112"/>
        <v>9.9960000000000004</v>
      </c>
      <c r="AP433" s="9">
        <f t="shared" si="113"/>
        <v>0.99959999999999993</v>
      </c>
      <c r="AQ433" s="9">
        <f t="shared" si="114"/>
        <v>9.9960000000000004</v>
      </c>
      <c r="AR433" s="9">
        <f t="shared" si="115"/>
        <v>12.494999999999999</v>
      </c>
      <c r="AS433" s="11">
        <f t="shared" si="116"/>
        <v>1.0013333333333314</v>
      </c>
      <c r="AT433" s="12">
        <f t="shared" si="117"/>
        <v>-0.66466666666666774</v>
      </c>
    </row>
    <row r="434" spans="1:46" ht="16.5" x14ac:dyDescent="0.4">
      <c r="A434" s="4" t="s">
        <v>1848</v>
      </c>
      <c r="B434" s="4" t="s">
        <v>1895</v>
      </c>
      <c r="C434" s="4" t="s">
        <v>2039</v>
      </c>
      <c r="D434" s="4" t="s">
        <v>2040</v>
      </c>
      <c r="E434" s="4" t="s">
        <v>2041</v>
      </c>
      <c r="F434" s="4" t="s">
        <v>2042</v>
      </c>
      <c r="G434" s="7" t="str">
        <f>VLOOKUP(A434,[1]done!$A:$I,9,0)</f>
        <v>Rodent</v>
      </c>
      <c r="H434" s="7" t="str" cm="1">
        <f t="array" ref="H434">_xlfn.IFS(
OR(ISNUMBER(SEARCH("mouse",E434)),ISNUMBER(SEARCH("rat",E434)),ISNUMBER(SEARCH("mice",E434)),ISNUMBER(SEARCH("rodent",E434))),"Rodent Control",
OR(ISNUMBER(SEARCH("fly",E434)),ISNUMBER(SEARCH("gnat",E434)),ISNUMBER(SEARCH("insect",E434)),ISNUMBER(SEARCH("mosquito",E434))),"Flying Insect Control",
OR(ISNUMBER(SEARCH("roach",E434)),ISNUMBER(SEARCH("ant",E434)),ISNUMBER(SEARCH("spider",E434)),ISNUMBER(SEARCH("cricket",E434)),ISNUMBER(SEARCH("scorpion",E434)),ISNUMBER(SEARCH("centipede",E434)),ISNUMBER(SEARCH("beetle",E434))),"Crawling Insect Control",
OR(ISNUMBER(SEARCH("tree",E434)),ISNUMBER(SEARCH("lantern",E434)),ISNUMBER(SEARCH("garden",E434)),ISNUMBER(SEARCH("plant",E434))),"Garden Pest Control",
OR(ISNUMBER(SEARCH("grass seed",E434)),ISNUMBER(SEARCH("seed mix",E434))),"Grass Seed",
OR(ISNUMBER(SEARCH("lawn food",E434)),ISNUMBER(SEARCH("fertilizer",E434))),"Lawn Fertilizer",
OR(ISNUMBER(SEARCH("patch",E434)),ISNUMBER(SEARCH("repair",E434)),ISNUMBER(SEARCH("thick'r",E434)),ISNUMBER(SEARCH("thick'r lawn",E434)),ISNUMBER(SEARCH("rapid grass",E434))),"Lawn Repair",
OR(ISNUMBER(SEARCH("weed",E434)),ISNUMBER(SEARCH("crabgrass",E434))),"Weed Control",
OR(ISNUMBER(SEARCH("fungicide",E434)),ISNUMBER(SEARCH("moss",E434))),"Disease &amp; Moss Control",
OR(ISNUMBER(SEARCH("plant food",E434)),ISNUMBER(SEARCH("miracid",E434))),"Plant Nutrition",
OR(ISNUMBER(SEARCH("perlite",E434))),"Soil Amendment",
OR(ISNUMBER(SEARCH("spreader",E434)),ISNUMBER(SEARCH("sprayer",E434)),ISNUMBER(SEARCH("mower",E434)),ISNUMBER(SEARCH("sweeper",E434)),ISNUMBER(SEARCH("pruner",E434)),ISNUMBER(SEARCH("trimmer",E434)),ISNUMBER(SEARCH("pole saw",E434))),"Garden Equipment",
TRUE,"Other"
)</f>
        <v>Rodent Control</v>
      </c>
      <c r="I434" s="7" t="str" cm="1">
        <f t="array" ref="I434">_xlfn.IFS(
OR(ISNUMBER(SEARCH("glue trap",E434)),ISNUMBER(SEARCH("glue board",E434))),"Glue Traps",
OR(ISNUMBER(SEARCH("snap trap",E434)),ISNUMBER(SEARCH("power-kill",E434)),ISNUMBER(SEARCH("wide pedal",E434)),ISNUMBER(SEARCH("metal pedal",E434))),"Snap Traps",
OR(ISNUMBER(SEARCH("electronic",E434)),ISNUMBER(SEARCH("zapper",E434))),"Electronic Traps",
OR(ISNUMBER(SEARCH("live catch",E434)),ISNUMBER(SEARCH("multi-catch",E434)),ISNUMBER(SEARCH("catch &amp; hold",E434)),ISNUMBER(SEARCH("tin cat",E434))),"Live Catch Traps",
OR(ISNUMBER(SEARCH("bait",E434)),ISNUMBER(SEARCH("poison",E434))),"Bait &amp; Poison",
ISNUMBER(SEARCH("repellent",E434)),"Repellents",
OR(ISNUMBER(SEARCH("fly trap",E434)),ISNUMBER(SEARCH("fly ribbon",E434)),ISNUMBER(SEARCH("fly stick",E434)),ISNUMBER(SEARCH("window fly",E434)),ISNUMBER(SEARCH("fly magnet",E434))),"Fly Traps",
OR(ISNUMBER(SEARCH("uv",E434)),ISNUMBER(SEARCH("fly light",E434)),ISNUMBER(SEARCH("plug-in",E434))),"UV Fly Traps",
ISNUMBER(SEARCH("roach",E434)),"Roach Traps",
ISNUMBER(SEARCH("ant",E434)),"Ant Traps",
ISNUMBER(SEARCH("spider",E434)),"Spider Traps",
ISNUMBER(SEARCH("mosquito",E434)),"Mosquito Traps",
ISNUMBER(SEARCH("beetle",E434)),"Beetle Traps",
ISNUMBER(SEARCH("lantern",E434)),"Lanternfly Control",
OR(ISNUMBER(SEARCH("tree shield",E434)),ISNUMBER(SEARCH("tree banding",E434)),ISNUMBER(SEARCH("insect barrier",E434))),"Tree Barriers",
OR(ISNUMBER(SEARCH("sun &amp; shade",E434)),ISNUMBER(SEARCH("sun and shade",E434))),"Sun &amp; Shade Mix",
ISNUMBER(SEARCH("tall fescue",E434)),"Tall Fescue",
ISNUMBER(SEARCH("bermudagrass",E434)),"Bermudagrass",
ISNUMBER(SEARCH("kentucky",E434)),"Kentucky Bluegrass",
ISNUMBER(SEARCH("zoysia",E434)),"Zoysia",
ISNUMBER(SEARCH("ryegrass",E434)),"Perennial Ryegrass",
ISNUMBER(SEARCH("centipede",E434)),"Centipede Grass",
ISNUMBER(SEARCH("dense shade",E434)),"Dense Shade Mix",
ISNUMBER(SEARCH("southern gold",E434)),"Southern Gold Mix",
ISNUMBER(SEARCH("heat-tolerant blue",E434)),"Heat-Tolerant Blue Mix",
ISNUMBER(SEARCH("high traffic",E434)),"High Traffic Mix",
ISNUMBER(SEARCH("quick fix",E434)),"Quick Fix Mix",
ISNUMBER(SEARCH("starter",E434)),"Starter Fertilizer",
ISNUMBER(SEARCH("weed &amp; feed",E434)),"Weed &amp; Feed",
ISNUMBER(SEARCH("lawn food",E434)),"Lawn Food",
ISNUMBER(SEARCH("triple action",E434)),"Triple Action Fertilizer",
ISNUMBER(SEARCH("green max",E434)),"Green Max Lawn Food",
ISNUMBER(SEARCH("patchmaster",E434)),"PatchMaster Repair",
ISNUMBER(SEARCH("ez seed",E434)),"EZ Seed Repair",
ISNUMBER(SEARCH("rapid grass",E434)),"Rapid Grass",
ISNUMBER(SEARCH("thick'r lawn",E434)),"Thick'R Lawn",
ISNUMBER(SEARCH("fungicide",E434)),"Fungicide",
ISNUMBER(SEARCH("moss",E434)),"Moss Control",
ISNUMBER(SEARCH("perlite",E434)),"Perlite",
ISNUMBER(SEARCH("plant food",E434)),"Plant Food",
ISNUMBER(SEARCH("spreader",E434)),"Spreader",
ISNUMBER(SEARCH("sprayer",E434)),"Sprayer",
ISNUMBER(SEARCH("mower",E434)),"Lawn Mower",
ISNUMBER(SEARCH("sweeper",E434)),"Lawn Sweeper",
OR(ISNUMBER(SEARCH("pruner",E434)),ISNUMBER(SEARCH("trimmer",E434)),ISNUMBER(SEARCH("pole saw",E434))),"Pruning Tools",
TRUE,"Other"
)</f>
        <v>Bait &amp; Poison</v>
      </c>
      <c r="J434" s="7" t="str">
        <f t="shared" si="108"/>
        <v>Rodent Control - Bait &amp; Poison</v>
      </c>
      <c r="K434" s="4">
        <v>300</v>
      </c>
      <c r="L434" s="4">
        <v>4.2</v>
      </c>
      <c r="M434" s="4">
        <v>222</v>
      </c>
      <c r="N434" s="4" t="s">
        <v>2043</v>
      </c>
      <c r="O434" s="4">
        <f>VLOOKUP(A434,'[6]Monthly Sold'!$A:$B,2,0)</f>
        <v>200</v>
      </c>
      <c r="P434" s="4">
        <f>VLOOKUP(A434,'[6]Monthly Sold'!$A:$M,3,0)</f>
        <v>100</v>
      </c>
      <c r="Q434" s="4">
        <f>VLOOKUP(A434,'[6]Monthly Sold'!$A:$M,4,0)</f>
        <v>200</v>
      </c>
      <c r="R434" s="4">
        <f>VLOOKUP(A434,'[6]Monthly Sold'!$A:$M,5,0)</f>
        <v>200</v>
      </c>
      <c r="S434" s="4">
        <f>VLOOKUP(A434,'[6]Monthly Sold'!$A:$M,6,0)</f>
        <v>300</v>
      </c>
      <c r="T434" s="4">
        <f>VLOOKUP(A434,'[6]Monthly Sold'!$A:$M,7,0)</f>
        <v>300</v>
      </c>
      <c r="U434" s="4">
        <f>VLOOKUP(A434,'[6]Monthly Sold'!$A:$M,8,0)</f>
        <v>200</v>
      </c>
      <c r="V434" s="4">
        <f>VLOOKUP(A434,'[6]Monthly Sold'!$A:$M,9,0)</f>
        <v>300</v>
      </c>
      <c r="W434" s="4">
        <f>VLOOKUP(A434,'[6]Monthly Sold'!$A:$M,10,0)</f>
        <v>300</v>
      </c>
      <c r="X434" s="4">
        <f>VLOOKUP(A434,'[6]Monthly Sold'!$A:$M,11,0)</f>
        <v>100</v>
      </c>
      <c r="Y434" s="4">
        <f>VLOOKUP(A434,'[6]Monthly Sold'!$A:$M,12,0)</f>
        <v>200</v>
      </c>
      <c r="Z434" s="4">
        <f>VLOOKUP(A434,'[6]Monthly Sold'!$A:$M,13,0)</f>
        <v>200</v>
      </c>
      <c r="AA434" s="4">
        <f t="shared" si="118"/>
        <v>2600</v>
      </c>
      <c r="AB434" s="7">
        <f t="shared" si="109"/>
        <v>217</v>
      </c>
      <c r="AC434" s="15">
        <f t="shared" si="119"/>
        <v>216.66666666666666</v>
      </c>
      <c r="AD434" s="16">
        <f t="shared" si="120"/>
        <v>93782</v>
      </c>
      <c r="AE434" s="16">
        <f t="shared" si="121"/>
        <v>7815.1666666666661</v>
      </c>
      <c r="AF434" s="21">
        <v>9.6199999999999992</v>
      </c>
      <c r="AG434" s="21">
        <v>36.07</v>
      </c>
      <c r="AH434" s="15">
        <f t="shared" si="122"/>
        <v>0.25386666666666663</v>
      </c>
      <c r="AI434" s="15">
        <f t="shared" si="123"/>
        <v>0.88853333333333318</v>
      </c>
      <c r="AJ434" s="10">
        <v>0.5</v>
      </c>
      <c r="AK434" s="10">
        <v>0.5</v>
      </c>
      <c r="AL434" s="21">
        <v>9.6199999999999992</v>
      </c>
      <c r="AM434" s="9">
        <f t="shared" si="110"/>
        <v>5.4104999999999999</v>
      </c>
      <c r="AN434" s="9">
        <f t="shared" si="111"/>
        <v>1.0821000000000001</v>
      </c>
      <c r="AO434" s="9">
        <f t="shared" si="112"/>
        <v>7.2140000000000004</v>
      </c>
      <c r="AP434" s="9">
        <f t="shared" si="113"/>
        <v>0.72140000000000004</v>
      </c>
      <c r="AQ434" s="9">
        <f t="shared" si="114"/>
        <v>7.2140000000000004</v>
      </c>
      <c r="AR434" s="9">
        <f t="shared" si="115"/>
        <v>9.0175000000000001</v>
      </c>
      <c r="AS434" s="11">
        <f t="shared" si="116"/>
        <v>2.5386666666666664</v>
      </c>
      <c r="AT434" s="12">
        <f t="shared" si="117"/>
        <v>1.3363333333333334</v>
      </c>
    </row>
    <row r="435" spans="1:46" ht="16.5" x14ac:dyDescent="0.4">
      <c r="A435" s="4" t="s">
        <v>1849</v>
      </c>
      <c r="B435" s="4" t="s">
        <v>1895</v>
      </c>
      <c r="C435" s="4" t="s">
        <v>1785</v>
      </c>
      <c r="D435" s="4" t="s">
        <v>2044</v>
      </c>
      <c r="E435" s="4" t="s">
        <v>2045</v>
      </c>
      <c r="F435" s="4" t="s">
        <v>2046</v>
      </c>
      <c r="G435" s="7" t="str">
        <f>VLOOKUP(A435,[1]done!$A:$I,9,0)</f>
        <v>Rodent</v>
      </c>
      <c r="H435" s="7" t="str" cm="1">
        <f t="array" ref="H435">_xlfn.IFS(
OR(ISNUMBER(SEARCH("mouse",E435)),ISNUMBER(SEARCH("rat",E435)),ISNUMBER(SEARCH("mice",E435)),ISNUMBER(SEARCH("rodent",E435))),"Rodent Control",
OR(ISNUMBER(SEARCH("fly",E435)),ISNUMBER(SEARCH("gnat",E435)),ISNUMBER(SEARCH("insect",E435)),ISNUMBER(SEARCH("mosquito",E435))),"Flying Insect Control",
OR(ISNUMBER(SEARCH("roach",E435)),ISNUMBER(SEARCH("ant",E435)),ISNUMBER(SEARCH("spider",E435)),ISNUMBER(SEARCH("cricket",E435)),ISNUMBER(SEARCH("scorpion",E435)),ISNUMBER(SEARCH("centipede",E435)),ISNUMBER(SEARCH("beetle",E435))),"Crawling Insect Control",
OR(ISNUMBER(SEARCH("tree",E435)),ISNUMBER(SEARCH("lantern",E435)),ISNUMBER(SEARCH("garden",E435)),ISNUMBER(SEARCH("plant",E435))),"Garden Pest Control",
OR(ISNUMBER(SEARCH("grass seed",E435)),ISNUMBER(SEARCH("seed mix",E435))),"Grass Seed",
OR(ISNUMBER(SEARCH("lawn food",E435)),ISNUMBER(SEARCH("fertilizer",E435))),"Lawn Fertilizer",
OR(ISNUMBER(SEARCH("patch",E435)),ISNUMBER(SEARCH("repair",E435)),ISNUMBER(SEARCH("thick'r",E435)),ISNUMBER(SEARCH("thick'r lawn",E435)),ISNUMBER(SEARCH("rapid grass",E435))),"Lawn Repair",
OR(ISNUMBER(SEARCH("weed",E435)),ISNUMBER(SEARCH("crabgrass",E435))),"Weed Control",
OR(ISNUMBER(SEARCH("fungicide",E435)),ISNUMBER(SEARCH("moss",E435))),"Disease &amp; Moss Control",
OR(ISNUMBER(SEARCH("plant food",E435)),ISNUMBER(SEARCH("miracid",E435))),"Plant Nutrition",
OR(ISNUMBER(SEARCH("perlite",E435))),"Soil Amendment",
OR(ISNUMBER(SEARCH("spreader",E435)),ISNUMBER(SEARCH("sprayer",E435)),ISNUMBER(SEARCH("mower",E435)),ISNUMBER(SEARCH("sweeper",E435)),ISNUMBER(SEARCH("pruner",E435)),ISNUMBER(SEARCH("trimmer",E435)),ISNUMBER(SEARCH("pole saw",E435))),"Garden Equipment",
TRUE,"Other"
)</f>
        <v>Other</v>
      </c>
      <c r="I435" s="7" t="str" cm="1">
        <f t="array" ref="I435">_xlfn.IFS(
OR(ISNUMBER(SEARCH("glue trap",E435)),ISNUMBER(SEARCH("glue board",E435))),"Glue Traps",
OR(ISNUMBER(SEARCH("snap trap",E435)),ISNUMBER(SEARCH("power-kill",E435)),ISNUMBER(SEARCH("wide pedal",E435)),ISNUMBER(SEARCH("metal pedal",E435))),"Snap Traps",
OR(ISNUMBER(SEARCH("electronic",E435)),ISNUMBER(SEARCH("zapper",E435))),"Electronic Traps",
OR(ISNUMBER(SEARCH("live catch",E435)),ISNUMBER(SEARCH("multi-catch",E435)),ISNUMBER(SEARCH("catch &amp; hold",E435)),ISNUMBER(SEARCH("tin cat",E435))),"Live Catch Traps",
OR(ISNUMBER(SEARCH("bait",E435)),ISNUMBER(SEARCH("poison",E435))),"Bait &amp; Poison",
ISNUMBER(SEARCH("repellent",E435)),"Repellents",
OR(ISNUMBER(SEARCH("fly trap",E435)),ISNUMBER(SEARCH("fly ribbon",E435)),ISNUMBER(SEARCH("fly stick",E435)),ISNUMBER(SEARCH("window fly",E435)),ISNUMBER(SEARCH("fly magnet",E435))),"Fly Traps",
OR(ISNUMBER(SEARCH("uv",E435)),ISNUMBER(SEARCH("fly light",E435)),ISNUMBER(SEARCH("plug-in",E435))),"UV Fly Traps",
ISNUMBER(SEARCH("roach",E435)),"Roach Traps",
ISNUMBER(SEARCH("ant",E435)),"Ant Traps",
ISNUMBER(SEARCH("spider",E435)),"Spider Traps",
ISNUMBER(SEARCH("mosquito",E435)),"Mosquito Traps",
ISNUMBER(SEARCH("beetle",E435)),"Beetle Traps",
ISNUMBER(SEARCH("lantern",E435)),"Lanternfly Control",
OR(ISNUMBER(SEARCH("tree shield",E435)),ISNUMBER(SEARCH("tree banding",E435)),ISNUMBER(SEARCH("insect barrier",E435))),"Tree Barriers",
OR(ISNUMBER(SEARCH("sun &amp; shade",E435)),ISNUMBER(SEARCH("sun and shade",E435))),"Sun &amp; Shade Mix",
ISNUMBER(SEARCH("tall fescue",E435)),"Tall Fescue",
ISNUMBER(SEARCH("bermudagrass",E435)),"Bermudagrass",
ISNUMBER(SEARCH("kentucky",E435)),"Kentucky Bluegrass",
ISNUMBER(SEARCH("zoysia",E435)),"Zoysia",
ISNUMBER(SEARCH("ryegrass",E435)),"Perennial Ryegrass",
ISNUMBER(SEARCH("centipede",E435)),"Centipede Grass",
ISNUMBER(SEARCH("dense shade",E435)),"Dense Shade Mix",
ISNUMBER(SEARCH("southern gold",E435)),"Southern Gold Mix",
ISNUMBER(SEARCH("heat-tolerant blue",E435)),"Heat-Tolerant Blue Mix",
ISNUMBER(SEARCH("high traffic",E435)),"High Traffic Mix",
ISNUMBER(SEARCH("quick fix",E435)),"Quick Fix Mix",
ISNUMBER(SEARCH("starter",E435)),"Starter Fertilizer",
ISNUMBER(SEARCH("weed &amp; feed",E435)),"Weed &amp; Feed",
ISNUMBER(SEARCH("lawn food",E435)),"Lawn Food",
ISNUMBER(SEARCH("triple action",E435)),"Triple Action Fertilizer",
ISNUMBER(SEARCH("green max",E435)),"Green Max Lawn Food",
ISNUMBER(SEARCH("patchmaster",E435)),"PatchMaster Repair",
ISNUMBER(SEARCH("ez seed",E435)),"EZ Seed Repair",
ISNUMBER(SEARCH("rapid grass",E435)),"Rapid Grass",
ISNUMBER(SEARCH("thick'r lawn",E435)),"Thick'R Lawn",
ISNUMBER(SEARCH("fungicide",E435)),"Fungicide",
ISNUMBER(SEARCH("moss",E435)),"Moss Control",
ISNUMBER(SEARCH("perlite",E435)),"Perlite",
ISNUMBER(SEARCH("plant food",E435)),"Plant Food",
ISNUMBER(SEARCH("spreader",E435)),"Spreader",
ISNUMBER(SEARCH("sprayer",E435)),"Sprayer",
ISNUMBER(SEARCH("mower",E435)),"Lawn Mower",
ISNUMBER(SEARCH("sweeper",E435)),"Lawn Sweeper",
OR(ISNUMBER(SEARCH("pruner",E435)),ISNUMBER(SEARCH("trimmer",E435)),ISNUMBER(SEARCH("pole saw",E435))),"Pruning Tools",
TRUE,"Other"
)</f>
        <v>Other</v>
      </c>
      <c r="J435" s="7" t="str">
        <f t="shared" si="108"/>
        <v>Other - Other</v>
      </c>
      <c r="K435" s="4">
        <v>200</v>
      </c>
      <c r="L435" s="4">
        <v>3.8</v>
      </c>
      <c r="M435" s="4">
        <v>68</v>
      </c>
      <c r="N435" s="4" t="s">
        <v>579</v>
      </c>
      <c r="O435" s="4">
        <f>VLOOKUP(A435,'[6]Monthly Sold'!$A:$B,2,0)</f>
        <v>100</v>
      </c>
      <c r="P435" s="4">
        <f>VLOOKUP(A435,'[6]Monthly Sold'!$A:$M,3,0)</f>
        <v>100</v>
      </c>
      <c r="Q435" s="4">
        <f>VLOOKUP(A435,'[6]Monthly Sold'!$A:$M,4,0)</f>
        <v>200</v>
      </c>
      <c r="R435" s="4">
        <f>VLOOKUP(A435,'[6]Monthly Sold'!$A:$M,5,0)</f>
        <v>200</v>
      </c>
      <c r="S435" s="4">
        <f>VLOOKUP(A435,'[6]Monthly Sold'!$A:$M,6,0)</f>
        <v>200</v>
      </c>
      <c r="T435" s="4">
        <f>VLOOKUP(A435,'[6]Monthly Sold'!$A:$M,7,0)</f>
        <v>200</v>
      </c>
      <c r="U435" s="4">
        <f>VLOOKUP(A435,'[6]Monthly Sold'!$A:$M,8,0)</f>
        <v>100</v>
      </c>
      <c r="V435" s="4">
        <f>VLOOKUP(A435,'[6]Monthly Sold'!$A:$M,9,0)</f>
        <v>200</v>
      </c>
      <c r="W435" s="4">
        <f>VLOOKUP(A435,'[6]Monthly Sold'!$A:$M,10,0)</f>
        <v>200</v>
      </c>
      <c r="X435" s="4">
        <f>VLOOKUP(A435,'[6]Monthly Sold'!$A:$M,11,0)</f>
        <v>0</v>
      </c>
      <c r="Y435" s="4">
        <f>VLOOKUP(A435,'[6]Monthly Sold'!$A:$M,12,0)</f>
        <v>0</v>
      </c>
      <c r="Z435" s="4">
        <f>VLOOKUP(A435,'[6]Monthly Sold'!$A:$M,13,0)</f>
        <v>50</v>
      </c>
      <c r="AA435" s="4">
        <f t="shared" si="118"/>
        <v>1550</v>
      </c>
      <c r="AB435" s="7">
        <f t="shared" si="109"/>
        <v>129</v>
      </c>
      <c r="AC435" s="15">
        <f t="shared" si="119"/>
        <v>129.16666666666666</v>
      </c>
      <c r="AD435" s="16">
        <f t="shared" si="120"/>
        <v>45027.5</v>
      </c>
      <c r="AE435" s="16">
        <f t="shared" si="121"/>
        <v>3752.2916666666665</v>
      </c>
      <c r="AF435" s="21">
        <v>10.5</v>
      </c>
      <c r="AG435" s="21">
        <v>29.05</v>
      </c>
      <c r="AH435" s="15">
        <f t="shared" si="122"/>
        <v>7.9999999999999481E-3</v>
      </c>
      <c r="AI435" s="15">
        <f t="shared" si="123"/>
        <v>2.7999999999999813E-2</v>
      </c>
      <c r="AJ435" s="10">
        <v>0.5</v>
      </c>
      <c r="AK435" s="10">
        <v>0.5</v>
      </c>
      <c r="AL435" s="21">
        <v>10.5</v>
      </c>
      <c r="AM435" s="9">
        <f t="shared" si="110"/>
        <v>4.3574999999999999</v>
      </c>
      <c r="AN435" s="9">
        <f t="shared" si="111"/>
        <v>0.87149999999999994</v>
      </c>
      <c r="AO435" s="9">
        <f t="shared" si="112"/>
        <v>5.8100000000000005</v>
      </c>
      <c r="AP435" s="9">
        <f t="shared" si="113"/>
        <v>0.58100000000000007</v>
      </c>
      <c r="AQ435" s="9">
        <f t="shared" si="114"/>
        <v>5.8100000000000005</v>
      </c>
      <c r="AR435" s="9">
        <f t="shared" si="115"/>
        <v>7.2625000000000002</v>
      </c>
      <c r="AS435" s="11">
        <f t="shared" si="116"/>
        <v>7.9999999999999474E-2</v>
      </c>
      <c r="AT435" s="12">
        <f t="shared" si="117"/>
        <v>-0.88833333333333364</v>
      </c>
    </row>
    <row r="436" spans="1:46" ht="16.5" x14ac:dyDescent="0.4">
      <c r="A436" s="4" t="s">
        <v>1850</v>
      </c>
      <c r="B436" s="4" t="s">
        <v>1895</v>
      </c>
      <c r="C436" s="4" t="s">
        <v>1784</v>
      </c>
      <c r="D436" s="4" t="s">
        <v>2047</v>
      </c>
      <c r="E436" s="4" t="s">
        <v>2048</v>
      </c>
      <c r="F436" s="4" t="s">
        <v>2049</v>
      </c>
      <c r="G436" s="7" t="str">
        <f>VLOOKUP(A436,[1]done!$A:$I,9,0)</f>
        <v>Mole Repellent</v>
      </c>
      <c r="H436" s="7" t="str" cm="1">
        <f t="array" ref="H436">_xlfn.IFS(
OR(ISNUMBER(SEARCH("mouse",E436)),ISNUMBER(SEARCH("rat",E436)),ISNUMBER(SEARCH("mice",E436)),ISNUMBER(SEARCH("rodent",E436))),"Rodent Control",
OR(ISNUMBER(SEARCH("fly",E436)),ISNUMBER(SEARCH("gnat",E436)),ISNUMBER(SEARCH("insect",E436)),ISNUMBER(SEARCH("mosquito",E436))),"Flying Insect Control",
OR(ISNUMBER(SEARCH("roach",E436)),ISNUMBER(SEARCH("ant",E436)),ISNUMBER(SEARCH("spider",E436)),ISNUMBER(SEARCH("cricket",E436)),ISNUMBER(SEARCH("scorpion",E436)),ISNUMBER(SEARCH("centipede",E436)),ISNUMBER(SEARCH("beetle",E436))),"Crawling Insect Control",
OR(ISNUMBER(SEARCH("tree",E436)),ISNUMBER(SEARCH("lantern",E436)),ISNUMBER(SEARCH("garden",E436)),ISNUMBER(SEARCH("plant",E436))),"Garden Pest Control",
OR(ISNUMBER(SEARCH("grass seed",E436)),ISNUMBER(SEARCH("seed mix",E436))),"Grass Seed",
OR(ISNUMBER(SEARCH("lawn food",E436)),ISNUMBER(SEARCH("fertilizer",E436))),"Lawn Fertilizer",
OR(ISNUMBER(SEARCH("patch",E436)),ISNUMBER(SEARCH("repair",E436)),ISNUMBER(SEARCH("thick'r",E436)),ISNUMBER(SEARCH("thick'r lawn",E436)),ISNUMBER(SEARCH("rapid grass",E436))),"Lawn Repair",
OR(ISNUMBER(SEARCH("weed",E436)),ISNUMBER(SEARCH("crabgrass",E436))),"Weed Control",
OR(ISNUMBER(SEARCH("fungicide",E436)),ISNUMBER(SEARCH("moss",E436))),"Disease &amp; Moss Control",
OR(ISNUMBER(SEARCH("plant food",E436)),ISNUMBER(SEARCH("miracid",E436))),"Plant Nutrition",
OR(ISNUMBER(SEARCH("perlite",E436))),"Soil Amendment",
OR(ISNUMBER(SEARCH("spreader",E436)),ISNUMBER(SEARCH("sprayer",E436)),ISNUMBER(SEARCH("mower",E436)),ISNUMBER(SEARCH("sweeper",E436)),ISNUMBER(SEARCH("pruner",E436)),ISNUMBER(SEARCH("trimmer",E436)),ISNUMBER(SEARCH("pole saw",E436))),"Garden Equipment",
TRUE,"Other"
)</f>
        <v>Other</v>
      </c>
      <c r="I436" s="7" t="str" cm="1">
        <f t="array" ref="I436">_xlfn.IFS(
OR(ISNUMBER(SEARCH("glue trap",E436)),ISNUMBER(SEARCH("glue board",E436))),"Glue Traps",
OR(ISNUMBER(SEARCH("snap trap",E436)),ISNUMBER(SEARCH("power-kill",E436)),ISNUMBER(SEARCH("wide pedal",E436)),ISNUMBER(SEARCH("metal pedal",E436))),"Snap Traps",
OR(ISNUMBER(SEARCH("electronic",E436)),ISNUMBER(SEARCH("zapper",E436))),"Electronic Traps",
OR(ISNUMBER(SEARCH("live catch",E436)),ISNUMBER(SEARCH("multi-catch",E436)),ISNUMBER(SEARCH("catch &amp; hold",E436)),ISNUMBER(SEARCH("tin cat",E436))),"Live Catch Traps",
OR(ISNUMBER(SEARCH("bait",E436)),ISNUMBER(SEARCH("poison",E436))),"Bait &amp; Poison",
ISNUMBER(SEARCH("repellent",E436)),"Repellents",
OR(ISNUMBER(SEARCH("fly trap",E436)),ISNUMBER(SEARCH("fly ribbon",E436)),ISNUMBER(SEARCH("fly stick",E436)),ISNUMBER(SEARCH("window fly",E436)),ISNUMBER(SEARCH("fly magnet",E436))),"Fly Traps",
OR(ISNUMBER(SEARCH("uv",E436)),ISNUMBER(SEARCH("fly light",E436)),ISNUMBER(SEARCH("plug-in",E436))),"UV Fly Traps",
ISNUMBER(SEARCH("roach",E436)),"Roach Traps",
ISNUMBER(SEARCH("ant",E436)),"Ant Traps",
ISNUMBER(SEARCH("spider",E436)),"Spider Traps",
ISNUMBER(SEARCH("mosquito",E436)),"Mosquito Traps",
ISNUMBER(SEARCH("beetle",E436)),"Beetle Traps",
ISNUMBER(SEARCH("lantern",E436)),"Lanternfly Control",
OR(ISNUMBER(SEARCH("tree shield",E436)),ISNUMBER(SEARCH("tree banding",E436)),ISNUMBER(SEARCH("insect barrier",E436))),"Tree Barriers",
OR(ISNUMBER(SEARCH("sun &amp; shade",E436)),ISNUMBER(SEARCH("sun and shade",E436))),"Sun &amp; Shade Mix",
ISNUMBER(SEARCH("tall fescue",E436)),"Tall Fescue",
ISNUMBER(SEARCH("bermudagrass",E436)),"Bermudagrass",
ISNUMBER(SEARCH("kentucky",E436)),"Kentucky Bluegrass",
ISNUMBER(SEARCH("zoysia",E436)),"Zoysia",
ISNUMBER(SEARCH("ryegrass",E436)),"Perennial Ryegrass",
ISNUMBER(SEARCH("centipede",E436)),"Centipede Grass",
ISNUMBER(SEARCH("dense shade",E436)),"Dense Shade Mix",
ISNUMBER(SEARCH("southern gold",E436)),"Southern Gold Mix",
ISNUMBER(SEARCH("heat-tolerant blue",E436)),"Heat-Tolerant Blue Mix",
ISNUMBER(SEARCH("high traffic",E436)),"High Traffic Mix",
ISNUMBER(SEARCH("quick fix",E436)),"Quick Fix Mix",
ISNUMBER(SEARCH("starter",E436)),"Starter Fertilizer",
ISNUMBER(SEARCH("weed &amp; feed",E436)),"Weed &amp; Feed",
ISNUMBER(SEARCH("lawn food",E436)),"Lawn Food",
ISNUMBER(SEARCH("triple action",E436)),"Triple Action Fertilizer",
ISNUMBER(SEARCH("green max",E436)),"Green Max Lawn Food",
ISNUMBER(SEARCH("patchmaster",E436)),"PatchMaster Repair",
ISNUMBER(SEARCH("ez seed",E436)),"EZ Seed Repair",
ISNUMBER(SEARCH("rapid grass",E436)),"Rapid Grass",
ISNUMBER(SEARCH("thick'r lawn",E436)),"Thick'R Lawn",
ISNUMBER(SEARCH("fungicide",E436)),"Fungicide",
ISNUMBER(SEARCH("moss",E436)),"Moss Control",
ISNUMBER(SEARCH("perlite",E436)),"Perlite",
ISNUMBER(SEARCH("plant food",E436)),"Plant Food",
ISNUMBER(SEARCH("spreader",E436)),"Spreader",
ISNUMBER(SEARCH("sprayer",E436)),"Sprayer",
ISNUMBER(SEARCH("mower",E436)),"Lawn Mower",
ISNUMBER(SEARCH("sweeper",E436)),"Lawn Sweeper",
OR(ISNUMBER(SEARCH("pruner",E436)),ISNUMBER(SEARCH("trimmer",E436)),ISNUMBER(SEARCH("pole saw",E436))),"Pruning Tools",
TRUE,"Other"
)</f>
        <v>Other</v>
      </c>
      <c r="J436" s="7" t="str">
        <f t="shared" si="108"/>
        <v>Other - Other</v>
      </c>
      <c r="K436" s="4">
        <v>200</v>
      </c>
      <c r="L436" s="4">
        <v>3.5</v>
      </c>
      <c r="M436" s="4">
        <v>916</v>
      </c>
      <c r="N436" s="4" t="s">
        <v>579</v>
      </c>
      <c r="O436" s="4">
        <f>VLOOKUP(A436,'[6]Monthly Sold'!$A:$B,2,0)</f>
        <v>0</v>
      </c>
      <c r="P436" s="4">
        <f>VLOOKUP(A436,'[6]Monthly Sold'!$A:$M,3,0)</f>
        <v>0</v>
      </c>
      <c r="Q436" s="4">
        <f>VLOOKUP(A436,'[6]Monthly Sold'!$A:$M,4,0)</f>
        <v>60</v>
      </c>
      <c r="R436" s="4">
        <f>VLOOKUP(A436,'[6]Monthly Sold'!$A:$M,5,0)</f>
        <v>100</v>
      </c>
      <c r="S436" s="4">
        <f>VLOOKUP(A436,'[6]Monthly Sold'!$A:$M,6,0)</f>
        <v>200</v>
      </c>
      <c r="T436" s="4">
        <f>VLOOKUP(A436,'[6]Monthly Sold'!$A:$M,7,0)</f>
        <v>300</v>
      </c>
      <c r="U436" s="4">
        <f>VLOOKUP(A436,'[6]Monthly Sold'!$A:$M,8,0)</f>
        <v>600</v>
      </c>
      <c r="V436" s="4">
        <f>VLOOKUP(A436,'[6]Monthly Sold'!$A:$M,9,0)</f>
        <v>200</v>
      </c>
      <c r="W436" s="4">
        <f>VLOOKUP(A436,'[6]Monthly Sold'!$A:$M,10,0)</f>
        <v>200</v>
      </c>
      <c r="X436" s="4">
        <f>VLOOKUP(A436,'[6]Monthly Sold'!$A:$M,11,0)</f>
        <v>0</v>
      </c>
      <c r="Y436" s="4">
        <f>VLOOKUP(A436,'[6]Monthly Sold'!$A:$M,12,0)</f>
        <v>0</v>
      </c>
      <c r="Z436" s="4">
        <f>VLOOKUP(A436,'[6]Monthly Sold'!$A:$M,13,0)</f>
        <v>0</v>
      </c>
      <c r="AA436" s="4">
        <f t="shared" si="118"/>
        <v>1660</v>
      </c>
      <c r="AB436" s="7">
        <f t="shared" si="109"/>
        <v>138</v>
      </c>
      <c r="AC436" s="15">
        <f t="shared" si="119"/>
        <v>138.33333333333334</v>
      </c>
      <c r="AD436" s="16">
        <f t="shared" si="120"/>
        <v>38163.399999999994</v>
      </c>
      <c r="AE436" s="16">
        <f t="shared" si="121"/>
        <v>3180.2833333333333</v>
      </c>
      <c r="AF436" s="21">
        <v>4.76</v>
      </c>
      <c r="AG436" s="21">
        <v>22.99</v>
      </c>
      <c r="AH436" s="15">
        <f t="shared" si="122"/>
        <v>0.22906666666666664</v>
      </c>
      <c r="AI436" s="15">
        <f t="shared" si="123"/>
        <v>0.80173333333333308</v>
      </c>
      <c r="AJ436" s="10">
        <v>0.5</v>
      </c>
      <c r="AK436" s="10">
        <v>0.5</v>
      </c>
      <c r="AL436" s="21">
        <v>4.76</v>
      </c>
      <c r="AM436" s="9">
        <f t="shared" si="110"/>
        <v>3.4484999999999997</v>
      </c>
      <c r="AN436" s="9">
        <f t="shared" si="111"/>
        <v>0.68969999999999998</v>
      </c>
      <c r="AO436" s="9">
        <f t="shared" si="112"/>
        <v>4.5979999999999999</v>
      </c>
      <c r="AP436" s="9">
        <f t="shared" si="113"/>
        <v>0.45979999999999999</v>
      </c>
      <c r="AQ436" s="9">
        <f t="shared" si="114"/>
        <v>4.5979999999999999</v>
      </c>
      <c r="AR436" s="9">
        <f t="shared" si="115"/>
        <v>5.7474999999999996</v>
      </c>
      <c r="AS436" s="11">
        <f t="shared" si="116"/>
        <v>2.2906666666666662</v>
      </c>
      <c r="AT436" s="12">
        <f t="shared" si="117"/>
        <v>1.5243333333333329</v>
      </c>
    </row>
    <row r="437" spans="1:46" ht="16.5" x14ac:dyDescent="0.4">
      <c r="A437" s="4" t="s">
        <v>1851</v>
      </c>
      <c r="B437" s="4" t="s">
        <v>1895</v>
      </c>
      <c r="C437" s="4" t="s">
        <v>1784</v>
      </c>
      <c r="D437" s="4" t="s">
        <v>2050</v>
      </c>
      <c r="E437" s="4" t="s">
        <v>2051</v>
      </c>
      <c r="F437" s="4" t="s">
        <v>2052</v>
      </c>
      <c r="G437" s="7" t="str">
        <f>VLOOKUP(A437,[1]done!$A:$I,9,0)</f>
        <v>Rodent</v>
      </c>
      <c r="H437" s="7" t="str" cm="1">
        <f t="array" ref="H437">_xlfn.IFS(
OR(ISNUMBER(SEARCH("mouse",E437)),ISNUMBER(SEARCH("rat",E437)),ISNUMBER(SEARCH("mice",E437)),ISNUMBER(SEARCH("rodent",E437))),"Rodent Control",
OR(ISNUMBER(SEARCH("fly",E437)),ISNUMBER(SEARCH("gnat",E437)),ISNUMBER(SEARCH("insect",E437)),ISNUMBER(SEARCH("mosquito",E437))),"Flying Insect Control",
OR(ISNUMBER(SEARCH("roach",E437)),ISNUMBER(SEARCH("ant",E437)),ISNUMBER(SEARCH("spider",E437)),ISNUMBER(SEARCH("cricket",E437)),ISNUMBER(SEARCH("scorpion",E437)),ISNUMBER(SEARCH("centipede",E437)),ISNUMBER(SEARCH("beetle",E437))),"Crawling Insect Control",
OR(ISNUMBER(SEARCH("tree",E437)),ISNUMBER(SEARCH("lantern",E437)),ISNUMBER(SEARCH("garden",E437)),ISNUMBER(SEARCH("plant",E437))),"Garden Pest Control",
OR(ISNUMBER(SEARCH("grass seed",E437)),ISNUMBER(SEARCH("seed mix",E437))),"Grass Seed",
OR(ISNUMBER(SEARCH("lawn food",E437)),ISNUMBER(SEARCH("fertilizer",E437))),"Lawn Fertilizer",
OR(ISNUMBER(SEARCH("patch",E437)),ISNUMBER(SEARCH("repair",E437)),ISNUMBER(SEARCH("thick'r",E437)),ISNUMBER(SEARCH("thick'r lawn",E437)),ISNUMBER(SEARCH("rapid grass",E437))),"Lawn Repair",
OR(ISNUMBER(SEARCH("weed",E437)),ISNUMBER(SEARCH("crabgrass",E437))),"Weed Control",
OR(ISNUMBER(SEARCH("fungicide",E437)),ISNUMBER(SEARCH("moss",E437))),"Disease &amp; Moss Control",
OR(ISNUMBER(SEARCH("plant food",E437)),ISNUMBER(SEARCH("miracid",E437))),"Plant Nutrition",
OR(ISNUMBER(SEARCH("perlite",E437))),"Soil Amendment",
OR(ISNUMBER(SEARCH("spreader",E437)),ISNUMBER(SEARCH("sprayer",E437)),ISNUMBER(SEARCH("mower",E437)),ISNUMBER(SEARCH("sweeper",E437)),ISNUMBER(SEARCH("pruner",E437)),ISNUMBER(SEARCH("trimmer",E437)),ISNUMBER(SEARCH("pole saw",E437))),"Garden Equipment",
TRUE,"Other"
)</f>
        <v>Rodent Control</v>
      </c>
      <c r="I437" s="7" t="str" cm="1">
        <f t="array" ref="I437">_xlfn.IFS(
OR(ISNUMBER(SEARCH("glue trap",E437)),ISNUMBER(SEARCH("glue board",E437))),"Glue Traps",
OR(ISNUMBER(SEARCH("snap trap",E437)),ISNUMBER(SEARCH("power-kill",E437)),ISNUMBER(SEARCH("wide pedal",E437)),ISNUMBER(SEARCH("metal pedal",E437))),"Snap Traps",
OR(ISNUMBER(SEARCH("electronic",E437)),ISNUMBER(SEARCH("zapper",E437))),"Electronic Traps",
OR(ISNUMBER(SEARCH("live catch",E437)),ISNUMBER(SEARCH("multi-catch",E437)),ISNUMBER(SEARCH("catch &amp; hold",E437)),ISNUMBER(SEARCH("tin cat",E437))),"Live Catch Traps",
OR(ISNUMBER(SEARCH("bait",E437)),ISNUMBER(SEARCH("poison",E437))),"Bait &amp; Poison",
ISNUMBER(SEARCH("repellent",E437)),"Repellents",
OR(ISNUMBER(SEARCH("fly trap",E437)),ISNUMBER(SEARCH("fly ribbon",E437)),ISNUMBER(SEARCH("fly stick",E437)),ISNUMBER(SEARCH("window fly",E437)),ISNUMBER(SEARCH("fly magnet",E437))),"Fly Traps",
OR(ISNUMBER(SEARCH("uv",E437)),ISNUMBER(SEARCH("fly light",E437)),ISNUMBER(SEARCH("plug-in",E437))),"UV Fly Traps",
ISNUMBER(SEARCH("roach",E437)),"Roach Traps",
ISNUMBER(SEARCH("ant",E437)),"Ant Traps",
ISNUMBER(SEARCH("spider",E437)),"Spider Traps",
ISNUMBER(SEARCH("mosquito",E437)),"Mosquito Traps",
ISNUMBER(SEARCH("beetle",E437)),"Beetle Traps",
ISNUMBER(SEARCH("lantern",E437)),"Lanternfly Control",
OR(ISNUMBER(SEARCH("tree shield",E437)),ISNUMBER(SEARCH("tree banding",E437)),ISNUMBER(SEARCH("insect barrier",E437))),"Tree Barriers",
OR(ISNUMBER(SEARCH("sun &amp; shade",E437)),ISNUMBER(SEARCH("sun and shade",E437))),"Sun &amp; Shade Mix",
ISNUMBER(SEARCH("tall fescue",E437)),"Tall Fescue",
ISNUMBER(SEARCH("bermudagrass",E437)),"Bermudagrass",
ISNUMBER(SEARCH("kentucky",E437)),"Kentucky Bluegrass",
ISNUMBER(SEARCH("zoysia",E437)),"Zoysia",
ISNUMBER(SEARCH("ryegrass",E437)),"Perennial Ryegrass",
ISNUMBER(SEARCH("centipede",E437)),"Centipede Grass",
ISNUMBER(SEARCH("dense shade",E437)),"Dense Shade Mix",
ISNUMBER(SEARCH("southern gold",E437)),"Southern Gold Mix",
ISNUMBER(SEARCH("heat-tolerant blue",E437)),"Heat-Tolerant Blue Mix",
ISNUMBER(SEARCH("high traffic",E437)),"High Traffic Mix",
ISNUMBER(SEARCH("quick fix",E437)),"Quick Fix Mix",
ISNUMBER(SEARCH("starter",E437)),"Starter Fertilizer",
ISNUMBER(SEARCH("weed &amp; feed",E437)),"Weed &amp; Feed",
ISNUMBER(SEARCH("lawn food",E437)),"Lawn Food",
ISNUMBER(SEARCH("triple action",E437)),"Triple Action Fertilizer",
ISNUMBER(SEARCH("green max",E437)),"Green Max Lawn Food",
ISNUMBER(SEARCH("patchmaster",E437)),"PatchMaster Repair",
ISNUMBER(SEARCH("ez seed",E437)),"EZ Seed Repair",
ISNUMBER(SEARCH("rapid grass",E437)),"Rapid Grass",
ISNUMBER(SEARCH("thick'r lawn",E437)),"Thick'R Lawn",
ISNUMBER(SEARCH("fungicide",E437)),"Fungicide",
ISNUMBER(SEARCH("moss",E437)),"Moss Control",
ISNUMBER(SEARCH("perlite",E437)),"Perlite",
ISNUMBER(SEARCH("plant food",E437)),"Plant Food",
ISNUMBER(SEARCH("spreader",E437)),"Spreader",
ISNUMBER(SEARCH("sprayer",E437)),"Sprayer",
ISNUMBER(SEARCH("mower",E437)),"Lawn Mower",
ISNUMBER(SEARCH("sweeper",E437)),"Lawn Sweeper",
OR(ISNUMBER(SEARCH("pruner",E437)),ISNUMBER(SEARCH("trimmer",E437)),ISNUMBER(SEARCH("pole saw",E437))),"Pruning Tools",
TRUE,"Other"
)</f>
        <v>Glue Traps</v>
      </c>
      <c r="J437" s="7" t="str">
        <f t="shared" si="108"/>
        <v>Rodent Control - Glue Traps</v>
      </c>
      <c r="K437" s="4">
        <v>200</v>
      </c>
      <c r="L437" s="4">
        <v>4.4000000000000004</v>
      </c>
      <c r="M437" s="4">
        <v>3707</v>
      </c>
      <c r="N437" s="4" t="s">
        <v>2053</v>
      </c>
      <c r="O437" s="4">
        <f>VLOOKUP(A437,'[6]Monthly Sold'!$A:$B,2,0)</f>
        <v>50</v>
      </c>
      <c r="P437" s="4">
        <f>VLOOKUP(A437,'[6]Monthly Sold'!$A:$M,3,0)</f>
        <v>50</v>
      </c>
      <c r="Q437" s="4">
        <f>VLOOKUP(A437,'[6]Monthly Sold'!$A:$M,4,0)</f>
        <v>100</v>
      </c>
      <c r="R437" s="4">
        <f>VLOOKUP(A437,'[6]Monthly Sold'!$A:$M,5,0)</f>
        <v>100</v>
      </c>
      <c r="S437" s="4">
        <f>VLOOKUP(A437,'[6]Monthly Sold'!$A:$M,6,0)</f>
        <v>100</v>
      </c>
      <c r="T437" s="4">
        <f>VLOOKUP(A437,'[6]Monthly Sold'!$A:$M,7,0)</f>
        <v>100</v>
      </c>
      <c r="U437" s="4">
        <f>VLOOKUP(A437,'[6]Monthly Sold'!$A:$M,8,0)</f>
        <v>100</v>
      </c>
      <c r="V437" s="4">
        <f>VLOOKUP(A437,'[6]Monthly Sold'!$A:$M,9,0)</f>
        <v>100</v>
      </c>
      <c r="W437" s="4">
        <f>VLOOKUP(A437,'[6]Monthly Sold'!$A:$M,10,0)</f>
        <v>100</v>
      </c>
      <c r="X437" s="4">
        <f>VLOOKUP(A437,'[6]Monthly Sold'!$A:$M,11,0)</f>
        <v>100</v>
      </c>
      <c r="Y437" s="4">
        <f>VLOOKUP(A437,'[6]Monthly Sold'!$A:$M,12,0)</f>
        <v>100</v>
      </c>
      <c r="Z437" s="4">
        <f>VLOOKUP(A437,'[6]Monthly Sold'!$A:$M,13,0)</f>
        <v>100</v>
      </c>
      <c r="AA437" s="4">
        <f t="shared" si="118"/>
        <v>1100</v>
      </c>
      <c r="AB437" s="7">
        <f t="shared" si="109"/>
        <v>92</v>
      </c>
      <c r="AC437" s="15">
        <f t="shared" si="119"/>
        <v>91.666666666666671</v>
      </c>
      <c r="AD437" s="16">
        <f t="shared" si="120"/>
        <v>68574</v>
      </c>
      <c r="AE437" s="16">
        <f t="shared" si="121"/>
        <v>5714.5000000000009</v>
      </c>
      <c r="AF437" s="21">
        <v>8.23</v>
      </c>
      <c r="AG437" s="21">
        <v>62.34</v>
      </c>
      <c r="AH437" s="15">
        <f t="shared" si="122"/>
        <v>1.0470666666666668</v>
      </c>
      <c r="AI437" s="15">
        <f t="shared" si="123"/>
        <v>3.6647333333333334</v>
      </c>
      <c r="AJ437" s="10">
        <v>0.5</v>
      </c>
      <c r="AK437" s="10">
        <v>0.5</v>
      </c>
      <c r="AL437" s="21">
        <v>8.23</v>
      </c>
      <c r="AM437" s="9">
        <f t="shared" si="110"/>
        <v>9.3510000000000009</v>
      </c>
      <c r="AN437" s="9">
        <f t="shared" si="111"/>
        <v>1.8702000000000001</v>
      </c>
      <c r="AO437" s="9">
        <f t="shared" si="112"/>
        <v>12.468000000000002</v>
      </c>
      <c r="AP437" s="9">
        <f t="shared" si="113"/>
        <v>1.2468000000000001</v>
      </c>
      <c r="AQ437" s="9">
        <f t="shared" si="114"/>
        <v>12.468000000000002</v>
      </c>
      <c r="AR437" s="9">
        <f t="shared" si="115"/>
        <v>15.585000000000001</v>
      </c>
      <c r="AS437" s="11">
        <f t="shared" si="116"/>
        <v>10.470666666666668</v>
      </c>
      <c r="AT437" s="12">
        <f t="shared" si="117"/>
        <v>8.3926666666666687</v>
      </c>
    </row>
    <row r="438" spans="1:46" ht="16.5" x14ac:dyDescent="0.4">
      <c r="A438" s="4" t="s">
        <v>1852</v>
      </c>
      <c r="B438" s="4" t="s">
        <v>1895</v>
      </c>
      <c r="C438" s="4" t="s">
        <v>1784</v>
      </c>
      <c r="D438" s="4" t="s">
        <v>2054</v>
      </c>
      <c r="E438" s="4" t="s">
        <v>2055</v>
      </c>
      <c r="F438" s="4" t="s">
        <v>2056</v>
      </c>
      <c r="G438" s="7" t="str">
        <f>VLOOKUP(A438,[1]done!$A:$I,9,0)</f>
        <v>Rodent</v>
      </c>
      <c r="H438" s="7" t="str" cm="1">
        <f t="array" ref="H438">_xlfn.IFS(
OR(ISNUMBER(SEARCH("mouse",E438)),ISNUMBER(SEARCH("rat",E438)),ISNUMBER(SEARCH("mice",E438)),ISNUMBER(SEARCH("rodent",E438))),"Rodent Control",
OR(ISNUMBER(SEARCH("fly",E438)),ISNUMBER(SEARCH("gnat",E438)),ISNUMBER(SEARCH("insect",E438)),ISNUMBER(SEARCH("mosquito",E438))),"Flying Insect Control",
OR(ISNUMBER(SEARCH("roach",E438)),ISNUMBER(SEARCH("ant",E438)),ISNUMBER(SEARCH("spider",E438)),ISNUMBER(SEARCH("cricket",E438)),ISNUMBER(SEARCH("scorpion",E438)),ISNUMBER(SEARCH("centipede",E438)),ISNUMBER(SEARCH("beetle",E438))),"Crawling Insect Control",
OR(ISNUMBER(SEARCH("tree",E438)),ISNUMBER(SEARCH("lantern",E438)),ISNUMBER(SEARCH("garden",E438)),ISNUMBER(SEARCH("plant",E438))),"Garden Pest Control",
OR(ISNUMBER(SEARCH("grass seed",E438)),ISNUMBER(SEARCH("seed mix",E438))),"Grass Seed",
OR(ISNUMBER(SEARCH("lawn food",E438)),ISNUMBER(SEARCH("fertilizer",E438))),"Lawn Fertilizer",
OR(ISNUMBER(SEARCH("patch",E438)),ISNUMBER(SEARCH("repair",E438)),ISNUMBER(SEARCH("thick'r",E438)),ISNUMBER(SEARCH("thick'r lawn",E438)),ISNUMBER(SEARCH("rapid grass",E438))),"Lawn Repair",
OR(ISNUMBER(SEARCH("weed",E438)),ISNUMBER(SEARCH("crabgrass",E438))),"Weed Control",
OR(ISNUMBER(SEARCH("fungicide",E438)),ISNUMBER(SEARCH("moss",E438))),"Disease &amp; Moss Control",
OR(ISNUMBER(SEARCH("plant food",E438)),ISNUMBER(SEARCH("miracid",E438))),"Plant Nutrition",
OR(ISNUMBER(SEARCH("perlite",E438))),"Soil Amendment",
OR(ISNUMBER(SEARCH("spreader",E438)),ISNUMBER(SEARCH("sprayer",E438)),ISNUMBER(SEARCH("mower",E438)),ISNUMBER(SEARCH("sweeper",E438)),ISNUMBER(SEARCH("pruner",E438)),ISNUMBER(SEARCH("trimmer",E438)),ISNUMBER(SEARCH("pole saw",E438))),"Garden Equipment",
TRUE,"Other"
)</f>
        <v>Rodent Control</v>
      </c>
      <c r="I438" s="7" t="str" cm="1">
        <f t="array" ref="I438">_xlfn.IFS(
OR(ISNUMBER(SEARCH("glue trap",E438)),ISNUMBER(SEARCH("glue board",E438))),"Glue Traps",
OR(ISNUMBER(SEARCH("snap trap",E438)),ISNUMBER(SEARCH("power-kill",E438)),ISNUMBER(SEARCH("wide pedal",E438)),ISNUMBER(SEARCH("metal pedal",E438))),"Snap Traps",
OR(ISNUMBER(SEARCH("electronic",E438)),ISNUMBER(SEARCH("zapper",E438))),"Electronic Traps",
OR(ISNUMBER(SEARCH("live catch",E438)),ISNUMBER(SEARCH("multi-catch",E438)),ISNUMBER(SEARCH("catch &amp; hold",E438)),ISNUMBER(SEARCH("tin cat",E438))),"Live Catch Traps",
OR(ISNUMBER(SEARCH("bait",E438)),ISNUMBER(SEARCH("poison",E438))),"Bait &amp; Poison",
ISNUMBER(SEARCH("repellent",E438)),"Repellents",
OR(ISNUMBER(SEARCH("fly trap",E438)),ISNUMBER(SEARCH("fly ribbon",E438)),ISNUMBER(SEARCH("fly stick",E438)),ISNUMBER(SEARCH("window fly",E438)),ISNUMBER(SEARCH("fly magnet",E438))),"Fly Traps",
OR(ISNUMBER(SEARCH("uv",E438)),ISNUMBER(SEARCH("fly light",E438)),ISNUMBER(SEARCH("plug-in",E438))),"UV Fly Traps",
ISNUMBER(SEARCH("roach",E438)),"Roach Traps",
ISNUMBER(SEARCH("ant",E438)),"Ant Traps",
ISNUMBER(SEARCH("spider",E438)),"Spider Traps",
ISNUMBER(SEARCH("mosquito",E438)),"Mosquito Traps",
ISNUMBER(SEARCH("beetle",E438)),"Beetle Traps",
ISNUMBER(SEARCH("lantern",E438)),"Lanternfly Control",
OR(ISNUMBER(SEARCH("tree shield",E438)),ISNUMBER(SEARCH("tree banding",E438)),ISNUMBER(SEARCH("insect barrier",E438))),"Tree Barriers",
OR(ISNUMBER(SEARCH("sun &amp; shade",E438)),ISNUMBER(SEARCH("sun and shade",E438))),"Sun &amp; Shade Mix",
ISNUMBER(SEARCH("tall fescue",E438)),"Tall Fescue",
ISNUMBER(SEARCH("bermudagrass",E438)),"Bermudagrass",
ISNUMBER(SEARCH("kentucky",E438)),"Kentucky Bluegrass",
ISNUMBER(SEARCH("zoysia",E438)),"Zoysia",
ISNUMBER(SEARCH("ryegrass",E438)),"Perennial Ryegrass",
ISNUMBER(SEARCH("centipede",E438)),"Centipede Grass",
ISNUMBER(SEARCH("dense shade",E438)),"Dense Shade Mix",
ISNUMBER(SEARCH("southern gold",E438)),"Southern Gold Mix",
ISNUMBER(SEARCH("heat-tolerant blue",E438)),"Heat-Tolerant Blue Mix",
ISNUMBER(SEARCH("high traffic",E438)),"High Traffic Mix",
ISNUMBER(SEARCH("quick fix",E438)),"Quick Fix Mix",
ISNUMBER(SEARCH("starter",E438)),"Starter Fertilizer",
ISNUMBER(SEARCH("weed &amp; feed",E438)),"Weed &amp; Feed",
ISNUMBER(SEARCH("lawn food",E438)),"Lawn Food",
ISNUMBER(SEARCH("triple action",E438)),"Triple Action Fertilizer",
ISNUMBER(SEARCH("green max",E438)),"Green Max Lawn Food",
ISNUMBER(SEARCH("patchmaster",E438)),"PatchMaster Repair",
ISNUMBER(SEARCH("ez seed",E438)),"EZ Seed Repair",
ISNUMBER(SEARCH("rapid grass",E438)),"Rapid Grass",
ISNUMBER(SEARCH("thick'r lawn",E438)),"Thick'R Lawn",
ISNUMBER(SEARCH("fungicide",E438)),"Fungicide",
ISNUMBER(SEARCH("moss",E438)),"Moss Control",
ISNUMBER(SEARCH("perlite",E438)),"Perlite",
ISNUMBER(SEARCH("plant food",E438)),"Plant Food",
ISNUMBER(SEARCH("spreader",E438)),"Spreader",
ISNUMBER(SEARCH("sprayer",E438)),"Sprayer",
ISNUMBER(SEARCH("mower",E438)),"Lawn Mower",
ISNUMBER(SEARCH("sweeper",E438)),"Lawn Sweeper",
OR(ISNUMBER(SEARCH("pruner",E438)),ISNUMBER(SEARCH("trimmer",E438)),ISNUMBER(SEARCH("pole saw",E438))),"Pruning Tools",
TRUE,"Other"
)</f>
        <v>Glue Traps</v>
      </c>
      <c r="J438" s="7" t="str">
        <f t="shared" si="108"/>
        <v>Rodent Control - Glue Traps</v>
      </c>
      <c r="K438" s="4">
        <v>200</v>
      </c>
      <c r="L438" s="4">
        <v>4.4000000000000004</v>
      </c>
      <c r="M438" s="4">
        <v>8301</v>
      </c>
      <c r="N438" s="4" t="s">
        <v>427</v>
      </c>
      <c r="O438" s="4">
        <f>VLOOKUP(A438,'[6]Monthly Sold'!$A:$B,2,0)</f>
        <v>200</v>
      </c>
      <c r="P438" s="4">
        <f>VLOOKUP(A438,'[6]Monthly Sold'!$A:$M,3,0)</f>
        <v>500</v>
      </c>
      <c r="Q438" s="4">
        <f>VLOOKUP(A438,'[6]Monthly Sold'!$A:$M,4,0)</f>
        <v>400</v>
      </c>
      <c r="R438" s="4">
        <f>VLOOKUP(A438,'[6]Monthly Sold'!$A:$M,5,0)</f>
        <v>400</v>
      </c>
      <c r="S438" s="4">
        <f>VLOOKUP(A438,'[6]Monthly Sold'!$A:$M,6,0)</f>
        <v>300</v>
      </c>
      <c r="T438" s="4">
        <f>VLOOKUP(A438,'[6]Monthly Sold'!$A:$M,7,0)</f>
        <v>200</v>
      </c>
      <c r="U438" s="4">
        <f>VLOOKUP(A438,'[6]Monthly Sold'!$A:$M,8,0)</f>
        <v>100</v>
      </c>
      <c r="V438" s="4">
        <f>VLOOKUP(A438,'[6]Monthly Sold'!$A:$M,9,0)</f>
        <v>200</v>
      </c>
      <c r="W438" s="4">
        <f>VLOOKUP(A438,'[6]Monthly Sold'!$A:$M,10,0)</f>
        <v>200</v>
      </c>
      <c r="X438" s="4">
        <f>VLOOKUP(A438,'[6]Monthly Sold'!$A:$M,11,0)</f>
        <v>600</v>
      </c>
      <c r="Y438" s="4">
        <f>VLOOKUP(A438,'[6]Monthly Sold'!$A:$M,12,0)</f>
        <v>600</v>
      </c>
      <c r="Z438" s="4">
        <f>VLOOKUP(A438,'[6]Monthly Sold'!$A:$M,13,0)</f>
        <v>500</v>
      </c>
      <c r="AA438" s="4">
        <f t="shared" si="118"/>
        <v>4200</v>
      </c>
      <c r="AB438" s="7">
        <f t="shared" si="109"/>
        <v>350</v>
      </c>
      <c r="AC438" s="15">
        <f t="shared" si="119"/>
        <v>350</v>
      </c>
      <c r="AD438" s="16">
        <f t="shared" si="120"/>
        <v>77028</v>
      </c>
      <c r="AE438" s="16">
        <f t="shared" si="121"/>
        <v>6419</v>
      </c>
      <c r="AF438" s="21">
        <v>8.4600000000000009</v>
      </c>
      <c r="AG438" s="21">
        <v>18.34</v>
      </c>
      <c r="AH438" s="15">
        <f t="shared" si="122"/>
        <v>-0.14160000000000011</v>
      </c>
      <c r="AI438" s="15">
        <f t="shared" si="123"/>
        <v>-0.49560000000000032</v>
      </c>
      <c r="AJ438" s="10">
        <v>0.5</v>
      </c>
      <c r="AK438" s="10">
        <v>0.5</v>
      </c>
      <c r="AL438" s="21">
        <v>8.4600000000000009</v>
      </c>
      <c r="AM438" s="9">
        <f t="shared" si="110"/>
        <v>2.7509999999999999</v>
      </c>
      <c r="AN438" s="9">
        <f t="shared" si="111"/>
        <v>0.55020000000000002</v>
      </c>
      <c r="AO438" s="9">
        <f t="shared" si="112"/>
        <v>3.6680000000000001</v>
      </c>
      <c r="AP438" s="9">
        <f t="shared" si="113"/>
        <v>0.36680000000000001</v>
      </c>
      <c r="AQ438" s="9">
        <f t="shared" si="114"/>
        <v>3.6680000000000001</v>
      </c>
      <c r="AR438" s="9">
        <f t="shared" si="115"/>
        <v>4.585</v>
      </c>
      <c r="AS438" s="11">
        <f t="shared" si="116"/>
        <v>-1.416000000000001</v>
      </c>
      <c r="AT438" s="12">
        <f t="shared" si="117"/>
        <v>-2.0273333333333343</v>
      </c>
    </row>
    <row r="439" spans="1:46" ht="16.5" x14ac:dyDescent="0.4">
      <c r="A439" s="4" t="s">
        <v>1853</v>
      </c>
      <c r="B439" s="4" t="s">
        <v>1895</v>
      </c>
      <c r="C439" s="4" t="s">
        <v>1784</v>
      </c>
      <c r="D439" s="4" t="s">
        <v>2057</v>
      </c>
      <c r="E439" s="4" t="s">
        <v>2058</v>
      </c>
      <c r="F439" s="4" t="s">
        <v>2059</v>
      </c>
      <c r="G439" s="7" t="str">
        <f>VLOOKUP(A439,[1]done!$A:$I,9,0)</f>
        <v>Rodent</v>
      </c>
      <c r="H439" s="7" t="str" cm="1">
        <f t="array" ref="H439">_xlfn.IFS(
OR(ISNUMBER(SEARCH("mouse",E439)),ISNUMBER(SEARCH("rat",E439)),ISNUMBER(SEARCH("mice",E439)),ISNUMBER(SEARCH("rodent",E439))),"Rodent Control",
OR(ISNUMBER(SEARCH("fly",E439)),ISNUMBER(SEARCH("gnat",E439)),ISNUMBER(SEARCH("insect",E439)),ISNUMBER(SEARCH("mosquito",E439))),"Flying Insect Control",
OR(ISNUMBER(SEARCH("roach",E439)),ISNUMBER(SEARCH("ant",E439)),ISNUMBER(SEARCH("spider",E439)),ISNUMBER(SEARCH("cricket",E439)),ISNUMBER(SEARCH("scorpion",E439)),ISNUMBER(SEARCH("centipede",E439)),ISNUMBER(SEARCH("beetle",E439))),"Crawling Insect Control",
OR(ISNUMBER(SEARCH("tree",E439)),ISNUMBER(SEARCH("lantern",E439)),ISNUMBER(SEARCH("garden",E439)),ISNUMBER(SEARCH("plant",E439))),"Garden Pest Control",
OR(ISNUMBER(SEARCH("grass seed",E439)),ISNUMBER(SEARCH("seed mix",E439))),"Grass Seed",
OR(ISNUMBER(SEARCH("lawn food",E439)),ISNUMBER(SEARCH("fertilizer",E439))),"Lawn Fertilizer",
OR(ISNUMBER(SEARCH("patch",E439)),ISNUMBER(SEARCH("repair",E439)),ISNUMBER(SEARCH("thick'r",E439)),ISNUMBER(SEARCH("thick'r lawn",E439)),ISNUMBER(SEARCH("rapid grass",E439))),"Lawn Repair",
OR(ISNUMBER(SEARCH("weed",E439)),ISNUMBER(SEARCH("crabgrass",E439))),"Weed Control",
OR(ISNUMBER(SEARCH("fungicide",E439)),ISNUMBER(SEARCH("moss",E439))),"Disease &amp; Moss Control",
OR(ISNUMBER(SEARCH("plant food",E439)),ISNUMBER(SEARCH("miracid",E439))),"Plant Nutrition",
OR(ISNUMBER(SEARCH("perlite",E439))),"Soil Amendment",
OR(ISNUMBER(SEARCH("spreader",E439)),ISNUMBER(SEARCH("sprayer",E439)),ISNUMBER(SEARCH("mower",E439)),ISNUMBER(SEARCH("sweeper",E439)),ISNUMBER(SEARCH("pruner",E439)),ISNUMBER(SEARCH("trimmer",E439)),ISNUMBER(SEARCH("pole saw",E439))),"Garden Equipment",
TRUE,"Other"
)</f>
        <v>Rodent Control</v>
      </c>
      <c r="I439" s="7" t="str" cm="1">
        <f t="array" ref="I439">_xlfn.IFS(
OR(ISNUMBER(SEARCH("glue trap",E439)),ISNUMBER(SEARCH("glue board",E439))),"Glue Traps",
OR(ISNUMBER(SEARCH("snap trap",E439)),ISNUMBER(SEARCH("power-kill",E439)),ISNUMBER(SEARCH("wide pedal",E439)),ISNUMBER(SEARCH("metal pedal",E439))),"Snap Traps",
OR(ISNUMBER(SEARCH("electronic",E439)),ISNUMBER(SEARCH("zapper",E439))),"Electronic Traps",
OR(ISNUMBER(SEARCH("live catch",E439)),ISNUMBER(SEARCH("multi-catch",E439)),ISNUMBER(SEARCH("catch &amp; hold",E439)),ISNUMBER(SEARCH("tin cat",E439))),"Live Catch Traps",
OR(ISNUMBER(SEARCH("bait",E439)),ISNUMBER(SEARCH("poison",E439))),"Bait &amp; Poison",
ISNUMBER(SEARCH("repellent",E439)),"Repellents",
OR(ISNUMBER(SEARCH("fly trap",E439)),ISNUMBER(SEARCH("fly ribbon",E439)),ISNUMBER(SEARCH("fly stick",E439)),ISNUMBER(SEARCH("window fly",E439)),ISNUMBER(SEARCH("fly magnet",E439))),"Fly Traps",
OR(ISNUMBER(SEARCH("uv",E439)),ISNUMBER(SEARCH("fly light",E439)),ISNUMBER(SEARCH("plug-in",E439))),"UV Fly Traps",
ISNUMBER(SEARCH("roach",E439)),"Roach Traps",
ISNUMBER(SEARCH("ant",E439)),"Ant Traps",
ISNUMBER(SEARCH("spider",E439)),"Spider Traps",
ISNUMBER(SEARCH("mosquito",E439)),"Mosquito Traps",
ISNUMBER(SEARCH("beetle",E439)),"Beetle Traps",
ISNUMBER(SEARCH("lantern",E439)),"Lanternfly Control",
OR(ISNUMBER(SEARCH("tree shield",E439)),ISNUMBER(SEARCH("tree banding",E439)),ISNUMBER(SEARCH("insect barrier",E439))),"Tree Barriers",
OR(ISNUMBER(SEARCH("sun &amp; shade",E439)),ISNUMBER(SEARCH("sun and shade",E439))),"Sun &amp; Shade Mix",
ISNUMBER(SEARCH("tall fescue",E439)),"Tall Fescue",
ISNUMBER(SEARCH("bermudagrass",E439)),"Bermudagrass",
ISNUMBER(SEARCH("kentucky",E439)),"Kentucky Bluegrass",
ISNUMBER(SEARCH("zoysia",E439)),"Zoysia",
ISNUMBER(SEARCH("ryegrass",E439)),"Perennial Ryegrass",
ISNUMBER(SEARCH("centipede",E439)),"Centipede Grass",
ISNUMBER(SEARCH("dense shade",E439)),"Dense Shade Mix",
ISNUMBER(SEARCH("southern gold",E439)),"Southern Gold Mix",
ISNUMBER(SEARCH("heat-tolerant blue",E439)),"Heat-Tolerant Blue Mix",
ISNUMBER(SEARCH("high traffic",E439)),"High Traffic Mix",
ISNUMBER(SEARCH("quick fix",E439)),"Quick Fix Mix",
ISNUMBER(SEARCH("starter",E439)),"Starter Fertilizer",
ISNUMBER(SEARCH("weed &amp; feed",E439)),"Weed &amp; Feed",
ISNUMBER(SEARCH("lawn food",E439)),"Lawn Food",
ISNUMBER(SEARCH("triple action",E439)),"Triple Action Fertilizer",
ISNUMBER(SEARCH("green max",E439)),"Green Max Lawn Food",
ISNUMBER(SEARCH("patchmaster",E439)),"PatchMaster Repair",
ISNUMBER(SEARCH("ez seed",E439)),"EZ Seed Repair",
ISNUMBER(SEARCH("rapid grass",E439)),"Rapid Grass",
ISNUMBER(SEARCH("thick'r lawn",E439)),"Thick'R Lawn",
ISNUMBER(SEARCH("fungicide",E439)),"Fungicide",
ISNUMBER(SEARCH("moss",E439)),"Moss Control",
ISNUMBER(SEARCH("perlite",E439)),"Perlite",
ISNUMBER(SEARCH("plant food",E439)),"Plant Food",
ISNUMBER(SEARCH("spreader",E439)),"Spreader",
ISNUMBER(SEARCH("sprayer",E439)),"Sprayer",
ISNUMBER(SEARCH("mower",E439)),"Lawn Mower",
ISNUMBER(SEARCH("sweeper",E439)),"Lawn Sweeper",
OR(ISNUMBER(SEARCH("pruner",E439)),ISNUMBER(SEARCH("trimmer",E439)),ISNUMBER(SEARCH("pole saw",E439))),"Pruning Tools",
TRUE,"Other"
)</f>
        <v>Glue Traps</v>
      </c>
      <c r="J439" s="7" t="str">
        <f t="shared" si="108"/>
        <v>Rodent Control - Glue Traps</v>
      </c>
      <c r="K439" s="4">
        <v>200</v>
      </c>
      <c r="L439" s="4">
        <v>4.4000000000000004</v>
      </c>
      <c r="M439" s="4">
        <v>8302</v>
      </c>
      <c r="N439" s="4" t="s">
        <v>2028</v>
      </c>
      <c r="O439" s="4">
        <f>VLOOKUP(A439,'[6]Monthly Sold'!$A:$B,2,0)</f>
        <v>100</v>
      </c>
      <c r="P439" s="4">
        <f>VLOOKUP(A439,'[6]Monthly Sold'!$A:$M,3,0)</f>
        <v>200</v>
      </c>
      <c r="Q439" s="4">
        <f>VLOOKUP(A439,'[6]Monthly Sold'!$A:$M,4,0)</f>
        <v>300</v>
      </c>
      <c r="R439" s="4">
        <f>VLOOKUP(A439,'[6]Monthly Sold'!$A:$M,5,0)</f>
        <v>100</v>
      </c>
      <c r="S439" s="4">
        <f>VLOOKUP(A439,'[6]Monthly Sold'!$A:$M,6,0)</f>
        <v>100</v>
      </c>
      <c r="T439" s="4">
        <f>VLOOKUP(A439,'[6]Monthly Sold'!$A:$M,7,0)</f>
        <v>200</v>
      </c>
      <c r="U439" s="4">
        <f>VLOOKUP(A439,'[6]Monthly Sold'!$A:$M,8,0)</f>
        <v>100</v>
      </c>
      <c r="V439" s="4">
        <f>VLOOKUP(A439,'[6]Monthly Sold'!$A:$M,9,0)</f>
        <v>200</v>
      </c>
      <c r="W439" s="4">
        <f>VLOOKUP(A439,'[6]Monthly Sold'!$A:$M,10,0)</f>
        <v>200</v>
      </c>
      <c r="X439" s="4">
        <f>VLOOKUP(A439,'[6]Monthly Sold'!$A:$M,11,0)</f>
        <v>300</v>
      </c>
      <c r="Y439" s="4">
        <f>VLOOKUP(A439,'[6]Monthly Sold'!$A:$M,12,0)</f>
        <v>300</v>
      </c>
      <c r="Z439" s="4">
        <f>VLOOKUP(A439,'[6]Monthly Sold'!$A:$M,13,0)</f>
        <v>300</v>
      </c>
      <c r="AA439" s="4">
        <f t="shared" si="118"/>
        <v>2400</v>
      </c>
      <c r="AB439" s="7">
        <f t="shared" si="109"/>
        <v>200</v>
      </c>
      <c r="AC439" s="15">
        <f t="shared" si="119"/>
        <v>200</v>
      </c>
      <c r="AD439" s="16">
        <f t="shared" si="120"/>
        <v>101760</v>
      </c>
      <c r="AE439" s="16">
        <f t="shared" si="121"/>
        <v>8480</v>
      </c>
      <c r="AF439" s="21">
        <v>4.76</v>
      </c>
      <c r="AG439" s="21">
        <v>42.4</v>
      </c>
      <c r="AH439" s="15">
        <f t="shared" si="122"/>
        <v>0.74666666666666659</v>
      </c>
      <c r="AI439" s="15">
        <f t="shared" si="123"/>
        <v>2.6133333333333328</v>
      </c>
      <c r="AJ439" s="10">
        <v>0.5</v>
      </c>
      <c r="AK439" s="10">
        <v>0.5</v>
      </c>
      <c r="AL439" s="21">
        <v>4.76</v>
      </c>
      <c r="AM439" s="9">
        <f t="shared" si="110"/>
        <v>6.3599999999999994</v>
      </c>
      <c r="AN439" s="9">
        <f t="shared" si="111"/>
        <v>1.272</v>
      </c>
      <c r="AO439" s="9">
        <f t="shared" si="112"/>
        <v>8.48</v>
      </c>
      <c r="AP439" s="9">
        <f t="shared" si="113"/>
        <v>0.84799999999999998</v>
      </c>
      <c r="AQ439" s="9">
        <f t="shared" si="114"/>
        <v>8.48</v>
      </c>
      <c r="AR439" s="9">
        <f t="shared" si="115"/>
        <v>10.6</v>
      </c>
      <c r="AS439" s="11">
        <f t="shared" si="116"/>
        <v>7.4666666666666659</v>
      </c>
      <c r="AT439" s="12">
        <f t="shared" si="117"/>
        <v>6.0533333333333337</v>
      </c>
    </row>
    <row r="440" spans="1:46" ht="16.5" x14ac:dyDescent="0.4">
      <c r="A440" s="4" t="s">
        <v>1854</v>
      </c>
      <c r="B440" s="4" t="s">
        <v>1895</v>
      </c>
      <c r="C440" s="4" t="s">
        <v>1784</v>
      </c>
      <c r="D440" s="4" t="s">
        <v>2060</v>
      </c>
      <c r="E440" s="4" t="s">
        <v>2061</v>
      </c>
      <c r="F440" s="4" t="s">
        <v>2062</v>
      </c>
      <c r="G440" s="7" t="str">
        <f>VLOOKUP(A440,[1]done!$A:$I,9,0)</f>
        <v>Rodent</v>
      </c>
      <c r="H440" s="7" t="str" cm="1">
        <f t="array" ref="H440">_xlfn.IFS(
OR(ISNUMBER(SEARCH("mouse",E440)),ISNUMBER(SEARCH("rat",E440)),ISNUMBER(SEARCH("mice",E440)),ISNUMBER(SEARCH("rodent",E440))),"Rodent Control",
OR(ISNUMBER(SEARCH("fly",E440)),ISNUMBER(SEARCH("gnat",E440)),ISNUMBER(SEARCH("insect",E440)),ISNUMBER(SEARCH("mosquito",E440))),"Flying Insect Control",
OR(ISNUMBER(SEARCH("roach",E440)),ISNUMBER(SEARCH("ant",E440)),ISNUMBER(SEARCH("spider",E440)),ISNUMBER(SEARCH("cricket",E440)),ISNUMBER(SEARCH("scorpion",E440)),ISNUMBER(SEARCH("centipede",E440)),ISNUMBER(SEARCH("beetle",E440))),"Crawling Insect Control",
OR(ISNUMBER(SEARCH("tree",E440)),ISNUMBER(SEARCH("lantern",E440)),ISNUMBER(SEARCH("garden",E440)),ISNUMBER(SEARCH("plant",E440))),"Garden Pest Control",
OR(ISNUMBER(SEARCH("grass seed",E440)),ISNUMBER(SEARCH("seed mix",E440))),"Grass Seed",
OR(ISNUMBER(SEARCH("lawn food",E440)),ISNUMBER(SEARCH("fertilizer",E440))),"Lawn Fertilizer",
OR(ISNUMBER(SEARCH("patch",E440)),ISNUMBER(SEARCH("repair",E440)),ISNUMBER(SEARCH("thick'r",E440)),ISNUMBER(SEARCH("thick'r lawn",E440)),ISNUMBER(SEARCH("rapid grass",E440))),"Lawn Repair",
OR(ISNUMBER(SEARCH("weed",E440)),ISNUMBER(SEARCH("crabgrass",E440))),"Weed Control",
OR(ISNUMBER(SEARCH("fungicide",E440)),ISNUMBER(SEARCH("moss",E440))),"Disease &amp; Moss Control",
OR(ISNUMBER(SEARCH("plant food",E440)),ISNUMBER(SEARCH("miracid",E440))),"Plant Nutrition",
OR(ISNUMBER(SEARCH("perlite",E440))),"Soil Amendment",
OR(ISNUMBER(SEARCH("spreader",E440)),ISNUMBER(SEARCH("sprayer",E440)),ISNUMBER(SEARCH("mower",E440)),ISNUMBER(SEARCH("sweeper",E440)),ISNUMBER(SEARCH("pruner",E440)),ISNUMBER(SEARCH("trimmer",E440)),ISNUMBER(SEARCH("pole saw",E440))),"Garden Equipment",
TRUE,"Other"
)</f>
        <v>Rodent Control</v>
      </c>
      <c r="I440" s="7" t="str" cm="1">
        <f t="array" ref="I440">_xlfn.IFS(
OR(ISNUMBER(SEARCH("glue trap",E440)),ISNUMBER(SEARCH("glue board",E440))),"Glue Traps",
OR(ISNUMBER(SEARCH("snap trap",E440)),ISNUMBER(SEARCH("power-kill",E440)),ISNUMBER(SEARCH("wide pedal",E440)),ISNUMBER(SEARCH("metal pedal",E440))),"Snap Traps",
OR(ISNUMBER(SEARCH("electronic",E440)),ISNUMBER(SEARCH("zapper",E440))),"Electronic Traps",
OR(ISNUMBER(SEARCH("live catch",E440)),ISNUMBER(SEARCH("multi-catch",E440)),ISNUMBER(SEARCH("catch &amp; hold",E440)),ISNUMBER(SEARCH("tin cat",E440))),"Live Catch Traps",
OR(ISNUMBER(SEARCH("bait",E440)),ISNUMBER(SEARCH("poison",E440))),"Bait &amp; Poison",
ISNUMBER(SEARCH("repellent",E440)),"Repellents",
OR(ISNUMBER(SEARCH("fly trap",E440)),ISNUMBER(SEARCH("fly ribbon",E440)),ISNUMBER(SEARCH("fly stick",E440)),ISNUMBER(SEARCH("window fly",E440)),ISNUMBER(SEARCH("fly magnet",E440))),"Fly Traps",
OR(ISNUMBER(SEARCH("uv",E440)),ISNUMBER(SEARCH("fly light",E440)),ISNUMBER(SEARCH("plug-in",E440))),"UV Fly Traps",
ISNUMBER(SEARCH("roach",E440)),"Roach Traps",
ISNUMBER(SEARCH("ant",E440)),"Ant Traps",
ISNUMBER(SEARCH("spider",E440)),"Spider Traps",
ISNUMBER(SEARCH("mosquito",E440)),"Mosquito Traps",
ISNUMBER(SEARCH("beetle",E440)),"Beetle Traps",
ISNUMBER(SEARCH("lantern",E440)),"Lanternfly Control",
OR(ISNUMBER(SEARCH("tree shield",E440)),ISNUMBER(SEARCH("tree banding",E440)),ISNUMBER(SEARCH("insect barrier",E440))),"Tree Barriers",
OR(ISNUMBER(SEARCH("sun &amp; shade",E440)),ISNUMBER(SEARCH("sun and shade",E440))),"Sun &amp; Shade Mix",
ISNUMBER(SEARCH("tall fescue",E440)),"Tall Fescue",
ISNUMBER(SEARCH("bermudagrass",E440)),"Bermudagrass",
ISNUMBER(SEARCH("kentucky",E440)),"Kentucky Bluegrass",
ISNUMBER(SEARCH("zoysia",E440)),"Zoysia",
ISNUMBER(SEARCH("ryegrass",E440)),"Perennial Ryegrass",
ISNUMBER(SEARCH("centipede",E440)),"Centipede Grass",
ISNUMBER(SEARCH("dense shade",E440)),"Dense Shade Mix",
ISNUMBER(SEARCH("southern gold",E440)),"Southern Gold Mix",
ISNUMBER(SEARCH("heat-tolerant blue",E440)),"Heat-Tolerant Blue Mix",
ISNUMBER(SEARCH("high traffic",E440)),"High Traffic Mix",
ISNUMBER(SEARCH("quick fix",E440)),"Quick Fix Mix",
ISNUMBER(SEARCH("starter",E440)),"Starter Fertilizer",
ISNUMBER(SEARCH("weed &amp; feed",E440)),"Weed &amp; Feed",
ISNUMBER(SEARCH("lawn food",E440)),"Lawn Food",
ISNUMBER(SEARCH("triple action",E440)),"Triple Action Fertilizer",
ISNUMBER(SEARCH("green max",E440)),"Green Max Lawn Food",
ISNUMBER(SEARCH("patchmaster",E440)),"PatchMaster Repair",
ISNUMBER(SEARCH("ez seed",E440)),"EZ Seed Repair",
ISNUMBER(SEARCH("rapid grass",E440)),"Rapid Grass",
ISNUMBER(SEARCH("thick'r lawn",E440)),"Thick'R Lawn",
ISNUMBER(SEARCH("fungicide",E440)),"Fungicide",
ISNUMBER(SEARCH("moss",E440)),"Moss Control",
ISNUMBER(SEARCH("perlite",E440)),"Perlite",
ISNUMBER(SEARCH("plant food",E440)),"Plant Food",
ISNUMBER(SEARCH("spreader",E440)),"Spreader",
ISNUMBER(SEARCH("sprayer",E440)),"Sprayer",
ISNUMBER(SEARCH("mower",E440)),"Lawn Mower",
ISNUMBER(SEARCH("sweeper",E440)),"Lawn Sweeper",
OR(ISNUMBER(SEARCH("pruner",E440)),ISNUMBER(SEARCH("trimmer",E440)),ISNUMBER(SEARCH("pole saw",E440))),"Pruning Tools",
TRUE,"Other"
)</f>
        <v>Other</v>
      </c>
      <c r="J440" s="7" t="str">
        <f t="shared" si="108"/>
        <v>Rodent Control - Other</v>
      </c>
      <c r="K440" s="4">
        <v>200</v>
      </c>
      <c r="L440" s="4">
        <v>3.5</v>
      </c>
      <c r="M440" s="4">
        <v>6122</v>
      </c>
      <c r="N440" s="4" t="s">
        <v>1202</v>
      </c>
      <c r="O440" s="4">
        <f>VLOOKUP(A440,'[6]Monthly Sold'!$A:$B,2,0)</f>
        <v>200</v>
      </c>
      <c r="P440" s="4">
        <f>VLOOKUP(A440,'[6]Monthly Sold'!$A:$M,3,0)</f>
        <v>300</v>
      </c>
      <c r="Q440" s="4">
        <f>VLOOKUP(A440,'[6]Monthly Sold'!$A:$M,4,0)</f>
        <v>300</v>
      </c>
      <c r="R440" s="4">
        <f>VLOOKUP(A440,'[6]Monthly Sold'!$A:$M,5,0)</f>
        <v>200</v>
      </c>
      <c r="S440" s="4">
        <f>VLOOKUP(A440,'[6]Monthly Sold'!$A:$M,6,0)</f>
        <v>200</v>
      </c>
      <c r="T440" s="4">
        <f>VLOOKUP(A440,'[6]Monthly Sold'!$A:$M,7,0)</f>
        <v>200</v>
      </c>
      <c r="U440" s="4">
        <f>VLOOKUP(A440,'[6]Monthly Sold'!$A:$M,8,0)</f>
        <v>200</v>
      </c>
      <c r="V440" s="4">
        <f>VLOOKUP(A440,'[6]Monthly Sold'!$A:$M,9,0)</f>
        <v>300</v>
      </c>
      <c r="W440" s="4">
        <f>VLOOKUP(A440,'[6]Monthly Sold'!$A:$M,10,0)</f>
        <v>200</v>
      </c>
      <c r="X440" s="4">
        <f>VLOOKUP(A440,'[6]Monthly Sold'!$A:$M,11,0)</f>
        <v>400</v>
      </c>
      <c r="Y440" s="4">
        <f>VLOOKUP(A440,'[6]Monthly Sold'!$A:$M,12,0)</f>
        <v>500</v>
      </c>
      <c r="Z440" s="4">
        <f>VLOOKUP(A440,'[6]Monthly Sold'!$A:$M,13,0)</f>
        <v>800</v>
      </c>
      <c r="AA440" s="4">
        <f t="shared" si="118"/>
        <v>3800</v>
      </c>
      <c r="AB440" s="7">
        <f t="shared" si="109"/>
        <v>317</v>
      </c>
      <c r="AC440" s="15">
        <f t="shared" si="119"/>
        <v>316.66666666666669</v>
      </c>
      <c r="AD440" s="16">
        <f t="shared" si="120"/>
        <v>93024</v>
      </c>
      <c r="AE440" s="16">
        <f t="shared" si="121"/>
        <v>7752.0000000000009</v>
      </c>
      <c r="AF440" s="21">
        <v>5.76</v>
      </c>
      <c r="AG440" s="21">
        <v>24.48</v>
      </c>
      <c r="AH440" s="15">
        <f t="shared" si="122"/>
        <v>0.20213333333333325</v>
      </c>
      <c r="AI440" s="15">
        <f t="shared" si="123"/>
        <v>0.70746666666666624</v>
      </c>
      <c r="AJ440" s="10">
        <v>0.5</v>
      </c>
      <c r="AK440" s="10">
        <v>0.5</v>
      </c>
      <c r="AL440" s="21">
        <v>5.76</v>
      </c>
      <c r="AM440" s="9">
        <f t="shared" si="110"/>
        <v>3.6719999999999997</v>
      </c>
      <c r="AN440" s="9">
        <f t="shared" si="111"/>
        <v>0.73439999999999994</v>
      </c>
      <c r="AO440" s="9">
        <f t="shared" si="112"/>
        <v>4.8960000000000008</v>
      </c>
      <c r="AP440" s="9">
        <f t="shared" si="113"/>
        <v>0.48960000000000004</v>
      </c>
      <c r="AQ440" s="9">
        <f t="shared" si="114"/>
        <v>4.8960000000000008</v>
      </c>
      <c r="AR440" s="9">
        <f t="shared" si="115"/>
        <v>6.12</v>
      </c>
      <c r="AS440" s="11">
        <f t="shared" si="116"/>
        <v>2.0213333333333323</v>
      </c>
      <c r="AT440" s="12">
        <f t="shared" si="117"/>
        <v>1.2053333333333327</v>
      </c>
    </row>
    <row r="441" spans="1:46" ht="16.5" x14ac:dyDescent="0.4">
      <c r="A441" s="4" t="s">
        <v>1855</v>
      </c>
      <c r="B441" s="4" t="s">
        <v>1895</v>
      </c>
      <c r="C441" s="4" t="s">
        <v>1784</v>
      </c>
      <c r="D441" s="4" t="s">
        <v>2063</v>
      </c>
      <c r="E441" s="4" t="s">
        <v>2064</v>
      </c>
      <c r="F441" s="4" t="s">
        <v>2065</v>
      </c>
      <c r="G441" s="7" t="str">
        <f>VLOOKUP(A441,[1]done!$A:$I,9,0)</f>
        <v>Rodent</v>
      </c>
      <c r="H441" s="7" t="str" cm="1">
        <f t="array" ref="H441">_xlfn.IFS(
OR(ISNUMBER(SEARCH("mouse",E441)),ISNUMBER(SEARCH("rat",E441)),ISNUMBER(SEARCH("mice",E441)),ISNUMBER(SEARCH("rodent",E441))),"Rodent Control",
OR(ISNUMBER(SEARCH("fly",E441)),ISNUMBER(SEARCH("gnat",E441)),ISNUMBER(SEARCH("insect",E441)),ISNUMBER(SEARCH("mosquito",E441))),"Flying Insect Control",
OR(ISNUMBER(SEARCH("roach",E441)),ISNUMBER(SEARCH("ant",E441)),ISNUMBER(SEARCH("spider",E441)),ISNUMBER(SEARCH("cricket",E441)),ISNUMBER(SEARCH("scorpion",E441)),ISNUMBER(SEARCH("centipede",E441)),ISNUMBER(SEARCH("beetle",E441))),"Crawling Insect Control",
OR(ISNUMBER(SEARCH("tree",E441)),ISNUMBER(SEARCH("lantern",E441)),ISNUMBER(SEARCH("garden",E441)),ISNUMBER(SEARCH("plant",E441))),"Garden Pest Control",
OR(ISNUMBER(SEARCH("grass seed",E441)),ISNUMBER(SEARCH("seed mix",E441))),"Grass Seed",
OR(ISNUMBER(SEARCH("lawn food",E441)),ISNUMBER(SEARCH("fertilizer",E441))),"Lawn Fertilizer",
OR(ISNUMBER(SEARCH("patch",E441)),ISNUMBER(SEARCH("repair",E441)),ISNUMBER(SEARCH("thick'r",E441)),ISNUMBER(SEARCH("thick'r lawn",E441)),ISNUMBER(SEARCH("rapid grass",E441))),"Lawn Repair",
OR(ISNUMBER(SEARCH("weed",E441)),ISNUMBER(SEARCH("crabgrass",E441))),"Weed Control",
OR(ISNUMBER(SEARCH("fungicide",E441)),ISNUMBER(SEARCH("moss",E441))),"Disease &amp; Moss Control",
OR(ISNUMBER(SEARCH("plant food",E441)),ISNUMBER(SEARCH("miracid",E441))),"Plant Nutrition",
OR(ISNUMBER(SEARCH("perlite",E441))),"Soil Amendment",
OR(ISNUMBER(SEARCH("spreader",E441)),ISNUMBER(SEARCH("sprayer",E441)),ISNUMBER(SEARCH("mower",E441)),ISNUMBER(SEARCH("sweeper",E441)),ISNUMBER(SEARCH("pruner",E441)),ISNUMBER(SEARCH("trimmer",E441)),ISNUMBER(SEARCH("pole saw",E441))),"Garden Equipment",
TRUE,"Other"
)</f>
        <v>Rodent Control</v>
      </c>
      <c r="I441" s="7" t="str" cm="1">
        <f t="array" ref="I441">_xlfn.IFS(
OR(ISNUMBER(SEARCH("glue trap",E441)),ISNUMBER(SEARCH("glue board",E441))),"Glue Traps",
OR(ISNUMBER(SEARCH("snap trap",E441)),ISNUMBER(SEARCH("power-kill",E441)),ISNUMBER(SEARCH("wide pedal",E441)),ISNUMBER(SEARCH("metal pedal",E441))),"Snap Traps",
OR(ISNUMBER(SEARCH("electronic",E441)),ISNUMBER(SEARCH("zapper",E441))),"Electronic Traps",
OR(ISNUMBER(SEARCH("live catch",E441)),ISNUMBER(SEARCH("multi-catch",E441)),ISNUMBER(SEARCH("catch &amp; hold",E441)),ISNUMBER(SEARCH("tin cat",E441))),"Live Catch Traps",
OR(ISNUMBER(SEARCH("bait",E441)),ISNUMBER(SEARCH("poison",E441))),"Bait &amp; Poison",
ISNUMBER(SEARCH("repellent",E441)),"Repellents",
OR(ISNUMBER(SEARCH("fly trap",E441)),ISNUMBER(SEARCH("fly ribbon",E441)),ISNUMBER(SEARCH("fly stick",E441)),ISNUMBER(SEARCH("window fly",E441)),ISNUMBER(SEARCH("fly magnet",E441))),"Fly Traps",
OR(ISNUMBER(SEARCH("uv",E441)),ISNUMBER(SEARCH("fly light",E441)),ISNUMBER(SEARCH("plug-in",E441))),"UV Fly Traps",
ISNUMBER(SEARCH("roach",E441)),"Roach Traps",
ISNUMBER(SEARCH("ant",E441)),"Ant Traps",
ISNUMBER(SEARCH("spider",E441)),"Spider Traps",
ISNUMBER(SEARCH("mosquito",E441)),"Mosquito Traps",
ISNUMBER(SEARCH("beetle",E441)),"Beetle Traps",
ISNUMBER(SEARCH("lantern",E441)),"Lanternfly Control",
OR(ISNUMBER(SEARCH("tree shield",E441)),ISNUMBER(SEARCH("tree banding",E441)),ISNUMBER(SEARCH("insect barrier",E441))),"Tree Barriers",
OR(ISNUMBER(SEARCH("sun &amp; shade",E441)),ISNUMBER(SEARCH("sun and shade",E441))),"Sun &amp; Shade Mix",
ISNUMBER(SEARCH("tall fescue",E441)),"Tall Fescue",
ISNUMBER(SEARCH("bermudagrass",E441)),"Bermudagrass",
ISNUMBER(SEARCH("kentucky",E441)),"Kentucky Bluegrass",
ISNUMBER(SEARCH("zoysia",E441)),"Zoysia",
ISNUMBER(SEARCH("ryegrass",E441)),"Perennial Ryegrass",
ISNUMBER(SEARCH("centipede",E441)),"Centipede Grass",
ISNUMBER(SEARCH("dense shade",E441)),"Dense Shade Mix",
ISNUMBER(SEARCH("southern gold",E441)),"Southern Gold Mix",
ISNUMBER(SEARCH("heat-tolerant blue",E441)),"Heat-Tolerant Blue Mix",
ISNUMBER(SEARCH("high traffic",E441)),"High Traffic Mix",
ISNUMBER(SEARCH("quick fix",E441)),"Quick Fix Mix",
ISNUMBER(SEARCH("starter",E441)),"Starter Fertilizer",
ISNUMBER(SEARCH("weed &amp; feed",E441)),"Weed &amp; Feed",
ISNUMBER(SEARCH("lawn food",E441)),"Lawn Food",
ISNUMBER(SEARCH("triple action",E441)),"Triple Action Fertilizer",
ISNUMBER(SEARCH("green max",E441)),"Green Max Lawn Food",
ISNUMBER(SEARCH("patchmaster",E441)),"PatchMaster Repair",
ISNUMBER(SEARCH("ez seed",E441)),"EZ Seed Repair",
ISNUMBER(SEARCH("rapid grass",E441)),"Rapid Grass",
ISNUMBER(SEARCH("thick'r lawn",E441)),"Thick'R Lawn",
ISNUMBER(SEARCH("fungicide",E441)),"Fungicide",
ISNUMBER(SEARCH("moss",E441)),"Moss Control",
ISNUMBER(SEARCH("perlite",E441)),"Perlite",
ISNUMBER(SEARCH("plant food",E441)),"Plant Food",
ISNUMBER(SEARCH("spreader",E441)),"Spreader",
ISNUMBER(SEARCH("sprayer",E441)),"Sprayer",
ISNUMBER(SEARCH("mower",E441)),"Lawn Mower",
ISNUMBER(SEARCH("sweeper",E441)),"Lawn Sweeper",
OR(ISNUMBER(SEARCH("pruner",E441)),ISNUMBER(SEARCH("trimmer",E441)),ISNUMBER(SEARCH("pole saw",E441))),"Pruning Tools",
TRUE,"Other"
)</f>
        <v>Repellents</v>
      </c>
      <c r="J441" s="7" t="str">
        <f t="shared" si="108"/>
        <v>Rodent Control - Repellents</v>
      </c>
      <c r="K441" s="4">
        <v>200</v>
      </c>
      <c r="L441" s="4">
        <v>4.2</v>
      </c>
      <c r="M441" s="4">
        <v>418</v>
      </c>
      <c r="N441" s="4" t="s">
        <v>1202</v>
      </c>
      <c r="O441" s="4">
        <f>VLOOKUP(A441,'[6]Monthly Sold'!$A:$B,2,0)</f>
        <v>100</v>
      </c>
      <c r="P441" s="4">
        <f>VLOOKUP(A441,'[6]Monthly Sold'!$A:$M,3,0)</f>
        <v>200</v>
      </c>
      <c r="Q441" s="4">
        <f>VLOOKUP(A441,'[6]Monthly Sold'!$A:$M,4,0)</f>
        <v>200</v>
      </c>
      <c r="R441" s="4">
        <f>VLOOKUP(A441,'[6]Monthly Sold'!$A:$M,5,0)</f>
        <v>200</v>
      </c>
      <c r="S441" s="4">
        <f>VLOOKUP(A441,'[6]Monthly Sold'!$A:$M,6,0)</f>
        <v>200</v>
      </c>
      <c r="T441" s="4">
        <f>VLOOKUP(A441,'[6]Monthly Sold'!$A:$M,7,0)</f>
        <v>300</v>
      </c>
      <c r="U441" s="4">
        <f>VLOOKUP(A441,'[6]Monthly Sold'!$A:$M,8,0)</f>
        <v>200</v>
      </c>
      <c r="V441" s="4">
        <f>VLOOKUP(A441,'[6]Monthly Sold'!$A:$M,9,0)</f>
        <v>400</v>
      </c>
      <c r="W441" s="4">
        <f>VLOOKUP(A441,'[6]Monthly Sold'!$A:$M,10,0)</f>
        <v>500</v>
      </c>
      <c r="X441" s="4">
        <f>VLOOKUP(A441,'[6]Monthly Sold'!$A:$M,11,0)</f>
        <v>200</v>
      </c>
      <c r="Y441" s="4">
        <f>VLOOKUP(A441,'[6]Monthly Sold'!$A:$M,12,0)</f>
        <v>300</v>
      </c>
      <c r="Z441" s="4">
        <f>VLOOKUP(A441,'[6]Monthly Sold'!$A:$M,13,0)</f>
        <v>200</v>
      </c>
      <c r="AA441" s="4">
        <f t="shared" si="118"/>
        <v>3000</v>
      </c>
      <c r="AB441" s="7">
        <f t="shared" si="109"/>
        <v>250</v>
      </c>
      <c r="AC441" s="15">
        <f t="shared" si="119"/>
        <v>250</v>
      </c>
      <c r="AD441" s="16">
        <f t="shared" si="120"/>
        <v>84720</v>
      </c>
      <c r="AE441" s="16">
        <f t="shared" si="121"/>
        <v>7060</v>
      </c>
      <c r="AF441" s="21">
        <v>6.9</v>
      </c>
      <c r="AG441" s="21">
        <v>28.24</v>
      </c>
      <c r="AH441" s="15">
        <f t="shared" si="122"/>
        <v>0.22639999999999993</v>
      </c>
      <c r="AI441" s="15">
        <f t="shared" si="123"/>
        <v>0.79239999999999977</v>
      </c>
      <c r="AJ441" s="10">
        <v>0.5</v>
      </c>
      <c r="AK441" s="10">
        <v>0.5</v>
      </c>
      <c r="AL441" s="21">
        <v>6.9</v>
      </c>
      <c r="AM441" s="9">
        <f t="shared" si="110"/>
        <v>4.2359999999999998</v>
      </c>
      <c r="AN441" s="9">
        <f t="shared" si="111"/>
        <v>0.84719999999999995</v>
      </c>
      <c r="AO441" s="9">
        <f t="shared" si="112"/>
        <v>5.6479999999999997</v>
      </c>
      <c r="AP441" s="9">
        <f t="shared" si="113"/>
        <v>0.56479999999999997</v>
      </c>
      <c r="AQ441" s="9">
        <f t="shared" si="114"/>
        <v>5.6479999999999997</v>
      </c>
      <c r="AR441" s="9">
        <f t="shared" si="115"/>
        <v>7.06</v>
      </c>
      <c r="AS441" s="11">
        <f t="shared" si="116"/>
        <v>2.2639999999999993</v>
      </c>
      <c r="AT441" s="12">
        <f t="shared" si="117"/>
        <v>1.322666666666666</v>
      </c>
    </row>
    <row r="442" spans="1:46" ht="16.5" x14ac:dyDescent="0.4">
      <c r="A442" s="4" t="s">
        <v>1856</v>
      </c>
      <c r="B442" s="4" t="s">
        <v>1895</v>
      </c>
      <c r="C442" s="4" t="s">
        <v>1784</v>
      </c>
      <c r="D442" s="4" t="s">
        <v>2066</v>
      </c>
      <c r="E442" s="4" t="s">
        <v>2067</v>
      </c>
      <c r="F442" s="4" t="s">
        <v>2068</v>
      </c>
      <c r="G442" s="7" t="str">
        <f>VLOOKUP(A442,[1]done!$A:$I,9,0)</f>
        <v>Rodent</v>
      </c>
      <c r="H442" s="7" t="str" cm="1">
        <f t="array" ref="H442">_xlfn.IFS(
OR(ISNUMBER(SEARCH("mouse",E442)),ISNUMBER(SEARCH("rat",E442)),ISNUMBER(SEARCH("mice",E442)),ISNUMBER(SEARCH("rodent",E442))),"Rodent Control",
OR(ISNUMBER(SEARCH("fly",E442)),ISNUMBER(SEARCH("gnat",E442)),ISNUMBER(SEARCH("insect",E442)),ISNUMBER(SEARCH("mosquito",E442))),"Flying Insect Control",
OR(ISNUMBER(SEARCH("roach",E442)),ISNUMBER(SEARCH("ant",E442)),ISNUMBER(SEARCH("spider",E442)),ISNUMBER(SEARCH("cricket",E442)),ISNUMBER(SEARCH("scorpion",E442)),ISNUMBER(SEARCH("centipede",E442)),ISNUMBER(SEARCH("beetle",E442))),"Crawling Insect Control",
OR(ISNUMBER(SEARCH("tree",E442)),ISNUMBER(SEARCH("lantern",E442)),ISNUMBER(SEARCH("garden",E442)),ISNUMBER(SEARCH("plant",E442))),"Garden Pest Control",
OR(ISNUMBER(SEARCH("grass seed",E442)),ISNUMBER(SEARCH("seed mix",E442))),"Grass Seed",
OR(ISNUMBER(SEARCH("lawn food",E442)),ISNUMBER(SEARCH("fertilizer",E442))),"Lawn Fertilizer",
OR(ISNUMBER(SEARCH("patch",E442)),ISNUMBER(SEARCH("repair",E442)),ISNUMBER(SEARCH("thick'r",E442)),ISNUMBER(SEARCH("thick'r lawn",E442)),ISNUMBER(SEARCH("rapid grass",E442))),"Lawn Repair",
OR(ISNUMBER(SEARCH("weed",E442)),ISNUMBER(SEARCH("crabgrass",E442))),"Weed Control",
OR(ISNUMBER(SEARCH("fungicide",E442)),ISNUMBER(SEARCH("moss",E442))),"Disease &amp; Moss Control",
OR(ISNUMBER(SEARCH("plant food",E442)),ISNUMBER(SEARCH("miracid",E442))),"Plant Nutrition",
OR(ISNUMBER(SEARCH("perlite",E442))),"Soil Amendment",
OR(ISNUMBER(SEARCH("spreader",E442)),ISNUMBER(SEARCH("sprayer",E442)),ISNUMBER(SEARCH("mower",E442)),ISNUMBER(SEARCH("sweeper",E442)),ISNUMBER(SEARCH("pruner",E442)),ISNUMBER(SEARCH("trimmer",E442)),ISNUMBER(SEARCH("pole saw",E442))),"Garden Equipment",
TRUE,"Other"
)</f>
        <v>Rodent Control</v>
      </c>
      <c r="I442" s="7" t="str" cm="1">
        <f t="array" ref="I442">_xlfn.IFS(
OR(ISNUMBER(SEARCH("glue trap",E442)),ISNUMBER(SEARCH("glue board",E442))),"Glue Traps",
OR(ISNUMBER(SEARCH("snap trap",E442)),ISNUMBER(SEARCH("power-kill",E442)),ISNUMBER(SEARCH("wide pedal",E442)),ISNUMBER(SEARCH("metal pedal",E442))),"Snap Traps",
OR(ISNUMBER(SEARCH("electronic",E442)),ISNUMBER(SEARCH("zapper",E442))),"Electronic Traps",
OR(ISNUMBER(SEARCH("live catch",E442)),ISNUMBER(SEARCH("multi-catch",E442)),ISNUMBER(SEARCH("catch &amp; hold",E442)),ISNUMBER(SEARCH("tin cat",E442))),"Live Catch Traps",
OR(ISNUMBER(SEARCH("bait",E442)),ISNUMBER(SEARCH("poison",E442))),"Bait &amp; Poison",
ISNUMBER(SEARCH("repellent",E442)),"Repellents",
OR(ISNUMBER(SEARCH("fly trap",E442)),ISNUMBER(SEARCH("fly ribbon",E442)),ISNUMBER(SEARCH("fly stick",E442)),ISNUMBER(SEARCH("window fly",E442)),ISNUMBER(SEARCH("fly magnet",E442))),"Fly Traps",
OR(ISNUMBER(SEARCH("uv",E442)),ISNUMBER(SEARCH("fly light",E442)),ISNUMBER(SEARCH("plug-in",E442))),"UV Fly Traps",
ISNUMBER(SEARCH("roach",E442)),"Roach Traps",
ISNUMBER(SEARCH("ant",E442)),"Ant Traps",
ISNUMBER(SEARCH("spider",E442)),"Spider Traps",
ISNUMBER(SEARCH("mosquito",E442)),"Mosquito Traps",
ISNUMBER(SEARCH("beetle",E442)),"Beetle Traps",
ISNUMBER(SEARCH("lantern",E442)),"Lanternfly Control",
OR(ISNUMBER(SEARCH("tree shield",E442)),ISNUMBER(SEARCH("tree banding",E442)),ISNUMBER(SEARCH("insect barrier",E442))),"Tree Barriers",
OR(ISNUMBER(SEARCH("sun &amp; shade",E442)),ISNUMBER(SEARCH("sun and shade",E442))),"Sun &amp; Shade Mix",
ISNUMBER(SEARCH("tall fescue",E442)),"Tall Fescue",
ISNUMBER(SEARCH("bermudagrass",E442)),"Bermudagrass",
ISNUMBER(SEARCH("kentucky",E442)),"Kentucky Bluegrass",
ISNUMBER(SEARCH("zoysia",E442)),"Zoysia",
ISNUMBER(SEARCH("ryegrass",E442)),"Perennial Ryegrass",
ISNUMBER(SEARCH("centipede",E442)),"Centipede Grass",
ISNUMBER(SEARCH("dense shade",E442)),"Dense Shade Mix",
ISNUMBER(SEARCH("southern gold",E442)),"Southern Gold Mix",
ISNUMBER(SEARCH("heat-tolerant blue",E442)),"Heat-Tolerant Blue Mix",
ISNUMBER(SEARCH("high traffic",E442)),"High Traffic Mix",
ISNUMBER(SEARCH("quick fix",E442)),"Quick Fix Mix",
ISNUMBER(SEARCH("starter",E442)),"Starter Fertilizer",
ISNUMBER(SEARCH("weed &amp; feed",E442)),"Weed &amp; Feed",
ISNUMBER(SEARCH("lawn food",E442)),"Lawn Food",
ISNUMBER(SEARCH("triple action",E442)),"Triple Action Fertilizer",
ISNUMBER(SEARCH("green max",E442)),"Green Max Lawn Food",
ISNUMBER(SEARCH("patchmaster",E442)),"PatchMaster Repair",
ISNUMBER(SEARCH("ez seed",E442)),"EZ Seed Repair",
ISNUMBER(SEARCH("rapid grass",E442)),"Rapid Grass",
ISNUMBER(SEARCH("thick'r lawn",E442)),"Thick'R Lawn",
ISNUMBER(SEARCH("fungicide",E442)),"Fungicide",
ISNUMBER(SEARCH("moss",E442)),"Moss Control",
ISNUMBER(SEARCH("perlite",E442)),"Perlite",
ISNUMBER(SEARCH("plant food",E442)),"Plant Food",
ISNUMBER(SEARCH("spreader",E442)),"Spreader",
ISNUMBER(SEARCH("sprayer",E442)),"Sprayer",
ISNUMBER(SEARCH("mower",E442)),"Lawn Mower",
ISNUMBER(SEARCH("sweeper",E442)),"Lawn Sweeper",
OR(ISNUMBER(SEARCH("pruner",E442)),ISNUMBER(SEARCH("trimmer",E442)),ISNUMBER(SEARCH("pole saw",E442))),"Pruning Tools",
TRUE,"Other"
)</f>
        <v>Ant Traps</v>
      </c>
      <c r="J442" s="7" t="str">
        <f t="shared" si="108"/>
        <v>Rodent Control - Ant Traps</v>
      </c>
      <c r="K442" s="4">
        <v>200</v>
      </c>
      <c r="L442" s="4">
        <v>4.0999999999999996</v>
      </c>
      <c r="M442" s="4">
        <v>13479</v>
      </c>
      <c r="N442" s="4" t="s">
        <v>2069</v>
      </c>
      <c r="O442" s="4">
        <f>VLOOKUP(A442,'[6]Monthly Sold'!$A:$B,2,0)</f>
        <v>1000</v>
      </c>
      <c r="P442" s="4">
        <f>VLOOKUP(A442,'[6]Monthly Sold'!$A:$M,3,0)</f>
        <v>1000</v>
      </c>
      <c r="Q442" s="4">
        <f>VLOOKUP(A442,'[6]Monthly Sold'!$A:$M,4,0)</f>
        <v>400</v>
      </c>
      <c r="R442" s="4">
        <f>VLOOKUP(A442,'[6]Monthly Sold'!$A:$M,5,0)</f>
        <v>300</v>
      </c>
      <c r="S442" s="4">
        <f>VLOOKUP(A442,'[6]Monthly Sold'!$A:$M,6,0)</f>
        <v>400</v>
      </c>
      <c r="T442" s="4">
        <f>VLOOKUP(A442,'[6]Monthly Sold'!$A:$M,7,0)</f>
        <v>300</v>
      </c>
      <c r="U442" s="4">
        <f>VLOOKUP(A442,'[6]Monthly Sold'!$A:$M,8,0)</f>
        <v>300</v>
      </c>
      <c r="V442" s="4">
        <f>VLOOKUP(A442,'[6]Monthly Sold'!$A:$M,9,0)</f>
        <v>100</v>
      </c>
      <c r="W442" s="4">
        <f>VLOOKUP(A442,'[6]Monthly Sold'!$A:$M,10,0)</f>
        <v>200</v>
      </c>
      <c r="X442" s="4">
        <f>VLOOKUP(A442,'[6]Monthly Sold'!$A:$M,11,0)</f>
        <v>500</v>
      </c>
      <c r="Y442" s="4">
        <f>VLOOKUP(A442,'[6]Monthly Sold'!$A:$M,12,0)</f>
        <v>500</v>
      </c>
      <c r="Z442" s="4">
        <f>VLOOKUP(A442,'[6]Monthly Sold'!$A:$M,13,0)</f>
        <v>1000</v>
      </c>
      <c r="AA442" s="4">
        <f t="shared" si="118"/>
        <v>6000</v>
      </c>
      <c r="AB442" s="7">
        <f t="shared" si="109"/>
        <v>500</v>
      </c>
      <c r="AC442" s="15">
        <f t="shared" si="119"/>
        <v>500</v>
      </c>
      <c r="AD442" s="16">
        <f t="shared" si="120"/>
        <v>31740</v>
      </c>
      <c r="AE442" s="16">
        <f t="shared" si="121"/>
        <v>2645</v>
      </c>
      <c r="AF442" s="21">
        <v>3.01</v>
      </c>
      <c r="AG442" s="21">
        <v>5.29</v>
      </c>
      <c r="AH442" s="15">
        <f t="shared" si="122"/>
        <v>-0.12626666666666667</v>
      </c>
      <c r="AI442" s="15">
        <f t="shared" si="123"/>
        <v>-0.44193333333333329</v>
      </c>
      <c r="AJ442" s="10">
        <v>0.5</v>
      </c>
      <c r="AK442" s="10">
        <v>0.5</v>
      </c>
      <c r="AL442" s="21">
        <v>3.01</v>
      </c>
      <c r="AM442" s="9">
        <f t="shared" si="110"/>
        <v>0.79349999999999998</v>
      </c>
      <c r="AN442" s="9">
        <f t="shared" si="111"/>
        <v>0.15870000000000001</v>
      </c>
      <c r="AO442" s="9">
        <f t="shared" si="112"/>
        <v>1.0580000000000001</v>
      </c>
      <c r="AP442" s="9">
        <f t="shared" si="113"/>
        <v>0.10580000000000001</v>
      </c>
      <c r="AQ442" s="9">
        <f t="shared" si="114"/>
        <v>1.0580000000000001</v>
      </c>
      <c r="AR442" s="9">
        <f t="shared" si="115"/>
        <v>1.3225</v>
      </c>
      <c r="AS442" s="11">
        <f t="shared" si="116"/>
        <v>-1.2626666666666666</v>
      </c>
      <c r="AT442" s="12">
        <f t="shared" si="117"/>
        <v>-1.4390000000000001</v>
      </c>
    </row>
    <row r="443" spans="1:46" ht="16.5" x14ac:dyDescent="0.4">
      <c r="A443" s="4" t="s">
        <v>1857</v>
      </c>
      <c r="B443" s="4" t="s">
        <v>1895</v>
      </c>
      <c r="C443" s="4" t="s">
        <v>1784</v>
      </c>
      <c r="D443" s="4" t="s">
        <v>2070</v>
      </c>
      <c r="E443" s="4" t="s">
        <v>2071</v>
      </c>
      <c r="F443" s="4" t="s">
        <v>2072</v>
      </c>
      <c r="G443" s="7" t="str">
        <f>VLOOKUP(A443,[1]done!$A:$I,9,0)</f>
        <v>Rodent</v>
      </c>
      <c r="H443" s="7" t="str" cm="1">
        <f t="array" ref="H443">_xlfn.IFS(
OR(ISNUMBER(SEARCH("mouse",E443)),ISNUMBER(SEARCH("rat",E443)),ISNUMBER(SEARCH("mice",E443)),ISNUMBER(SEARCH("rodent",E443))),"Rodent Control",
OR(ISNUMBER(SEARCH("fly",E443)),ISNUMBER(SEARCH("gnat",E443)),ISNUMBER(SEARCH("insect",E443)),ISNUMBER(SEARCH("mosquito",E443))),"Flying Insect Control",
OR(ISNUMBER(SEARCH("roach",E443)),ISNUMBER(SEARCH("ant",E443)),ISNUMBER(SEARCH("spider",E443)),ISNUMBER(SEARCH("cricket",E443)),ISNUMBER(SEARCH("scorpion",E443)),ISNUMBER(SEARCH("centipede",E443)),ISNUMBER(SEARCH("beetle",E443))),"Crawling Insect Control",
OR(ISNUMBER(SEARCH("tree",E443)),ISNUMBER(SEARCH("lantern",E443)),ISNUMBER(SEARCH("garden",E443)),ISNUMBER(SEARCH("plant",E443))),"Garden Pest Control",
OR(ISNUMBER(SEARCH("grass seed",E443)),ISNUMBER(SEARCH("seed mix",E443))),"Grass Seed",
OR(ISNUMBER(SEARCH("lawn food",E443)),ISNUMBER(SEARCH("fertilizer",E443))),"Lawn Fertilizer",
OR(ISNUMBER(SEARCH("patch",E443)),ISNUMBER(SEARCH("repair",E443)),ISNUMBER(SEARCH("thick'r",E443)),ISNUMBER(SEARCH("thick'r lawn",E443)),ISNUMBER(SEARCH("rapid grass",E443))),"Lawn Repair",
OR(ISNUMBER(SEARCH("weed",E443)),ISNUMBER(SEARCH("crabgrass",E443))),"Weed Control",
OR(ISNUMBER(SEARCH("fungicide",E443)),ISNUMBER(SEARCH("moss",E443))),"Disease &amp; Moss Control",
OR(ISNUMBER(SEARCH("plant food",E443)),ISNUMBER(SEARCH("miracid",E443))),"Plant Nutrition",
OR(ISNUMBER(SEARCH("perlite",E443))),"Soil Amendment",
OR(ISNUMBER(SEARCH("spreader",E443)),ISNUMBER(SEARCH("sprayer",E443)),ISNUMBER(SEARCH("mower",E443)),ISNUMBER(SEARCH("sweeper",E443)),ISNUMBER(SEARCH("pruner",E443)),ISNUMBER(SEARCH("trimmer",E443)),ISNUMBER(SEARCH("pole saw",E443))),"Garden Equipment",
TRUE,"Other"
)</f>
        <v>Rodent Control</v>
      </c>
      <c r="I443" s="7" t="str" cm="1">
        <f t="array" ref="I443">_xlfn.IFS(
OR(ISNUMBER(SEARCH("glue trap",E443)),ISNUMBER(SEARCH("glue board",E443))),"Glue Traps",
OR(ISNUMBER(SEARCH("snap trap",E443)),ISNUMBER(SEARCH("power-kill",E443)),ISNUMBER(SEARCH("wide pedal",E443)),ISNUMBER(SEARCH("metal pedal",E443))),"Snap Traps",
OR(ISNUMBER(SEARCH("electronic",E443)),ISNUMBER(SEARCH("zapper",E443))),"Electronic Traps",
OR(ISNUMBER(SEARCH("live catch",E443)),ISNUMBER(SEARCH("multi-catch",E443)),ISNUMBER(SEARCH("catch &amp; hold",E443)),ISNUMBER(SEARCH("tin cat",E443))),"Live Catch Traps",
OR(ISNUMBER(SEARCH("bait",E443)),ISNUMBER(SEARCH("poison",E443))),"Bait &amp; Poison",
ISNUMBER(SEARCH("repellent",E443)),"Repellents",
OR(ISNUMBER(SEARCH("fly trap",E443)),ISNUMBER(SEARCH("fly ribbon",E443)),ISNUMBER(SEARCH("fly stick",E443)),ISNUMBER(SEARCH("window fly",E443)),ISNUMBER(SEARCH("fly magnet",E443))),"Fly Traps",
OR(ISNUMBER(SEARCH("uv",E443)),ISNUMBER(SEARCH("fly light",E443)),ISNUMBER(SEARCH("plug-in",E443))),"UV Fly Traps",
ISNUMBER(SEARCH("roach",E443)),"Roach Traps",
ISNUMBER(SEARCH("ant",E443)),"Ant Traps",
ISNUMBER(SEARCH("spider",E443)),"Spider Traps",
ISNUMBER(SEARCH("mosquito",E443)),"Mosquito Traps",
ISNUMBER(SEARCH("beetle",E443)),"Beetle Traps",
ISNUMBER(SEARCH("lantern",E443)),"Lanternfly Control",
OR(ISNUMBER(SEARCH("tree shield",E443)),ISNUMBER(SEARCH("tree banding",E443)),ISNUMBER(SEARCH("insect barrier",E443))),"Tree Barriers",
OR(ISNUMBER(SEARCH("sun &amp; shade",E443)),ISNUMBER(SEARCH("sun and shade",E443))),"Sun &amp; Shade Mix",
ISNUMBER(SEARCH("tall fescue",E443)),"Tall Fescue",
ISNUMBER(SEARCH("bermudagrass",E443)),"Bermudagrass",
ISNUMBER(SEARCH("kentucky",E443)),"Kentucky Bluegrass",
ISNUMBER(SEARCH("zoysia",E443)),"Zoysia",
ISNUMBER(SEARCH("ryegrass",E443)),"Perennial Ryegrass",
ISNUMBER(SEARCH("centipede",E443)),"Centipede Grass",
ISNUMBER(SEARCH("dense shade",E443)),"Dense Shade Mix",
ISNUMBER(SEARCH("southern gold",E443)),"Southern Gold Mix",
ISNUMBER(SEARCH("heat-tolerant blue",E443)),"Heat-Tolerant Blue Mix",
ISNUMBER(SEARCH("high traffic",E443)),"High Traffic Mix",
ISNUMBER(SEARCH("quick fix",E443)),"Quick Fix Mix",
ISNUMBER(SEARCH("starter",E443)),"Starter Fertilizer",
ISNUMBER(SEARCH("weed &amp; feed",E443)),"Weed &amp; Feed",
ISNUMBER(SEARCH("lawn food",E443)),"Lawn Food",
ISNUMBER(SEARCH("triple action",E443)),"Triple Action Fertilizer",
ISNUMBER(SEARCH("green max",E443)),"Green Max Lawn Food",
ISNUMBER(SEARCH("patchmaster",E443)),"PatchMaster Repair",
ISNUMBER(SEARCH("ez seed",E443)),"EZ Seed Repair",
ISNUMBER(SEARCH("rapid grass",E443)),"Rapid Grass",
ISNUMBER(SEARCH("thick'r lawn",E443)),"Thick'R Lawn",
ISNUMBER(SEARCH("fungicide",E443)),"Fungicide",
ISNUMBER(SEARCH("moss",E443)),"Moss Control",
ISNUMBER(SEARCH("perlite",E443)),"Perlite",
ISNUMBER(SEARCH("plant food",E443)),"Plant Food",
ISNUMBER(SEARCH("spreader",E443)),"Spreader",
ISNUMBER(SEARCH("sprayer",E443)),"Sprayer",
ISNUMBER(SEARCH("mower",E443)),"Lawn Mower",
ISNUMBER(SEARCH("sweeper",E443)),"Lawn Sweeper",
OR(ISNUMBER(SEARCH("pruner",E443)),ISNUMBER(SEARCH("trimmer",E443)),ISNUMBER(SEARCH("pole saw",E443))),"Pruning Tools",
TRUE,"Other"
)</f>
        <v>Bait &amp; Poison</v>
      </c>
      <c r="J443" s="7" t="str">
        <f t="shared" si="108"/>
        <v>Rodent Control - Bait &amp; Poison</v>
      </c>
      <c r="K443" s="4">
        <v>200</v>
      </c>
      <c r="L443" s="4">
        <v>4.0999999999999996</v>
      </c>
      <c r="M443" s="4">
        <v>12765</v>
      </c>
      <c r="N443" s="4" t="s">
        <v>2073</v>
      </c>
      <c r="O443" s="4">
        <f>VLOOKUP(A443,'[6]Monthly Sold'!$A:$B,2,0)</f>
        <v>500</v>
      </c>
      <c r="P443" s="4">
        <f>VLOOKUP(A443,'[6]Monthly Sold'!$A:$M,3,0)</f>
        <v>300</v>
      </c>
      <c r="Q443" s="4">
        <f>VLOOKUP(A443,'[6]Monthly Sold'!$A:$M,4,0)</f>
        <v>200</v>
      </c>
      <c r="R443" s="4">
        <f>VLOOKUP(A443,'[6]Monthly Sold'!$A:$M,5,0)</f>
        <v>300</v>
      </c>
      <c r="S443" s="4">
        <f>VLOOKUP(A443,'[6]Monthly Sold'!$A:$M,6,0)</f>
        <v>200</v>
      </c>
      <c r="T443" s="4">
        <f>VLOOKUP(A443,'[6]Monthly Sold'!$A:$M,7,0)</f>
        <v>200</v>
      </c>
      <c r="U443" s="4">
        <f>VLOOKUP(A443,'[6]Monthly Sold'!$A:$M,8,0)</f>
        <v>200</v>
      </c>
      <c r="V443" s="4">
        <f>VLOOKUP(A443,'[6]Monthly Sold'!$A:$M,9,0)</f>
        <v>200</v>
      </c>
      <c r="W443" s="4">
        <f>VLOOKUP(A443,'[6]Monthly Sold'!$A:$M,10,0)</f>
        <v>200</v>
      </c>
      <c r="X443" s="4">
        <f>VLOOKUP(A443,'[6]Monthly Sold'!$A:$M,11,0)</f>
        <v>700</v>
      </c>
      <c r="Y443" s="4">
        <f>VLOOKUP(A443,'[6]Monthly Sold'!$A:$M,12,0)</f>
        <v>700</v>
      </c>
      <c r="Z443" s="4">
        <f>VLOOKUP(A443,'[6]Monthly Sold'!$A:$M,13,0)</f>
        <v>600</v>
      </c>
      <c r="AA443" s="4">
        <f t="shared" si="118"/>
        <v>4300</v>
      </c>
      <c r="AB443" s="7">
        <f t="shared" si="109"/>
        <v>358</v>
      </c>
      <c r="AC443" s="15">
        <f t="shared" si="119"/>
        <v>358.33333333333331</v>
      </c>
      <c r="AD443" s="16">
        <f t="shared" si="120"/>
        <v>77357</v>
      </c>
      <c r="AE443" s="16">
        <f t="shared" si="121"/>
        <v>6446.4166666666661</v>
      </c>
      <c r="AF443" s="21">
        <v>5.61</v>
      </c>
      <c r="AG443" s="21">
        <v>17.989999999999998</v>
      </c>
      <c r="AH443" s="15">
        <f t="shared" si="122"/>
        <v>3.9066666666666569E-2</v>
      </c>
      <c r="AI443" s="15">
        <f t="shared" si="123"/>
        <v>0.13673333333333298</v>
      </c>
      <c r="AJ443" s="10">
        <v>0.5</v>
      </c>
      <c r="AK443" s="10">
        <v>0.5</v>
      </c>
      <c r="AL443" s="21">
        <v>5.61</v>
      </c>
      <c r="AM443" s="9">
        <f t="shared" si="110"/>
        <v>2.6984999999999997</v>
      </c>
      <c r="AN443" s="9">
        <f t="shared" si="111"/>
        <v>0.53969999999999996</v>
      </c>
      <c r="AO443" s="9">
        <f t="shared" si="112"/>
        <v>3.5979999999999999</v>
      </c>
      <c r="AP443" s="9">
        <f t="shared" si="113"/>
        <v>0.35979999999999995</v>
      </c>
      <c r="AQ443" s="9">
        <f t="shared" si="114"/>
        <v>3.5979999999999999</v>
      </c>
      <c r="AR443" s="9">
        <f t="shared" si="115"/>
        <v>4.4974999999999996</v>
      </c>
      <c r="AS443" s="11">
        <f t="shared" si="116"/>
        <v>0.39066666666666566</v>
      </c>
      <c r="AT443" s="12">
        <f t="shared" si="117"/>
        <v>-0.20900000000000082</v>
      </c>
    </row>
    <row r="444" spans="1:46" ht="16.5" x14ac:dyDescent="0.4">
      <c r="A444" s="4" t="s">
        <v>1858</v>
      </c>
      <c r="B444" s="4" t="s">
        <v>1895</v>
      </c>
      <c r="C444" s="4" t="s">
        <v>1784</v>
      </c>
      <c r="D444" s="4" t="s">
        <v>2074</v>
      </c>
      <c r="E444" s="4" t="s">
        <v>2075</v>
      </c>
      <c r="F444" s="4" t="s">
        <v>2076</v>
      </c>
      <c r="G444" s="7" t="str">
        <f>VLOOKUP(A444,[1]done!$A:$I,9,0)</f>
        <v>Rodent</v>
      </c>
      <c r="H444" s="7" t="str" cm="1">
        <f t="array" ref="H444">_xlfn.IFS(
OR(ISNUMBER(SEARCH("mouse",E444)),ISNUMBER(SEARCH("rat",E444)),ISNUMBER(SEARCH("mice",E444)),ISNUMBER(SEARCH("rodent",E444))),"Rodent Control",
OR(ISNUMBER(SEARCH("fly",E444)),ISNUMBER(SEARCH("gnat",E444)),ISNUMBER(SEARCH("insect",E444)),ISNUMBER(SEARCH("mosquito",E444))),"Flying Insect Control",
OR(ISNUMBER(SEARCH("roach",E444)),ISNUMBER(SEARCH("ant",E444)),ISNUMBER(SEARCH("spider",E444)),ISNUMBER(SEARCH("cricket",E444)),ISNUMBER(SEARCH("scorpion",E444)),ISNUMBER(SEARCH("centipede",E444)),ISNUMBER(SEARCH("beetle",E444))),"Crawling Insect Control",
OR(ISNUMBER(SEARCH("tree",E444)),ISNUMBER(SEARCH("lantern",E444)),ISNUMBER(SEARCH("garden",E444)),ISNUMBER(SEARCH("plant",E444))),"Garden Pest Control",
OR(ISNUMBER(SEARCH("grass seed",E444)),ISNUMBER(SEARCH("seed mix",E444))),"Grass Seed",
OR(ISNUMBER(SEARCH("lawn food",E444)),ISNUMBER(SEARCH("fertilizer",E444))),"Lawn Fertilizer",
OR(ISNUMBER(SEARCH("patch",E444)),ISNUMBER(SEARCH("repair",E444)),ISNUMBER(SEARCH("thick'r",E444)),ISNUMBER(SEARCH("thick'r lawn",E444)),ISNUMBER(SEARCH("rapid grass",E444))),"Lawn Repair",
OR(ISNUMBER(SEARCH("weed",E444)),ISNUMBER(SEARCH("crabgrass",E444))),"Weed Control",
OR(ISNUMBER(SEARCH("fungicide",E444)),ISNUMBER(SEARCH("moss",E444))),"Disease &amp; Moss Control",
OR(ISNUMBER(SEARCH("plant food",E444)),ISNUMBER(SEARCH("miracid",E444))),"Plant Nutrition",
OR(ISNUMBER(SEARCH("perlite",E444))),"Soil Amendment",
OR(ISNUMBER(SEARCH("spreader",E444)),ISNUMBER(SEARCH("sprayer",E444)),ISNUMBER(SEARCH("mower",E444)),ISNUMBER(SEARCH("sweeper",E444)),ISNUMBER(SEARCH("pruner",E444)),ISNUMBER(SEARCH("trimmer",E444)),ISNUMBER(SEARCH("pole saw",E444))),"Garden Equipment",
TRUE,"Other"
)</f>
        <v>Rodent Control</v>
      </c>
      <c r="I444" s="7" t="str" cm="1">
        <f t="array" ref="I444">_xlfn.IFS(
OR(ISNUMBER(SEARCH("glue trap",E444)),ISNUMBER(SEARCH("glue board",E444))),"Glue Traps",
OR(ISNUMBER(SEARCH("snap trap",E444)),ISNUMBER(SEARCH("power-kill",E444)),ISNUMBER(SEARCH("wide pedal",E444)),ISNUMBER(SEARCH("metal pedal",E444))),"Snap Traps",
OR(ISNUMBER(SEARCH("electronic",E444)),ISNUMBER(SEARCH("zapper",E444))),"Electronic Traps",
OR(ISNUMBER(SEARCH("live catch",E444)),ISNUMBER(SEARCH("multi-catch",E444)),ISNUMBER(SEARCH("catch &amp; hold",E444)),ISNUMBER(SEARCH("tin cat",E444))),"Live Catch Traps",
OR(ISNUMBER(SEARCH("bait",E444)),ISNUMBER(SEARCH("poison",E444))),"Bait &amp; Poison",
ISNUMBER(SEARCH("repellent",E444)),"Repellents",
OR(ISNUMBER(SEARCH("fly trap",E444)),ISNUMBER(SEARCH("fly ribbon",E444)),ISNUMBER(SEARCH("fly stick",E444)),ISNUMBER(SEARCH("window fly",E444)),ISNUMBER(SEARCH("fly magnet",E444))),"Fly Traps",
OR(ISNUMBER(SEARCH("uv",E444)),ISNUMBER(SEARCH("fly light",E444)),ISNUMBER(SEARCH("plug-in",E444))),"UV Fly Traps",
ISNUMBER(SEARCH("roach",E444)),"Roach Traps",
ISNUMBER(SEARCH("ant",E444)),"Ant Traps",
ISNUMBER(SEARCH("spider",E444)),"Spider Traps",
ISNUMBER(SEARCH("mosquito",E444)),"Mosquito Traps",
ISNUMBER(SEARCH("beetle",E444)),"Beetle Traps",
ISNUMBER(SEARCH("lantern",E444)),"Lanternfly Control",
OR(ISNUMBER(SEARCH("tree shield",E444)),ISNUMBER(SEARCH("tree banding",E444)),ISNUMBER(SEARCH("insect barrier",E444))),"Tree Barriers",
OR(ISNUMBER(SEARCH("sun &amp; shade",E444)),ISNUMBER(SEARCH("sun and shade",E444))),"Sun &amp; Shade Mix",
ISNUMBER(SEARCH("tall fescue",E444)),"Tall Fescue",
ISNUMBER(SEARCH("bermudagrass",E444)),"Bermudagrass",
ISNUMBER(SEARCH("kentucky",E444)),"Kentucky Bluegrass",
ISNUMBER(SEARCH("zoysia",E444)),"Zoysia",
ISNUMBER(SEARCH("ryegrass",E444)),"Perennial Ryegrass",
ISNUMBER(SEARCH("centipede",E444)),"Centipede Grass",
ISNUMBER(SEARCH("dense shade",E444)),"Dense Shade Mix",
ISNUMBER(SEARCH("southern gold",E444)),"Southern Gold Mix",
ISNUMBER(SEARCH("heat-tolerant blue",E444)),"Heat-Tolerant Blue Mix",
ISNUMBER(SEARCH("high traffic",E444)),"High Traffic Mix",
ISNUMBER(SEARCH("quick fix",E444)),"Quick Fix Mix",
ISNUMBER(SEARCH("starter",E444)),"Starter Fertilizer",
ISNUMBER(SEARCH("weed &amp; feed",E444)),"Weed &amp; Feed",
ISNUMBER(SEARCH("lawn food",E444)),"Lawn Food",
ISNUMBER(SEARCH("triple action",E444)),"Triple Action Fertilizer",
ISNUMBER(SEARCH("green max",E444)),"Green Max Lawn Food",
ISNUMBER(SEARCH("patchmaster",E444)),"PatchMaster Repair",
ISNUMBER(SEARCH("ez seed",E444)),"EZ Seed Repair",
ISNUMBER(SEARCH("rapid grass",E444)),"Rapid Grass",
ISNUMBER(SEARCH("thick'r lawn",E444)),"Thick'R Lawn",
ISNUMBER(SEARCH("fungicide",E444)),"Fungicide",
ISNUMBER(SEARCH("moss",E444)),"Moss Control",
ISNUMBER(SEARCH("perlite",E444)),"Perlite",
ISNUMBER(SEARCH("plant food",E444)),"Plant Food",
ISNUMBER(SEARCH("spreader",E444)),"Spreader",
ISNUMBER(SEARCH("sprayer",E444)),"Sprayer",
ISNUMBER(SEARCH("mower",E444)),"Lawn Mower",
ISNUMBER(SEARCH("sweeper",E444)),"Lawn Sweeper",
OR(ISNUMBER(SEARCH("pruner",E444)),ISNUMBER(SEARCH("trimmer",E444)),ISNUMBER(SEARCH("pole saw",E444))),"Pruning Tools",
TRUE,"Other"
)</f>
        <v>Repellents</v>
      </c>
      <c r="J444" s="7" t="str">
        <f t="shared" si="108"/>
        <v>Rodent Control - Repellents</v>
      </c>
      <c r="K444" s="4">
        <v>200</v>
      </c>
      <c r="L444" s="4">
        <v>4.2</v>
      </c>
      <c r="M444" s="4">
        <v>101</v>
      </c>
      <c r="N444" s="4" t="s">
        <v>2077</v>
      </c>
      <c r="O444" s="4">
        <f>VLOOKUP(A444,'[6]Monthly Sold'!$A:$B,2,0)</f>
        <v>200</v>
      </c>
      <c r="P444" s="4">
        <f>VLOOKUP(A444,'[6]Monthly Sold'!$A:$M,3,0)</f>
        <v>200</v>
      </c>
      <c r="Q444" s="4">
        <f>VLOOKUP(A444,'[6]Monthly Sold'!$A:$M,4,0)</f>
        <v>200</v>
      </c>
      <c r="R444" s="4">
        <f>VLOOKUP(A444,'[6]Monthly Sold'!$A:$M,5,0)</f>
        <v>100</v>
      </c>
      <c r="S444" s="4">
        <f>VLOOKUP(A444,'[6]Monthly Sold'!$A:$M,6,0)</f>
        <v>200</v>
      </c>
      <c r="T444" s="4">
        <f>VLOOKUP(A444,'[6]Monthly Sold'!$A:$M,7,0)</f>
        <v>200</v>
      </c>
      <c r="U444" s="4">
        <f>VLOOKUP(A444,'[6]Monthly Sold'!$A:$M,8,0)</f>
        <v>200</v>
      </c>
      <c r="V444" s="4">
        <f>VLOOKUP(A444,'[6]Monthly Sold'!$A:$M,9,0)</f>
        <v>200</v>
      </c>
      <c r="W444" s="4">
        <f>VLOOKUP(A444,'[6]Monthly Sold'!$A:$M,10,0)</f>
        <v>200</v>
      </c>
      <c r="X444" s="4">
        <f>VLOOKUP(A444,'[6]Monthly Sold'!$A:$M,11,0)</f>
        <v>100</v>
      </c>
      <c r="Y444" s="4">
        <f>VLOOKUP(A444,'[6]Monthly Sold'!$A:$M,12,0)</f>
        <v>300</v>
      </c>
      <c r="Z444" s="4">
        <f>VLOOKUP(A444,'[6]Monthly Sold'!$A:$M,13,0)</f>
        <v>300</v>
      </c>
      <c r="AA444" s="4">
        <f t="shared" si="118"/>
        <v>2400</v>
      </c>
      <c r="AB444" s="7">
        <f t="shared" si="109"/>
        <v>200</v>
      </c>
      <c r="AC444" s="15">
        <f t="shared" si="119"/>
        <v>200</v>
      </c>
      <c r="AD444" s="16">
        <f t="shared" si="120"/>
        <v>29280</v>
      </c>
      <c r="AE444" s="16">
        <f t="shared" si="121"/>
        <v>2440</v>
      </c>
      <c r="AF444" s="21">
        <v>4.09</v>
      </c>
      <c r="AG444" s="21">
        <v>12.2</v>
      </c>
      <c r="AH444" s="15">
        <f t="shared" si="122"/>
        <v>-1.4000000000000026E-2</v>
      </c>
      <c r="AI444" s="15">
        <f t="shared" si="123"/>
        <v>-4.9000000000000092E-2</v>
      </c>
      <c r="AJ444" s="10">
        <v>0.5</v>
      </c>
      <c r="AK444" s="10">
        <v>0.5</v>
      </c>
      <c r="AL444" s="21">
        <v>4.09</v>
      </c>
      <c r="AM444" s="9">
        <f t="shared" si="110"/>
        <v>1.8299999999999998</v>
      </c>
      <c r="AN444" s="9">
        <f t="shared" si="111"/>
        <v>0.36599999999999999</v>
      </c>
      <c r="AO444" s="9">
        <f t="shared" si="112"/>
        <v>2.44</v>
      </c>
      <c r="AP444" s="9">
        <f t="shared" si="113"/>
        <v>0.24399999999999999</v>
      </c>
      <c r="AQ444" s="9">
        <f t="shared" si="114"/>
        <v>2.44</v>
      </c>
      <c r="AR444" s="9">
        <f t="shared" si="115"/>
        <v>3.05</v>
      </c>
      <c r="AS444" s="11">
        <f t="shared" si="116"/>
        <v>-0.14000000000000026</v>
      </c>
      <c r="AT444" s="12">
        <f t="shared" si="117"/>
        <v>-0.54666666666666686</v>
      </c>
    </row>
    <row r="445" spans="1:46" ht="16.5" x14ac:dyDescent="0.4">
      <c r="A445" s="4" t="s">
        <v>1859</v>
      </c>
      <c r="B445" s="4" t="s">
        <v>1895</v>
      </c>
      <c r="C445" s="4" t="s">
        <v>1784</v>
      </c>
      <c r="D445" s="4" t="s">
        <v>2078</v>
      </c>
      <c r="E445" s="4" t="s">
        <v>2009</v>
      </c>
      <c r="F445" s="4" t="s">
        <v>2079</v>
      </c>
      <c r="G445" s="7" t="str">
        <f>VLOOKUP(A445,[1]done!$A:$I,9,0)</f>
        <v>Rodent</v>
      </c>
      <c r="H445" s="7" t="str" cm="1">
        <f t="array" ref="H445">_xlfn.IFS(
OR(ISNUMBER(SEARCH("mouse",E445)),ISNUMBER(SEARCH("rat",E445)),ISNUMBER(SEARCH("mice",E445)),ISNUMBER(SEARCH("rodent",E445))),"Rodent Control",
OR(ISNUMBER(SEARCH("fly",E445)),ISNUMBER(SEARCH("gnat",E445)),ISNUMBER(SEARCH("insect",E445)),ISNUMBER(SEARCH("mosquito",E445))),"Flying Insect Control",
OR(ISNUMBER(SEARCH("roach",E445)),ISNUMBER(SEARCH("ant",E445)),ISNUMBER(SEARCH("spider",E445)),ISNUMBER(SEARCH("cricket",E445)),ISNUMBER(SEARCH("scorpion",E445)),ISNUMBER(SEARCH("centipede",E445)),ISNUMBER(SEARCH("beetle",E445))),"Crawling Insect Control",
OR(ISNUMBER(SEARCH("tree",E445)),ISNUMBER(SEARCH("lantern",E445)),ISNUMBER(SEARCH("garden",E445)),ISNUMBER(SEARCH("plant",E445))),"Garden Pest Control",
OR(ISNUMBER(SEARCH("grass seed",E445)),ISNUMBER(SEARCH("seed mix",E445))),"Grass Seed",
OR(ISNUMBER(SEARCH("lawn food",E445)),ISNUMBER(SEARCH("fertilizer",E445))),"Lawn Fertilizer",
OR(ISNUMBER(SEARCH("patch",E445)),ISNUMBER(SEARCH("repair",E445)),ISNUMBER(SEARCH("thick'r",E445)),ISNUMBER(SEARCH("thick'r lawn",E445)),ISNUMBER(SEARCH("rapid grass",E445))),"Lawn Repair",
OR(ISNUMBER(SEARCH("weed",E445)),ISNUMBER(SEARCH("crabgrass",E445))),"Weed Control",
OR(ISNUMBER(SEARCH("fungicide",E445)),ISNUMBER(SEARCH("moss",E445))),"Disease &amp; Moss Control",
OR(ISNUMBER(SEARCH("plant food",E445)),ISNUMBER(SEARCH("miracid",E445))),"Plant Nutrition",
OR(ISNUMBER(SEARCH("perlite",E445))),"Soil Amendment",
OR(ISNUMBER(SEARCH("spreader",E445)),ISNUMBER(SEARCH("sprayer",E445)),ISNUMBER(SEARCH("mower",E445)),ISNUMBER(SEARCH("sweeper",E445)),ISNUMBER(SEARCH("pruner",E445)),ISNUMBER(SEARCH("trimmer",E445)),ISNUMBER(SEARCH("pole saw",E445))),"Garden Equipment",
TRUE,"Other"
)</f>
        <v>Rodent Control</v>
      </c>
      <c r="I445" s="7" t="str" cm="1">
        <f t="array" ref="I445">_xlfn.IFS(
OR(ISNUMBER(SEARCH("glue trap",E445)),ISNUMBER(SEARCH("glue board",E445))),"Glue Traps",
OR(ISNUMBER(SEARCH("snap trap",E445)),ISNUMBER(SEARCH("power-kill",E445)),ISNUMBER(SEARCH("wide pedal",E445)),ISNUMBER(SEARCH("metal pedal",E445))),"Snap Traps",
OR(ISNUMBER(SEARCH("electronic",E445)),ISNUMBER(SEARCH("zapper",E445))),"Electronic Traps",
OR(ISNUMBER(SEARCH("live catch",E445)),ISNUMBER(SEARCH("multi-catch",E445)),ISNUMBER(SEARCH("catch &amp; hold",E445)),ISNUMBER(SEARCH("tin cat",E445))),"Live Catch Traps",
OR(ISNUMBER(SEARCH("bait",E445)),ISNUMBER(SEARCH("poison",E445))),"Bait &amp; Poison",
ISNUMBER(SEARCH("repellent",E445)),"Repellents",
OR(ISNUMBER(SEARCH("fly trap",E445)),ISNUMBER(SEARCH("fly ribbon",E445)),ISNUMBER(SEARCH("fly stick",E445)),ISNUMBER(SEARCH("window fly",E445)),ISNUMBER(SEARCH("fly magnet",E445))),"Fly Traps",
OR(ISNUMBER(SEARCH("uv",E445)),ISNUMBER(SEARCH("fly light",E445)),ISNUMBER(SEARCH("plug-in",E445))),"UV Fly Traps",
ISNUMBER(SEARCH("roach",E445)),"Roach Traps",
ISNUMBER(SEARCH("ant",E445)),"Ant Traps",
ISNUMBER(SEARCH("spider",E445)),"Spider Traps",
ISNUMBER(SEARCH("mosquito",E445)),"Mosquito Traps",
ISNUMBER(SEARCH("beetle",E445)),"Beetle Traps",
ISNUMBER(SEARCH("lantern",E445)),"Lanternfly Control",
OR(ISNUMBER(SEARCH("tree shield",E445)),ISNUMBER(SEARCH("tree banding",E445)),ISNUMBER(SEARCH("insect barrier",E445))),"Tree Barriers",
OR(ISNUMBER(SEARCH("sun &amp; shade",E445)),ISNUMBER(SEARCH("sun and shade",E445))),"Sun &amp; Shade Mix",
ISNUMBER(SEARCH("tall fescue",E445)),"Tall Fescue",
ISNUMBER(SEARCH("bermudagrass",E445)),"Bermudagrass",
ISNUMBER(SEARCH("kentucky",E445)),"Kentucky Bluegrass",
ISNUMBER(SEARCH("zoysia",E445)),"Zoysia",
ISNUMBER(SEARCH("ryegrass",E445)),"Perennial Ryegrass",
ISNUMBER(SEARCH("centipede",E445)),"Centipede Grass",
ISNUMBER(SEARCH("dense shade",E445)),"Dense Shade Mix",
ISNUMBER(SEARCH("southern gold",E445)),"Southern Gold Mix",
ISNUMBER(SEARCH("heat-tolerant blue",E445)),"Heat-Tolerant Blue Mix",
ISNUMBER(SEARCH("high traffic",E445)),"High Traffic Mix",
ISNUMBER(SEARCH("quick fix",E445)),"Quick Fix Mix",
ISNUMBER(SEARCH("starter",E445)),"Starter Fertilizer",
ISNUMBER(SEARCH("weed &amp; feed",E445)),"Weed &amp; Feed",
ISNUMBER(SEARCH("lawn food",E445)),"Lawn Food",
ISNUMBER(SEARCH("triple action",E445)),"Triple Action Fertilizer",
ISNUMBER(SEARCH("green max",E445)),"Green Max Lawn Food",
ISNUMBER(SEARCH("patchmaster",E445)),"PatchMaster Repair",
ISNUMBER(SEARCH("ez seed",E445)),"EZ Seed Repair",
ISNUMBER(SEARCH("rapid grass",E445)),"Rapid Grass",
ISNUMBER(SEARCH("thick'r lawn",E445)),"Thick'R Lawn",
ISNUMBER(SEARCH("fungicide",E445)),"Fungicide",
ISNUMBER(SEARCH("moss",E445)),"Moss Control",
ISNUMBER(SEARCH("perlite",E445)),"Perlite",
ISNUMBER(SEARCH("plant food",E445)),"Plant Food",
ISNUMBER(SEARCH("spreader",E445)),"Spreader",
ISNUMBER(SEARCH("sprayer",E445)),"Sprayer",
ISNUMBER(SEARCH("mower",E445)),"Lawn Mower",
ISNUMBER(SEARCH("sweeper",E445)),"Lawn Sweeper",
OR(ISNUMBER(SEARCH("pruner",E445)),ISNUMBER(SEARCH("trimmer",E445)),ISNUMBER(SEARCH("pole saw",E445))),"Pruning Tools",
TRUE,"Other"
)</f>
        <v>Bait &amp; Poison</v>
      </c>
      <c r="J445" s="7" t="str">
        <f t="shared" si="108"/>
        <v>Rodent Control - Bait &amp; Poison</v>
      </c>
      <c r="K445" s="4">
        <v>200</v>
      </c>
      <c r="L445" s="4">
        <v>4.4000000000000004</v>
      </c>
      <c r="M445" s="4">
        <v>192</v>
      </c>
      <c r="N445" s="4" t="s">
        <v>1971</v>
      </c>
      <c r="O445" s="4">
        <f>VLOOKUP(A445,'[6]Monthly Sold'!$A:$B,2,0)</f>
        <v>0</v>
      </c>
      <c r="P445" s="4">
        <f>VLOOKUP(A445,'[6]Monthly Sold'!$A:$M,3,0)</f>
        <v>100</v>
      </c>
      <c r="Q445" s="4">
        <f>VLOOKUP(A445,'[6]Monthly Sold'!$A:$M,4,0)</f>
        <v>50</v>
      </c>
      <c r="R445" s="4">
        <f>VLOOKUP(A445,'[6]Monthly Sold'!$A:$M,5,0)</f>
        <v>50</v>
      </c>
      <c r="S445" s="4">
        <f>VLOOKUP(A445,'[6]Monthly Sold'!$A:$M,6,0)</f>
        <v>50</v>
      </c>
      <c r="T445" s="4">
        <f>VLOOKUP(A445,'[6]Monthly Sold'!$A:$M,7,0)</f>
        <v>50</v>
      </c>
      <c r="U445" s="4">
        <f>VLOOKUP(A445,'[6]Monthly Sold'!$A:$M,8,0)</f>
        <v>50</v>
      </c>
      <c r="V445" s="4">
        <f>VLOOKUP(A445,'[6]Monthly Sold'!$A:$M,9,0)</f>
        <v>50</v>
      </c>
      <c r="W445" s="4">
        <f>VLOOKUP(A445,'[6]Monthly Sold'!$A:$M,10,0)</f>
        <v>50</v>
      </c>
      <c r="X445" s="4">
        <f>VLOOKUP(A445,'[6]Monthly Sold'!$A:$M,11,0)</f>
        <v>50</v>
      </c>
      <c r="Y445" s="4">
        <f>VLOOKUP(A445,'[6]Monthly Sold'!$A:$M,12,0)</f>
        <v>50</v>
      </c>
      <c r="Z445" s="4">
        <f>VLOOKUP(A445,'[6]Monthly Sold'!$A:$M,13,0)</f>
        <v>50</v>
      </c>
      <c r="AA445" s="4">
        <f t="shared" si="118"/>
        <v>600</v>
      </c>
      <c r="AB445" s="7">
        <f t="shared" si="109"/>
        <v>50</v>
      </c>
      <c r="AC445" s="15">
        <f t="shared" si="119"/>
        <v>50</v>
      </c>
      <c r="AD445" s="16">
        <f t="shared" si="120"/>
        <v>4164</v>
      </c>
      <c r="AE445" s="16">
        <f t="shared" si="121"/>
        <v>347</v>
      </c>
      <c r="AF445" s="21">
        <v>5.63</v>
      </c>
      <c r="AG445" s="21">
        <v>6.94</v>
      </c>
      <c r="AH445" s="15">
        <f t="shared" si="122"/>
        <v>-0.25693333333333335</v>
      </c>
      <c r="AI445" s="15">
        <f t="shared" si="123"/>
        <v>-0.89926666666666655</v>
      </c>
      <c r="AJ445" s="10">
        <v>0.5</v>
      </c>
      <c r="AK445" s="10">
        <v>0.5</v>
      </c>
      <c r="AL445" s="21">
        <v>5.63</v>
      </c>
      <c r="AM445" s="9">
        <f t="shared" si="110"/>
        <v>1.0409999999999999</v>
      </c>
      <c r="AN445" s="9">
        <f t="shared" si="111"/>
        <v>0.2082</v>
      </c>
      <c r="AO445" s="9">
        <f t="shared" si="112"/>
        <v>1.3880000000000001</v>
      </c>
      <c r="AP445" s="9">
        <f t="shared" si="113"/>
        <v>0.13880000000000001</v>
      </c>
      <c r="AQ445" s="9">
        <f t="shared" si="114"/>
        <v>1.3880000000000001</v>
      </c>
      <c r="AR445" s="9">
        <f t="shared" si="115"/>
        <v>1.7350000000000001</v>
      </c>
      <c r="AS445" s="11">
        <f t="shared" si="116"/>
        <v>-2.5693333333333332</v>
      </c>
      <c r="AT445" s="12">
        <f t="shared" si="117"/>
        <v>-2.8006666666666669</v>
      </c>
    </row>
    <row r="446" spans="1:46" ht="16.5" x14ac:dyDescent="0.4">
      <c r="A446" s="4" t="s">
        <v>1860</v>
      </c>
      <c r="B446" s="4" t="s">
        <v>1895</v>
      </c>
      <c r="C446" s="4" t="s">
        <v>2080</v>
      </c>
      <c r="D446" s="4" t="s">
        <v>2081</v>
      </c>
      <c r="E446" s="4" t="s">
        <v>2082</v>
      </c>
      <c r="F446" s="4" t="s">
        <v>2083</v>
      </c>
      <c r="G446" s="7" t="str">
        <f>VLOOKUP(A446,[1]done!$A:$I,9,0)</f>
        <v>Rodent</v>
      </c>
      <c r="H446" s="7" t="str" cm="1">
        <f t="array" ref="H446">_xlfn.IFS(
OR(ISNUMBER(SEARCH("mouse",E446)),ISNUMBER(SEARCH("rat",E446)),ISNUMBER(SEARCH("mice",E446)),ISNUMBER(SEARCH("rodent",E446))),"Rodent Control",
OR(ISNUMBER(SEARCH("fly",E446)),ISNUMBER(SEARCH("gnat",E446)),ISNUMBER(SEARCH("insect",E446)),ISNUMBER(SEARCH("mosquito",E446))),"Flying Insect Control",
OR(ISNUMBER(SEARCH("roach",E446)),ISNUMBER(SEARCH("ant",E446)),ISNUMBER(SEARCH("spider",E446)),ISNUMBER(SEARCH("cricket",E446)),ISNUMBER(SEARCH("scorpion",E446)),ISNUMBER(SEARCH("centipede",E446)),ISNUMBER(SEARCH("beetle",E446))),"Crawling Insect Control",
OR(ISNUMBER(SEARCH("tree",E446)),ISNUMBER(SEARCH("lantern",E446)),ISNUMBER(SEARCH("garden",E446)),ISNUMBER(SEARCH("plant",E446))),"Garden Pest Control",
OR(ISNUMBER(SEARCH("grass seed",E446)),ISNUMBER(SEARCH("seed mix",E446))),"Grass Seed",
OR(ISNUMBER(SEARCH("lawn food",E446)),ISNUMBER(SEARCH("fertilizer",E446))),"Lawn Fertilizer",
OR(ISNUMBER(SEARCH("patch",E446)),ISNUMBER(SEARCH("repair",E446)),ISNUMBER(SEARCH("thick'r",E446)),ISNUMBER(SEARCH("thick'r lawn",E446)),ISNUMBER(SEARCH("rapid grass",E446))),"Lawn Repair",
OR(ISNUMBER(SEARCH("weed",E446)),ISNUMBER(SEARCH("crabgrass",E446))),"Weed Control",
OR(ISNUMBER(SEARCH("fungicide",E446)),ISNUMBER(SEARCH("moss",E446))),"Disease &amp; Moss Control",
OR(ISNUMBER(SEARCH("plant food",E446)),ISNUMBER(SEARCH("miracid",E446))),"Plant Nutrition",
OR(ISNUMBER(SEARCH("perlite",E446))),"Soil Amendment",
OR(ISNUMBER(SEARCH("spreader",E446)),ISNUMBER(SEARCH("sprayer",E446)),ISNUMBER(SEARCH("mower",E446)),ISNUMBER(SEARCH("sweeper",E446)),ISNUMBER(SEARCH("pruner",E446)),ISNUMBER(SEARCH("trimmer",E446)),ISNUMBER(SEARCH("pole saw",E446))),"Garden Equipment",
TRUE,"Other"
)</f>
        <v>Rodent Control</v>
      </c>
      <c r="I446" s="7" t="str" cm="1">
        <f t="array" ref="I446">_xlfn.IFS(
OR(ISNUMBER(SEARCH("glue trap",E446)),ISNUMBER(SEARCH("glue board",E446))),"Glue Traps",
OR(ISNUMBER(SEARCH("snap trap",E446)),ISNUMBER(SEARCH("power-kill",E446)),ISNUMBER(SEARCH("wide pedal",E446)),ISNUMBER(SEARCH("metal pedal",E446))),"Snap Traps",
OR(ISNUMBER(SEARCH("electronic",E446)),ISNUMBER(SEARCH("zapper",E446))),"Electronic Traps",
OR(ISNUMBER(SEARCH("live catch",E446)),ISNUMBER(SEARCH("multi-catch",E446)),ISNUMBER(SEARCH("catch &amp; hold",E446)),ISNUMBER(SEARCH("tin cat",E446))),"Live Catch Traps",
OR(ISNUMBER(SEARCH("bait",E446)),ISNUMBER(SEARCH("poison",E446))),"Bait &amp; Poison",
ISNUMBER(SEARCH("repellent",E446)),"Repellents",
OR(ISNUMBER(SEARCH("fly trap",E446)),ISNUMBER(SEARCH("fly ribbon",E446)),ISNUMBER(SEARCH("fly stick",E446)),ISNUMBER(SEARCH("window fly",E446)),ISNUMBER(SEARCH("fly magnet",E446))),"Fly Traps",
OR(ISNUMBER(SEARCH("uv",E446)),ISNUMBER(SEARCH("fly light",E446)),ISNUMBER(SEARCH("plug-in",E446))),"UV Fly Traps",
ISNUMBER(SEARCH("roach",E446)),"Roach Traps",
ISNUMBER(SEARCH("ant",E446)),"Ant Traps",
ISNUMBER(SEARCH("spider",E446)),"Spider Traps",
ISNUMBER(SEARCH("mosquito",E446)),"Mosquito Traps",
ISNUMBER(SEARCH("beetle",E446)),"Beetle Traps",
ISNUMBER(SEARCH("lantern",E446)),"Lanternfly Control",
OR(ISNUMBER(SEARCH("tree shield",E446)),ISNUMBER(SEARCH("tree banding",E446)),ISNUMBER(SEARCH("insect barrier",E446))),"Tree Barriers",
OR(ISNUMBER(SEARCH("sun &amp; shade",E446)),ISNUMBER(SEARCH("sun and shade",E446))),"Sun &amp; Shade Mix",
ISNUMBER(SEARCH("tall fescue",E446)),"Tall Fescue",
ISNUMBER(SEARCH("bermudagrass",E446)),"Bermudagrass",
ISNUMBER(SEARCH("kentucky",E446)),"Kentucky Bluegrass",
ISNUMBER(SEARCH("zoysia",E446)),"Zoysia",
ISNUMBER(SEARCH("ryegrass",E446)),"Perennial Ryegrass",
ISNUMBER(SEARCH("centipede",E446)),"Centipede Grass",
ISNUMBER(SEARCH("dense shade",E446)),"Dense Shade Mix",
ISNUMBER(SEARCH("southern gold",E446)),"Southern Gold Mix",
ISNUMBER(SEARCH("heat-tolerant blue",E446)),"Heat-Tolerant Blue Mix",
ISNUMBER(SEARCH("high traffic",E446)),"High Traffic Mix",
ISNUMBER(SEARCH("quick fix",E446)),"Quick Fix Mix",
ISNUMBER(SEARCH("starter",E446)),"Starter Fertilizer",
ISNUMBER(SEARCH("weed &amp; feed",E446)),"Weed &amp; Feed",
ISNUMBER(SEARCH("lawn food",E446)),"Lawn Food",
ISNUMBER(SEARCH("triple action",E446)),"Triple Action Fertilizer",
ISNUMBER(SEARCH("green max",E446)),"Green Max Lawn Food",
ISNUMBER(SEARCH("patchmaster",E446)),"PatchMaster Repair",
ISNUMBER(SEARCH("ez seed",E446)),"EZ Seed Repair",
ISNUMBER(SEARCH("rapid grass",E446)),"Rapid Grass",
ISNUMBER(SEARCH("thick'r lawn",E446)),"Thick'R Lawn",
ISNUMBER(SEARCH("fungicide",E446)),"Fungicide",
ISNUMBER(SEARCH("moss",E446)),"Moss Control",
ISNUMBER(SEARCH("perlite",E446)),"Perlite",
ISNUMBER(SEARCH("plant food",E446)),"Plant Food",
ISNUMBER(SEARCH("spreader",E446)),"Spreader",
ISNUMBER(SEARCH("sprayer",E446)),"Sprayer",
ISNUMBER(SEARCH("mower",E446)),"Lawn Mower",
ISNUMBER(SEARCH("sweeper",E446)),"Lawn Sweeper",
OR(ISNUMBER(SEARCH("pruner",E446)),ISNUMBER(SEARCH("trimmer",E446)),ISNUMBER(SEARCH("pole saw",E446))),"Pruning Tools",
TRUE,"Other"
)</f>
        <v>Snap Traps</v>
      </c>
      <c r="J446" s="7" t="str">
        <f t="shared" si="108"/>
        <v>Rodent Control - Snap Traps</v>
      </c>
      <c r="K446" s="4">
        <v>200</v>
      </c>
      <c r="L446" s="4">
        <v>4.4000000000000004</v>
      </c>
      <c r="M446" s="4">
        <v>1216</v>
      </c>
      <c r="N446" s="4">
        <v>0</v>
      </c>
      <c r="O446" s="4">
        <f>VLOOKUP(A446,'[6]Monthly Sold'!$A:$B,2,0)</f>
        <v>100</v>
      </c>
      <c r="P446" s="4">
        <f>VLOOKUP(A446,'[6]Monthly Sold'!$A:$M,3,0)</f>
        <v>100</v>
      </c>
      <c r="Q446" s="4">
        <f>VLOOKUP(A446,'[6]Monthly Sold'!$A:$M,4,0)</f>
        <v>100</v>
      </c>
      <c r="R446" s="4">
        <f>VLOOKUP(A446,'[6]Monthly Sold'!$A:$M,5,0)</f>
        <v>200</v>
      </c>
      <c r="S446" s="4">
        <f>VLOOKUP(A446,'[6]Monthly Sold'!$A:$M,6,0)</f>
        <v>200</v>
      </c>
      <c r="T446" s="4">
        <f>VLOOKUP(A446,'[6]Monthly Sold'!$A:$M,7,0)</f>
        <v>200</v>
      </c>
      <c r="U446" s="4">
        <f>VLOOKUP(A446,'[6]Monthly Sold'!$A:$M,8,0)</f>
        <v>300</v>
      </c>
      <c r="V446" s="4">
        <f>VLOOKUP(A446,'[6]Monthly Sold'!$A:$M,9,0)</f>
        <v>300</v>
      </c>
      <c r="W446" s="4">
        <f>VLOOKUP(A446,'[6]Monthly Sold'!$A:$M,10,0)</f>
        <v>200</v>
      </c>
      <c r="X446" s="4">
        <f>VLOOKUP(A446,'[6]Monthly Sold'!$A:$M,11,0)</f>
        <v>300</v>
      </c>
      <c r="Y446" s="4">
        <f>VLOOKUP(A446,'[6]Monthly Sold'!$A:$M,12,0)</f>
        <v>200</v>
      </c>
      <c r="Z446" s="4">
        <f>VLOOKUP(A446,'[6]Monthly Sold'!$A:$M,13,0)</f>
        <v>100</v>
      </c>
      <c r="AA446" s="4">
        <f t="shared" si="118"/>
        <v>2300</v>
      </c>
      <c r="AB446" s="7">
        <f t="shared" si="109"/>
        <v>192</v>
      </c>
      <c r="AC446" s="15">
        <f t="shared" si="119"/>
        <v>191.66666666666666</v>
      </c>
      <c r="AD446" s="16">
        <f t="shared" si="120"/>
        <v>66792</v>
      </c>
      <c r="AE446" s="16">
        <f t="shared" si="121"/>
        <v>5566</v>
      </c>
      <c r="AF446" s="21">
        <v>7.63</v>
      </c>
      <c r="AG446" s="21">
        <v>29.04</v>
      </c>
      <c r="AH446" s="15">
        <f t="shared" si="122"/>
        <v>0.19906666666666673</v>
      </c>
      <c r="AI446" s="15">
        <f t="shared" si="123"/>
        <v>0.69673333333333343</v>
      </c>
      <c r="AJ446" s="10">
        <v>0.5</v>
      </c>
      <c r="AK446" s="10">
        <v>0.5</v>
      </c>
      <c r="AL446" s="21">
        <v>7.63</v>
      </c>
      <c r="AM446" s="9">
        <f t="shared" si="110"/>
        <v>4.3559999999999999</v>
      </c>
      <c r="AN446" s="9">
        <f t="shared" si="111"/>
        <v>0.87119999999999997</v>
      </c>
      <c r="AO446" s="9">
        <f t="shared" si="112"/>
        <v>5.8079999999999998</v>
      </c>
      <c r="AP446" s="9">
        <f t="shared" si="113"/>
        <v>0.58079999999999998</v>
      </c>
      <c r="AQ446" s="9">
        <f t="shared" si="114"/>
        <v>5.8079999999999998</v>
      </c>
      <c r="AR446" s="9">
        <f t="shared" si="115"/>
        <v>7.26</v>
      </c>
      <c r="AS446" s="11">
        <f t="shared" si="116"/>
        <v>1.990666666666667</v>
      </c>
      <c r="AT446" s="12">
        <f t="shared" si="117"/>
        <v>1.0226666666666671</v>
      </c>
    </row>
    <row r="447" spans="1:46" ht="16.5" x14ac:dyDescent="0.4">
      <c r="A447" s="4" t="s">
        <v>1861</v>
      </c>
      <c r="B447" s="4" t="s">
        <v>1895</v>
      </c>
      <c r="C447" s="4" t="s">
        <v>1784</v>
      </c>
      <c r="D447" s="4" t="s">
        <v>2084</v>
      </c>
      <c r="E447" s="4" t="s">
        <v>2085</v>
      </c>
      <c r="F447" s="4" t="s">
        <v>2086</v>
      </c>
      <c r="G447" s="7" t="str">
        <f>VLOOKUP(A447,[1]done!$A:$I,9,0)</f>
        <v>Mole Repellent</v>
      </c>
      <c r="H447" s="7" t="str" cm="1">
        <f t="array" ref="H447">_xlfn.IFS(
OR(ISNUMBER(SEARCH("mouse",E447)),ISNUMBER(SEARCH("rat",E447)),ISNUMBER(SEARCH("mice",E447)),ISNUMBER(SEARCH("rodent",E447))),"Rodent Control",
OR(ISNUMBER(SEARCH("fly",E447)),ISNUMBER(SEARCH("gnat",E447)),ISNUMBER(SEARCH("insect",E447)),ISNUMBER(SEARCH("mosquito",E447))),"Flying Insect Control",
OR(ISNUMBER(SEARCH("roach",E447)),ISNUMBER(SEARCH("ant",E447)),ISNUMBER(SEARCH("spider",E447)),ISNUMBER(SEARCH("cricket",E447)),ISNUMBER(SEARCH("scorpion",E447)),ISNUMBER(SEARCH("centipede",E447)),ISNUMBER(SEARCH("beetle",E447))),"Crawling Insect Control",
OR(ISNUMBER(SEARCH("tree",E447)),ISNUMBER(SEARCH("lantern",E447)),ISNUMBER(SEARCH("garden",E447)),ISNUMBER(SEARCH("plant",E447))),"Garden Pest Control",
OR(ISNUMBER(SEARCH("grass seed",E447)),ISNUMBER(SEARCH("seed mix",E447))),"Grass Seed",
OR(ISNUMBER(SEARCH("lawn food",E447)),ISNUMBER(SEARCH("fertilizer",E447))),"Lawn Fertilizer",
OR(ISNUMBER(SEARCH("patch",E447)),ISNUMBER(SEARCH("repair",E447)),ISNUMBER(SEARCH("thick'r",E447)),ISNUMBER(SEARCH("thick'r lawn",E447)),ISNUMBER(SEARCH("rapid grass",E447))),"Lawn Repair",
OR(ISNUMBER(SEARCH("weed",E447)),ISNUMBER(SEARCH("crabgrass",E447))),"Weed Control",
OR(ISNUMBER(SEARCH("fungicide",E447)),ISNUMBER(SEARCH("moss",E447))),"Disease &amp; Moss Control",
OR(ISNUMBER(SEARCH("plant food",E447)),ISNUMBER(SEARCH("miracid",E447))),"Plant Nutrition",
OR(ISNUMBER(SEARCH("perlite",E447))),"Soil Amendment",
OR(ISNUMBER(SEARCH("spreader",E447)),ISNUMBER(SEARCH("sprayer",E447)),ISNUMBER(SEARCH("mower",E447)),ISNUMBER(SEARCH("sweeper",E447)),ISNUMBER(SEARCH("pruner",E447)),ISNUMBER(SEARCH("trimmer",E447)),ISNUMBER(SEARCH("pole saw",E447))),"Garden Equipment",
TRUE,"Other"
)</f>
        <v>Other</v>
      </c>
      <c r="I447" s="7" t="str" cm="1">
        <f t="array" ref="I447">_xlfn.IFS(
OR(ISNUMBER(SEARCH("glue trap",E447)),ISNUMBER(SEARCH("glue board",E447))),"Glue Traps",
OR(ISNUMBER(SEARCH("snap trap",E447)),ISNUMBER(SEARCH("power-kill",E447)),ISNUMBER(SEARCH("wide pedal",E447)),ISNUMBER(SEARCH("metal pedal",E447))),"Snap Traps",
OR(ISNUMBER(SEARCH("electronic",E447)),ISNUMBER(SEARCH("zapper",E447))),"Electronic Traps",
OR(ISNUMBER(SEARCH("live catch",E447)),ISNUMBER(SEARCH("multi-catch",E447)),ISNUMBER(SEARCH("catch &amp; hold",E447)),ISNUMBER(SEARCH("tin cat",E447))),"Live Catch Traps",
OR(ISNUMBER(SEARCH("bait",E447)),ISNUMBER(SEARCH("poison",E447))),"Bait &amp; Poison",
ISNUMBER(SEARCH("repellent",E447)),"Repellents",
OR(ISNUMBER(SEARCH("fly trap",E447)),ISNUMBER(SEARCH("fly ribbon",E447)),ISNUMBER(SEARCH("fly stick",E447)),ISNUMBER(SEARCH("window fly",E447)),ISNUMBER(SEARCH("fly magnet",E447))),"Fly Traps",
OR(ISNUMBER(SEARCH("uv",E447)),ISNUMBER(SEARCH("fly light",E447)),ISNUMBER(SEARCH("plug-in",E447))),"UV Fly Traps",
ISNUMBER(SEARCH("roach",E447)),"Roach Traps",
ISNUMBER(SEARCH("ant",E447)),"Ant Traps",
ISNUMBER(SEARCH("spider",E447)),"Spider Traps",
ISNUMBER(SEARCH("mosquito",E447)),"Mosquito Traps",
ISNUMBER(SEARCH("beetle",E447)),"Beetle Traps",
ISNUMBER(SEARCH("lantern",E447)),"Lanternfly Control",
OR(ISNUMBER(SEARCH("tree shield",E447)),ISNUMBER(SEARCH("tree banding",E447)),ISNUMBER(SEARCH("insect barrier",E447))),"Tree Barriers",
OR(ISNUMBER(SEARCH("sun &amp; shade",E447)),ISNUMBER(SEARCH("sun and shade",E447))),"Sun &amp; Shade Mix",
ISNUMBER(SEARCH("tall fescue",E447)),"Tall Fescue",
ISNUMBER(SEARCH("bermudagrass",E447)),"Bermudagrass",
ISNUMBER(SEARCH("kentucky",E447)),"Kentucky Bluegrass",
ISNUMBER(SEARCH("zoysia",E447)),"Zoysia",
ISNUMBER(SEARCH("ryegrass",E447)),"Perennial Ryegrass",
ISNUMBER(SEARCH("centipede",E447)),"Centipede Grass",
ISNUMBER(SEARCH("dense shade",E447)),"Dense Shade Mix",
ISNUMBER(SEARCH("southern gold",E447)),"Southern Gold Mix",
ISNUMBER(SEARCH("heat-tolerant blue",E447)),"Heat-Tolerant Blue Mix",
ISNUMBER(SEARCH("high traffic",E447)),"High Traffic Mix",
ISNUMBER(SEARCH("quick fix",E447)),"Quick Fix Mix",
ISNUMBER(SEARCH("starter",E447)),"Starter Fertilizer",
ISNUMBER(SEARCH("weed &amp; feed",E447)),"Weed &amp; Feed",
ISNUMBER(SEARCH("lawn food",E447)),"Lawn Food",
ISNUMBER(SEARCH("triple action",E447)),"Triple Action Fertilizer",
ISNUMBER(SEARCH("green max",E447)),"Green Max Lawn Food",
ISNUMBER(SEARCH("patchmaster",E447)),"PatchMaster Repair",
ISNUMBER(SEARCH("ez seed",E447)),"EZ Seed Repair",
ISNUMBER(SEARCH("rapid grass",E447)),"Rapid Grass",
ISNUMBER(SEARCH("thick'r lawn",E447)),"Thick'R Lawn",
ISNUMBER(SEARCH("fungicide",E447)),"Fungicide",
ISNUMBER(SEARCH("moss",E447)),"Moss Control",
ISNUMBER(SEARCH("perlite",E447)),"Perlite",
ISNUMBER(SEARCH("plant food",E447)),"Plant Food",
ISNUMBER(SEARCH("spreader",E447)),"Spreader",
ISNUMBER(SEARCH("sprayer",E447)),"Sprayer",
ISNUMBER(SEARCH("mower",E447)),"Lawn Mower",
ISNUMBER(SEARCH("sweeper",E447)),"Lawn Sweeper",
OR(ISNUMBER(SEARCH("pruner",E447)),ISNUMBER(SEARCH("trimmer",E447)),ISNUMBER(SEARCH("pole saw",E447))),"Pruning Tools",
TRUE,"Other"
)</f>
        <v>Other</v>
      </c>
      <c r="J447" s="7" t="str">
        <f t="shared" si="108"/>
        <v>Other - Other</v>
      </c>
      <c r="K447" s="4">
        <v>200</v>
      </c>
      <c r="L447" s="4">
        <v>3.6</v>
      </c>
      <c r="M447" s="4">
        <v>3483</v>
      </c>
      <c r="N447" s="4" t="s">
        <v>579</v>
      </c>
      <c r="O447" s="4">
        <f>VLOOKUP(A447,'[6]Monthly Sold'!$A:$B,2,0)</f>
        <v>0</v>
      </c>
      <c r="P447" s="4">
        <f>VLOOKUP(A447,'[6]Monthly Sold'!$A:$M,3,0)</f>
        <v>0</v>
      </c>
      <c r="Q447" s="4">
        <f>VLOOKUP(A447,'[6]Monthly Sold'!$A:$M,4,0)</f>
        <v>50</v>
      </c>
      <c r="R447" s="4">
        <f>VLOOKUP(A447,'[6]Monthly Sold'!$A:$M,5,0)</f>
        <v>100</v>
      </c>
      <c r="S447" s="4">
        <f>VLOOKUP(A447,'[6]Monthly Sold'!$A:$M,6,0)</f>
        <v>100</v>
      </c>
      <c r="T447" s="4">
        <f>VLOOKUP(A447,'[6]Monthly Sold'!$A:$M,7,0)</f>
        <v>300</v>
      </c>
      <c r="U447" s="4">
        <f>VLOOKUP(A447,'[6]Monthly Sold'!$A:$M,8,0)</f>
        <v>300</v>
      </c>
      <c r="V447" s="4">
        <f>VLOOKUP(A447,'[6]Monthly Sold'!$A:$M,9,0)</f>
        <v>200</v>
      </c>
      <c r="W447" s="4">
        <f>VLOOKUP(A447,'[6]Monthly Sold'!$A:$M,10,0)</f>
        <v>200</v>
      </c>
      <c r="X447" s="4">
        <f>VLOOKUP(A447,'[6]Monthly Sold'!$A:$M,11,0)</f>
        <v>200</v>
      </c>
      <c r="Y447" s="4">
        <f>VLOOKUP(A447,'[6]Monthly Sold'!$A:$M,12,0)</f>
        <v>100</v>
      </c>
      <c r="Z447" s="4">
        <f>VLOOKUP(A447,'[6]Monthly Sold'!$A:$M,13,0)</f>
        <v>0</v>
      </c>
      <c r="AA447" s="4">
        <f t="shared" si="118"/>
        <v>1550</v>
      </c>
      <c r="AB447" s="7">
        <f t="shared" si="109"/>
        <v>129</v>
      </c>
      <c r="AC447" s="15">
        <f t="shared" si="119"/>
        <v>129.16666666666666</v>
      </c>
      <c r="AD447" s="16">
        <f t="shared" si="120"/>
        <v>34890.5</v>
      </c>
      <c r="AE447" s="16">
        <f t="shared" si="121"/>
        <v>2907.5416666666665</v>
      </c>
      <c r="AF447" s="21">
        <v>7.55</v>
      </c>
      <c r="AG447" s="21">
        <v>22.51</v>
      </c>
      <c r="AH447" s="15">
        <f t="shared" si="122"/>
        <v>3.026666666666665E-2</v>
      </c>
      <c r="AI447" s="15">
        <f t="shared" si="123"/>
        <v>0.10593333333333325</v>
      </c>
      <c r="AJ447" s="10">
        <v>0.5</v>
      </c>
      <c r="AK447" s="10">
        <v>0.5</v>
      </c>
      <c r="AL447" s="21">
        <v>7.55</v>
      </c>
      <c r="AM447" s="9">
        <f t="shared" si="110"/>
        <v>3.3765000000000001</v>
      </c>
      <c r="AN447" s="9">
        <f t="shared" si="111"/>
        <v>0.67530000000000001</v>
      </c>
      <c r="AO447" s="9">
        <f t="shared" si="112"/>
        <v>4.5020000000000007</v>
      </c>
      <c r="AP447" s="9">
        <f t="shared" si="113"/>
        <v>0.45020000000000004</v>
      </c>
      <c r="AQ447" s="9">
        <f t="shared" si="114"/>
        <v>4.5020000000000007</v>
      </c>
      <c r="AR447" s="9">
        <f t="shared" si="115"/>
        <v>5.6275000000000004</v>
      </c>
      <c r="AS447" s="11">
        <f t="shared" si="116"/>
        <v>0.30266666666666647</v>
      </c>
      <c r="AT447" s="12">
        <f t="shared" si="117"/>
        <v>-0.44766666666666666</v>
      </c>
    </row>
    <row r="448" spans="1:46" ht="16.5" x14ac:dyDescent="0.4">
      <c r="A448" s="4" t="s">
        <v>1862</v>
      </c>
      <c r="B448" s="4" t="s">
        <v>1895</v>
      </c>
      <c r="C448" s="4" t="s">
        <v>1784</v>
      </c>
      <c r="D448" s="4" t="s">
        <v>2087</v>
      </c>
      <c r="E448" s="4" t="s">
        <v>2088</v>
      </c>
      <c r="F448" s="4" t="s">
        <v>2089</v>
      </c>
      <c r="G448" s="7" t="str">
        <f>VLOOKUP(A448,[1]done!$A:$I,9,0)</f>
        <v>Rodent</v>
      </c>
      <c r="H448" s="7" t="str" cm="1">
        <f t="array" ref="H448">_xlfn.IFS(
OR(ISNUMBER(SEARCH("mouse",E448)),ISNUMBER(SEARCH("rat",E448)),ISNUMBER(SEARCH("mice",E448)),ISNUMBER(SEARCH("rodent",E448))),"Rodent Control",
OR(ISNUMBER(SEARCH("fly",E448)),ISNUMBER(SEARCH("gnat",E448)),ISNUMBER(SEARCH("insect",E448)),ISNUMBER(SEARCH("mosquito",E448))),"Flying Insect Control",
OR(ISNUMBER(SEARCH("roach",E448)),ISNUMBER(SEARCH("ant",E448)),ISNUMBER(SEARCH("spider",E448)),ISNUMBER(SEARCH("cricket",E448)),ISNUMBER(SEARCH("scorpion",E448)),ISNUMBER(SEARCH("centipede",E448)),ISNUMBER(SEARCH("beetle",E448))),"Crawling Insect Control",
OR(ISNUMBER(SEARCH("tree",E448)),ISNUMBER(SEARCH("lantern",E448)),ISNUMBER(SEARCH("garden",E448)),ISNUMBER(SEARCH("plant",E448))),"Garden Pest Control",
OR(ISNUMBER(SEARCH("grass seed",E448)),ISNUMBER(SEARCH("seed mix",E448))),"Grass Seed",
OR(ISNUMBER(SEARCH("lawn food",E448)),ISNUMBER(SEARCH("fertilizer",E448))),"Lawn Fertilizer",
OR(ISNUMBER(SEARCH("patch",E448)),ISNUMBER(SEARCH("repair",E448)),ISNUMBER(SEARCH("thick'r",E448)),ISNUMBER(SEARCH("thick'r lawn",E448)),ISNUMBER(SEARCH("rapid grass",E448))),"Lawn Repair",
OR(ISNUMBER(SEARCH("weed",E448)),ISNUMBER(SEARCH("crabgrass",E448))),"Weed Control",
OR(ISNUMBER(SEARCH("fungicide",E448)),ISNUMBER(SEARCH("moss",E448))),"Disease &amp; Moss Control",
OR(ISNUMBER(SEARCH("plant food",E448)),ISNUMBER(SEARCH("miracid",E448))),"Plant Nutrition",
OR(ISNUMBER(SEARCH("perlite",E448))),"Soil Amendment",
OR(ISNUMBER(SEARCH("spreader",E448)),ISNUMBER(SEARCH("sprayer",E448)),ISNUMBER(SEARCH("mower",E448)),ISNUMBER(SEARCH("sweeper",E448)),ISNUMBER(SEARCH("pruner",E448)),ISNUMBER(SEARCH("trimmer",E448)),ISNUMBER(SEARCH("pole saw",E448))),"Garden Equipment",
TRUE,"Other"
)</f>
        <v>Rodent Control</v>
      </c>
      <c r="I448" s="7" t="str" cm="1">
        <f t="array" ref="I448">_xlfn.IFS(
OR(ISNUMBER(SEARCH("glue trap",E448)),ISNUMBER(SEARCH("glue board",E448))),"Glue Traps",
OR(ISNUMBER(SEARCH("snap trap",E448)),ISNUMBER(SEARCH("power-kill",E448)),ISNUMBER(SEARCH("wide pedal",E448)),ISNUMBER(SEARCH("metal pedal",E448))),"Snap Traps",
OR(ISNUMBER(SEARCH("electronic",E448)),ISNUMBER(SEARCH("zapper",E448))),"Electronic Traps",
OR(ISNUMBER(SEARCH("live catch",E448)),ISNUMBER(SEARCH("multi-catch",E448)),ISNUMBER(SEARCH("catch &amp; hold",E448)),ISNUMBER(SEARCH("tin cat",E448))),"Live Catch Traps",
OR(ISNUMBER(SEARCH("bait",E448)),ISNUMBER(SEARCH("poison",E448))),"Bait &amp; Poison",
ISNUMBER(SEARCH("repellent",E448)),"Repellents",
OR(ISNUMBER(SEARCH("fly trap",E448)),ISNUMBER(SEARCH("fly ribbon",E448)),ISNUMBER(SEARCH("fly stick",E448)),ISNUMBER(SEARCH("window fly",E448)),ISNUMBER(SEARCH("fly magnet",E448))),"Fly Traps",
OR(ISNUMBER(SEARCH("uv",E448)),ISNUMBER(SEARCH("fly light",E448)),ISNUMBER(SEARCH("plug-in",E448))),"UV Fly Traps",
ISNUMBER(SEARCH("roach",E448)),"Roach Traps",
ISNUMBER(SEARCH("ant",E448)),"Ant Traps",
ISNUMBER(SEARCH("spider",E448)),"Spider Traps",
ISNUMBER(SEARCH("mosquito",E448)),"Mosquito Traps",
ISNUMBER(SEARCH("beetle",E448)),"Beetle Traps",
ISNUMBER(SEARCH("lantern",E448)),"Lanternfly Control",
OR(ISNUMBER(SEARCH("tree shield",E448)),ISNUMBER(SEARCH("tree banding",E448)),ISNUMBER(SEARCH("insect barrier",E448))),"Tree Barriers",
OR(ISNUMBER(SEARCH("sun &amp; shade",E448)),ISNUMBER(SEARCH("sun and shade",E448))),"Sun &amp; Shade Mix",
ISNUMBER(SEARCH("tall fescue",E448)),"Tall Fescue",
ISNUMBER(SEARCH("bermudagrass",E448)),"Bermudagrass",
ISNUMBER(SEARCH("kentucky",E448)),"Kentucky Bluegrass",
ISNUMBER(SEARCH("zoysia",E448)),"Zoysia",
ISNUMBER(SEARCH("ryegrass",E448)),"Perennial Ryegrass",
ISNUMBER(SEARCH("centipede",E448)),"Centipede Grass",
ISNUMBER(SEARCH("dense shade",E448)),"Dense Shade Mix",
ISNUMBER(SEARCH("southern gold",E448)),"Southern Gold Mix",
ISNUMBER(SEARCH("heat-tolerant blue",E448)),"Heat-Tolerant Blue Mix",
ISNUMBER(SEARCH("high traffic",E448)),"High Traffic Mix",
ISNUMBER(SEARCH("quick fix",E448)),"Quick Fix Mix",
ISNUMBER(SEARCH("starter",E448)),"Starter Fertilizer",
ISNUMBER(SEARCH("weed &amp; feed",E448)),"Weed &amp; Feed",
ISNUMBER(SEARCH("lawn food",E448)),"Lawn Food",
ISNUMBER(SEARCH("triple action",E448)),"Triple Action Fertilizer",
ISNUMBER(SEARCH("green max",E448)),"Green Max Lawn Food",
ISNUMBER(SEARCH("patchmaster",E448)),"PatchMaster Repair",
ISNUMBER(SEARCH("ez seed",E448)),"EZ Seed Repair",
ISNUMBER(SEARCH("rapid grass",E448)),"Rapid Grass",
ISNUMBER(SEARCH("thick'r lawn",E448)),"Thick'R Lawn",
ISNUMBER(SEARCH("fungicide",E448)),"Fungicide",
ISNUMBER(SEARCH("moss",E448)),"Moss Control",
ISNUMBER(SEARCH("perlite",E448)),"Perlite",
ISNUMBER(SEARCH("plant food",E448)),"Plant Food",
ISNUMBER(SEARCH("spreader",E448)),"Spreader",
ISNUMBER(SEARCH("sprayer",E448)),"Sprayer",
ISNUMBER(SEARCH("mower",E448)),"Lawn Mower",
ISNUMBER(SEARCH("sweeper",E448)),"Lawn Sweeper",
OR(ISNUMBER(SEARCH("pruner",E448)),ISNUMBER(SEARCH("trimmer",E448)),ISNUMBER(SEARCH("pole saw",E448))),"Pruning Tools",
TRUE,"Other"
)</f>
        <v>Bait &amp; Poison</v>
      </c>
      <c r="J448" s="7" t="str">
        <f t="shared" si="108"/>
        <v>Rodent Control - Bait &amp; Poison</v>
      </c>
      <c r="K448" s="4">
        <v>200</v>
      </c>
      <c r="L448" s="4">
        <v>4</v>
      </c>
      <c r="M448" s="4">
        <v>94</v>
      </c>
      <c r="N448" s="4" t="s">
        <v>579</v>
      </c>
      <c r="O448" s="4">
        <f>VLOOKUP(A448,'[6]Monthly Sold'!$A:$B,2,0)</f>
        <v>100</v>
      </c>
      <c r="P448" s="4">
        <f>VLOOKUP(A448,'[6]Monthly Sold'!$A:$M,3,0)</f>
        <v>100</v>
      </c>
      <c r="Q448" s="4">
        <f>VLOOKUP(A448,'[6]Monthly Sold'!$A:$M,4,0)</f>
        <v>100</v>
      </c>
      <c r="R448" s="4">
        <f>VLOOKUP(A448,'[6]Monthly Sold'!$A:$M,5,0)</f>
        <v>100</v>
      </c>
      <c r="S448" s="4">
        <f>VLOOKUP(A448,'[6]Monthly Sold'!$A:$M,6,0)</f>
        <v>200</v>
      </c>
      <c r="T448" s="4">
        <f>VLOOKUP(A448,'[6]Monthly Sold'!$A:$M,7,0)</f>
        <v>200</v>
      </c>
      <c r="U448" s="4">
        <f>VLOOKUP(A448,'[6]Monthly Sold'!$A:$M,8,0)</f>
        <v>200</v>
      </c>
      <c r="V448" s="4">
        <f>VLOOKUP(A448,'[6]Monthly Sold'!$A:$M,9,0)</f>
        <v>200</v>
      </c>
      <c r="W448" s="4">
        <f>VLOOKUP(A448,'[6]Monthly Sold'!$A:$M,10,0)</f>
        <v>200</v>
      </c>
      <c r="X448" s="4">
        <f>VLOOKUP(A448,'[6]Monthly Sold'!$A:$M,11,0)</f>
        <v>200</v>
      </c>
      <c r="Y448" s="4">
        <f>VLOOKUP(A448,'[6]Monthly Sold'!$A:$M,12,0)</f>
        <v>100</v>
      </c>
      <c r="Z448" s="4">
        <f>VLOOKUP(A448,'[6]Monthly Sold'!$A:$M,13,0)</f>
        <v>100</v>
      </c>
      <c r="AA448" s="4">
        <f t="shared" si="118"/>
        <v>1800</v>
      </c>
      <c r="AB448" s="7">
        <f t="shared" si="109"/>
        <v>150</v>
      </c>
      <c r="AC448" s="15">
        <f t="shared" si="119"/>
        <v>150</v>
      </c>
      <c r="AD448" s="16">
        <f t="shared" si="120"/>
        <v>80982</v>
      </c>
      <c r="AE448" s="16">
        <f t="shared" si="121"/>
        <v>6748.5</v>
      </c>
      <c r="AF448" s="21">
        <v>8.8699999999999992</v>
      </c>
      <c r="AG448" s="21">
        <v>44.99</v>
      </c>
      <c r="AH448" s="15">
        <f t="shared" si="122"/>
        <v>0.54173333333333351</v>
      </c>
      <c r="AI448" s="15">
        <f t="shared" si="123"/>
        <v>1.896066666666667</v>
      </c>
      <c r="AJ448" s="10">
        <v>0.5</v>
      </c>
      <c r="AK448" s="10">
        <v>0.5</v>
      </c>
      <c r="AL448" s="21">
        <v>8.8699999999999992</v>
      </c>
      <c r="AM448" s="9">
        <f t="shared" si="110"/>
        <v>6.7484999999999999</v>
      </c>
      <c r="AN448" s="9">
        <f t="shared" si="111"/>
        <v>1.3496999999999999</v>
      </c>
      <c r="AO448" s="9">
        <f t="shared" si="112"/>
        <v>8.9980000000000011</v>
      </c>
      <c r="AP448" s="9">
        <f t="shared" si="113"/>
        <v>0.89980000000000004</v>
      </c>
      <c r="AQ448" s="9">
        <f t="shared" si="114"/>
        <v>8.9980000000000011</v>
      </c>
      <c r="AR448" s="9">
        <f t="shared" si="115"/>
        <v>11.2475</v>
      </c>
      <c r="AS448" s="11">
        <f t="shared" si="116"/>
        <v>5.4173333333333344</v>
      </c>
      <c r="AT448" s="12">
        <f t="shared" si="117"/>
        <v>3.9176666666666677</v>
      </c>
    </row>
    <row r="449" spans="1:46" ht="16.5" x14ac:dyDescent="0.4">
      <c r="A449" s="4" t="s">
        <v>1863</v>
      </c>
      <c r="B449" s="4" t="s">
        <v>1895</v>
      </c>
      <c r="C449" s="4" t="s">
        <v>1789</v>
      </c>
      <c r="D449" s="4" t="s">
        <v>2090</v>
      </c>
      <c r="E449" s="4" t="s">
        <v>2091</v>
      </c>
      <c r="F449" s="4" t="s">
        <v>2092</v>
      </c>
      <c r="G449" s="7" t="str">
        <f>VLOOKUP(A449,[1]done!$A:$I,9,0)</f>
        <v>Rodent</v>
      </c>
      <c r="H449" s="7" t="str" cm="1">
        <f t="array" ref="H449">_xlfn.IFS(
OR(ISNUMBER(SEARCH("mouse",E449)),ISNUMBER(SEARCH("rat",E449)),ISNUMBER(SEARCH("mice",E449)),ISNUMBER(SEARCH("rodent",E449))),"Rodent Control",
OR(ISNUMBER(SEARCH("fly",E449)),ISNUMBER(SEARCH("gnat",E449)),ISNUMBER(SEARCH("insect",E449)),ISNUMBER(SEARCH("mosquito",E449))),"Flying Insect Control",
OR(ISNUMBER(SEARCH("roach",E449)),ISNUMBER(SEARCH("ant",E449)),ISNUMBER(SEARCH("spider",E449)),ISNUMBER(SEARCH("cricket",E449)),ISNUMBER(SEARCH("scorpion",E449)),ISNUMBER(SEARCH("centipede",E449)),ISNUMBER(SEARCH("beetle",E449))),"Crawling Insect Control",
OR(ISNUMBER(SEARCH("tree",E449)),ISNUMBER(SEARCH("lantern",E449)),ISNUMBER(SEARCH("garden",E449)),ISNUMBER(SEARCH("plant",E449))),"Garden Pest Control",
OR(ISNUMBER(SEARCH("grass seed",E449)),ISNUMBER(SEARCH("seed mix",E449))),"Grass Seed",
OR(ISNUMBER(SEARCH("lawn food",E449)),ISNUMBER(SEARCH("fertilizer",E449))),"Lawn Fertilizer",
OR(ISNUMBER(SEARCH("patch",E449)),ISNUMBER(SEARCH("repair",E449)),ISNUMBER(SEARCH("thick'r",E449)),ISNUMBER(SEARCH("thick'r lawn",E449)),ISNUMBER(SEARCH("rapid grass",E449))),"Lawn Repair",
OR(ISNUMBER(SEARCH("weed",E449)),ISNUMBER(SEARCH("crabgrass",E449))),"Weed Control",
OR(ISNUMBER(SEARCH("fungicide",E449)),ISNUMBER(SEARCH("moss",E449))),"Disease &amp; Moss Control",
OR(ISNUMBER(SEARCH("plant food",E449)),ISNUMBER(SEARCH("miracid",E449))),"Plant Nutrition",
OR(ISNUMBER(SEARCH("perlite",E449))),"Soil Amendment",
OR(ISNUMBER(SEARCH("spreader",E449)),ISNUMBER(SEARCH("sprayer",E449)),ISNUMBER(SEARCH("mower",E449)),ISNUMBER(SEARCH("sweeper",E449)),ISNUMBER(SEARCH("pruner",E449)),ISNUMBER(SEARCH("trimmer",E449)),ISNUMBER(SEARCH("pole saw",E449))),"Garden Equipment",
TRUE,"Other"
)</f>
        <v>Rodent Control</v>
      </c>
      <c r="I449" s="7" t="str" cm="1">
        <f t="array" ref="I449">_xlfn.IFS(
OR(ISNUMBER(SEARCH("glue trap",E449)),ISNUMBER(SEARCH("glue board",E449))),"Glue Traps",
OR(ISNUMBER(SEARCH("snap trap",E449)),ISNUMBER(SEARCH("power-kill",E449)),ISNUMBER(SEARCH("wide pedal",E449)),ISNUMBER(SEARCH("metal pedal",E449))),"Snap Traps",
OR(ISNUMBER(SEARCH("electronic",E449)),ISNUMBER(SEARCH("zapper",E449))),"Electronic Traps",
OR(ISNUMBER(SEARCH("live catch",E449)),ISNUMBER(SEARCH("multi-catch",E449)),ISNUMBER(SEARCH("catch &amp; hold",E449)),ISNUMBER(SEARCH("tin cat",E449))),"Live Catch Traps",
OR(ISNUMBER(SEARCH("bait",E449)),ISNUMBER(SEARCH("poison",E449))),"Bait &amp; Poison",
ISNUMBER(SEARCH("repellent",E449)),"Repellents",
OR(ISNUMBER(SEARCH("fly trap",E449)),ISNUMBER(SEARCH("fly ribbon",E449)),ISNUMBER(SEARCH("fly stick",E449)),ISNUMBER(SEARCH("window fly",E449)),ISNUMBER(SEARCH("fly magnet",E449))),"Fly Traps",
OR(ISNUMBER(SEARCH("uv",E449)),ISNUMBER(SEARCH("fly light",E449)),ISNUMBER(SEARCH("plug-in",E449))),"UV Fly Traps",
ISNUMBER(SEARCH("roach",E449)),"Roach Traps",
ISNUMBER(SEARCH("ant",E449)),"Ant Traps",
ISNUMBER(SEARCH("spider",E449)),"Spider Traps",
ISNUMBER(SEARCH("mosquito",E449)),"Mosquito Traps",
ISNUMBER(SEARCH("beetle",E449)),"Beetle Traps",
ISNUMBER(SEARCH("lantern",E449)),"Lanternfly Control",
OR(ISNUMBER(SEARCH("tree shield",E449)),ISNUMBER(SEARCH("tree banding",E449)),ISNUMBER(SEARCH("insect barrier",E449))),"Tree Barriers",
OR(ISNUMBER(SEARCH("sun &amp; shade",E449)),ISNUMBER(SEARCH("sun and shade",E449))),"Sun &amp; Shade Mix",
ISNUMBER(SEARCH("tall fescue",E449)),"Tall Fescue",
ISNUMBER(SEARCH("bermudagrass",E449)),"Bermudagrass",
ISNUMBER(SEARCH("kentucky",E449)),"Kentucky Bluegrass",
ISNUMBER(SEARCH("zoysia",E449)),"Zoysia",
ISNUMBER(SEARCH("ryegrass",E449)),"Perennial Ryegrass",
ISNUMBER(SEARCH("centipede",E449)),"Centipede Grass",
ISNUMBER(SEARCH("dense shade",E449)),"Dense Shade Mix",
ISNUMBER(SEARCH("southern gold",E449)),"Southern Gold Mix",
ISNUMBER(SEARCH("heat-tolerant blue",E449)),"Heat-Tolerant Blue Mix",
ISNUMBER(SEARCH("high traffic",E449)),"High Traffic Mix",
ISNUMBER(SEARCH("quick fix",E449)),"Quick Fix Mix",
ISNUMBER(SEARCH("starter",E449)),"Starter Fertilizer",
ISNUMBER(SEARCH("weed &amp; feed",E449)),"Weed &amp; Feed",
ISNUMBER(SEARCH("lawn food",E449)),"Lawn Food",
ISNUMBER(SEARCH("triple action",E449)),"Triple Action Fertilizer",
ISNUMBER(SEARCH("green max",E449)),"Green Max Lawn Food",
ISNUMBER(SEARCH("patchmaster",E449)),"PatchMaster Repair",
ISNUMBER(SEARCH("ez seed",E449)),"EZ Seed Repair",
ISNUMBER(SEARCH("rapid grass",E449)),"Rapid Grass",
ISNUMBER(SEARCH("thick'r lawn",E449)),"Thick'R Lawn",
ISNUMBER(SEARCH("fungicide",E449)),"Fungicide",
ISNUMBER(SEARCH("moss",E449)),"Moss Control",
ISNUMBER(SEARCH("perlite",E449)),"Perlite",
ISNUMBER(SEARCH("plant food",E449)),"Plant Food",
ISNUMBER(SEARCH("spreader",E449)),"Spreader",
ISNUMBER(SEARCH("sprayer",E449)),"Sprayer",
ISNUMBER(SEARCH("mower",E449)),"Lawn Mower",
ISNUMBER(SEARCH("sweeper",E449)),"Lawn Sweeper",
OR(ISNUMBER(SEARCH("pruner",E449)),ISNUMBER(SEARCH("trimmer",E449)),ISNUMBER(SEARCH("pole saw",E449))),"Pruning Tools",
TRUE,"Other"
)</f>
        <v>Other</v>
      </c>
      <c r="J449" s="7" t="str">
        <f t="shared" si="108"/>
        <v>Rodent Control - Other</v>
      </c>
      <c r="K449" s="4">
        <v>200</v>
      </c>
      <c r="L449" s="4">
        <v>4.8</v>
      </c>
      <c r="M449" s="4">
        <v>84</v>
      </c>
      <c r="N449" s="4" t="s">
        <v>2028</v>
      </c>
      <c r="O449" s="4">
        <f>VLOOKUP(A449,'[6]Monthly Sold'!$A:$B,2,0)</f>
        <v>100</v>
      </c>
      <c r="P449" s="4">
        <f>VLOOKUP(A449,'[6]Monthly Sold'!$A:$M,3,0)</f>
        <v>100</v>
      </c>
      <c r="Q449" s="4">
        <f>VLOOKUP(A449,'[6]Monthly Sold'!$A:$M,4,0)</f>
        <v>200</v>
      </c>
      <c r="R449" s="4">
        <f>VLOOKUP(A449,'[6]Monthly Sold'!$A:$M,5,0)</f>
        <v>100</v>
      </c>
      <c r="S449" s="4">
        <f>VLOOKUP(A449,'[6]Monthly Sold'!$A:$M,6,0)</f>
        <v>100</v>
      </c>
      <c r="T449" s="4">
        <f>VLOOKUP(A449,'[6]Monthly Sold'!$A:$M,7,0)</f>
        <v>100</v>
      </c>
      <c r="U449" s="4">
        <f>VLOOKUP(A449,'[6]Monthly Sold'!$A:$M,8,0)</f>
        <v>200</v>
      </c>
      <c r="V449" s="4">
        <f>VLOOKUP(A449,'[6]Monthly Sold'!$A:$M,9,0)</f>
        <v>200</v>
      </c>
      <c r="W449" s="4">
        <f>VLOOKUP(A449,'[6]Monthly Sold'!$A:$M,10,0)</f>
        <v>300</v>
      </c>
      <c r="X449" s="4">
        <f>VLOOKUP(A449,'[6]Monthly Sold'!$A:$M,11,0)</f>
        <v>100</v>
      </c>
      <c r="Y449" s="4">
        <f>VLOOKUP(A449,'[6]Monthly Sold'!$A:$M,12,0)</f>
        <v>300</v>
      </c>
      <c r="Z449" s="4">
        <f>VLOOKUP(A449,'[6]Monthly Sold'!$A:$M,13,0)</f>
        <v>100</v>
      </c>
      <c r="AA449" s="4">
        <f t="shared" si="118"/>
        <v>1900</v>
      </c>
      <c r="AB449" s="7">
        <f t="shared" si="109"/>
        <v>158</v>
      </c>
      <c r="AC449" s="15">
        <f t="shared" si="119"/>
        <v>158.33333333333334</v>
      </c>
      <c r="AD449" s="16">
        <f t="shared" si="120"/>
        <v>83999</v>
      </c>
      <c r="AE449" s="16">
        <f t="shared" si="121"/>
        <v>6999.916666666667</v>
      </c>
      <c r="AF449" s="21">
        <v>7.38</v>
      </c>
      <c r="AG449" s="21">
        <v>44.21</v>
      </c>
      <c r="AH449" s="15">
        <f t="shared" si="122"/>
        <v>0.62026666666666674</v>
      </c>
      <c r="AI449" s="15">
        <f t="shared" si="123"/>
        <v>2.1709333333333332</v>
      </c>
      <c r="AJ449" s="10">
        <v>0.5</v>
      </c>
      <c r="AK449" s="10">
        <v>0.5</v>
      </c>
      <c r="AL449" s="21">
        <v>7.38</v>
      </c>
      <c r="AM449" s="9">
        <f t="shared" si="110"/>
        <v>6.6315</v>
      </c>
      <c r="AN449" s="9">
        <f t="shared" si="111"/>
        <v>1.3263</v>
      </c>
      <c r="AO449" s="9">
        <f t="shared" si="112"/>
        <v>8.8420000000000005</v>
      </c>
      <c r="AP449" s="9">
        <f t="shared" si="113"/>
        <v>0.88419999999999999</v>
      </c>
      <c r="AQ449" s="9">
        <f t="shared" si="114"/>
        <v>8.8420000000000005</v>
      </c>
      <c r="AR449" s="9">
        <f t="shared" si="115"/>
        <v>11.0525</v>
      </c>
      <c r="AS449" s="11">
        <f t="shared" si="116"/>
        <v>6.2026666666666666</v>
      </c>
      <c r="AT449" s="12">
        <f t="shared" si="117"/>
        <v>4.7290000000000001</v>
      </c>
    </row>
    <row r="450" spans="1:46" ht="16.5" x14ac:dyDescent="0.4">
      <c r="A450" s="4" t="s">
        <v>1864</v>
      </c>
      <c r="B450" s="4" t="s">
        <v>1895</v>
      </c>
      <c r="C450" s="4" t="s">
        <v>1784</v>
      </c>
      <c r="D450" s="4" t="s">
        <v>2093</v>
      </c>
      <c r="E450" s="4" t="s">
        <v>2094</v>
      </c>
      <c r="F450" s="4" t="s">
        <v>2095</v>
      </c>
      <c r="G450" s="7" t="str">
        <f>VLOOKUP(A450,[1]done!$A:$I,9,0)</f>
        <v>Rodent</v>
      </c>
      <c r="H450" s="7" t="str" cm="1">
        <f t="array" ref="H450">_xlfn.IFS(
OR(ISNUMBER(SEARCH("mouse",E450)),ISNUMBER(SEARCH("rat",E450)),ISNUMBER(SEARCH("mice",E450)),ISNUMBER(SEARCH("rodent",E450))),"Rodent Control",
OR(ISNUMBER(SEARCH("fly",E450)),ISNUMBER(SEARCH("gnat",E450)),ISNUMBER(SEARCH("insect",E450)),ISNUMBER(SEARCH("mosquito",E450))),"Flying Insect Control",
OR(ISNUMBER(SEARCH("roach",E450)),ISNUMBER(SEARCH("ant",E450)),ISNUMBER(SEARCH("spider",E450)),ISNUMBER(SEARCH("cricket",E450)),ISNUMBER(SEARCH("scorpion",E450)),ISNUMBER(SEARCH("centipede",E450)),ISNUMBER(SEARCH("beetle",E450))),"Crawling Insect Control",
OR(ISNUMBER(SEARCH("tree",E450)),ISNUMBER(SEARCH("lantern",E450)),ISNUMBER(SEARCH("garden",E450)),ISNUMBER(SEARCH("plant",E450))),"Garden Pest Control",
OR(ISNUMBER(SEARCH("grass seed",E450)),ISNUMBER(SEARCH("seed mix",E450))),"Grass Seed",
OR(ISNUMBER(SEARCH("lawn food",E450)),ISNUMBER(SEARCH("fertilizer",E450))),"Lawn Fertilizer",
OR(ISNUMBER(SEARCH("patch",E450)),ISNUMBER(SEARCH("repair",E450)),ISNUMBER(SEARCH("thick'r",E450)),ISNUMBER(SEARCH("thick'r lawn",E450)),ISNUMBER(SEARCH("rapid grass",E450))),"Lawn Repair",
OR(ISNUMBER(SEARCH("weed",E450)),ISNUMBER(SEARCH("crabgrass",E450))),"Weed Control",
OR(ISNUMBER(SEARCH("fungicide",E450)),ISNUMBER(SEARCH("moss",E450))),"Disease &amp; Moss Control",
OR(ISNUMBER(SEARCH("plant food",E450)),ISNUMBER(SEARCH("miracid",E450))),"Plant Nutrition",
OR(ISNUMBER(SEARCH("perlite",E450))),"Soil Amendment",
OR(ISNUMBER(SEARCH("spreader",E450)),ISNUMBER(SEARCH("sprayer",E450)),ISNUMBER(SEARCH("mower",E450)),ISNUMBER(SEARCH("sweeper",E450)),ISNUMBER(SEARCH("pruner",E450)),ISNUMBER(SEARCH("trimmer",E450)),ISNUMBER(SEARCH("pole saw",E450))),"Garden Equipment",
TRUE,"Other"
)</f>
        <v>Rodent Control</v>
      </c>
      <c r="I450" s="7" t="str" cm="1">
        <f t="array" ref="I450">_xlfn.IFS(
OR(ISNUMBER(SEARCH("glue trap",E450)),ISNUMBER(SEARCH("glue board",E450))),"Glue Traps",
OR(ISNUMBER(SEARCH("snap trap",E450)),ISNUMBER(SEARCH("power-kill",E450)),ISNUMBER(SEARCH("wide pedal",E450)),ISNUMBER(SEARCH("metal pedal",E450))),"Snap Traps",
OR(ISNUMBER(SEARCH("electronic",E450)),ISNUMBER(SEARCH("zapper",E450))),"Electronic Traps",
OR(ISNUMBER(SEARCH("live catch",E450)),ISNUMBER(SEARCH("multi-catch",E450)),ISNUMBER(SEARCH("catch &amp; hold",E450)),ISNUMBER(SEARCH("tin cat",E450))),"Live Catch Traps",
OR(ISNUMBER(SEARCH("bait",E450)),ISNUMBER(SEARCH("poison",E450))),"Bait &amp; Poison",
ISNUMBER(SEARCH("repellent",E450)),"Repellents",
OR(ISNUMBER(SEARCH("fly trap",E450)),ISNUMBER(SEARCH("fly ribbon",E450)),ISNUMBER(SEARCH("fly stick",E450)),ISNUMBER(SEARCH("window fly",E450)),ISNUMBER(SEARCH("fly magnet",E450))),"Fly Traps",
OR(ISNUMBER(SEARCH("uv",E450)),ISNUMBER(SEARCH("fly light",E450)),ISNUMBER(SEARCH("plug-in",E450))),"UV Fly Traps",
ISNUMBER(SEARCH("roach",E450)),"Roach Traps",
ISNUMBER(SEARCH("ant",E450)),"Ant Traps",
ISNUMBER(SEARCH("spider",E450)),"Spider Traps",
ISNUMBER(SEARCH("mosquito",E450)),"Mosquito Traps",
ISNUMBER(SEARCH("beetle",E450)),"Beetle Traps",
ISNUMBER(SEARCH("lantern",E450)),"Lanternfly Control",
OR(ISNUMBER(SEARCH("tree shield",E450)),ISNUMBER(SEARCH("tree banding",E450)),ISNUMBER(SEARCH("insect barrier",E450))),"Tree Barriers",
OR(ISNUMBER(SEARCH("sun &amp; shade",E450)),ISNUMBER(SEARCH("sun and shade",E450))),"Sun &amp; Shade Mix",
ISNUMBER(SEARCH("tall fescue",E450)),"Tall Fescue",
ISNUMBER(SEARCH("bermudagrass",E450)),"Bermudagrass",
ISNUMBER(SEARCH("kentucky",E450)),"Kentucky Bluegrass",
ISNUMBER(SEARCH("zoysia",E450)),"Zoysia",
ISNUMBER(SEARCH("ryegrass",E450)),"Perennial Ryegrass",
ISNUMBER(SEARCH("centipede",E450)),"Centipede Grass",
ISNUMBER(SEARCH("dense shade",E450)),"Dense Shade Mix",
ISNUMBER(SEARCH("southern gold",E450)),"Southern Gold Mix",
ISNUMBER(SEARCH("heat-tolerant blue",E450)),"Heat-Tolerant Blue Mix",
ISNUMBER(SEARCH("high traffic",E450)),"High Traffic Mix",
ISNUMBER(SEARCH("quick fix",E450)),"Quick Fix Mix",
ISNUMBER(SEARCH("starter",E450)),"Starter Fertilizer",
ISNUMBER(SEARCH("weed &amp; feed",E450)),"Weed &amp; Feed",
ISNUMBER(SEARCH("lawn food",E450)),"Lawn Food",
ISNUMBER(SEARCH("triple action",E450)),"Triple Action Fertilizer",
ISNUMBER(SEARCH("green max",E450)),"Green Max Lawn Food",
ISNUMBER(SEARCH("patchmaster",E450)),"PatchMaster Repair",
ISNUMBER(SEARCH("ez seed",E450)),"EZ Seed Repair",
ISNUMBER(SEARCH("rapid grass",E450)),"Rapid Grass",
ISNUMBER(SEARCH("thick'r lawn",E450)),"Thick'R Lawn",
ISNUMBER(SEARCH("fungicide",E450)),"Fungicide",
ISNUMBER(SEARCH("moss",E450)),"Moss Control",
ISNUMBER(SEARCH("perlite",E450)),"Perlite",
ISNUMBER(SEARCH("plant food",E450)),"Plant Food",
ISNUMBER(SEARCH("spreader",E450)),"Spreader",
ISNUMBER(SEARCH("sprayer",E450)),"Sprayer",
ISNUMBER(SEARCH("mower",E450)),"Lawn Mower",
ISNUMBER(SEARCH("sweeper",E450)),"Lawn Sweeper",
OR(ISNUMBER(SEARCH("pruner",E450)),ISNUMBER(SEARCH("trimmer",E450)),ISNUMBER(SEARCH("pole saw",E450))),"Pruning Tools",
TRUE,"Other"
)</f>
        <v>Other</v>
      </c>
      <c r="J450" s="7" t="str">
        <f t="shared" si="108"/>
        <v>Rodent Control - Other</v>
      </c>
      <c r="K450" s="4">
        <v>100</v>
      </c>
      <c r="L450" s="4">
        <v>4.2</v>
      </c>
      <c r="M450" s="4">
        <v>2542</v>
      </c>
      <c r="N450" s="4" t="s">
        <v>579</v>
      </c>
      <c r="O450" s="4">
        <f>VLOOKUP(A450,'[6]Monthly Sold'!$A:$B,2,0)</f>
        <v>600</v>
      </c>
      <c r="P450" s="4">
        <f>VLOOKUP(A450,'[6]Monthly Sold'!$A:$M,3,0)</f>
        <v>1000</v>
      </c>
      <c r="Q450" s="4">
        <f>VLOOKUP(A450,'[6]Monthly Sold'!$A:$M,4,0)</f>
        <v>1000</v>
      </c>
      <c r="R450" s="4">
        <f>VLOOKUP(A450,'[6]Monthly Sold'!$A:$M,5,0)</f>
        <v>1000</v>
      </c>
      <c r="S450" s="4">
        <f>VLOOKUP(A450,'[6]Monthly Sold'!$A:$M,6,0)</f>
        <v>1000</v>
      </c>
      <c r="T450" s="4">
        <f>VLOOKUP(A450,'[6]Monthly Sold'!$A:$M,7,0)</f>
        <v>1000</v>
      </c>
      <c r="U450" s="4">
        <f>VLOOKUP(A450,'[6]Monthly Sold'!$A:$M,8,0)</f>
        <v>2000</v>
      </c>
      <c r="V450" s="4">
        <f>VLOOKUP(A450,'[6]Monthly Sold'!$A:$M,9,0)</f>
        <v>100</v>
      </c>
      <c r="W450" s="4">
        <f>VLOOKUP(A450,'[6]Monthly Sold'!$A:$M,10,0)</f>
        <v>100</v>
      </c>
      <c r="X450" s="4">
        <f>VLOOKUP(A450,'[6]Monthly Sold'!$A:$M,11,0)</f>
        <v>900</v>
      </c>
      <c r="Y450" s="4">
        <f>VLOOKUP(A450,'[6]Monthly Sold'!$A:$M,12,0)</f>
        <v>1000</v>
      </c>
      <c r="Z450" s="4">
        <f>VLOOKUP(A450,'[6]Monthly Sold'!$A:$M,13,0)</f>
        <v>1000</v>
      </c>
      <c r="AA450" s="4">
        <f t="shared" si="118"/>
        <v>10700</v>
      </c>
      <c r="AB450" s="7">
        <f t="shared" si="109"/>
        <v>892</v>
      </c>
      <c r="AC450" s="15">
        <f t="shared" si="119"/>
        <v>891.66666666666663</v>
      </c>
      <c r="AD450" s="16">
        <f t="shared" si="120"/>
        <v>149693</v>
      </c>
      <c r="AE450" s="16">
        <f t="shared" si="121"/>
        <v>12474.416666666666</v>
      </c>
      <c r="AF450" s="21">
        <v>6.9</v>
      </c>
      <c r="AG450" s="21">
        <v>13.99</v>
      </c>
      <c r="AH450" s="15">
        <f t="shared" si="122"/>
        <v>-0.15360000000000004</v>
      </c>
      <c r="AI450" s="15">
        <f t="shared" si="123"/>
        <v>-0.53760000000000008</v>
      </c>
      <c r="AJ450" s="10">
        <v>0.5</v>
      </c>
      <c r="AK450" s="10">
        <v>0.5</v>
      </c>
      <c r="AL450" s="21">
        <v>6.9</v>
      </c>
      <c r="AM450" s="9">
        <f t="shared" si="110"/>
        <v>2.0985</v>
      </c>
      <c r="AN450" s="9">
        <f t="shared" si="111"/>
        <v>0.41970000000000002</v>
      </c>
      <c r="AO450" s="9">
        <f t="shared" si="112"/>
        <v>2.798</v>
      </c>
      <c r="AP450" s="9">
        <f t="shared" si="113"/>
        <v>0.27979999999999999</v>
      </c>
      <c r="AQ450" s="9">
        <f t="shared" si="114"/>
        <v>2.798</v>
      </c>
      <c r="AR450" s="9">
        <f t="shared" si="115"/>
        <v>3.4975000000000001</v>
      </c>
      <c r="AS450" s="11">
        <f t="shared" si="116"/>
        <v>-1.5360000000000003</v>
      </c>
      <c r="AT450" s="12">
        <f t="shared" si="117"/>
        <v>-2.0023333333333335</v>
      </c>
    </row>
    <row r="451" spans="1:46" ht="16.5" x14ac:dyDescent="0.4">
      <c r="A451" s="4" t="s">
        <v>1865</v>
      </c>
      <c r="B451" s="4" t="s">
        <v>1895</v>
      </c>
      <c r="C451" s="4" t="s">
        <v>1784</v>
      </c>
      <c r="D451" s="4" t="s">
        <v>2096</v>
      </c>
      <c r="E451" s="4" t="s">
        <v>2097</v>
      </c>
      <c r="F451" s="4" t="s">
        <v>2098</v>
      </c>
      <c r="G451" s="7" t="str">
        <f>VLOOKUP(A451,[1]done!$A:$I,9,0)</f>
        <v>Rodent</v>
      </c>
      <c r="H451" s="7" t="str" cm="1">
        <f t="array" ref="H451">_xlfn.IFS(
OR(ISNUMBER(SEARCH("mouse",E451)),ISNUMBER(SEARCH("rat",E451)),ISNUMBER(SEARCH("mice",E451)),ISNUMBER(SEARCH("rodent",E451))),"Rodent Control",
OR(ISNUMBER(SEARCH("fly",E451)),ISNUMBER(SEARCH("gnat",E451)),ISNUMBER(SEARCH("insect",E451)),ISNUMBER(SEARCH("mosquito",E451))),"Flying Insect Control",
OR(ISNUMBER(SEARCH("roach",E451)),ISNUMBER(SEARCH("ant",E451)),ISNUMBER(SEARCH("spider",E451)),ISNUMBER(SEARCH("cricket",E451)),ISNUMBER(SEARCH("scorpion",E451)),ISNUMBER(SEARCH("centipede",E451)),ISNUMBER(SEARCH("beetle",E451))),"Crawling Insect Control",
OR(ISNUMBER(SEARCH("tree",E451)),ISNUMBER(SEARCH("lantern",E451)),ISNUMBER(SEARCH("garden",E451)),ISNUMBER(SEARCH("plant",E451))),"Garden Pest Control",
OR(ISNUMBER(SEARCH("grass seed",E451)),ISNUMBER(SEARCH("seed mix",E451))),"Grass Seed",
OR(ISNUMBER(SEARCH("lawn food",E451)),ISNUMBER(SEARCH("fertilizer",E451))),"Lawn Fertilizer",
OR(ISNUMBER(SEARCH("patch",E451)),ISNUMBER(SEARCH("repair",E451)),ISNUMBER(SEARCH("thick'r",E451)),ISNUMBER(SEARCH("thick'r lawn",E451)),ISNUMBER(SEARCH("rapid grass",E451))),"Lawn Repair",
OR(ISNUMBER(SEARCH("weed",E451)),ISNUMBER(SEARCH("crabgrass",E451))),"Weed Control",
OR(ISNUMBER(SEARCH("fungicide",E451)),ISNUMBER(SEARCH("moss",E451))),"Disease &amp; Moss Control",
OR(ISNUMBER(SEARCH("plant food",E451)),ISNUMBER(SEARCH("miracid",E451))),"Plant Nutrition",
OR(ISNUMBER(SEARCH("perlite",E451))),"Soil Amendment",
OR(ISNUMBER(SEARCH("spreader",E451)),ISNUMBER(SEARCH("sprayer",E451)),ISNUMBER(SEARCH("mower",E451)),ISNUMBER(SEARCH("sweeper",E451)),ISNUMBER(SEARCH("pruner",E451)),ISNUMBER(SEARCH("trimmer",E451)),ISNUMBER(SEARCH("pole saw",E451))),"Garden Equipment",
TRUE,"Other"
)</f>
        <v>Rodent Control</v>
      </c>
      <c r="I451" s="7" t="str" cm="1">
        <f t="array" ref="I451">_xlfn.IFS(
OR(ISNUMBER(SEARCH("glue trap",E451)),ISNUMBER(SEARCH("glue board",E451))),"Glue Traps",
OR(ISNUMBER(SEARCH("snap trap",E451)),ISNUMBER(SEARCH("power-kill",E451)),ISNUMBER(SEARCH("wide pedal",E451)),ISNUMBER(SEARCH("metal pedal",E451))),"Snap Traps",
OR(ISNUMBER(SEARCH("electronic",E451)),ISNUMBER(SEARCH("zapper",E451))),"Electronic Traps",
OR(ISNUMBER(SEARCH("live catch",E451)),ISNUMBER(SEARCH("multi-catch",E451)),ISNUMBER(SEARCH("catch &amp; hold",E451)),ISNUMBER(SEARCH("tin cat",E451))),"Live Catch Traps",
OR(ISNUMBER(SEARCH("bait",E451)),ISNUMBER(SEARCH("poison",E451))),"Bait &amp; Poison",
ISNUMBER(SEARCH("repellent",E451)),"Repellents",
OR(ISNUMBER(SEARCH("fly trap",E451)),ISNUMBER(SEARCH("fly ribbon",E451)),ISNUMBER(SEARCH("fly stick",E451)),ISNUMBER(SEARCH("window fly",E451)),ISNUMBER(SEARCH("fly magnet",E451))),"Fly Traps",
OR(ISNUMBER(SEARCH("uv",E451)),ISNUMBER(SEARCH("fly light",E451)),ISNUMBER(SEARCH("plug-in",E451))),"UV Fly Traps",
ISNUMBER(SEARCH("roach",E451)),"Roach Traps",
ISNUMBER(SEARCH("ant",E451)),"Ant Traps",
ISNUMBER(SEARCH("spider",E451)),"Spider Traps",
ISNUMBER(SEARCH("mosquito",E451)),"Mosquito Traps",
ISNUMBER(SEARCH("beetle",E451)),"Beetle Traps",
ISNUMBER(SEARCH("lantern",E451)),"Lanternfly Control",
OR(ISNUMBER(SEARCH("tree shield",E451)),ISNUMBER(SEARCH("tree banding",E451)),ISNUMBER(SEARCH("insect barrier",E451))),"Tree Barriers",
OR(ISNUMBER(SEARCH("sun &amp; shade",E451)),ISNUMBER(SEARCH("sun and shade",E451))),"Sun &amp; Shade Mix",
ISNUMBER(SEARCH("tall fescue",E451)),"Tall Fescue",
ISNUMBER(SEARCH("bermudagrass",E451)),"Bermudagrass",
ISNUMBER(SEARCH("kentucky",E451)),"Kentucky Bluegrass",
ISNUMBER(SEARCH("zoysia",E451)),"Zoysia",
ISNUMBER(SEARCH("ryegrass",E451)),"Perennial Ryegrass",
ISNUMBER(SEARCH("centipede",E451)),"Centipede Grass",
ISNUMBER(SEARCH("dense shade",E451)),"Dense Shade Mix",
ISNUMBER(SEARCH("southern gold",E451)),"Southern Gold Mix",
ISNUMBER(SEARCH("heat-tolerant blue",E451)),"Heat-Tolerant Blue Mix",
ISNUMBER(SEARCH("high traffic",E451)),"High Traffic Mix",
ISNUMBER(SEARCH("quick fix",E451)),"Quick Fix Mix",
ISNUMBER(SEARCH("starter",E451)),"Starter Fertilizer",
ISNUMBER(SEARCH("weed &amp; feed",E451)),"Weed &amp; Feed",
ISNUMBER(SEARCH("lawn food",E451)),"Lawn Food",
ISNUMBER(SEARCH("triple action",E451)),"Triple Action Fertilizer",
ISNUMBER(SEARCH("green max",E451)),"Green Max Lawn Food",
ISNUMBER(SEARCH("patchmaster",E451)),"PatchMaster Repair",
ISNUMBER(SEARCH("ez seed",E451)),"EZ Seed Repair",
ISNUMBER(SEARCH("rapid grass",E451)),"Rapid Grass",
ISNUMBER(SEARCH("thick'r lawn",E451)),"Thick'R Lawn",
ISNUMBER(SEARCH("fungicide",E451)),"Fungicide",
ISNUMBER(SEARCH("moss",E451)),"Moss Control",
ISNUMBER(SEARCH("perlite",E451)),"Perlite",
ISNUMBER(SEARCH("plant food",E451)),"Plant Food",
ISNUMBER(SEARCH("spreader",E451)),"Spreader",
ISNUMBER(SEARCH("sprayer",E451)),"Sprayer",
ISNUMBER(SEARCH("mower",E451)),"Lawn Mower",
ISNUMBER(SEARCH("sweeper",E451)),"Lawn Sweeper",
OR(ISNUMBER(SEARCH("pruner",E451)),ISNUMBER(SEARCH("trimmer",E451)),ISNUMBER(SEARCH("pole saw",E451))),"Pruning Tools",
TRUE,"Other"
)</f>
        <v>Glue Traps</v>
      </c>
      <c r="J451" s="7" t="str">
        <f t="shared" ref="J451:J514" si="124">H451&amp;" - "&amp;I451</f>
        <v>Rodent Control - Glue Traps</v>
      </c>
      <c r="K451" s="4">
        <v>100</v>
      </c>
      <c r="L451" s="4">
        <v>4.4000000000000004</v>
      </c>
      <c r="M451" s="4">
        <v>3325</v>
      </c>
      <c r="N451" s="4" t="s">
        <v>2099</v>
      </c>
      <c r="O451" s="4">
        <f>VLOOKUP(A451,'[6]Monthly Sold'!$A:$B,2,0)</f>
        <v>50</v>
      </c>
      <c r="P451" s="4">
        <f>VLOOKUP(A451,'[6]Monthly Sold'!$A:$M,3,0)</f>
        <v>100</v>
      </c>
      <c r="Q451" s="4">
        <f>VLOOKUP(A451,'[6]Monthly Sold'!$A:$M,4,0)</f>
        <v>50</v>
      </c>
      <c r="R451" s="4">
        <f>VLOOKUP(A451,'[6]Monthly Sold'!$A:$M,5,0)</f>
        <v>50</v>
      </c>
      <c r="S451" s="4">
        <f>VLOOKUP(A451,'[6]Monthly Sold'!$A:$M,6,0)</f>
        <v>100</v>
      </c>
      <c r="T451" s="4">
        <f>VLOOKUP(A451,'[6]Monthly Sold'!$A:$M,7,0)</f>
        <v>50</v>
      </c>
      <c r="U451" s="4">
        <f>VLOOKUP(A451,'[6]Monthly Sold'!$A:$M,8,0)</f>
        <v>50</v>
      </c>
      <c r="V451" s="4">
        <f>VLOOKUP(A451,'[6]Monthly Sold'!$A:$M,9,0)</f>
        <v>100</v>
      </c>
      <c r="W451" s="4">
        <f>VLOOKUP(A451,'[6]Monthly Sold'!$A:$M,10,0)</f>
        <v>100</v>
      </c>
      <c r="X451" s="4">
        <f>VLOOKUP(A451,'[6]Monthly Sold'!$A:$M,11,0)</f>
        <v>50</v>
      </c>
      <c r="Y451" s="4">
        <f>VLOOKUP(A451,'[6]Monthly Sold'!$A:$M,12,0)</f>
        <v>300</v>
      </c>
      <c r="Z451" s="4">
        <f>VLOOKUP(A451,'[6]Monthly Sold'!$A:$M,13,0)</f>
        <v>100</v>
      </c>
      <c r="AA451" s="4">
        <f t="shared" si="118"/>
        <v>1100</v>
      </c>
      <c r="AB451" s="7">
        <f t="shared" ref="AB451:AB514" si="125">ROUND(AA451/12,0)</f>
        <v>92</v>
      </c>
      <c r="AC451" s="15">
        <f t="shared" si="119"/>
        <v>91.666666666666671</v>
      </c>
      <c r="AD451" s="16">
        <f t="shared" si="120"/>
        <v>33451</v>
      </c>
      <c r="AE451" s="16">
        <f t="shared" si="121"/>
        <v>2787.5833333333335</v>
      </c>
      <c r="AF451" s="21">
        <v>7.96</v>
      </c>
      <c r="AG451" s="21">
        <v>30.41</v>
      </c>
      <c r="AH451" s="15">
        <f t="shared" si="122"/>
        <v>0.21359999999999979</v>
      </c>
      <c r="AI451" s="15">
        <f t="shared" si="123"/>
        <v>0.74759999999999927</v>
      </c>
      <c r="AJ451" s="10">
        <v>0.5</v>
      </c>
      <c r="AK451" s="10">
        <v>0.5</v>
      </c>
      <c r="AL451" s="21">
        <v>7.96</v>
      </c>
      <c r="AM451" s="9">
        <f t="shared" ref="AM451:AM514" si="126">0.15*AG451</f>
        <v>4.5614999999999997</v>
      </c>
      <c r="AN451" s="9">
        <f t="shared" ref="AN451:AN514" si="127">0.03*AG451</f>
        <v>0.9123</v>
      </c>
      <c r="AO451" s="9">
        <f t="shared" ref="AO451:AO514" si="128">0.2*AG451</f>
        <v>6.0820000000000007</v>
      </c>
      <c r="AP451" s="9">
        <f t="shared" ref="AP451:AP514" si="129">0.02*AG451</f>
        <v>0.60819999999999996</v>
      </c>
      <c r="AQ451" s="9">
        <f t="shared" ref="AQ451:AQ514" si="130">0.2*AG451</f>
        <v>6.0820000000000007</v>
      </c>
      <c r="AR451" s="9">
        <f t="shared" ref="AR451:AR514" si="131">0.25*AG451</f>
        <v>7.6025</v>
      </c>
      <c r="AS451" s="11">
        <f t="shared" ref="AS451:AS514" si="132">(AG451*(1-(0.15+0.03+0.2+0.02))-AJ451-AK451-AL451-AQ451)/(1+0.1+0.4)</f>
        <v>2.1359999999999979</v>
      </c>
      <c r="AT451" s="12">
        <f t="shared" ref="AT451:AT514" si="133">(AG451*(1-(0.15+0.03+0.2+0.02))-AJ451-AK451-AL451-AR451)/(1+0.1+0.4)</f>
        <v>1.1223333333333319</v>
      </c>
    </row>
    <row r="452" spans="1:46" ht="16.5" x14ac:dyDescent="0.4">
      <c r="A452" s="4" t="s">
        <v>1866</v>
      </c>
      <c r="B452" s="4" t="s">
        <v>1895</v>
      </c>
      <c r="C452" s="4" t="s">
        <v>1784</v>
      </c>
      <c r="D452" s="4" t="s">
        <v>2100</v>
      </c>
      <c r="E452" s="4" t="s">
        <v>2101</v>
      </c>
      <c r="F452" s="4" t="s">
        <v>2102</v>
      </c>
      <c r="G452" s="7" t="str">
        <f>VLOOKUP(A452,[1]done!$A:$I,9,0)</f>
        <v>Rodent</v>
      </c>
      <c r="H452" s="7" t="str" cm="1">
        <f t="array" ref="H452">_xlfn.IFS(
OR(ISNUMBER(SEARCH("mouse",E452)),ISNUMBER(SEARCH("rat",E452)),ISNUMBER(SEARCH("mice",E452)),ISNUMBER(SEARCH("rodent",E452))),"Rodent Control",
OR(ISNUMBER(SEARCH("fly",E452)),ISNUMBER(SEARCH("gnat",E452)),ISNUMBER(SEARCH("insect",E452)),ISNUMBER(SEARCH("mosquito",E452))),"Flying Insect Control",
OR(ISNUMBER(SEARCH("roach",E452)),ISNUMBER(SEARCH("ant",E452)),ISNUMBER(SEARCH("spider",E452)),ISNUMBER(SEARCH("cricket",E452)),ISNUMBER(SEARCH("scorpion",E452)),ISNUMBER(SEARCH("centipede",E452)),ISNUMBER(SEARCH("beetle",E452))),"Crawling Insect Control",
OR(ISNUMBER(SEARCH("tree",E452)),ISNUMBER(SEARCH("lantern",E452)),ISNUMBER(SEARCH("garden",E452)),ISNUMBER(SEARCH("plant",E452))),"Garden Pest Control",
OR(ISNUMBER(SEARCH("grass seed",E452)),ISNUMBER(SEARCH("seed mix",E452))),"Grass Seed",
OR(ISNUMBER(SEARCH("lawn food",E452)),ISNUMBER(SEARCH("fertilizer",E452))),"Lawn Fertilizer",
OR(ISNUMBER(SEARCH("patch",E452)),ISNUMBER(SEARCH("repair",E452)),ISNUMBER(SEARCH("thick'r",E452)),ISNUMBER(SEARCH("thick'r lawn",E452)),ISNUMBER(SEARCH("rapid grass",E452))),"Lawn Repair",
OR(ISNUMBER(SEARCH("weed",E452)),ISNUMBER(SEARCH("crabgrass",E452))),"Weed Control",
OR(ISNUMBER(SEARCH("fungicide",E452)),ISNUMBER(SEARCH("moss",E452))),"Disease &amp; Moss Control",
OR(ISNUMBER(SEARCH("plant food",E452)),ISNUMBER(SEARCH("miracid",E452))),"Plant Nutrition",
OR(ISNUMBER(SEARCH("perlite",E452))),"Soil Amendment",
OR(ISNUMBER(SEARCH("spreader",E452)),ISNUMBER(SEARCH("sprayer",E452)),ISNUMBER(SEARCH("mower",E452)),ISNUMBER(SEARCH("sweeper",E452)),ISNUMBER(SEARCH("pruner",E452)),ISNUMBER(SEARCH("trimmer",E452)),ISNUMBER(SEARCH("pole saw",E452))),"Garden Equipment",
TRUE,"Other"
)</f>
        <v>Rodent Control</v>
      </c>
      <c r="I452" s="7" t="str" cm="1">
        <f t="array" ref="I452">_xlfn.IFS(
OR(ISNUMBER(SEARCH("glue trap",E452)),ISNUMBER(SEARCH("glue board",E452))),"Glue Traps",
OR(ISNUMBER(SEARCH("snap trap",E452)),ISNUMBER(SEARCH("power-kill",E452)),ISNUMBER(SEARCH("wide pedal",E452)),ISNUMBER(SEARCH("metal pedal",E452))),"Snap Traps",
OR(ISNUMBER(SEARCH("electronic",E452)),ISNUMBER(SEARCH("zapper",E452))),"Electronic Traps",
OR(ISNUMBER(SEARCH("live catch",E452)),ISNUMBER(SEARCH("multi-catch",E452)),ISNUMBER(SEARCH("catch &amp; hold",E452)),ISNUMBER(SEARCH("tin cat",E452))),"Live Catch Traps",
OR(ISNUMBER(SEARCH("bait",E452)),ISNUMBER(SEARCH("poison",E452))),"Bait &amp; Poison",
ISNUMBER(SEARCH("repellent",E452)),"Repellents",
OR(ISNUMBER(SEARCH("fly trap",E452)),ISNUMBER(SEARCH("fly ribbon",E452)),ISNUMBER(SEARCH("fly stick",E452)),ISNUMBER(SEARCH("window fly",E452)),ISNUMBER(SEARCH("fly magnet",E452))),"Fly Traps",
OR(ISNUMBER(SEARCH("uv",E452)),ISNUMBER(SEARCH("fly light",E452)),ISNUMBER(SEARCH("plug-in",E452))),"UV Fly Traps",
ISNUMBER(SEARCH("roach",E452)),"Roach Traps",
ISNUMBER(SEARCH("ant",E452)),"Ant Traps",
ISNUMBER(SEARCH("spider",E452)),"Spider Traps",
ISNUMBER(SEARCH("mosquito",E452)),"Mosquito Traps",
ISNUMBER(SEARCH("beetle",E452)),"Beetle Traps",
ISNUMBER(SEARCH("lantern",E452)),"Lanternfly Control",
OR(ISNUMBER(SEARCH("tree shield",E452)),ISNUMBER(SEARCH("tree banding",E452)),ISNUMBER(SEARCH("insect barrier",E452))),"Tree Barriers",
OR(ISNUMBER(SEARCH("sun &amp; shade",E452)),ISNUMBER(SEARCH("sun and shade",E452))),"Sun &amp; Shade Mix",
ISNUMBER(SEARCH("tall fescue",E452)),"Tall Fescue",
ISNUMBER(SEARCH("bermudagrass",E452)),"Bermudagrass",
ISNUMBER(SEARCH("kentucky",E452)),"Kentucky Bluegrass",
ISNUMBER(SEARCH("zoysia",E452)),"Zoysia",
ISNUMBER(SEARCH("ryegrass",E452)),"Perennial Ryegrass",
ISNUMBER(SEARCH("centipede",E452)),"Centipede Grass",
ISNUMBER(SEARCH("dense shade",E452)),"Dense Shade Mix",
ISNUMBER(SEARCH("southern gold",E452)),"Southern Gold Mix",
ISNUMBER(SEARCH("heat-tolerant blue",E452)),"Heat-Tolerant Blue Mix",
ISNUMBER(SEARCH("high traffic",E452)),"High Traffic Mix",
ISNUMBER(SEARCH("quick fix",E452)),"Quick Fix Mix",
ISNUMBER(SEARCH("starter",E452)),"Starter Fertilizer",
ISNUMBER(SEARCH("weed &amp; feed",E452)),"Weed &amp; Feed",
ISNUMBER(SEARCH("lawn food",E452)),"Lawn Food",
ISNUMBER(SEARCH("triple action",E452)),"Triple Action Fertilizer",
ISNUMBER(SEARCH("green max",E452)),"Green Max Lawn Food",
ISNUMBER(SEARCH("patchmaster",E452)),"PatchMaster Repair",
ISNUMBER(SEARCH("ez seed",E452)),"EZ Seed Repair",
ISNUMBER(SEARCH("rapid grass",E452)),"Rapid Grass",
ISNUMBER(SEARCH("thick'r lawn",E452)),"Thick'R Lawn",
ISNUMBER(SEARCH("fungicide",E452)),"Fungicide",
ISNUMBER(SEARCH("moss",E452)),"Moss Control",
ISNUMBER(SEARCH("perlite",E452)),"Perlite",
ISNUMBER(SEARCH("plant food",E452)),"Plant Food",
ISNUMBER(SEARCH("spreader",E452)),"Spreader",
ISNUMBER(SEARCH("sprayer",E452)),"Sprayer",
ISNUMBER(SEARCH("mower",E452)),"Lawn Mower",
ISNUMBER(SEARCH("sweeper",E452)),"Lawn Sweeper",
OR(ISNUMBER(SEARCH("pruner",E452)),ISNUMBER(SEARCH("trimmer",E452)),ISNUMBER(SEARCH("pole saw",E452))),"Pruning Tools",
TRUE,"Other"
)</f>
        <v>Roach Traps</v>
      </c>
      <c r="J452" s="7" t="str">
        <f t="shared" si="124"/>
        <v>Rodent Control - Roach Traps</v>
      </c>
      <c r="K452" s="4">
        <v>100</v>
      </c>
      <c r="L452" s="4">
        <v>4.4000000000000004</v>
      </c>
      <c r="M452" s="4">
        <v>45913</v>
      </c>
      <c r="N452" s="4" t="s">
        <v>1560</v>
      </c>
      <c r="O452" s="4">
        <f>VLOOKUP(A452,'[6]Monthly Sold'!$A:$B,2,0)</f>
        <v>100</v>
      </c>
      <c r="P452" s="4">
        <f>VLOOKUP(A452,'[6]Monthly Sold'!$A:$M,3,0)</f>
        <v>100</v>
      </c>
      <c r="Q452" s="4">
        <f>VLOOKUP(A452,'[6]Monthly Sold'!$A:$M,4,0)</f>
        <v>100</v>
      </c>
      <c r="R452" s="4">
        <f>VLOOKUP(A452,'[6]Monthly Sold'!$A:$M,5,0)</f>
        <v>0</v>
      </c>
      <c r="S452" s="4">
        <f>VLOOKUP(A452,'[6]Monthly Sold'!$A:$M,6,0)</f>
        <v>100</v>
      </c>
      <c r="T452" s="4">
        <f>VLOOKUP(A452,'[6]Monthly Sold'!$A:$M,7,0)</f>
        <v>100</v>
      </c>
      <c r="U452" s="4">
        <f>VLOOKUP(A452,'[6]Monthly Sold'!$A:$M,8,0)</f>
        <v>100</v>
      </c>
      <c r="V452" s="4">
        <f>VLOOKUP(A452,'[6]Monthly Sold'!$A:$M,9,0)</f>
        <v>100</v>
      </c>
      <c r="W452" s="4">
        <f>VLOOKUP(A452,'[6]Monthly Sold'!$A:$M,10,0)</f>
        <v>100</v>
      </c>
      <c r="X452" s="4">
        <f>VLOOKUP(A452,'[6]Monthly Sold'!$A:$M,11,0)</f>
        <v>100</v>
      </c>
      <c r="Y452" s="4">
        <f>VLOOKUP(A452,'[6]Monthly Sold'!$A:$M,12,0)</f>
        <v>100</v>
      </c>
      <c r="Z452" s="4">
        <f>VLOOKUP(A452,'[6]Monthly Sold'!$A:$M,13,0)</f>
        <v>100</v>
      </c>
      <c r="AA452" s="4">
        <f t="shared" si="118"/>
        <v>1100</v>
      </c>
      <c r="AB452" s="7">
        <f t="shared" si="125"/>
        <v>92</v>
      </c>
      <c r="AC452" s="15">
        <f t="shared" si="119"/>
        <v>91.666666666666671</v>
      </c>
      <c r="AD452" s="16">
        <f t="shared" si="120"/>
        <v>8129</v>
      </c>
      <c r="AE452" s="16">
        <f t="shared" si="121"/>
        <v>677.41666666666663</v>
      </c>
      <c r="AF452" s="21">
        <v>2.58</v>
      </c>
      <c r="AG452" s="21">
        <v>7.39</v>
      </c>
      <c r="AH452" s="15">
        <f t="shared" si="122"/>
        <v>-4.1600000000000054E-2</v>
      </c>
      <c r="AI452" s="15">
        <f t="shared" si="123"/>
        <v>-0.14560000000000017</v>
      </c>
      <c r="AJ452" s="10">
        <v>0.5</v>
      </c>
      <c r="AK452" s="10">
        <v>0.5</v>
      </c>
      <c r="AL452" s="21">
        <v>2.58</v>
      </c>
      <c r="AM452" s="9">
        <f t="shared" si="126"/>
        <v>1.1084999999999998</v>
      </c>
      <c r="AN452" s="9">
        <f t="shared" si="127"/>
        <v>0.22169999999999998</v>
      </c>
      <c r="AO452" s="9">
        <f t="shared" si="128"/>
        <v>1.478</v>
      </c>
      <c r="AP452" s="9">
        <f t="shared" si="129"/>
        <v>0.14779999999999999</v>
      </c>
      <c r="AQ452" s="9">
        <f t="shared" si="130"/>
        <v>1.478</v>
      </c>
      <c r="AR452" s="9">
        <f t="shared" si="131"/>
        <v>1.8474999999999999</v>
      </c>
      <c r="AS452" s="11">
        <f t="shared" si="132"/>
        <v>-0.41600000000000054</v>
      </c>
      <c r="AT452" s="12">
        <f t="shared" si="133"/>
        <v>-0.66233333333333377</v>
      </c>
    </row>
    <row r="453" spans="1:46" ht="16.5" x14ac:dyDescent="0.4">
      <c r="A453" s="4" t="s">
        <v>1867</v>
      </c>
      <c r="B453" s="4" t="s">
        <v>1895</v>
      </c>
      <c r="C453" s="4" t="s">
        <v>1784</v>
      </c>
      <c r="D453" s="4" t="s">
        <v>2103</v>
      </c>
      <c r="E453" s="4" t="s">
        <v>2104</v>
      </c>
      <c r="F453" s="4" t="s">
        <v>2105</v>
      </c>
      <c r="G453" s="7" t="str">
        <f>VLOOKUP(A453,[1]done!$A:$I,9,0)</f>
        <v>Rodent</v>
      </c>
      <c r="H453" s="7" t="str" cm="1">
        <f t="array" ref="H453">_xlfn.IFS(
OR(ISNUMBER(SEARCH("mouse",E453)),ISNUMBER(SEARCH("rat",E453)),ISNUMBER(SEARCH("mice",E453)),ISNUMBER(SEARCH("rodent",E453))),"Rodent Control",
OR(ISNUMBER(SEARCH("fly",E453)),ISNUMBER(SEARCH("gnat",E453)),ISNUMBER(SEARCH("insect",E453)),ISNUMBER(SEARCH("mosquito",E453))),"Flying Insect Control",
OR(ISNUMBER(SEARCH("roach",E453)),ISNUMBER(SEARCH("ant",E453)),ISNUMBER(SEARCH("spider",E453)),ISNUMBER(SEARCH("cricket",E453)),ISNUMBER(SEARCH("scorpion",E453)),ISNUMBER(SEARCH("centipede",E453)),ISNUMBER(SEARCH("beetle",E453))),"Crawling Insect Control",
OR(ISNUMBER(SEARCH("tree",E453)),ISNUMBER(SEARCH("lantern",E453)),ISNUMBER(SEARCH("garden",E453)),ISNUMBER(SEARCH("plant",E453))),"Garden Pest Control",
OR(ISNUMBER(SEARCH("grass seed",E453)),ISNUMBER(SEARCH("seed mix",E453))),"Grass Seed",
OR(ISNUMBER(SEARCH("lawn food",E453)),ISNUMBER(SEARCH("fertilizer",E453))),"Lawn Fertilizer",
OR(ISNUMBER(SEARCH("patch",E453)),ISNUMBER(SEARCH("repair",E453)),ISNUMBER(SEARCH("thick'r",E453)),ISNUMBER(SEARCH("thick'r lawn",E453)),ISNUMBER(SEARCH("rapid grass",E453))),"Lawn Repair",
OR(ISNUMBER(SEARCH("weed",E453)),ISNUMBER(SEARCH("crabgrass",E453))),"Weed Control",
OR(ISNUMBER(SEARCH("fungicide",E453)),ISNUMBER(SEARCH("moss",E453))),"Disease &amp; Moss Control",
OR(ISNUMBER(SEARCH("plant food",E453)),ISNUMBER(SEARCH("miracid",E453))),"Plant Nutrition",
OR(ISNUMBER(SEARCH("perlite",E453))),"Soil Amendment",
OR(ISNUMBER(SEARCH("spreader",E453)),ISNUMBER(SEARCH("sprayer",E453)),ISNUMBER(SEARCH("mower",E453)),ISNUMBER(SEARCH("sweeper",E453)),ISNUMBER(SEARCH("pruner",E453)),ISNUMBER(SEARCH("trimmer",E453)),ISNUMBER(SEARCH("pole saw",E453))),"Garden Equipment",
TRUE,"Other"
)</f>
        <v>Rodent Control</v>
      </c>
      <c r="I453" s="7" t="str" cm="1">
        <f t="array" ref="I453">_xlfn.IFS(
OR(ISNUMBER(SEARCH("glue trap",E453)),ISNUMBER(SEARCH("glue board",E453))),"Glue Traps",
OR(ISNUMBER(SEARCH("snap trap",E453)),ISNUMBER(SEARCH("power-kill",E453)),ISNUMBER(SEARCH("wide pedal",E453)),ISNUMBER(SEARCH("metal pedal",E453))),"Snap Traps",
OR(ISNUMBER(SEARCH("electronic",E453)),ISNUMBER(SEARCH("zapper",E453))),"Electronic Traps",
OR(ISNUMBER(SEARCH("live catch",E453)),ISNUMBER(SEARCH("multi-catch",E453)),ISNUMBER(SEARCH("catch &amp; hold",E453)),ISNUMBER(SEARCH("tin cat",E453))),"Live Catch Traps",
OR(ISNUMBER(SEARCH("bait",E453)),ISNUMBER(SEARCH("poison",E453))),"Bait &amp; Poison",
ISNUMBER(SEARCH("repellent",E453)),"Repellents",
OR(ISNUMBER(SEARCH("fly trap",E453)),ISNUMBER(SEARCH("fly ribbon",E453)),ISNUMBER(SEARCH("fly stick",E453)),ISNUMBER(SEARCH("window fly",E453)),ISNUMBER(SEARCH("fly magnet",E453))),"Fly Traps",
OR(ISNUMBER(SEARCH("uv",E453)),ISNUMBER(SEARCH("fly light",E453)),ISNUMBER(SEARCH("plug-in",E453))),"UV Fly Traps",
ISNUMBER(SEARCH("roach",E453)),"Roach Traps",
ISNUMBER(SEARCH("ant",E453)),"Ant Traps",
ISNUMBER(SEARCH("spider",E453)),"Spider Traps",
ISNUMBER(SEARCH("mosquito",E453)),"Mosquito Traps",
ISNUMBER(SEARCH("beetle",E453)),"Beetle Traps",
ISNUMBER(SEARCH("lantern",E453)),"Lanternfly Control",
OR(ISNUMBER(SEARCH("tree shield",E453)),ISNUMBER(SEARCH("tree banding",E453)),ISNUMBER(SEARCH("insect barrier",E453))),"Tree Barriers",
OR(ISNUMBER(SEARCH("sun &amp; shade",E453)),ISNUMBER(SEARCH("sun and shade",E453))),"Sun &amp; Shade Mix",
ISNUMBER(SEARCH("tall fescue",E453)),"Tall Fescue",
ISNUMBER(SEARCH("bermudagrass",E453)),"Bermudagrass",
ISNUMBER(SEARCH("kentucky",E453)),"Kentucky Bluegrass",
ISNUMBER(SEARCH("zoysia",E453)),"Zoysia",
ISNUMBER(SEARCH("ryegrass",E453)),"Perennial Ryegrass",
ISNUMBER(SEARCH("centipede",E453)),"Centipede Grass",
ISNUMBER(SEARCH("dense shade",E453)),"Dense Shade Mix",
ISNUMBER(SEARCH("southern gold",E453)),"Southern Gold Mix",
ISNUMBER(SEARCH("heat-tolerant blue",E453)),"Heat-Tolerant Blue Mix",
ISNUMBER(SEARCH("high traffic",E453)),"High Traffic Mix",
ISNUMBER(SEARCH("quick fix",E453)),"Quick Fix Mix",
ISNUMBER(SEARCH("starter",E453)),"Starter Fertilizer",
ISNUMBER(SEARCH("weed &amp; feed",E453)),"Weed &amp; Feed",
ISNUMBER(SEARCH("lawn food",E453)),"Lawn Food",
ISNUMBER(SEARCH("triple action",E453)),"Triple Action Fertilizer",
ISNUMBER(SEARCH("green max",E453)),"Green Max Lawn Food",
ISNUMBER(SEARCH("patchmaster",E453)),"PatchMaster Repair",
ISNUMBER(SEARCH("ez seed",E453)),"EZ Seed Repair",
ISNUMBER(SEARCH("rapid grass",E453)),"Rapid Grass",
ISNUMBER(SEARCH("thick'r lawn",E453)),"Thick'R Lawn",
ISNUMBER(SEARCH("fungicide",E453)),"Fungicide",
ISNUMBER(SEARCH("moss",E453)),"Moss Control",
ISNUMBER(SEARCH("perlite",E453)),"Perlite",
ISNUMBER(SEARCH("plant food",E453)),"Plant Food",
ISNUMBER(SEARCH("spreader",E453)),"Spreader",
ISNUMBER(SEARCH("sprayer",E453)),"Sprayer",
ISNUMBER(SEARCH("mower",E453)),"Lawn Mower",
ISNUMBER(SEARCH("sweeper",E453)),"Lawn Sweeper",
OR(ISNUMBER(SEARCH("pruner",E453)),ISNUMBER(SEARCH("trimmer",E453)),ISNUMBER(SEARCH("pole saw",E453))),"Pruning Tools",
TRUE,"Other"
)</f>
        <v>Bait &amp; Poison</v>
      </c>
      <c r="J453" s="7" t="str">
        <f t="shared" si="124"/>
        <v>Rodent Control - Bait &amp; Poison</v>
      </c>
      <c r="K453" s="4">
        <v>100</v>
      </c>
      <c r="L453" s="4">
        <v>4.2</v>
      </c>
      <c r="M453" s="4">
        <v>150</v>
      </c>
      <c r="N453" s="4" t="s">
        <v>1202</v>
      </c>
      <c r="O453" s="4">
        <f>VLOOKUP(A453,'[6]Monthly Sold'!$A:$B,2,0)</f>
        <v>500</v>
      </c>
      <c r="P453" s="4">
        <f>VLOOKUP(A453,'[6]Monthly Sold'!$A:$M,3,0)</f>
        <v>200</v>
      </c>
      <c r="Q453" s="4">
        <f>VLOOKUP(A453,'[6]Monthly Sold'!$A:$M,4,0)</f>
        <v>100</v>
      </c>
      <c r="R453" s="4">
        <f>VLOOKUP(A453,'[6]Monthly Sold'!$A:$M,5,0)</f>
        <v>0</v>
      </c>
      <c r="S453" s="4">
        <f>VLOOKUP(A453,'[6]Monthly Sold'!$A:$M,6,0)</f>
        <v>0</v>
      </c>
      <c r="T453" s="4">
        <f>VLOOKUP(A453,'[6]Monthly Sold'!$A:$M,7,0)</f>
        <v>0</v>
      </c>
      <c r="U453" s="4">
        <f>VLOOKUP(A453,'[6]Monthly Sold'!$A:$M,8,0)</f>
        <v>200</v>
      </c>
      <c r="V453" s="4">
        <f>VLOOKUP(A453,'[6]Monthly Sold'!$A:$M,9,0)</f>
        <v>500</v>
      </c>
      <c r="W453" s="4">
        <f>VLOOKUP(A453,'[6]Monthly Sold'!$A:$M,10,0)</f>
        <v>100</v>
      </c>
      <c r="X453" s="4">
        <f>VLOOKUP(A453,'[6]Monthly Sold'!$A:$M,11,0)</f>
        <v>500</v>
      </c>
      <c r="Y453" s="4">
        <f>VLOOKUP(A453,'[6]Monthly Sold'!$A:$M,12,0)</f>
        <v>400</v>
      </c>
      <c r="Z453" s="4">
        <f>VLOOKUP(A453,'[6]Monthly Sold'!$A:$M,13,0)</f>
        <v>400</v>
      </c>
      <c r="AA453" s="4">
        <f t="shared" si="118"/>
        <v>2900</v>
      </c>
      <c r="AB453" s="7">
        <f t="shared" si="125"/>
        <v>242</v>
      </c>
      <c r="AC453" s="15">
        <f t="shared" si="119"/>
        <v>241.66666666666666</v>
      </c>
      <c r="AD453" s="16">
        <f t="shared" si="120"/>
        <v>52693.000000000007</v>
      </c>
      <c r="AE453" s="16">
        <f t="shared" si="121"/>
        <v>4391.0833333333339</v>
      </c>
      <c r="AF453" s="21">
        <v>8.2899999999999991</v>
      </c>
      <c r="AG453" s="21">
        <v>18.170000000000002</v>
      </c>
      <c r="AH453" s="15">
        <f t="shared" si="122"/>
        <v>-0.13479999999999989</v>
      </c>
      <c r="AI453" s="15">
        <f t="shared" si="123"/>
        <v>-0.47179999999999961</v>
      </c>
      <c r="AJ453" s="10">
        <v>0.5</v>
      </c>
      <c r="AK453" s="10">
        <v>0.5</v>
      </c>
      <c r="AL453" s="21">
        <v>8.2899999999999991</v>
      </c>
      <c r="AM453" s="9">
        <f t="shared" si="126"/>
        <v>2.7255000000000003</v>
      </c>
      <c r="AN453" s="9">
        <f t="shared" si="127"/>
        <v>0.54510000000000003</v>
      </c>
      <c r="AO453" s="9">
        <f t="shared" si="128"/>
        <v>3.6340000000000003</v>
      </c>
      <c r="AP453" s="9">
        <f t="shared" si="129"/>
        <v>0.36340000000000006</v>
      </c>
      <c r="AQ453" s="9">
        <f t="shared" si="130"/>
        <v>3.6340000000000003</v>
      </c>
      <c r="AR453" s="9">
        <f t="shared" si="131"/>
        <v>4.5425000000000004</v>
      </c>
      <c r="AS453" s="11">
        <f t="shared" si="132"/>
        <v>-1.347999999999999</v>
      </c>
      <c r="AT453" s="12">
        <f t="shared" si="133"/>
        <v>-1.9536666666666658</v>
      </c>
    </row>
    <row r="454" spans="1:46" ht="16.5" x14ac:dyDescent="0.4">
      <c r="A454" s="4" t="s">
        <v>1868</v>
      </c>
      <c r="B454" s="4" t="s">
        <v>1895</v>
      </c>
      <c r="C454" s="4" t="s">
        <v>1895</v>
      </c>
      <c r="D454" s="4" t="s">
        <v>2106</v>
      </c>
      <c r="E454" s="4" t="s">
        <v>2107</v>
      </c>
      <c r="F454" s="4" t="s">
        <v>2108</v>
      </c>
      <c r="G454" s="7" t="str">
        <f>VLOOKUP(A454,[1]done!$A:$I,9,0)</f>
        <v>Rodent</v>
      </c>
      <c r="H454" s="7" t="str" cm="1">
        <f t="array" ref="H454">_xlfn.IFS(
OR(ISNUMBER(SEARCH("mouse",E454)),ISNUMBER(SEARCH("rat",E454)),ISNUMBER(SEARCH("mice",E454)),ISNUMBER(SEARCH("rodent",E454))),"Rodent Control",
OR(ISNUMBER(SEARCH("fly",E454)),ISNUMBER(SEARCH("gnat",E454)),ISNUMBER(SEARCH("insect",E454)),ISNUMBER(SEARCH("mosquito",E454))),"Flying Insect Control",
OR(ISNUMBER(SEARCH("roach",E454)),ISNUMBER(SEARCH("ant",E454)),ISNUMBER(SEARCH("spider",E454)),ISNUMBER(SEARCH("cricket",E454)),ISNUMBER(SEARCH("scorpion",E454)),ISNUMBER(SEARCH("centipede",E454)),ISNUMBER(SEARCH("beetle",E454))),"Crawling Insect Control",
OR(ISNUMBER(SEARCH("tree",E454)),ISNUMBER(SEARCH("lantern",E454)),ISNUMBER(SEARCH("garden",E454)),ISNUMBER(SEARCH("plant",E454))),"Garden Pest Control",
OR(ISNUMBER(SEARCH("grass seed",E454)),ISNUMBER(SEARCH("seed mix",E454))),"Grass Seed",
OR(ISNUMBER(SEARCH("lawn food",E454)),ISNUMBER(SEARCH("fertilizer",E454))),"Lawn Fertilizer",
OR(ISNUMBER(SEARCH("patch",E454)),ISNUMBER(SEARCH("repair",E454)),ISNUMBER(SEARCH("thick'r",E454)),ISNUMBER(SEARCH("thick'r lawn",E454)),ISNUMBER(SEARCH("rapid grass",E454))),"Lawn Repair",
OR(ISNUMBER(SEARCH("weed",E454)),ISNUMBER(SEARCH("crabgrass",E454))),"Weed Control",
OR(ISNUMBER(SEARCH("fungicide",E454)),ISNUMBER(SEARCH("moss",E454))),"Disease &amp; Moss Control",
OR(ISNUMBER(SEARCH("plant food",E454)),ISNUMBER(SEARCH("miracid",E454))),"Plant Nutrition",
OR(ISNUMBER(SEARCH("perlite",E454))),"Soil Amendment",
OR(ISNUMBER(SEARCH("spreader",E454)),ISNUMBER(SEARCH("sprayer",E454)),ISNUMBER(SEARCH("mower",E454)),ISNUMBER(SEARCH("sweeper",E454)),ISNUMBER(SEARCH("pruner",E454)),ISNUMBER(SEARCH("trimmer",E454)),ISNUMBER(SEARCH("pole saw",E454))),"Garden Equipment",
TRUE,"Other"
)</f>
        <v>Rodent Control</v>
      </c>
      <c r="I454" s="7" t="str" cm="1">
        <f t="array" ref="I454">_xlfn.IFS(
OR(ISNUMBER(SEARCH("glue trap",E454)),ISNUMBER(SEARCH("glue board",E454))),"Glue Traps",
OR(ISNUMBER(SEARCH("snap trap",E454)),ISNUMBER(SEARCH("power-kill",E454)),ISNUMBER(SEARCH("wide pedal",E454)),ISNUMBER(SEARCH("metal pedal",E454))),"Snap Traps",
OR(ISNUMBER(SEARCH("electronic",E454)),ISNUMBER(SEARCH("zapper",E454))),"Electronic Traps",
OR(ISNUMBER(SEARCH("live catch",E454)),ISNUMBER(SEARCH("multi-catch",E454)),ISNUMBER(SEARCH("catch &amp; hold",E454)),ISNUMBER(SEARCH("tin cat",E454))),"Live Catch Traps",
OR(ISNUMBER(SEARCH("bait",E454)),ISNUMBER(SEARCH("poison",E454))),"Bait &amp; Poison",
ISNUMBER(SEARCH("repellent",E454)),"Repellents",
OR(ISNUMBER(SEARCH("fly trap",E454)),ISNUMBER(SEARCH("fly ribbon",E454)),ISNUMBER(SEARCH("fly stick",E454)),ISNUMBER(SEARCH("window fly",E454)),ISNUMBER(SEARCH("fly magnet",E454))),"Fly Traps",
OR(ISNUMBER(SEARCH("uv",E454)),ISNUMBER(SEARCH("fly light",E454)),ISNUMBER(SEARCH("plug-in",E454))),"UV Fly Traps",
ISNUMBER(SEARCH("roach",E454)),"Roach Traps",
ISNUMBER(SEARCH("ant",E454)),"Ant Traps",
ISNUMBER(SEARCH("spider",E454)),"Spider Traps",
ISNUMBER(SEARCH("mosquito",E454)),"Mosquito Traps",
ISNUMBER(SEARCH("beetle",E454)),"Beetle Traps",
ISNUMBER(SEARCH("lantern",E454)),"Lanternfly Control",
OR(ISNUMBER(SEARCH("tree shield",E454)),ISNUMBER(SEARCH("tree banding",E454)),ISNUMBER(SEARCH("insect barrier",E454))),"Tree Barriers",
OR(ISNUMBER(SEARCH("sun &amp; shade",E454)),ISNUMBER(SEARCH("sun and shade",E454))),"Sun &amp; Shade Mix",
ISNUMBER(SEARCH("tall fescue",E454)),"Tall Fescue",
ISNUMBER(SEARCH("bermudagrass",E454)),"Bermudagrass",
ISNUMBER(SEARCH("kentucky",E454)),"Kentucky Bluegrass",
ISNUMBER(SEARCH("zoysia",E454)),"Zoysia",
ISNUMBER(SEARCH("ryegrass",E454)),"Perennial Ryegrass",
ISNUMBER(SEARCH("centipede",E454)),"Centipede Grass",
ISNUMBER(SEARCH("dense shade",E454)),"Dense Shade Mix",
ISNUMBER(SEARCH("southern gold",E454)),"Southern Gold Mix",
ISNUMBER(SEARCH("heat-tolerant blue",E454)),"Heat-Tolerant Blue Mix",
ISNUMBER(SEARCH("high traffic",E454)),"High Traffic Mix",
ISNUMBER(SEARCH("quick fix",E454)),"Quick Fix Mix",
ISNUMBER(SEARCH("starter",E454)),"Starter Fertilizer",
ISNUMBER(SEARCH("weed &amp; feed",E454)),"Weed &amp; Feed",
ISNUMBER(SEARCH("lawn food",E454)),"Lawn Food",
ISNUMBER(SEARCH("triple action",E454)),"Triple Action Fertilizer",
ISNUMBER(SEARCH("green max",E454)),"Green Max Lawn Food",
ISNUMBER(SEARCH("patchmaster",E454)),"PatchMaster Repair",
ISNUMBER(SEARCH("ez seed",E454)),"EZ Seed Repair",
ISNUMBER(SEARCH("rapid grass",E454)),"Rapid Grass",
ISNUMBER(SEARCH("thick'r lawn",E454)),"Thick'R Lawn",
ISNUMBER(SEARCH("fungicide",E454)),"Fungicide",
ISNUMBER(SEARCH("moss",E454)),"Moss Control",
ISNUMBER(SEARCH("perlite",E454)),"Perlite",
ISNUMBER(SEARCH("plant food",E454)),"Plant Food",
ISNUMBER(SEARCH("spreader",E454)),"Spreader",
ISNUMBER(SEARCH("sprayer",E454)),"Sprayer",
ISNUMBER(SEARCH("mower",E454)),"Lawn Mower",
ISNUMBER(SEARCH("sweeper",E454)),"Lawn Sweeper",
OR(ISNUMBER(SEARCH("pruner",E454)),ISNUMBER(SEARCH("trimmer",E454)),ISNUMBER(SEARCH("pole saw",E454))),"Pruning Tools",
TRUE,"Other"
)</f>
        <v>Bait &amp; Poison</v>
      </c>
      <c r="J454" s="7" t="str">
        <f t="shared" si="124"/>
        <v>Rodent Control - Bait &amp; Poison</v>
      </c>
      <c r="K454" s="4">
        <v>100</v>
      </c>
      <c r="L454" s="4">
        <v>4.2</v>
      </c>
      <c r="M454" s="4">
        <v>639</v>
      </c>
      <c r="N454" s="4" t="s">
        <v>579</v>
      </c>
      <c r="O454" s="4">
        <f>VLOOKUP(A454,'[6]Monthly Sold'!$A:$B,2,0)</f>
        <v>0</v>
      </c>
      <c r="P454" s="4">
        <f>VLOOKUP(A454,'[6]Monthly Sold'!$A:$M,3,0)</f>
        <v>0</v>
      </c>
      <c r="Q454" s="4">
        <f>VLOOKUP(A454,'[6]Monthly Sold'!$A:$M,4,0)</f>
        <v>0</v>
      </c>
      <c r="R454" s="4">
        <f>VLOOKUP(A454,'[6]Monthly Sold'!$A:$M,5,0)</f>
        <v>0</v>
      </c>
      <c r="S454" s="4">
        <f>VLOOKUP(A454,'[6]Monthly Sold'!$A:$M,6,0)</f>
        <v>0</v>
      </c>
      <c r="T454" s="4">
        <f>VLOOKUP(A454,'[6]Monthly Sold'!$A:$M,7,0)</f>
        <v>50</v>
      </c>
      <c r="U454" s="4">
        <f>VLOOKUP(A454,'[6]Monthly Sold'!$A:$M,8,0)</f>
        <v>50</v>
      </c>
      <c r="V454" s="4">
        <f>VLOOKUP(A454,'[6]Monthly Sold'!$A:$M,9,0)</f>
        <v>100</v>
      </c>
      <c r="W454" s="4">
        <f>VLOOKUP(A454,'[6]Monthly Sold'!$A:$M,10,0)</f>
        <v>100</v>
      </c>
      <c r="X454" s="4">
        <f>VLOOKUP(A454,'[6]Monthly Sold'!$A:$M,11,0)</f>
        <v>0</v>
      </c>
      <c r="Y454" s="4">
        <f>VLOOKUP(A454,'[6]Monthly Sold'!$A:$M,12,0)</f>
        <v>0</v>
      </c>
      <c r="Z454" s="4">
        <f>VLOOKUP(A454,'[6]Monthly Sold'!$A:$M,13,0)</f>
        <v>0</v>
      </c>
      <c r="AA454" s="4">
        <f t="shared" si="118"/>
        <v>300</v>
      </c>
      <c r="AB454" s="7">
        <f t="shared" si="125"/>
        <v>25</v>
      </c>
      <c r="AC454" s="15">
        <f t="shared" si="119"/>
        <v>25</v>
      </c>
      <c r="AD454" s="16">
        <f t="shared" si="120"/>
        <v>2112</v>
      </c>
      <c r="AE454" s="16">
        <f t="shared" si="121"/>
        <v>176</v>
      </c>
      <c r="AF454" s="21">
        <v>3.24</v>
      </c>
      <c r="AG454" s="21">
        <v>7.04</v>
      </c>
      <c r="AH454" s="15">
        <f t="shared" si="122"/>
        <v>-9.4933333333333356E-2</v>
      </c>
      <c r="AI454" s="15">
        <f t="shared" si="123"/>
        <v>-0.33226666666666671</v>
      </c>
      <c r="AJ454" s="10">
        <v>0.5</v>
      </c>
      <c r="AK454" s="10">
        <v>0.5</v>
      </c>
      <c r="AL454" s="21">
        <v>3.24</v>
      </c>
      <c r="AM454" s="9">
        <f t="shared" si="126"/>
        <v>1.056</v>
      </c>
      <c r="AN454" s="9">
        <f t="shared" si="127"/>
        <v>0.2112</v>
      </c>
      <c r="AO454" s="9">
        <f t="shared" si="128"/>
        <v>1.4080000000000001</v>
      </c>
      <c r="AP454" s="9">
        <f t="shared" si="129"/>
        <v>0.14080000000000001</v>
      </c>
      <c r="AQ454" s="9">
        <f t="shared" si="130"/>
        <v>1.4080000000000001</v>
      </c>
      <c r="AR454" s="9">
        <f t="shared" si="131"/>
        <v>1.76</v>
      </c>
      <c r="AS454" s="11">
        <f t="shared" si="132"/>
        <v>-0.94933333333333347</v>
      </c>
      <c r="AT454" s="12">
        <f t="shared" si="133"/>
        <v>-1.1839999999999999</v>
      </c>
    </row>
    <row r="455" spans="1:46" ht="16.5" x14ac:dyDescent="0.4">
      <c r="A455" s="4" t="s">
        <v>1869</v>
      </c>
      <c r="B455" s="4" t="s">
        <v>1895</v>
      </c>
      <c r="C455" s="4" t="s">
        <v>1784</v>
      </c>
      <c r="D455" s="4" t="s">
        <v>2109</v>
      </c>
      <c r="E455" s="4" t="s">
        <v>2110</v>
      </c>
      <c r="F455" s="4" t="s">
        <v>2111</v>
      </c>
      <c r="G455" s="7" t="str">
        <f>VLOOKUP(A455,[1]done!$A:$I,9,0)</f>
        <v>Rodent</v>
      </c>
      <c r="H455" s="7" t="str" cm="1">
        <f t="array" ref="H455">_xlfn.IFS(
OR(ISNUMBER(SEARCH("mouse",E455)),ISNUMBER(SEARCH("rat",E455)),ISNUMBER(SEARCH("mice",E455)),ISNUMBER(SEARCH("rodent",E455))),"Rodent Control",
OR(ISNUMBER(SEARCH("fly",E455)),ISNUMBER(SEARCH("gnat",E455)),ISNUMBER(SEARCH("insect",E455)),ISNUMBER(SEARCH("mosquito",E455))),"Flying Insect Control",
OR(ISNUMBER(SEARCH("roach",E455)),ISNUMBER(SEARCH("ant",E455)),ISNUMBER(SEARCH("spider",E455)),ISNUMBER(SEARCH("cricket",E455)),ISNUMBER(SEARCH("scorpion",E455)),ISNUMBER(SEARCH("centipede",E455)),ISNUMBER(SEARCH("beetle",E455))),"Crawling Insect Control",
OR(ISNUMBER(SEARCH("tree",E455)),ISNUMBER(SEARCH("lantern",E455)),ISNUMBER(SEARCH("garden",E455)),ISNUMBER(SEARCH("plant",E455))),"Garden Pest Control",
OR(ISNUMBER(SEARCH("grass seed",E455)),ISNUMBER(SEARCH("seed mix",E455))),"Grass Seed",
OR(ISNUMBER(SEARCH("lawn food",E455)),ISNUMBER(SEARCH("fertilizer",E455))),"Lawn Fertilizer",
OR(ISNUMBER(SEARCH("patch",E455)),ISNUMBER(SEARCH("repair",E455)),ISNUMBER(SEARCH("thick'r",E455)),ISNUMBER(SEARCH("thick'r lawn",E455)),ISNUMBER(SEARCH("rapid grass",E455))),"Lawn Repair",
OR(ISNUMBER(SEARCH("weed",E455)),ISNUMBER(SEARCH("crabgrass",E455))),"Weed Control",
OR(ISNUMBER(SEARCH("fungicide",E455)),ISNUMBER(SEARCH("moss",E455))),"Disease &amp; Moss Control",
OR(ISNUMBER(SEARCH("plant food",E455)),ISNUMBER(SEARCH("miracid",E455))),"Plant Nutrition",
OR(ISNUMBER(SEARCH("perlite",E455))),"Soil Amendment",
OR(ISNUMBER(SEARCH("spreader",E455)),ISNUMBER(SEARCH("sprayer",E455)),ISNUMBER(SEARCH("mower",E455)),ISNUMBER(SEARCH("sweeper",E455)),ISNUMBER(SEARCH("pruner",E455)),ISNUMBER(SEARCH("trimmer",E455)),ISNUMBER(SEARCH("pole saw",E455))),"Garden Equipment",
TRUE,"Other"
)</f>
        <v>Rodent Control</v>
      </c>
      <c r="I455" s="7" t="str" cm="1">
        <f t="array" ref="I455">_xlfn.IFS(
OR(ISNUMBER(SEARCH("glue trap",E455)),ISNUMBER(SEARCH("glue board",E455))),"Glue Traps",
OR(ISNUMBER(SEARCH("snap trap",E455)),ISNUMBER(SEARCH("power-kill",E455)),ISNUMBER(SEARCH("wide pedal",E455)),ISNUMBER(SEARCH("metal pedal",E455))),"Snap Traps",
OR(ISNUMBER(SEARCH("electronic",E455)),ISNUMBER(SEARCH("zapper",E455))),"Electronic Traps",
OR(ISNUMBER(SEARCH("live catch",E455)),ISNUMBER(SEARCH("multi-catch",E455)),ISNUMBER(SEARCH("catch &amp; hold",E455)),ISNUMBER(SEARCH("tin cat",E455))),"Live Catch Traps",
OR(ISNUMBER(SEARCH("bait",E455)),ISNUMBER(SEARCH("poison",E455))),"Bait &amp; Poison",
ISNUMBER(SEARCH("repellent",E455)),"Repellents",
OR(ISNUMBER(SEARCH("fly trap",E455)),ISNUMBER(SEARCH("fly ribbon",E455)),ISNUMBER(SEARCH("fly stick",E455)),ISNUMBER(SEARCH("window fly",E455)),ISNUMBER(SEARCH("fly magnet",E455))),"Fly Traps",
OR(ISNUMBER(SEARCH("uv",E455)),ISNUMBER(SEARCH("fly light",E455)),ISNUMBER(SEARCH("plug-in",E455))),"UV Fly Traps",
ISNUMBER(SEARCH("roach",E455)),"Roach Traps",
ISNUMBER(SEARCH("ant",E455)),"Ant Traps",
ISNUMBER(SEARCH("spider",E455)),"Spider Traps",
ISNUMBER(SEARCH("mosquito",E455)),"Mosquito Traps",
ISNUMBER(SEARCH("beetle",E455)),"Beetle Traps",
ISNUMBER(SEARCH("lantern",E455)),"Lanternfly Control",
OR(ISNUMBER(SEARCH("tree shield",E455)),ISNUMBER(SEARCH("tree banding",E455)),ISNUMBER(SEARCH("insect barrier",E455))),"Tree Barriers",
OR(ISNUMBER(SEARCH("sun &amp; shade",E455)),ISNUMBER(SEARCH("sun and shade",E455))),"Sun &amp; Shade Mix",
ISNUMBER(SEARCH("tall fescue",E455)),"Tall Fescue",
ISNUMBER(SEARCH("bermudagrass",E455)),"Bermudagrass",
ISNUMBER(SEARCH("kentucky",E455)),"Kentucky Bluegrass",
ISNUMBER(SEARCH("zoysia",E455)),"Zoysia",
ISNUMBER(SEARCH("ryegrass",E455)),"Perennial Ryegrass",
ISNUMBER(SEARCH("centipede",E455)),"Centipede Grass",
ISNUMBER(SEARCH("dense shade",E455)),"Dense Shade Mix",
ISNUMBER(SEARCH("southern gold",E455)),"Southern Gold Mix",
ISNUMBER(SEARCH("heat-tolerant blue",E455)),"Heat-Tolerant Blue Mix",
ISNUMBER(SEARCH("high traffic",E455)),"High Traffic Mix",
ISNUMBER(SEARCH("quick fix",E455)),"Quick Fix Mix",
ISNUMBER(SEARCH("starter",E455)),"Starter Fertilizer",
ISNUMBER(SEARCH("weed &amp; feed",E455)),"Weed &amp; Feed",
ISNUMBER(SEARCH("lawn food",E455)),"Lawn Food",
ISNUMBER(SEARCH("triple action",E455)),"Triple Action Fertilizer",
ISNUMBER(SEARCH("green max",E455)),"Green Max Lawn Food",
ISNUMBER(SEARCH("patchmaster",E455)),"PatchMaster Repair",
ISNUMBER(SEARCH("ez seed",E455)),"EZ Seed Repair",
ISNUMBER(SEARCH("rapid grass",E455)),"Rapid Grass",
ISNUMBER(SEARCH("thick'r lawn",E455)),"Thick'R Lawn",
ISNUMBER(SEARCH("fungicide",E455)),"Fungicide",
ISNUMBER(SEARCH("moss",E455)),"Moss Control",
ISNUMBER(SEARCH("perlite",E455)),"Perlite",
ISNUMBER(SEARCH("plant food",E455)),"Plant Food",
ISNUMBER(SEARCH("spreader",E455)),"Spreader",
ISNUMBER(SEARCH("sprayer",E455)),"Sprayer",
ISNUMBER(SEARCH("mower",E455)),"Lawn Mower",
ISNUMBER(SEARCH("sweeper",E455)),"Lawn Sweeper",
OR(ISNUMBER(SEARCH("pruner",E455)),ISNUMBER(SEARCH("trimmer",E455)),ISNUMBER(SEARCH("pole saw",E455))),"Pruning Tools",
TRUE,"Other"
)</f>
        <v>Bait &amp; Poison</v>
      </c>
      <c r="J455" s="7" t="str">
        <f t="shared" si="124"/>
        <v>Rodent Control - Bait &amp; Poison</v>
      </c>
      <c r="K455" s="4">
        <v>100</v>
      </c>
      <c r="L455" s="4">
        <v>3.8</v>
      </c>
      <c r="M455" s="4">
        <v>44</v>
      </c>
      <c r="N455" s="4" t="s">
        <v>2021</v>
      </c>
      <c r="O455" s="4">
        <f>VLOOKUP(A455,'[6]Monthly Sold'!$A:$B,2,0)</f>
        <v>0</v>
      </c>
      <c r="P455" s="4">
        <f>VLOOKUP(A455,'[6]Monthly Sold'!$A:$M,3,0)</f>
        <v>0</v>
      </c>
      <c r="Q455" s="4">
        <f>VLOOKUP(A455,'[6]Monthly Sold'!$A:$M,4,0)</f>
        <v>100</v>
      </c>
      <c r="R455" s="4">
        <f>VLOOKUP(A455,'[6]Monthly Sold'!$A:$M,5,0)</f>
        <v>100</v>
      </c>
      <c r="S455" s="4">
        <f>VLOOKUP(A455,'[6]Monthly Sold'!$A:$M,6,0)</f>
        <v>100</v>
      </c>
      <c r="T455" s="4">
        <f>VLOOKUP(A455,'[6]Monthly Sold'!$A:$M,7,0)</f>
        <v>200</v>
      </c>
      <c r="U455" s="4">
        <f>VLOOKUP(A455,'[6]Monthly Sold'!$A:$M,8,0)</f>
        <v>100</v>
      </c>
      <c r="V455" s="4">
        <f>VLOOKUP(A455,'[6]Monthly Sold'!$A:$M,9,0)</f>
        <v>100</v>
      </c>
      <c r="W455" s="4">
        <f>VLOOKUP(A455,'[6]Monthly Sold'!$A:$M,10,0)</f>
        <v>100</v>
      </c>
      <c r="X455" s="4">
        <f>VLOOKUP(A455,'[6]Monthly Sold'!$A:$M,11,0)</f>
        <v>0</v>
      </c>
      <c r="Y455" s="4">
        <f>VLOOKUP(A455,'[6]Monthly Sold'!$A:$M,12,0)</f>
        <v>0</v>
      </c>
      <c r="Z455" s="4">
        <f>VLOOKUP(A455,'[6]Monthly Sold'!$A:$M,13,0)</f>
        <v>0</v>
      </c>
      <c r="AA455" s="4">
        <f t="shared" si="118"/>
        <v>800</v>
      </c>
      <c r="AB455" s="7">
        <f t="shared" si="125"/>
        <v>67</v>
      </c>
      <c r="AC455" s="15">
        <f t="shared" si="119"/>
        <v>66.666666666666671</v>
      </c>
      <c r="AD455" s="16">
        <f t="shared" si="120"/>
        <v>75592</v>
      </c>
      <c r="AE455" s="16">
        <f t="shared" si="121"/>
        <v>6299.333333333333</v>
      </c>
      <c r="AF455" s="21">
        <v>8.91</v>
      </c>
      <c r="AG455" s="21">
        <v>94.49</v>
      </c>
      <c r="AH455" s="15">
        <f t="shared" si="122"/>
        <v>1.8590666666666662</v>
      </c>
      <c r="AI455" s="15">
        <f t="shared" si="123"/>
        <v>6.5067333333333304</v>
      </c>
      <c r="AJ455" s="10">
        <v>0.5</v>
      </c>
      <c r="AK455" s="10">
        <v>0.5</v>
      </c>
      <c r="AL455" s="21">
        <v>8.91</v>
      </c>
      <c r="AM455" s="9">
        <f t="shared" si="126"/>
        <v>14.173499999999999</v>
      </c>
      <c r="AN455" s="9">
        <f t="shared" si="127"/>
        <v>2.8346999999999998</v>
      </c>
      <c r="AO455" s="9">
        <f t="shared" si="128"/>
        <v>18.898</v>
      </c>
      <c r="AP455" s="9">
        <f t="shared" si="129"/>
        <v>1.8897999999999999</v>
      </c>
      <c r="AQ455" s="9">
        <f t="shared" si="130"/>
        <v>18.898</v>
      </c>
      <c r="AR455" s="9">
        <f t="shared" si="131"/>
        <v>23.622499999999999</v>
      </c>
      <c r="AS455" s="11">
        <f t="shared" si="132"/>
        <v>18.59066666666666</v>
      </c>
      <c r="AT455" s="12">
        <f t="shared" si="133"/>
        <v>15.440999999999995</v>
      </c>
    </row>
    <row r="456" spans="1:46" ht="16.5" x14ac:dyDescent="0.4">
      <c r="A456" s="4" t="s">
        <v>1870</v>
      </c>
      <c r="B456" s="4" t="s">
        <v>1895</v>
      </c>
      <c r="C456" s="4" t="s">
        <v>1784</v>
      </c>
      <c r="D456" s="4" t="s">
        <v>2112</v>
      </c>
      <c r="E456" s="4" t="s">
        <v>2113</v>
      </c>
      <c r="F456" s="4" t="s">
        <v>2114</v>
      </c>
      <c r="G456" s="7" t="str">
        <f>VLOOKUP(A456,[1]done!$A:$I,9,0)</f>
        <v>Rodent</v>
      </c>
      <c r="H456" s="7" t="str" cm="1">
        <f t="array" ref="H456">_xlfn.IFS(
OR(ISNUMBER(SEARCH("mouse",E456)),ISNUMBER(SEARCH("rat",E456)),ISNUMBER(SEARCH("mice",E456)),ISNUMBER(SEARCH("rodent",E456))),"Rodent Control",
OR(ISNUMBER(SEARCH("fly",E456)),ISNUMBER(SEARCH("gnat",E456)),ISNUMBER(SEARCH("insect",E456)),ISNUMBER(SEARCH("mosquito",E456))),"Flying Insect Control",
OR(ISNUMBER(SEARCH("roach",E456)),ISNUMBER(SEARCH("ant",E456)),ISNUMBER(SEARCH("spider",E456)),ISNUMBER(SEARCH("cricket",E456)),ISNUMBER(SEARCH("scorpion",E456)),ISNUMBER(SEARCH("centipede",E456)),ISNUMBER(SEARCH("beetle",E456))),"Crawling Insect Control",
OR(ISNUMBER(SEARCH("tree",E456)),ISNUMBER(SEARCH("lantern",E456)),ISNUMBER(SEARCH("garden",E456)),ISNUMBER(SEARCH("plant",E456))),"Garden Pest Control",
OR(ISNUMBER(SEARCH("grass seed",E456)),ISNUMBER(SEARCH("seed mix",E456))),"Grass Seed",
OR(ISNUMBER(SEARCH("lawn food",E456)),ISNUMBER(SEARCH("fertilizer",E456))),"Lawn Fertilizer",
OR(ISNUMBER(SEARCH("patch",E456)),ISNUMBER(SEARCH("repair",E456)),ISNUMBER(SEARCH("thick'r",E456)),ISNUMBER(SEARCH("thick'r lawn",E456)),ISNUMBER(SEARCH("rapid grass",E456))),"Lawn Repair",
OR(ISNUMBER(SEARCH("weed",E456)),ISNUMBER(SEARCH("crabgrass",E456))),"Weed Control",
OR(ISNUMBER(SEARCH("fungicide",E456)),ISNUMBER(SEARCH("moss",E456))),"Disease &amp; Moss Control",
OR(ISNUMBER(SEARCH("plant food",E456)),ISNUMBER(SEARCH("miracid",E456))),"Plant Nutrition",
OR(ISNUMBER(SEARCH("perlite",E456))),"Soil Amendment",
OR(ISNUMBER(SEARCH("spreader",E456)),ISNUMBER(SEARCH("sprayer",E456)),ISNUMBER(SEARCH("mower",E456)),ISNUMBER(SEARCH("sweeper",E456)),ISNUMBER(SEARCH("pruner",E456)),ISNUMBER(SEARCH("trimmer",E456)),ISNUMBER(SEARCH("pole saw",E456))),"Garden Equipment",
TRUE,"Other"
)</f>
        <v>Rodent Control</v>
      </c>
      <c r="I456" s="7" t="str" cm="1">
        <f t="array" ref="I456">_xlfn.IFS(
OR(ISNUMBER(SEARCH("glue trap",E456)),ISNUMBER(SEARCH("glue board",E456))),"Glue Traps",
OR(ISNUMBER(SEARCH("snap trap",E456)),ISNUMBER(SEARCH("power-kill",E456)),ISNUMBER(SEARCH("wide pedal",E456)),ISNUMBER(SEARCH("metal pedal",E456))),"Snap Traps",
OR(ISNUMBER(SEARCH("electronic",E456)),ISNUMBER(SEARCH("zapper",E456))),"Electronic Traps",
OR(ISNUMBER(SEARCH("live catch",E456)),ISNUMBER(SEARCH("multi-catch",E456)),ISNUMBER(SEARCH("catch &amp; hold",E456)),ISNUMBER(SEARCH("tin cat",E456))),"Live Catch Traps",
OR(ISNUMBER(SEARCH("bait",E456)),ISNUMBER(SEARCH("poison",E456))),"Bait &amp; Poison",
ISNUMBER(SEARCH("repellent",E456)),"Repellents",
OR(ISNUMBER(SEARCH("fly trap",E456)),ISNUMBER(SEARCH("fly ribbon",E456)),ISNUMBER(SEARCH("fly stick",E456)),ISNUMBER(SEARCH("window fly",E456)),ISNUMBER(SEARCH("fly magnet",E456))),"Fly Traps",
OR(ISNUMBER(SEARCH("uv",E456)),ISNUMBER(SEARCH("fly light",E456)),ISNUMBER(SEARCH("plug-in",E456))),"UV Fly Traps",
ISNUMBER(SEARCH("roach",E456)),"Roach Traps",
ISNUMBER(SEARCH("ant",E456)),"Ant Traps",
ISNUMBER(SEARCH("spider",E456)),"Spider Traps",
ISNUMBER(SEARCH("mosquito",E456)),"Mosquito Traps",
ISNUMBER(SEARCH("beetle",E456)),"Beetle Traps",
ISNUMBER(SEARCH("lantern",E456)),"Lanternfly Control",
OR(ISNUMBER(SEARCH("tree shield",E456)),ISNUMBER(SEARCH("tree banding",E456)),ISNUMBER(SEARCH("insect barrier",E456))),"Tree Barriers",
OR(ISNUMBER(SEARCH("sun &amp; shade",E456)),ISNUMBER(SEARCH("sun and shade",E456))),"Sun &amp; Shade Mix",
ISNUMBER(SEARCH("tall fescue",E456)),"Tall Fescue",
ISNUMBER(SEARCH("bermudagrass",E456)),"Bermudagrass",
ISNUMBER(SEARCH("kentucky",E456)),"Kentucky Bluegrass",
ISNUMBER(SEARCH("zoysia",E456)),"Zoysia",
ISNUMBER(SEARCH("ryegrass",E456)),"Perennial Ryegrass",
ISNUMBER(SEARCH("centipede",E456)),"Centipede Grass",
ISNUMBER(SEARCH("dense shade",E456)),"Dense Shade Mix",
ISNUMBER(SEARCH("southern gold",E456)),"Southern Gold Mix",
ISNUMBER(SEARCH("heat-tolerant blue",E456)),"Heat-Tolerant Blue Mix",
ISNUMBER(SEARCH("high traffic",E456)),"High Traffic Mix",
ISNUMBER(SEARCH("quick fix",E456)),"Quick Fix Mix",
ISNUMBER(SEARCH("starter",E456)),"Starter Fertilizer",
ISNUMBER(SEARCH("weed &amp; feed",E456)),"Weed &amp; Feed",
ISNUMBER(SEARCH("lawn food",E456)),"Lawn Food",
ISNUMBER(SEARCH("triple action",E456)),"Triple Action Fertilizer",
ISNUMBER(SEARCH("green max",E456)),"Green Max Lawn Food",
ISNUMBER(SEARCH("patchmaster",E456)),"PatchMaster Repair",
ISNUMBER(SEARCH("ez seed",E456)),"EZ Seed Repair",
ISNUMBER(SEARCH("rapid grass",E456)),"Rapid Grass",
ISNUMBER(SEARCH("thick'r lawn",E456)),"Thick'R Lawn",
ISNUMBER(SEARCH("fungicide",E456)),"Fungicide",
ISNUMBER(SEARCH("moss",E456)),"Moss Control",
ISNUMBER(SEARCH("perlite",E456)),"Perlite",
ISNUMBER(SEARCH("plant food",E456)),"Plant Food",
ISNUMBER(SEARCH("spreader",E456)),"Spreader",
ISNUMBER(SEARCH("sprayer",E456)),"Sprayer",
ISNUMBER(SEARCH("mower",E456)),"Lawn Mower",
ISNUMBER(SEARCH("sweeper",E456)),"Lawn Sweeper",
OR(ISNUMBER(SEARCH("pruner",E456)),ISNUMBER(SEARCH("trimmer",E456)),ISNUMBER(SEARCH("pole saw",E456))),"Pruning Tools",
TRUE,"Other"
)</f>
        <v>Ant Traps</v>
      </c>
      <c r="J456" s="7" t="str">
        <f t="shared" si="124"/>
        <v>Rodent Control - Ant Traps</v>
      </c>
      <c r="K456" s="4">
        <v>100</v>
      </c>
      <c r="L456" s="4">
        <v>4</v>
      </c>
      <c r="M456" s="4">
        <v>1282</v>
      </c>
      <c r="N456" s="4" t="s">
        <v>579</v>
      </c>
      <c r="O456" s="4">
        <f>VLOOKUP(A456,'[6]Monthly Sold'!$A:$B,2,0)</f>
        <v>50</v>
      </c>
      <c r="P456" s="4">
        <f>VLOOKUP(A456,'[6]Monthly Sold'!$A:$M,3,0)</f>
        <v>50</v>
      </c>
      <c r="Q456" s="4">
        <f>VLOOKUP(A456,'[6]Monthly Sold'!$A:$M,4,0)</f>
        <v>50</v>
      </c>
      <c r="R456" s="4">
        <f>VLOOKUP(A456,'[6]Monthly Sold'!$A:$M,5,0)</f>
        <v>100</v>
      </c>
      <c r="S456" s="4">
        <f>VLOOKUP(A456,'[6]Monthly Sold'!$A:$M,6,0)</f>
        <v>100</v>
      </c>
      <c r="T456" s="4">
        <f>VLOOKUP(A456,'[6]Monthly Sold'!$A:$M,7,0)</f>
        <v>100</v>
      </c>
      <c r="U456" s="4">
        <f>VLOOKUP(A456,'[6]Monthly Sold'!$A:$M,8,0)</f>
        <v>50</v>
      </c>
      <c r="V456" s="4">
        <f>VLOOKUP(A456,'[6]Monthly Sold'!$A:$M,9,0)</f>
        <v>50</v>
      </c>
      <c r="W456" s="4">
        <f>VLOOKUP(A456,'[6]Monthly Sold'!$A:$M,10,0)</f>
        <v>100</v>
      </c>
      <c r="X456" s="4">
        <f>VLOOKUP(A456,'[6]Monthly Sold'!$A:$M,11,0)</f>
        <v>100</v>
      </c>
      <c r="Y456" s="4">
        <f>VLOOKUP(A456,'[6]Monthly Sold'!$A:$M,12,0)</f>
        <v>100</v>
      </c>
      <c r="Z456" s="4">
        <f>VLOOKUP(A456,'[6]Monthly Sold'!$A:$M,13,0)</f>
        <v>100</v>
      </c>
      <c r="AA456" s="4">
        <f t="shared" si="118"/>
        <v>950</v>
      </c>
      <c r="AB456" s="7">
        <f t="shared" si="125"/>
        <v>79</v>
      </c>
      <c r="AC456" s="15">
        <f t="shared" si="119"/>
        <v>79.166666666666671</v>
      </c>
      <c r="AD456" s="16">
        <f t="shared" si="120"/>
        <v>12321.5</v>
      </c>
      <c r="AE456" s="16">
        <f t="shared" si="121"/>
        <v>1026.7916666666667</v>
      </c>
      <c r="AF456" s="21">
        <v>5.76</v>
      </c>
      <c r="AG456" s="21">
        <v>12.97</v>
      </c>
      <c r="AH456" s="15">
        <f t="shared" si="122"/>
        <v>-0.1048</v>
      </c>
      <c r="AI456" s="15">
        <f t="shared" si="123"/>
        <v>-0.36680000000000001</v>
      </c>
      <c r="AJ456" s="10">
        <v>0.5</v>
      </c>
      <c r="AK456" s="10">
        <v>0.5</v>
      </c>
      <c r="AL456" s="21">
        <v>5.76</v>
      </c>
      <c r="AM456" s="9">
        <f t="shared" si="126"/>
        <v>1.9455</v>
      </c>
      <c r="AN456" s="9">
        <f t="shared" si="127"/>
        <v>0.3891</v>
      </c>
      <c r="AO456" s="9">
        <f t="shared" si="128"/>
        <v>2.5940000000000003</v>
      </c>
      <c r="AP456" s="9">
        <f t="shared" si="129"/>
        <v>0.25940000000000002</v>
      </c>
      <c r="AQ456" s="9">
        <f t="shared" si="130"/>
        <v>2.5940000000000003</v>
      </c>
      <c r="AR456" s="9">
        <f t="shared" si="131"/>
        <v>3.2425000000000002</v>
      </c>
      <c r="AS456" s="11">
        <f t="shared" si="132"/>
        <v>-1.048</v>
      </c>
      <c r="AT456" s="12">
        <f t="shared" si="133"/>
        <v>-1.4803333333333333</v>
      </c>
    </row>
    <row r="457" spans="1:46" ht="16.5" x14ac:dyDescent="0.4">
      <c r="A457" s="4" t="s">
        <v>1871</v>
      </c>
      <c r="B457" s="4" t="s">
        <v>1895</v>
      </c>
      <c r="C457" s="4" t="s">
        <v>1784</v>
      </c>
      <c r="D457" s="4" t="s">
        <v>2115</v>
      </c>
      <c r="E457" s="4" t="s">
        <v>2116</v>
      </c>
      <c r="F457" s="4" t="s">
        <v>2117</v>
      </c>
      <c r="G457" s="7" t="str">
        <f>VLOOKUP(A457,[1]done!$A:$I,9,0)</f>
        <v>Rodent</v>
      </c>
      <c r="H457" s="7" t="str" cm="1">
        <f t="array" ref="H457">_xlfn.IFS(
OR(ISNUMBER(SEARCH("mouse",E457)),ISNUMBER(SEARCH("rat",E457)),ISNUMBER(SEARCH("mice",E457)),ISNUMBER(SEARCH("rodent",E457))),"Rodent Control",
OR(ISNUMBER(SEARCH("fly",E457)),ISNUMBER(SEARCH("gnat",E457)),ISNUMBER(SEARCH("insect",E457)),ISNUMBER(SEARCH("mosquito",E457))),"Flying Insect Control",
OR(ISNUMBER(SEARCH("roach",E457)),ISNUMBER(SEARCH("ant",E457)),ISNUMBER(SEARCH("spider",E457)),ISNUMBER(SEARCH("cricket",E457)),ISNUMBER(SEARCH("scorpion",E457)),ISNUMBER(SEARCH("centipede",E457)),ISNUMBER(SEARCH("beetle",E457))),"Crawling Insect Control",
OR(ISNUMBER(SEARCH("tree",E457)),ISNUMBER(SEARCH("lantern",E457)),ISNUMBER(SEARCH("garden",E457)),ISNUMBER(SEARCH("plant",E457))),"Garden Pest Control",
OR(ISNUMBER(SEARCH("grass seed",E457)),ISNUMBER(SEARCH("seed mix",E457))),"Grass Seed",
OR(ISNUMBER(SEARCH("lawn food",E457)),ISNUMBER(SEARCH("fertilizer",E457))),"Lawn Fertilizer",
OR(ISNUMBER(SEARCH("patch",E457)),ISNUMBER(SEARCH("repair",E457)),ISNUMBER(SEARCH("thick'r",E457)),ISNUMBER(SEARCH("thick'r lawn",E457)),ISNUMBER(SEARCH("rapid grass",E457))),"Lawn Repair",
OR(ISNUMBER(SEARCH("weed",E457)),ISNUMBER(SEARCH("crabgrass",E457))),"Weed Control",
OR(ISNUMBER(SEARCH("fungicide",E457)),ISNUMBER(SEARCH("moss",E457))),"Disease &amp; Moss Control",
OR(ISNUMBER(SEARCH("plant food",E457)),ISNUMBER(SEARCH("miracid",E457))),"Plant Nutrition",
OR(ISNUMBER(SEARCH("perlite",E457))),"Soil Amendment",
OR(ISNUMBER(SEARCH("spreader",E457)),ISNUMBER(SEARCH("sprayer",E457)),ISNUMBER(SEARCH("mower",E457)),ISNUMBER(SEARCH("sweeper",E457)),ISNUMBER(SEARCH("pruner",E457)),ISNUMBER(SEARCH("trimmer",E457)),ISNUMBER(SEARCH("pole saw",E457))),"Garden Equipment",
TRUE,"Other"
)</f>
        <v>Rodent Control</v>
      </c>
      <c r="I457" s="7" t="str" cm="1">
        <f t="array" ref="I457">_xlfn.IFS(
OR(ISNUMBER(SEARCH("glue trap",E457)),ISNUMBER(SEARCH("glue board",E457))),"Glue Traps",
OR(ISNUMBER(SEARCH("snap trap",E457)),ISNUMBER(SEARCH("power-kill",E457)),ISNUMBER(SEARCH("wide pedal",E457)),ISNUMBER(SEARCH("metal pedal",E457))),"Snap Traps",
OR(ISNUMBER(SEARCH("electronic",E457)),ISNUMBER(SEARCH("zapper",E457))),"Electronic Traps",
OR(ISNUMBER(SEARCH("live catch",E457)),ISNUMBER(SEARCH("multi-catch",E457)),ISNUMBER(SEARCH("catch &amp; hold",E457)),ISNUMBER(SEARCH("tin cat",E457))),"Live Catch Traps",
OR(ISNUMBER(SEARCH("bait",E457)),ISNUMBER(SEARCH("poison",E457))),"Bait &amp; Poison",
ISNUMBER(SEARCH("repellent",E457)),"Repellents",
OR(ISNUMBER(SEARCH("fly trap",E457)),ISNUMBER(SEARCH("fly ribbon",E457)),ISNUMBER(SEARCH("fly stick",E457)),ISNUMBER(SEARCH("window fly",E457)),ISNUMBER(SEARCH("fly magnet",E457))),"Fly Traps",
OR(ISNUMBER(SEARCH("uv",E457)),ISNUMBER(SEARCH("fly light",E457)),ISNUMBER(SEARCH("plug-in",E457))),"UV Fly Traps",
ISNUMBER(SEARCH("roach",E457)),"Roach Traps",
ISNUMBER(SEARCH("ant",E457)),"Ant Traps",
ISNUMBER(SEARCH("spider",E457)),"Spider Traps",
ISNUMBER(SEARCH("mosquito",E457)),"Mosquito Traps",
ISNUMBER(SEARCH("beetle",E457)),"Beetle Traps",
ISNUMBER(SEARCH("lantern",E457)),"Lanternfly Control",
OR(ISNUMBER(SEARCH("tree shield",E457)),ISNUMBER(SEARCH("tree banding",E457)),ISNUMBER(SEARCH("insect barrier",E457))),"Tree Barriers",
OR(ISNUMBER(SEARCH("sun &amp; shade",E457)),ISNUMBER(SEARCH("sun and shade",E457))),"Sun &amp; Shade Mix",
ISNUMBER(SEARCH("tall fescue",E457)),"Tall Fescue",
ISNUMBER(SEARCH("bermudagrass",E457)),"Bermudagrass",
ISNUMBER(SEARCH("kentucky",E457)),"Kentucky Bluegrass",
ISNUMBER(SEARCH("zoysia",E457)),"Zoysia",
ISNUMBER(SEARCH("ryegrass",E457)),"Perennial Ryegrass",
ISNUMBER(SEARCH("centipede",E457)),"Centipede Grass",
ISNUMBER(SEARCH("dense shade",E457)),"Dense Shade Mix",
ISNUMBER(SEARCH("southern gold",E457)),"Southern Gold Mix",
ISNUMBER(SEARCH("heat-tolerant blue",E457)),"Heat-Tolerant Blue Mix",
ISNUMBER(SEARCH("high traffic",E457)),"High Traffic Mix",
ISNUMBER(SEARCH("quick fix",E457)),"Quick Fix Mix",
ISNUMBER(SEARCH("starter",E457)),"Starter Fertilizer",
ISNUMBER(SEARCH("weed &amp; feed",E457)),"Weed &amp; Feed",
ISNUMBER(SEARCH("lawn food",E457)),"Lawn Food",
ISNUMBER(SEARCH("triple action",E457)),"Triple Action Fertilizer",
ISNUMBER(SEARCH("green max",E457)),"Green Max Lawn Food",
ISNUMBER(SEARCH("patchmaster",E457)),"PatchMaster Repair",
ISNUMBER(SEARCH("ez seed",E457)),"EZ Seed Repair",
ISNUMBER(SEARCH("rapid grass",E457)),"Rapid Grass",
ISNUMBER(SEARCH("thick'r lawn",E457)),"Thick'R Lawn",
ISNUMBER(SEARCH("fungicide",E457)),"Fungicide",
ISNUMBER(SEARCH("moss",E457)),"Moss Control",
ISNUMBER(SEARCH("perlite",E457)),"Perlite",
ISNUMBER(SEARCH("plant food",E457)),"Plant Food",
ISNUMBER(SEARCH("spreader",E457)),"Spreader",
ISNUMBER(SEARCH("sprayer",E457)),"Sprayer",
ISNUMBER(SEARCH("mower",E457)),"Lawn Mower",
ISNUMBER(SEARCH("sweeper",E457)),"Lawn Sweeper",
OR(ISNUMBER(SEARCH("pruner",E457)),ISNUMBER(SEARCH("trimmer",E457)),ISNUMBER(SEARCH("pole saw",E457))),"Pruning Tools",
TRUE,"Other"
)</f>
        <v>Bait &amp; Poison</v>
      </c>
      <c r="J457" s="7" t="str">
        <f t="shared" si="124"/>
        <v>Rodent Control - Bait &amp; Poison</v>
      </c>
      <c r="K457" s="4">
        <v>100</v>
      </c>
      <c r="L457" s="4">
        <v>3.9</v>
      </c>
      <c r="M457" s="4">
        <v>90</v>
      </c>
      <c r="N457" s="4" t="s">
        <v>579</v>
      </c>
      <c r="O457" s="4">
        <f>VLOOKUP(A457,'[6]Monthly Sold'!$A:$B,2,0)</f>
        <v>0</v>
      </c>
      <c r="P457" s="4">
        <f>VLOOKUP(A457,'[6]Monthly Sold'!$A:$M,3,0)</f>
        <v>0</v>
      </c>
      <c r="Q457" s="4">
        <f>VLOOKUP(A457,'[6]Monthly Sold'!$A:$M,4,0)</f>
        <v>50</v>
      </c>
      <c r="R457" s="4">
        <f>VLOOKUP(A457,'[6]Monthly Sold'!$A:$M,5,0)</f>
        <v>50</v>
      </c>
      <c r="S457" s="4">
        <f>VLOOKUP(A457,'[6]Monthly Sold'!$A:$M,6,0)</f>
        <v>50</v>
      </c>
      <c r="T457" s="4">
        <f>VLOOKUP(A457,'[6]Monthly Sold'!$A:$M,7,0)</f>
        <v>50</v>
      </c>
      <c r="U457" s="4">
        <f>VLOOKUP(A457,'[6]Monthly Sold'!$A:$M,8,0)</f>
        <v>50</v>
      </c>
      <c r="V457" s="4">
        <f>VLOOKUP(A457,'[6]Monthly Sold'!$A:$M,9,0)</f>
        <v>50</v>
      </c>
      <c r="W457" s="4">
        <f>VLOOKUP(A457,'[6]Monthly Sold'!$A:$M,10,0)</f>
        <v>100</v>
      </c>
      <c r="X457" s="4">
        <f>VLOOKUP(A457,'[6]Monthly Sold'!$A:$M,11,0)</f>
        <v>50</v>
      </c>
      <c r="Y457" s="4">
        <f>VLOOKUP(A457,'[6]Monthly Sold'!$A:$M,12,0)</f>
        <v>50</v>
      </c>
      <c r="Z457" s="4">
        <f>VLOOKUP(A457,'[6]Monthly Sold'!$A:$M,13,0)</f>
        <v>0</v>
      </c>
      <c r="AA457" s="4">
        <f t="shared" si="118"/>
        <v>500</v>
      </c>
      <c r="AB457" s="7">
        <f t="shared" si="125"/>
        <v>42</v>
      </c>
      <c r="AC457" s="15">
        <f t="shared" si="119"/>
        <v>41.666666666666664</v>
      </c>
      <c r="AD457" s="16">
        <f t="shared" si="120"/>
        <v>2020</v>
      </c>
      <c r="AE457" s="16">
        <f t="shared" si="121"/>
        <v>168.33333333333331</v>
      </c>
      <c r="AF457" s="21">
        <v>3.01</v>
      </c>
      <c r="AG457" s="21">
        <v>4.04</v>
      </c>
      <c r="AH457" s="15">
        <f t="shared" si="122"/>
        <v>-0.15960000000000002</v>
      </c>
      <c r="AI457" s="15">
        <f t="shared" si="123"/>
        <v>-0.55859999999999999</v>
      </c>
      <c r="AJ457" s="10">
        <v>0.5</v>
      </c>
      <c r="AK457" s="10">
        <v>0.5</v>
      </c>
      <c r="AL457" s="21">
        <v>3.01</v>
      </c>
      <c r="AM457" s="9">
        <f t="shared" si="126"/>
        <v>0.60599999999999998</v>
      </c>
      <c r="AN457" s="9">
        <f t="shared" si="127"/>
        <v>0.1212</v>
      </c>
      <c r="AO457" s="9">
        <f t="shared" si="128"/>
        <v>0.80800000000000005</v>
      </c>
      <c r="AP457" s="9">
        <f t="shared" si="129"/>
        <v>8.0799999999999997E-2</v>
      </c>
      <c r="AQ457" s="9">
        <f t="shared" si="130"/>
        <v>0.80800000000000005</v>
      </c>
      <c r="AR457" s="9">
        <f t="shared" si="131"/>
        <v>1.01</v>
      </c>
      <c r="AS457" s="11">
        <f t="shared" si="132"/>
        <v>-1.5960000000000001</v>
      </c>
      <c r="AT457" s="12">
        <f t="shared" si="133"/>
        <v>-1.7306666666666668</v>
      </c>
    </row>
    <row r="458" spans="1:46" ht="16.5" x14ac:dyDescent="0.4">
      <c r="A458" s="4" t="s">
        <v>1872</v>
      </c>
      <c r="B458" s="4" t="s">
        <v>1895</v>
      </c>
      <c r="C458" s="4" t="s">
        <v>1784</v>
      </c>
      <c r="D458" s="4" t="s">
        <v>2118</v>
      </c>
      <c r="E458" s="4" t="s">
        <v>2119</v>
      </c>
      <c r="F458" s="4" t="s">
        <v>2120</v>
      </c>
      <c r="G458" s="7" t="str">
        <f>VLOOKUP(A458,[1]done!$A:$I,9,0)</f>
        <v>Rodent</v>
      </c>
      <c r="H458" s="7" t="str" cm="1">
        <f t="array" ref="H458">_xlfn.IFS(
OR(ISNUMBER(SEARCH("mouse",E458)),ISNUMBER(SEARCH("rat",E458)),ISNUMBER(SEARCH("mice",E458)),ISNUMBER(SEARCH("rodent",E458))),"Rodent Control",
OR(ISNUMBER(SEARCH("fly",E458)),ISNUMBER(SEARCH("gnat",E458)),ISNUMBER(SEARCH("insect",E458)),ISNUMBER(SEARCH("mosquito",E458))),"Flying Insect Control",
OR(ISNUMBER(SEARCH("roach",E458)),ISNUMBER(SEARCH("ant",E458)),ISNUMBER(SEARCH("spider",E458)),ISNUMBER(SEARCH("cricket",E458)),ISNUMBER(SEARCH("scorpion",E458)),ISNUMBER(SEARCH("centipede",E458)),ISNUMBER(SEARCH("beetle",E458))),"Crawling Insect Control",
OR(ISNUMBER(SEARCH("tree",E458)),ISNUMBER(SEARCH("lantern",E458)),ISNUMBER(SEARCH("garden",E458)),ISNUMBER(SEARCH("plant",E458))),"Garden Pest Control",
OR(ISNUMBER(SEARCH("grass seed",E458)),ISNUMBER(SEARCH("seed mix",E458))),"Grass Seed",
OR(ISNUMBER(SEARCH("lawn food",E458)),ISNUMBER(SEARCH("fertilizer",E458))),"Lawn Fertilizer",
OR(ISNUMBER(SEARCH("patch",E458)),ISNUMBER(SEARCH("repair",E458)),ISNUMBER(SEARCH("thick'r",E458)),ISNUMBER(SEARCH("thick'r lawn",E458)),ISNUMBER(SEARCH("rapid grass",E458))),"Lawn Repair",
OR(ISNUMBER(SEARCH("weed",E458)),ISNUMBER(SEARCH("crabgrass",E458))),"Weed Control",
OR(ISNUMBER(SEARCH("fungicide",E458)),ISNUMBER(SEARCH("moss",E458))),"Disease &amp; Moss Control",
OR(ISNUMBER(SEARCH("plant food",E458)),ISNUMBER(SEARCH("miracid",E458))),"Plant Nutrition",
OR(ISNUMBER(SEARCH("perlite",E458))),"Soil Amendment",
OR(ISNUMBER(SEARCH("spreader",E458)),ISNUMBER(SEARCH("sprayer",E458)),ISNUMBER(SEARCH("mower",E458)),ISNUMBER(SEARCH("sweeper",E458)),ISNUMBER(SEARCH("pruner",E458)),ISNUMBER(SEARCH("trimmer",E458)),ISNUMBER(SEARCH("pole saw",E458))),"Garden Equipment",
TRUE,"Other"
)</f>
        <v>Other</v>
      </c>
      <c r="I458" s="7" t="str" cm="1">
        <f t="array" ref="I458">_xlfn.IFS(
OR(ISNUMBER(SEARCH("glue trap",E458)),ISNUMBER(SEARCH("glue board",E458))),"Glue Traps",
OR(ISNUMBER(SEARCH("snap trap",E458)),ISNUMBER(SEARCH("power-kill",E458)),ISNUMBER(SEARCH("wide pedal",E458)),ISNUMBER(SEARCH("metal pedal",E458))),"Snap Traps",
OR(ISNUMBER(SEARCH("electronic",E458)),ISNUMBER(SEARCH("zapper",E458))),"Electronic Traps",
OR(ISNUMBER(SEARCH("live catch",E458)),ISNUMBER(SEARCH("multi-catch",E458)),ISNUMBER(SEARCH("catch &amp; hold",E458)),ISNUMBER(SEARCH("tin cat",E458))),"Live Catch Traps",
OR(ISNUMBER(SEARCH("bait",E458)),ISNUMBER(SEARCH("poison",E458))),"Bait &amp; Poison",
ISNUMBER(SEARCH("repellent",E458)),"Repellents",
OR(ISNUMBER(SEARCH("fly trap",E458)),ISNUMBER(SEARCH("fly ribbon",E458)),ISNUMBER(SEARCH("fly stick",E458)),ISNUMBER(SEARCH("window fly",E458)),ISNUMBER(SEARCH("fly magnet",E458))),"Fly Traps",
OR(ISNUMBER(SEARCH("uv",E458)),ISNUMBER(SEARCH("fly light",E458)),ISNUMBER(SEARCH("plug-in",E458))),"UV Fly Traps",
ISNUMBER(SEARCH("roach",E458)),"Roach Traps",
ISNUMBER(SEARCH("ant",E458)),"Ant Traps",
ISNUMBER(SEARCH("spider",E458)),"Spider Traps",
ISNUMBER(SEARCH("mosquito",E458)),"Mosquito Traps",
ISNUMBER(SEARCH("beetle",E458)),"Beetle Traps",
ISNUMBER(SEARCH("lantern",E458)),"Lanternfly Control",
OR(ISNUMBER(SEARCH("tree shield",E458)),ISNUMBER(SEARCH("tree banding",E458)),ISNUMBER(SEARCH("insect barrier",E458))),"Tree Barriers",
OR(ISNUMBER(SEARCH("sun &amp; shade",E458)),ISNUMBER(SEARCH("sun and shade",E458))),"Sun &amp; Shade Mix",
ISNUMBER(SEARCH("tall fescue",E458)),"Tall Fescue",
ISNUMBER(SEARCH("bermudagrass",E458)),"Bermudagrass",
ISNUMBER(SEARCH("kentucky",E458)),"Kentucky Bluegrass",
ISNUMBER(SEARCH("zoysia",E458)),"Zoysia",
ISNUMBER(SEARCH("ryegrass",E458)),"Perennial Ryegrass",
ISNUMBER(SEARCH("centipede",E458)),"Centipede Grass",
ISNUMBER(SEARCH("dense shade",E458)),"Dense Shade Mix",
ISNUMBER(SEARCH("southern gold",E458)),"Southern Gold Mix",
ISNUMBER(SEARCH("heat-tolerant blue",E458)),"Heat-Tolerant Blue Mix",
ISNUMBER(SEARCH("high traffic",E458)),"High Traffic Mix",
ISNUMBER(SEARCH("quick fix",E458)),"Quick Fix Mix",
ISNUMBER(SEARCH("starter",E458)),"Starter Fertilizer",
ISNUMBER(SEARCH("weed &amp; feed",E458)),"Weed &amp; Feed",
ISNUMBER(SEARCH("lawn food",E458)),"Lawn Food",
ISNUMBER(SEARCH("triple action",E458)),"Triple Action Fertilizer",
ISNUMBER(SEARCH("green max",E458)),"Green Max Lawn Food",
ISNUMBER(SEARCH("patchmaster",E458)),"PatchMaster Repair",
ISNUMBER(SEARCH("ez seed",E458)),"EZ Seed Repair",
ISNUMBER(SEARCH("rapid grass",E458)),"Rapid Grass",
ISNUMBER(SEARCH("thick'r lawn",E458)),"Thick'R Lawn",
ISNUMBER(SEARCH("fungicide",E458)),"Fungicide",
ISNUMBER(SEARCH("moss",E458)),"Moss Control",
ISNUMBER(SEARCH("perlite",E458)),"Perlite",
ISNUMBER(SEARCH("plant food",E458)),"Plant Food",
ISNUMBER(SEARCH("spreader",E458)),"Spreader",
ISNUMBER(SEARCH("sprayer",E458)),"Sprayer",
ISNUMBER(SEARCH("mower",E458)),"Lawn Mower",
ISNUMBER(SEARCH("sweeper",E458)),"Lawn Sweeper",
OR(ISNUMBER(SEARCH("pruner",E458)),ISNUMBER(SEARCH("trimmer",E458)),ISNUMBER(SEARCH("pole saw",E458))),"Pruning Tools",
TRUE,"Other"
)</f>
        <v>Glue Traps</v>
      </c>
      <c r="J458" s="7" t="str">
        <f t="shared" si="124"/>
        <v>Other - Glue Traps</v>
      </c>
      <c r="K458" s="4">
        <v>100</v>
      </c>
      <c r="L458" s="4">
        <v>4.5</v>
      </c>
      <c r="M458" s="4">
        <v>273</v>
      </c>
      <c r="N458" s="4" t="s">
        <v>2121</v>
      </c>
      <c r="O458" s="4">
        <f>VLOOKUP(A458,'[6]Monthly Sold'!$A:$B,2,0)</f>
        <v>50</v>
      </c>
      <c r="P458" s="4">
        <f>VLOOKUP(A458,'[6]Monthly Sold'!$A:$M,3,0)</f>
        <v>0</v>
      </c>
      <c r="Q458" s="4">
        <f>VLOOKUP(A458,'[6]Monthly Sold'!$A:$M,4,0)</f>
        <v>0</v>
      </c>
      <c r="R458" s="4">
        <f>VLOOKUP(A458,'[6]Monthly Sold'!$A:$M,5,0)</f>
        <v>0</v>
      </c>
      <c r="S458" s="4">
        <f>VLOOKUP(A458,'[6]Monthly Sold'!$A:$M,6,0)</f>
        <v>0</v>
      </c>
      <c r="T458" s="4">
        <f>VLOOKUP(A458,'[6]Monthly Sold'!$A:$M,7,0)</f>
        <v>50</v>
      </c>
      <c r="U458" s="4">
        <f>VLOOKUP(A458,'[6]Monthly Sold'!$A:$M,8,0)</f>
        <v>50</v>
      </c>
      <c r="V458" s="4">
        <f>VLOOKUP(A458,'[6]Monthly Sold'!$A:$M,9,0)</f>
        <v>50</v>
      </c>
      <c r="W458" s="4">
        <f>VLOOKUP(A458,'[6]Monthly Sold'!$A:$M,10,0)</f>
        <v>100</v>
      </c>
      <c r="X458" s="4">
        <f>VLOOKUP(A458,'[6]Monthly Sold'!$A:$M,11,0)</f>
        <v>100</v>
      </c>
      <c r="Y458" s="4">
        <f>VLOOKUP(A458,'[6]Monthly Sold'!$A:$M,12,0)</f>
        <v>100</v>
      </c>
      <c r="Z458" s="4">
        <f>VLOOKUP(A458,'[6]Monthly Sold'!$A:$M,13,0)</f>
        <v>50</v>
      </c>
      <c r="AA458" s="4">
        <f t="shared" si="118"/>
        <v>550</v>
      </c>
      <c r="AB458" s="7">
        <f t="shared" si="125"/>
        <v>46</v>
      </c>
      <c r="AC458" s="15">
        <f t="shared" si="119"/>
        <v>45.833333333333336</v>
      </c>
      <c r="AD458" s="16">
        <f t="shared" si="120"/>
        <v>34292.5</v>
      </c>
      <c r="AE458" s="16">
        <f t="shared" si="121"/>
        <v>2857.7083333333335</v>
      </c>
      <c r="AF458" s="21">
        <v>8</v>
      </c>
      <c r="AG458" s="21">
        <v>62.35</v>
      </c>
      <c r="AH458" s="15">
        <f t="shared" si="122"/>
        <v>1.0626666666666664</v>
      </c>
      <c r="AI458" s="15">
        <f t="shared" si="123"/>
        <v>3.7193333333333318</v>
      </c>
      <c r="AJ458" s="10">
        <v>0.5</v>
      </c>
      <c r="AK458" s="10">
        <v>0.5</v>
      </c>
      <c r="AL458" s="21">
        <v>8</v>
      </c>
      <c r="AM458" s="9">
        <f t="shared" si="126"/>
        <v>9.3524999999999991</v>
      </c>
      <c r="AN458" s="9">
        <f t="shared" si="127"/>
        <v>1.8705000000000001</v>
      </c>
      <c r="AO458" s="9">
        <f t="shared" si="128"/>
        <v>12.47</v>
      </c>
      <c r="AP458" s="9">
        <f t="shared" si="129"/>
        <v>1.2470000000000001</v>
      </c>
      <c r="AQ458" s="9">
        <f t="shared" si="130"/>
        <v>12.47</v>
      </c>
      <c r="AR458" s="9">
        <f t="shared" si="131"/>
        <v>15.5875</v>
      </c>
      <c r="AS458" s="11">
        <f t="shared" si="132"/>
        <v>10.626666666666663</v>
      </c>
      <c r="AT458" s="12">
        <f t="shared" si="133"/>
        <v>8.5483333333333302</v>
      </c>
    </row>
    <row r="459" spans="1:46" ht="16.5" x14ac:dyDescent="0.4">
      <c r="A459" s="4" t="s">
        <v>1873</v>
      </c>
      <c r="B459" s="4" t="s">
        <v>1895</v>
      </c>
      <c r="C459" s="4" t="s">
        <v>1895</v>
      </c>
      <c r="D459" s="4" t="s">
        <v>1923</v>
      </c>
      <c r="E459" s="4" t="s">
        <v>2122</v>
      </c>
      <c r="F459" s="4" t="s">
        <v>2123</v>
      </c>
      <c r="G459" s="7" t="str">
        <f>VLOOKUP(A459,[1]done!$A:$I,9,0)</f>
        <v>Rodent</v>
      </c>
      <c r="H459" s="7" t="str" cm="1">
        <f t="array" ref="H459">_xlfn.IFS(
OR(ISNUMBER(SEARCH("mouse",E459)),ISNUMBER(SEARCH("rat",E459)),ISNUMBER(SEARCH("mice",E459)),ISNUMBER(SEARCH("rodent",E459))),"Rodent Control",
OR(ISNUMBER(SEARCH("fly",E459)),ISNUMBER(SEARCH("gnat",E459)),ISNUMBER(SEARCH("insect",E459)),ISNUMBER(SEARCH("mosquito",E459))),"Flying Insect Control",
OR(ISNUMBER(SEARCH("roach",E459)),ISNUMBER(SEARCH("ant",E459)),ISNUMBER(SEARCH("spider",E459)),ISNUMBER(SEARCH("cricket",E459)),ISNUMBER(SEARCH("scorpion",E459)),ISNUMBER(SEARCH("centipede",E459)),ISNUMBER(SEARCH("beetle",E459))),"Crawling Insect Control",
OR(ISNUMBER(SEARCH("tree",E459)),ISNUMBER(SEARCH("lantern",E459)),ISNUMBER(SEARCH("garden",E459)),ISNUMBER(SEARCH("plant",E459))),"Garden Pest Control",
OR(ISNUMBER(SEARCH("grass seed",E459)),ISNUMBER(SEARCH("seed mix",E459))),"Grass Seed",
OR(ISNUMBER(SEARCH("lawn food",E459)),ISNUMBER(SEARCH("fertilizer",E459))),"Lawn Fertilizer",
OR(ISNUMBER(SEARCH("patch",E459)),ISNUMBER(SEARCH("repair",E459)),ISNUMBER(SEARCH("thick'r",E459)),ISNUMBER(SEARCH("thick'r lawn",E459)),ISNUMBER(SEARCH("rapid grass",E459))),"Lawn Repair",
OR(ISNUMBER(SEARCH("weed",E459)),ISNUMBER(SEARCH("crabgrass",E459))),"Weed Control",
OR(ISNUMBER(SEARCH("fungicide",E459)),ISNUMBER(SEARCH("moss",E459))),"Disease &amp; Moss Control",
OR(ISNUMBER(SEARCH("plant food",E459)),ISNUMBER(SEARCH("miracid",E459))),"Plant Nutrition",
OR(ISNUMBER(SEARCH("perlite",E459))),"Soil Amendment",
OR(ISNUMBER(SEARCH("spreader",E459)),ISNUMBER(SEARCH("sprayer",E459)),ISNUMBER(SEARCH("mower",E459)),ISNUMBER(SEARCH("sweeper",E459)),ISNUMBER(SEARCH("pruner",E459)),ISNUMBER(SEARCH("trimmer",E459)),ISNUMBER(SEARCH("pole saw",E459))),"Garden Equipment",
TRUE,"Other"
)</f>
        <v>Rodent Control</v>
      </c>
      <c r="I459" s="7" t="str" cm="1">
        <f t="array" ref="I459">_xlfn.IFS(
OR(ISNUMBER(SEARCH("glue trap",E459)),ISNUMBER(SEARCH("glue board",E459))),"Glue Traps",
OR(ISNUMBER(SEARCH("snap trap",E459)),ISNUMBER(SEARCH("power-kill",E459)),ISNUMBER(SEARCH("wide pedal",E459)),ISNUMBER(SEARCH("metal pedal",E459))),"Snap Traps",
OR(ISNUMBER(SEARCH("electronic",E459)),ISNUMBER(SEARCH("zapper",E459))),"Electronic Traps",
OR(ISNUMBER(SEARCH("live catch",E459)),ISNUMBER(SEARCH("multi-catch",E459)),ISNUMBER(SEARCH("catch &amp; hold",E459)),ISNUMBER(SEARCH("tin cat",E459))),"Live Catch Traps",
OR(ISNUMBER(SEARCH("bait",E459)),ISNUMBER(SEARCH("poison",E459))),"Bait &amp; Poison",
ISNUMBER(SEARCH("repellent",E459)),"Repellents",
OR(ISNUMBER(SEARCH("fly trap",E459)),ISNUMBER(SEARCH("fly ribbon",E459)),ISNUMBER(SEARCH("fly stick",E459)),ISNUMBER(SEARCH("window fly",E459)),ISNUMBER(SEARCH("fly magnet",E459))),"Fly Traps",
OR(ISNUMBER(SEARCH("uv",E459)),ISNUMBER(SEARCH("fly light",E459)),ISNUMBER(SEARCH("plug-in",E459))),"UV Fly Traps",
ISNUMBER(SEARCH("roach",E459)),"Roach Traps",
ISNUMBER(SEARCH("ant",E459)),"Ant Traps",
ISNUMBER(SEARCH("spider",E459)),"Spider Traps",
ISNUMBER(SEARCH("mosquito",E459)),"Mosquito Traps",
ISNUMBER(SEARCH("beetle",E459)),"Beetle Traps",
ISNUMBER(SEARCH("lantern",E459)),"Lanternfly Control",
OR(ISNUMBER(SEARCH("tree shield",E459)),ISNUMBER(SEARCH("tree banding",E459)),ISNUMBER(SEARCH("insect barrier",E459))),"Tree Barriers",
OR(ISNUMBER(SEARCH("sun &amp; shade",E459)),ISNUMBER(SEARCH("sun and shade",E459))),"Sun &amp; Shade Mix",
ISNUMBER(SEARCH("tall fescue",E459)),"Tall Fescue",
ISNUMBER(SEARCH("bermudagrass",E459)),"Bermudagrass",
ISNUMBER(SEARCH("kentucky",E459)),"Kentucky Bluegrass",
ISNUMBER(SEARCH("zoysia",E459)),"Zoysia",
ISNUMBER(SEARCH("ryegrass",E459)),"Perennial Ryegrass",
ISNUMBER(SEARCH("centipede",E459)),"Centipede Grass",
ISNUMBER(SEARCH("dense shade",E459)),"Dense Shade Mix",
ISNUMBER(SEARCH("southern gold",E459)),"Southern Gold Mix",
ISNUMBER(SEARCH("heat-tolerant blue",E459)),"Heat-Tolerant Blue Mix",
ISNUMBER(SEARCH("high traffic",E459)),"High Traffic Mix",
ISNUMBER(SEARCH("quick fix",E459)),"Quick Fix Mix",
ISNUMBER(SEARCH("starter",E459)),"Starter Fertilizer",
ISNUMBER(SEARCH("weed &amp; feed",E459)),"Weed &amp; Feed",
ISNUMBER(SEARCH("lawn food",E459)),"Lawn Food",
ISNUMBER(SEARCH("triple action",E459)),"Triple Action Fertilizer",
ISNUMBER(SEARCH("green max",E459)),"Green Max Lawn Food",
ISNUMBER(SEARCH("patchmaster",E459)),"PatchMaster Repair",
ISNUMBER(SEARCH("ez seed",E459)),"EZ Seed Repair",
ISNUMBER(SEARCH("rapid grass",E459)),"Rapid Grass",
ISNUMBER(SEARCH("thick'r lawn",E459)),"Thick'R Lawn",
ISNUMBER(SEARCH("fungicide",E459)),"Fungicide",
ISNUMBER(SEARCH("moss",E459)),"Moss Control",
ISNUMBER(SEARCH("perlite",E459)),"Perlite",
ISNUMBER(SEARCH("plant food",E459)),"Plant Food",
ISNUMBER(SEARCH("spreader",E459)),"Spreader",
ISNUMBER(SEARCH("sprayer",E459)),"Sprayer",
ISNUMBER(SEARCH("mower",E459)),"Lawn Mower",
ISNUMBER(SEARCH("sweeper",E459)),"Lawn Sweeper",
OR(ISNUMBER(SEARCH("pruner",E459)),ISNUMBER(SEARCH("trimmer",E459)),ISNUMBER(SEARCH("pole saw",E459))),"Pruning Tools",
TRUE,"Other"
)</f>
        <v>Other</v>
      </c>
      <c r="J459" s="7" t="str">
        <f t="shared" si="124"/>
        <v>Rodent Control - Other</v>
      </c>
      <c r="K459" s="4">
        <v>100</v>
      </c>
      <c r="L459" s="4">
        <v>4.3</v>
      </c>
      <c r="M459" s="4">
        <v>4880</v>
      </c>
      <c r="N459" s="4" t="s">
        <v>2053</v>
      </c>
      <c r="O459" s="4">
        <f>VLOOKUP(A459,'[6]Monthly Sold'!$A:$B,2,0)</f>
        <v>200</v>
      </c>
      <c r="P459" s="4">
        <f>VLOOKUP(A459,'[6]Monthly Sold'!$A:$M,3,0)</f>
        <v>200</v>
      </c>
      <c r="Q459" s="4">
        <f>VLOOKUP(A459,'[6]Monthly Sold'!$A:$M,4,0)</f>
        <v>100</v>
      </c>
      <c r="R459" s="4">
        <f>VLOOKUP(A459,'[6]Monthly Sold'!$A:$M,5,0)</f>
        <v>0</v>
      </c>
      <c r="S459" s="4">
        <f>VLOOKUP(A459,'[6]Monthly Sold'!$A:$M,6,0)</f>
        <v>50</v>
      </c>
      <c r="T459" s="4">
        <f>VLOOKUP(A459,'[6]Monthly Sold'!$A:$M,7,0)</f>
        <v>100</v>
      </c>
      <c r="U459" s="4">
        <f>VLOOKUP(A459,'[6]Monthly Sold'!$A:$M,8,0)</f>
        <v>50</v>
      </c>
      <c r="V459" s="4">
        <f>VLOOKUP(A459,'[6]Monthly Sold'!$A:$M,9,0)</f>
        <v>50</v>
      </c>
      <c r="W459" s="4">
        <f>VLOOKUP(A459,'[6]Monthly Sold'!$A:$M,10,0)</f>
        <v>100</v>
      </c>
      <c r="X459" s="4">
        <f>VLOOKUP(A459,'[6]Monthly Sold'!$A:$M,11,0)</f>
        <v>400</v>
      </c>
      <c r="Y459" s="4">
        <f>VLOOKUP(A459,'[6]Monthly Sold'!$A:$M,12,0)</f>
        <v>800</v>
      </c>
      <c r="Z459" s="4">
        <f>VLOOKUP(A459,'[6]Monthly Sold'!$A:$M,13,0)</f>
        <v>700</v>
      </c>
      <c r="AA459" s="4">
        <f t="shared" si="118"/>
        <v>2750</v>
      </c>
      <c r="AB459" s="7">
        <f t="shared" si="125"/>
        <v>229</v>
      </c>
      <c r="AC459" s="15">
        <f t="shared" si="119"/>
        <v>229.16666666666666</v>
      </c>
      <c r="AD459" s="16">
        <f t="shared" si="120"/>
        <v>77137.5</v>
      </c>
      <c r="AE459" s="16">
        <f t="shared" si="121"/>
        <v>6428.125</v>
      </c>
      <c r="AF459" s="21">
        <v>6.76</v>
      </c>
      <c r="AG459" s="21">
        <v>28.05</v>
      </c>
      <c r="AH459" s="15">
        <f t="shared" si="122"/>
        <v>0.23066666666666655</v>
      </c>
      <c r="AI459" s="15">
        <f t="shared" si="123"/>
        <v>0.80733333333333279</v>
      </c>
      <c r="AJ459" s="10">
        <v>0.5</v>
      </c>
      <c r="AK459" s="10">
        <v>0.5</v>
      </c>
      <c r="AL459" s="21">
        <v>6.76</v>
      </c>
      <c r="AM459" s="9">
        <f t="shared" si="126"/>
        <v>4.2074999999999996</v>
      </c>
      <c r="AN459" s="9">
        <f t="shared" si="127"/>
        <v>0.84150000000000003</v>
      </c>
      <c r="AO459" s="9">
        <f t="shared" si="128"/>
        <v>5.61</v>
      </c>
      <c r="AP459" s="9">
        <f t="shared" si="129"/>
        <v>0.56100000000000005</v>
      </c>
      <c r="AQ459" s="9">
        <f t="shared" si="130"/>
        <v>5.61</v>
      </c>
      <c r="AR459" s="9">
        <f t="shared" si="131"/>
        <v>7.0125000000000002</v>
      </c>
      <c r="AS459" s="11">
        <f t="shared" si="132"/>
        <v>2.3066666666666653</v>
      </c>
      <c r="AT459" s="12">
        <f t="shared" si="133"/>
        <v>1.3716666666666655</v>
      </c>
    </row>
    <row r="460" spans="1:46" ht="16.5" x14ac:dyDescent="0.4">
      <c r="A460" s="4" t="s">
        <v>1874</v>
      </c>
      <c r="B460" s="4" t="s">
        <v>1895</v>
      </c>
      <c r="C460" s="4" t="s">
        <v>1784</v>
      </c>
      <c r="D460" s="4" t="s">
        <v>2124</v>
      </c>
      <c r="E460" s="4" t="s">
        <v>2125</v>
      </c>
      <c r="F460" s="4" t="s">
        <v>2126</v>
      </c>
      <c r="G460" s="7" t="str">
        <f>VLOOKUP(A460,[1]done!$A:$I,9,0)</f>
        <v>Rodent</v>
      </c>
      <c r="H460" s="7" t="str" cm="1">
        <f t="array" ref="H460">_xlfn.IFS(
OR(ISNUMBER(SEARCH("mouse",E460)),ISNUMBER(SEARCH("rat",E460)),ISNUMBER(SEARCH("mice",E460)),ISNUMBER(SEARCH("rodent",E460))),"Rodent Control",
OR(ISNUMBER(SEARCH("fly",E460)),ISNUMBER(SEARCH("gnat",E460)),ISNUMBER(SEARCH("insect",E460)),ISNUMBER(SEARCH("mosquito",E460))),"Flying Insect Control",
OR(ISNUMBER(SEARCH("roach",E460)),ISNUMBER(SEARCH("ant",E460)),ISNUMBER(SEARCH("spider",E460)),ISNUMBER(SEARCH("cricket",E460)),ISNUMBER(SEARCH("scorpion",E460)),ISNUMBER(SEARCH("centipede",E460)),ISNUMBER(SEARCH("beetle",E460))),"Crawling Insect Control",
OR(ISNUMBER(SEARCH("tree",E460)),ISNUMBER(SEARCH("lantern",E460)),ISNUMBER(SEARCH("garden",E460)),ISNUMBER(SEARCH("plant",E460))),"Garden Pest Control",
OR(ISNUMBER(SEARCH("grass seed",E460)),ISNUMBER(SEARCH("seed mix",E460))),"Grass Seed",
OR(ISNUMBER(SEARCH("lawn food",E460)),ISNUMBER(SEARCH("fertilizer",E460))),"Lawn Fertilizer",
OR(ISNUMBER(SEARCH("patch",E460)),ISNUMBER(SEARCH("repair",E460)),ISNUMBER(SEARCH("thick'r",E460)),ISNUMBER(SEARCH("thick'r lawn",E460)),ISNUMBER(SEARCH("rapid grass",E460))),"Lawn Repair",
OR(ISNUMBER(SEARCH("weed",E460)),ISNUMBER(SEARCH("crabgrass",E460))),"Weed Control",
OR(ISNUMBER(SEARCH("fungicide",E460)),ISNUMBER(SEARCH("moss",E460))),"Disease &amp; Moss Control",
OR(ISNUMBER(SEARCH("plant food",E460)),ISNUMBER(SEARCH("miracid",E460))),"Plant Nutrition",
OR(ISNUMBER(SEARCH("perlite",E460))),"Soil Amendment",
OR(ISNUMBER(SEARCH("spreader",E460)),ISNUMBER(SEARCH("sprayer",E460)),ISNUMBER(SEARCH("mower",E460)),ISNUMBER(SEARCH("sweeper",E460)),ISNUMBER(SEARCH("pruner",E460)),ISNUMBER(SEARCH("trimmer",E460)),ISNUMBER(SEARCH("pole saw",E460))),"Garden Equipment",
TRUE,"Other"
)</f>
        <v>Rodent Control</v>
      </c>
      <c r="I460" s="7" t="str" cm="1">
        <f t="array" ref="I460">_xlfn.IFS(
OR(ISNUMBER(SEARCH("glue trap",E460)),ISNUMBER(SEARCH("glue board",E460))),"Glue Traps",
OR(ISNUMBER(SEARCH("snap trap",E460)),ISNUMBER(SEARCH("power-kill",E460)),ISNUMBER(SEARCH("wide pedal",E460)),ISNUMBER(SEARCH("metal pedal",E460))),"Snap Traps",
OR(ISNUMBER(SEARCH("electronic",E460)),ISNUMBER(SEARCH("zapper",E460))),"Electronic Traps",
OR(ISNUMBER(SEARCH("live catch",E460)),ISNUMBER(SEARCH("multi-catch",E460)),ISNUMBER(SEARCH("catch &amp; hold",E460)),ISNUMBER(SEARCH("tin cat",E460))),"Live Catch Traps",
OR(ISNUMBER(SEARCH("bait",E460)),ISNUMBER(SEARCH("poison",E460))),"Bait &amp; Poison",
ISNUMBER(SEARCH("repellent",E460)),"Repellents",
OR(ISNUMBER(SEARCH("fly trap",E460)),ISNUMBER(SEARCH("fly ribbon",E460)),ISNUMBER(SEARCH("fly stick",E460)),ISNUMBER(SEARCH("window fly",E460)),ISNUMBER(SEARCH("fly magnet",E460))),"Fly Traps",
OR(ISNUMBER(SEARCH("uv",E460)),ISNUMBER(SEARCH("fly light",E460)),ISNUMBER(SEARCH("plug-in",E460))),"UV Fly Traps",
ISNUMBER(SEARCH("roach",E460)),"Roach Traps",
ISNUMBER(SEARCH("ant",E460)),"Ant Traps",
ISNUMBER(SEARCH("spider",E460)),"Spider Traps",
ISNUMBER(SEARCH("mosquito",E460)),"Mosquito Traps",
ISNUMBER(SEARCH("beetle",E460)),"Beetle Traps",
ISNUMBER(SEARCH("lantern",E460)),"Lanternfly Control",
OR(ISNUMBER(SEARCH("tree shield",E460)),ISNUMBER(SEARCH("tree banding",E460)),ISNUMBER(SEARCH("insect barrier",E460))),"Tree Barriers",
OR(ISNUMBER(SEARCH("sun &amp; shade",E460)),ISNUMBER(SEARCH("sun and shade",E460))),"Sun &amp; Shade Mix",
ISNUMBER(SEARCH("tall fescue",E460)),"Tall Fescue",
ISNUMBER(SEARCH("bermudagrass",E460)),"Bermudagrass",
ISNUMBER(SEARCH("kentucky",E460)),"Kentucky Bluegrass",
ISNUMBER(SEARCH("zoysia",E460)),"Zoysia",
ISNUMBER(SEARCH("ryegrass",E460)),"Perennial Ryegrass",
ISNUMBER(SEARCH("centipede",E460)),"Centipede Grass",
ISNUMBER(SEARCH("dense shade",E460)),"Dense Shade Mix",
ISNUMBER(SEARCH("southern gold",E460)),"Southern Gold Mix",
ISNUMBER(SEARCH("heat-tolerant blue",E460)),"Heat-Tolerant Blue Mix",
ISNUMBER(SEARCH("high traffic",E460)),"High Traffic Mix",
ISNUMBER(SEARCH("quick fix",E460)),"Quick Fix Mix",
ISNUMBER(SEARCH("starter",E460)),"Starter Fertilizer",
ISNUMBER(SEARCH("weed &amp; feed",E460)),"Weed &amp; Feed",
ISNUMBER(SEARCH("lawn food",E460)),"Lawn Food",
ISNUMBER(SEARCH("triple action",E460)),"Triple Action Fertilizer",
ISNUMBER(SEARCH("green max",E460)),"Green Max Lawn Food",
ISNUMBER(SEARCH("patchmaster",E460)),"PatchMaster Repair",
ISNUMBER(SEARCH("ez seed",E460)),"EZ Seed Repair",
ISNUMBER(SEARCH("rapid grass",E460)),"Rapid Grass",
ISNUMBER(SEARCH("thick'r lawn",E460)),"Thick'R Lawn",
ISNUMBER(SEARCH("fungicide",E460)),"Fungicide",
ISNUMBER(SEARCH("moss",E460)),"Moss Control",
ISNUMBER(SEARCH("perlite",E460)),"Perlite",
ISNUMBER(SEARCH("plant food",E460)),"Plant Food",
ISNUMBER(SEARCH("spreader",E460)),"Spreader",
ISNUMBER(SEARCH("sprayer",E460)),"Sprayer",
ISNUMBER(SEARCH("mower",E460)),"Lawn Mower",
ISNUMBER(SEARCH("sweeper",E460)),"Lawn Sweeper",
OR(ISNUMBER(SEARCH("pruner",E460)),ISNUMBER(SEARCH("trimmer",E460)),ISNUMBER(SEARCH("pole saw",E460))),"Pruning Tools",
TRUE,"Other"
)</f>
        <v>Repellents</v>
      </c>
      <c r="J460" s="7" t="str">
        <f t="shared" si="124"/>
        <v>Rodent Control - Repellents</v>
      </c>
      <c r="K460" s="4">
        <v>100</v>
      </c>
      <c r="L460" s="4">
        <v>4.2</v>
      </c>
      <c r="M460" s="4">
        <v>419</v>
      </c>
      <c r="N460" s="4" t="s">
        <v>427</v>
      </c>
      <c r="O460" s="4">
        <f>VLOOKUP(A460,'[6]Monthly Sold'!$A:$B,2,0)</f>
        <v>0</v>
      </c>
      <c r="P460" s="4">
        <f>VLOOKUP(A460,'[6]Monthly Sold'!$A:$M,3,0)</f>
        <v>0</v>
      </c>
      <c r="Q460" s="4">
        <f>VLOOKUP(A460,'[6]Monthly Sold'!$A:$M,4,0)</f>
        <v>0</v>
      </c>
      <c r="R460" s="4">
        <f>VLOOKUP(A460,'[6]Monthly Sold'!$A:$M,5,0)</f>
        <v>0</v>
      </c>
      <c r="S460" s="4">
        <f>VLOOKUP(A460,'[6]Monthly Sold'!$A:$M,6,0)</f>
        <v>0</v>
      </c>
      <c r="T460" s="4">
        <f>VLOOKUP(A460,'[6]Monthly Sold'!$A:$M,7,0)</f>
        <v>0</v>
      </c>
      <c r="U460" s="4">
        <f>VLOOKUP(A460,'[6]Monthly Sold'!$A:$M,8,0)</f>
        <v>0</v>
      </c>
      <c r="V460" s="4">
        <f>VLOOKUP(A460,'[6]Monthly Sold'!$A:$M,9,0)</f>
        <v>0</v>
      </c>
      <c r="W460" s="4">
        <f>VLOOKUP(A460,'[6]Monthly Sold'!$A:$M,10,0)</f>
        <v>50</v>
      </c>
      <c r="X460" s="4">
        <f>VLOOKUP(A460,'[6]Monthly Sold'!$A:$M,11,0)</f>
        <v>0</v>
      </c>
      <c r="Y460" s="4">
        <f>VLOOKUP(A460,'[6]Monthly Sold'!$A:$M,12,0)</f>
        <v>50</v>
      </c>
      <c r="Z460" s="4">
        <f>VLOOKUP(A460,'[6]Monthly Sold'!$A:$M,13,0)</f>
        <v>50</v>
      </c>
      <c r="AA460" s="4">
        <f t="shared" si="118"/>
        <v>150</v>
      </c>
      <c r="AB460" s="7">
        <f t="shared" si="125"/>
        <v>13</v>
      </c>
      <c r="AC460" s="15">
        <f t="shared" si="119"/>
        <v>12.5</v>
      </c>
      <c r="AD460" s="16">
        <f t="shared" si="120"/>
        <v>5386.4999999999991</v>
      </c>
      <c r="AE460" s="16">
        <f t="shared" si="121"/>
        <v>448.87499999999994</v>
      </c>
      <c r="AF460" s="21">
        <v>7.63</v>
      </c>
      <c r="AG460" s="21">
        <v>35.909999999999997</v>
      </c>
      <c r="AH460" s="15">
        <f t="shared" si="122"/>
        <v>0.38226666666666653</v>
      </c>
      <c r="AI460" s="15">
        <f t="shared" si="123"/>
        <v>1.3379333333333325</v>
      </c>
      <c r="AJ460" s="10">
        <v>0.5</v>
      </c>
      <c r="AK460" s="10">
        <v>0.5</v>
      </c>
      <c r="AL460" s="21">
        <v>7.63</v>
      </c>
      <c r="AM460" s="9">
        <f t="shared" si="126"/>
        <v>5.386499999999999</v>
      </c>
      <c r="AN460" s="9">
        <f t="shared" si="127"/>
        <v>1.0772999999999999</v>
      </c>
      <c r="AO460" s="9">
        <f t="shared" si="128"/>
        <v>7.1819999999999995</v>
      </c>
      <c r="AP460" s="9">
        <f t="shared" si="129"/>
        <v>0.71819999999999995</v>
      </c>
      <c r="AQ460" s="9">
        <f t="shared" si="130"/>
        <v>7.1819999999999995</v>
      </c>
      <c r="AR460" s="9">
        <f t="shared" si="131"/>
        <v>8.9774999999999991</v>
      </c>
      <c r="AS460" s="11">
        <f t="shared" si="132"/>
        <v>3.8226666666666649</v>
      </c>
      <c r="AT460" s="12">
        <f t="shared" si="133"/>
        <v>2.6256666666666653</v>
      </c>
    </row>
    <row r="461" spans="1:46" ht="16.5" x14ac:dyDescent="0.4">
      <c r="A461" s="4" t="s">
        <v>1875</v>
      </c>
      <c r="B461" s="4" t="s">
        <v>1895</v>
      </c>
      <c r="C461" s="4" t="s">
        <v>1784</v>
      </c>
      <c r="D461" s="4" t="s">
        <v>2127</v>
      </c>
      <c r="E461" s="4" t="s">
        <v>2128</v>
      </c>
      <c r="F461" s="4" t="s">
        <v>2129</v>
      </c>
      <c r="G461" s="7" t="str">
        <f>VLOOKUP(A461,[1]done!$A:$I,9,0)</f>
        <v>Rodent</v>
      </c>
      <c r="H461" s="7" t="str" cm="1">
        <f t="array" ref="H461">_xlfn.IFS(
OR(ISNUMBER(SEARCH("mouse",E461)),ISNUMBER(SEARCH("rat",E461)),ISNUMBER(SEARCH("mice",E461)),ISNUMBER(SEARCH("rodent",E461))),"Rodent Control",
OR(ISNUMBER(SEARCH("fly",E461)),ISNUMBER(SEARCH("gnat",E461)),ISNUMBER(SEARCH("insect",E461)),ISNUMBER(SEARCH("mosquito",E461))),"Flying Insect Control",
OR(ISNUMBER(SEARCH("roach",E461)),ISNUMBER(SEARCH("ant",E461)),ISNUMBER(SEARCH("spider",E461)),ISNUMBER(SEARCH("cricket",E461)),ISNUMBER(SEARCH("scorpion",E461)),ISNUMBER(SEARCH("centipede",E461)),ISNUMBER(SEARCH("beetle",E461))),"Crawling Insect Control",
OR(ISNUMBER(SEARCH("tree",E461)),ISNUMBER(SEARCH("lantern",E461)),ISNUMBER(SEARCH("garden",E461)),ISNUMBER(SEARCH("plant",E461))),"Garden Pest Control",
OR(ISNUMBER(SEARCH("grass seed",E461)),ISNUMBER(SEARCH("seed mix",E461))),"Grass Seed",
OR(ISNUMBER(SEARCH("lawn food",E461)),ISNUMBER(SEARCH("fertilizer",E461))),"Lawn Fertilizer",
OR(ISNUMBER(SEARCH("patch",E461)),ISNUMBER(SEARCH("repair",E461)),ISNUMBER(SEARCH("thick'r",E461)),ISNUMBER(SEARCH("thick'r lawn",E461)),ISNUMBER(SEARCH("rapid grass",E461))),"Lawn Repair",
OR(ISNUMBER(SEARCH("weed",E461)),ISNUMBER(SEARCH("crabgrass",E461))),"Weed Control",
OR(ISNUMBER(SEARCH("fungicide",E461)),ISNUMBER(SEARCH("moss",E461))),"Disease &amp; Moss Control",
OR(ISNUMBER(SEARCH("plant food",E461)),ISNUMBER(SEARCH("miracid",E461))),"Plant Nutrition",
OR(ISNUMBER(SEARCH("perlite",E461))),"Soil Amendment",
OR(ISNUMBER(SEARCH("spreader",E461)),ISNUMBER(SEARCH("sprayer",E461)),ISNUMBER(SEARCH("mower",E461)),ISNUMBER(SEARCH("sweeper",E461)),ISNUMBER(SEARCH("pruner",E461)),ISNUMBER(SEARCH("trimmer",E461)),ISNUMBER(SEARCH("pole saw",E461))),"Garden Equipment",
TRUE,"Other"
)</f>
        <v>Rodent Control</v>
      </c>
      <c r="I461" s="7" t="str" cm="1">
        <f t="array" ref="I461">_xlfn.IFS(
OR(ISNUMBER(SEARCH("glue trap",E461)),ISNUMBER(SEARCH("glue board",E461))),"Glue Traps",
OR(ISNUMBER(SEARCH("snap trap",E461)),ISNUMBER(SEARCH("power-kill",E461)),ISNUMBER(SEARCH("wide pedal",E461)),ISNUMBER(SEARCH("metal pedal",E461))),"Snap Traps",
OR(ISNUMBER(SEARCH("electronic",E461)),ISNUMBER(SEARCH("zapper",E461))),"Electronic Traps",
OR(ISNUMBER(SEARCH("live catch",E461)),ISNUMBER(SEARCH("multi-catch",E461)),ISNUMBER(SEARCH("catch &amp; hold",E461)),ISNUMBER(SEARCH("tin cat",E461))),"Live Catch Traps",
OR(ISNUMBER(SEARCH("bait",E461)),ISNUMBER(SEARCH("poison",E461))),"Bait &amp; Poison",
ISNUMBER(SEARCH("repellent",E461)),"Repellents",
OR(ISNUMBER(SEARCH("fly trap",E461)),ISNUMBER(SEARCH("fly ribbon",E461)),ISNUMBER(SEARCH("fly stick",E461)),ISNUMBER(SEARCH("window fly",E461)),ISNUMBER(SEARCH("fly magnet",E461))),"Fly Traps",
OR(ISNUMBER(SEARCH("uv",E461)),ISNUMBER(SEARCH("fly light",E461)),ISNUMBER(SEARCH("plug-in",E461))),"UV Fly Traps",
ISNUMBER(SEARCH("roach",E461)),"Roach Traps",
ISNUMBER(SEARCH("ant",E461)),"Ant Traps",
ISNUMBER(SEARCH("spider",E461)),"Spider Traps",
ISNUMBER(SEARCH("mosquito",E461)),"Mosquito Traps",
ISNUMBER(SEARCH("beetle",E461)),"Beetle Traps",
ISNUMBER(SEARCH("lantern",E461)),"Lanternfly Control",
OR(ISNUMBER(SEARCH("tree shield",E461)),ISNUMBER(SEARCH("tree banding",E461)),ISNUMBER(SEARCH("insect barrier",E461))),"Tree Barriers",
OR(ISNUMBER(SEARCH("sun &amp; shade",E461)),ISNUMBER(SEARCH("sun and shade",E461))),"Sun &amp; Shade Mix",
ISNUMBER(SEARCH("tall fescue",E461)),"Tall Fescue",
ISNUMBER(SEARCH("bermudagrass",E461)),"Bermudagrass",
ISNUMBER(SEARCH("kentucky",E461)),"Kentucky Bluegrass",
ISNUMBER(SEARCH("zoysia",E461)),"Zoysia",
ISNUMBER(SEARCH("ryegrass",E461)),"Perennial Ryegrass",
ISNUMBER(SEARCH("centipede",E461)),"Centipede Grass",
ISNUMBER(SEARCH("dense shade",E461)),"Dense Shade Mix",
ISNUMBER(SEARCH("southern gold",E461)),"Southern Gold Mix",
ISNUMBER(SEARCH("heat-tolerant blue",E461)),"Heat-Tolerant Blue Mix",
ISNUMBER(SEARCH("high traffic",E461)),"High Traffic Mix",
ISNUMBER(SEARCH("quick fix",E461)),"Quick Fix Mix",
ISNUMBER(SEARCH("starter",E461)),"Starter Fertilizer",
ISNUMBER(SEARCH("weed &amp; feed",E461)),"Weed &amp; Feed",
ISNUMBER(SEARCH("lawn food",E461)),"Lawn Food",
ISNUMBER(SEARCH("triple action",E461)),"Triple Action Fertilizer",
ISNUMBER(SEARCH("green max",E461)),"Green Max Lawn Food",
ISNUMBER(SEARCH("patchmaster",E461)),"PatchMaster Repair",
ISNUMBER(SEARCH("ez seed",E461)),"EZ Seed Repair",
ISNUMBER(SEARCH("rapid grass",E461)),"Rapid Grass",
ISNUMBER(SEARCH("thick'r lawn",E461)),"Thick'R Lawn",
ISNUMBER(SEARCH("fungicide",E461)),"Fungicide",
ISNUMBER(SEARCH("moss",E461)),"Moss Control",
ISNUMBER(SEARCH("perlite",E461)),"Perlite",
ISNUMBER(SEARCH("plant food",E461)),"Plant Food",
ISNUMBER(SEARCH("spreader",E461)),"Spreader",
ISNUMBER(SEARCH("sprayer",E461)),"Sprayer",
ISNUMBER(SEARCH("mower",E461)),"Lawn Mower",
ISNUMBER(SEARCH("sweeper",E461)),"Lawn Sweeper",
OR(ISNUMBER(SEARCH("pruner",E461)),ISNUMBER(SEARCH("trimmer",E461)),ISNUMBER(SEARCH("pole saw",E461))),"Pruning Tools",
TRUE,"Other"
)</f>
        <v>Bait &amp; Poison</v>
      </c>
      <c r="J461" s="7" t="str">
        <f t="shared" si="124"/>
        <v>Rodent Control - Bait &amp; Poison</v>
      </c>
      <c r="K461" s="4">
        <v>100</v>
      </c>
      <c r="L461" s="4">
        <v>4.4000000000000004</v>
      </c>
      <c r="M461" s="4">
        <v>23608</v>
      </c>
      <c r="N461" s="4" t="s">
        <v>579</v>
      </c>
      <c r="O461" s="4">
        <f>VLOOKUP(A461,'[6]Monthly Sold'!$A:$B,2,0)</f>
        <v>1000</v>
      </c>
      <c r="P461" s="4">
        <f>VLOOKUP(A461,'[6]Monthly Sold'!$A:$M,3,0)</f>
        <v>0</v>
      </c>
      <c r="Q461" s="4">
        <f>VLOOKUP(A461,'[6]Monthly Sold'!$A:$M,4,0)</f>
        <v>0</v>
      </c>
      <c r="R461" s="4">
        <f>VLOOKUP(A461,'[6]Monthly Sold'!$A:$M,5,0)</f>
        <v>0</v>
      </c>
      <c r="S461" s="4">
        <f>VLOOKUP(A461,'[6]Monthly Sold'!$A:$M,6,0)</f>
        <v>0</v>
      </c>
      <c r="T461" s="4">
        <f>VLOOKUP(A461,'[6]Monthly Sold'!$A:$M,7,0)</f>
        <v>0</v>
      </c>
      <c r="U461" s="4">
        <f>VLOOKUP(A461,'[6]Monthly Sold'!$A:$M,8,0)</f>
        <v>0</v>
      </c>
      <c r="V461" s="4">
        <f>VLOOKUP(A461,'[6]Monthly Sold'!$A:$M,9,0)</f>
        <v>0</v>
      </c>
      <c r="W461" s="4">
        <f>VLOOKUP(A461,'[6]Monthly Sold'!$A:$M,10,0)</f>
        <v>0</v>
      </c>
      <c r="X461" s="4">
        <f>VLOOKUP(A461,'[6]Monthly Sold'!$A:$M,11,0)</f>
        <v>1000</v>
      </c>
      <c r="Y461" s="4">
        <f>VLOOKUP(A461,'[6]Monthly Sold'!$A:$M,12,0)</f>
        <v>1000</v>
      </c>
      <c r="Z461" s="4">
        <f>VLOOKUP(A461,'[6]Monthly Sold'!$A:$M,13,0)</f>
        <v>1000</v>
      </c>
      <c r="AA461" s="4">
        <f t="shared" si="118"/>
        <v>4000</v>
      </c>
      <c r="AB461" s="7">
        <f t="shared" si="125"/>
        <v>333</v>
      </c>
      <c r="AC461" s="15">
        <f t="shared" si="119"/>
        <v>333.33333333333331</v>
      </c>
      <c r="AD461" s="16">
        <f t="shared" si="120"/>
        <v>141960</v>
      </c>
      <c r="AE461" s="16">
        <f t="shared" si="121"/>
        <v>11830</v>
      </c>
      <c r="AF461" s="21">
        <v>7.71</v>
      </c>
      <c r="AG461" s="21">
        <v>35.49</v>
      </c>
      <c r="AH461" s="15">
        <f t="shared" si="122"/>
        <v>0.36573333333333324</v>
      </c>
      <c r="AI461" s="15">
        <f t="shared" si="123"/>
        <v>1.2800666666666662</v>
      </c>
      <c r="AJ461" s="10">
        <v>0.5</v>
      </c>
      <c r="AK461" s="10">
        <v>0.5</v>
      </c>
      <c r="AL461" s="21">
        <v>7.71</v>
      </c>
      <c r="AM461" s="9">
        <f t="shared" si="126"/>
        <v>5.3235000000000001</v>
      </c>
      <c r="AN461" s="9">
        <f t="shared" si="127"/>
        <v>1.0647</v>
      </c>
      <c r="AO461" s="9">
        <f t="shared" si="128"/>
        <v>7.0980000000000008</v>
      </c>
      <c r="AP461" s="9">
        <f t="shared" si="129"/>
        <v>0.7098000000000001</v>
      </c>
      <c r="AQ461" s="9">
        <f t="shared" si="130"/>
        <v>7.0980000000000008</v>
      </c>
      <c r="AR461" s="9">
        <f t="shared" si="131"/>
        <v>8.8725000000000005</v>
      </c>
      <c r="AS461" s="11">
        <f t="shared" si="132"/>
        <v>3.6573333333333324</v>
      </c>
      <c r="AT461" s="12">
        <f t="shared" si="133"/>
        <v>2.4743333333333326</v>
      </c>
    </row>
    <row r="462" spans="1:46" ht="16.5" x14ac:dyDescent="0.4">
      <c r="A462" s="4" t="s">
        <v>1876</v>
      </c>
      <c r="B462" s="4" t="s">
        <v>1895</v>
      </c>
      <c r="C462" s="4" t="s">
        <v>1784</v>
      </c>
      <c r="D462" s="4" t="s">
        <v>2130</v>
      </c>
      <c r="E462" s="4" t="s">
        <v>2131</v>
      </c>
      <c r="F462" s="4" t="s">
        <v>2132</v>
      </c>
      <c r="G462" s="7" t="str">
        <f>VLOOKUP(A462,[1]done!$A:$I,9,0)</f>
        <v>Rodent</v>
      </c>
      <c r="H462" s="7" t="str" cm="1">
        <f t="array" ref="H462">_xlfn.IFS(
OR(ISNUMBER(SEARCH("mouse",E462)),ISNUMBER(SEARCH("rat",E462)),ISNUMBER(SEARCH("mice",E462)),ISNUMBER(SEARCH("rodent",E462))),"Rodent Control",
OR(ISNUMBER(SEARCH("fly",E462)),ISNUMBER(SEARCH("gnat",E462)),ISNUMBER(SEARCH("insect",E462)),ISNUMBER(SEARCH("mosquito",E462))),"Flying Insect Control",
OR(ISNUMBER(SEARCH("roach",E462)),ISNUMBER(SEARCH("ant",E462)),ISNUMBER(SEARCH("spider",E462)),ISNUMBER(SEARCH("cricket",E462)),ISNUMBER(SEARCH("scorpion",E462)),ISNUMBER(SEARCH("centipede",E462)),ISNUMBER(SEARCH("beetle",E462))),"Crawling Insect Control",
OR(ISNUMBER(SEARCH("tree",E462)),ISNUMBER(SEARCH("lantern",E462)),ISNUMBER(SEARCH("garden",E462)),ISNUMBER(SEARCH("plant",E462))),"Garden Pest Control",
OR(ISNUMBER(SEARCH("grass seed",E462)),ISNUMBER(SEARCH("seed mix",E462))),"Grass Seed",
OR(ISNUMBER(SEARCH("lawn food",E462)),ISNUMBER(SEARCH("fertilizer",E462))),"Lawn Fertilizer",
OR(ISNUMBER(SEARCH("patch",E462)),ISNUMBER(SEARCH("repair",E462)),ISNUMBER(SEARCH("thick'r",E462)),ISNUMBER(SEARCH("thick'r lawn",E462)),ISNUMBER(SEARCH("rapid grass",E462))),"Lawn Repair",
OR(ISNUMBER(SEARCH("weed",E462)),ISNUMBER(SEARCH("crabgrass",E462))),"Weed Control",
OR(ISNUMBER(SEARCH("fungicide",E462)),ISNUMBER(SEARCH("moss",E462))),"Disease &amp; Moss Control",
OR(ISNUMBER(SEARCH("plant food",E462)),ISNUMBER(SEARCH("miracid",E462))),"Plant Nutrition",
OR(ISNUMBER(SEARCH("perlite",E462))),"Soil Amendment",
OR(ISNUMBER(SEARCH("spreader",E462)),ISNUMBER(SEARCH("sprayer",E462)),ISNUMBER(SEARCH("mower",E462)),ISNUMBER(SEARCH("sweeper",E462)),ISNUMBER(SEARCH("pruner",E462)),ISNUMBER(SEARCH("trimmer",E462)),ISNUMBER(SEARCH("pole saw",E462))),"Garden Equipment",
TRUE,"Other"
)</f>
        <v>Rodent Control</v>
      </c>
      <c r="I462" s="7" t="str" cm="1">
        <f t="array" ref="I462">_xlfn.IFS(
OR(ISNUMBER(SEARCH("glue trap",E462)),ISNUMBER(SEARCH("glue board",E462))),"Glue Traps",
OR(ISNUMBER(SEARCH("snap trap",E462)),ISNUMBER(SEARCH("power-kill",E462)),ISNUMBER(SEARCH("wide pedal",E462)),ISNUMBER(SEARCH("metal pedal",E462))),"Snap Traps",
OR(ISNUMBER(SEARCH("electronic",E462)),ISNUMBER(SEARCH("zapper",E462))),"Electronic Traps",
OR(ISNUMBER(SEARCH("live catch",E462)),ISNUMBER(SEARCH("multi-catch",E462)),ISNUMBER(SEARCH("catch &amp; hold",E462)),ISNUMBER(SEARCH("tin cat",E462))),"Live Catch Traps",
OR(ISNUMBER(SEARCH("bait",E462)),ISNUMBER(SEARCH("poison",E462))),"Bait &amp; Poison",
ISNUMBER(SEARCH("repellent",E462)),"Repellents",
OR(ISNUMBER(SEARCH("fly trap",E462)),ISNUMBER(SEARCH("fly ribbon",E462)),ISNUMBER(SEARCH("fly stick",E462)),ISNUMBER(SEARCH("window fly",E462)),ISNUMBER(SEARCH("fly magnet",E462))),"Fly Traps",
OR(ISNUMBER(SEARCH("uv",E462)),ISNUMBER(SEARCH("fly light",E462)),ISNUMBER(SEARCH("plug-in",E462))),"UV Fly Traps",
ISNUMBER(SEARCH("roach",E462)),"Roach Traps",
ISNUMBER(SEARCH("ant",E462)),"Ant Traps",
ISNUMBER(SEARCH("spider",E462)),"Spider Traps",
ISNUMBER(SEARCH("mosquito",E462)),"Mosquito Traps",
ISNUMBER(SEARCH("beetle",E462)),"Beetle Traps",
ISNUMBER(SEARCH("lantern",E462)),"Lanternfly Control",
OR(ISNUMBER(SEARCH("tree shield",E462)),ISNUMBER(SEARCH("tree banding",E462)),ISNUMBER(SEARCH("insect barrier",E462))),"Tree Barriers",
OR(ISNUMBER(SEARCH("sun &amp; shade",E462)),ISNUMBER(SEARCH("sun and shade",E462))),"Sun &amp; Shade Mix",
ISNUMBER(SEARCH("tall fescue",E462)),"Tall Fescue",
ISNUMBER(SEARCH("bermudagrass",E462)),"Bermudagrass",
ISNUMBER(SEARCH("kentucky",E462)),"Kentucky Bluegrass",
ISNUMBER(SEARCH("zoysia",E462)),"Zoysia",
ISNUMBER(SEARCH("ryegrass",E462)),"Perennial Ryegrass",
ISNUMBER(SEARCH("centipede",E462)),"Centipede Grass",
ISNUMBER(SEARCH("dense shade",E462)),"Dense Shade Mix",
ISNUMBER(SEARCH("southern gold",E462)),"Southern Gold Mix",
ISNUMBER(SEARCH("heat-tolerant blue",E462)),"Heat-Tolerant Blue Mix",
ISNUMBER(SEARCH("high traffic",E462)),"High Traffic Mix",
ISNUMBER(SEARCH("quick fix",E462)),"Quick Fix Mix",
ISNUMBER(SEARCH("starter",E462)),"Starter Fertilizer",
ISNUMBER(SEARCH("weed &amp; feed",E462)),"Weed &amp; Feed",
ISNUMBER(SEARCH("lawn food",E462)),"Lawn Food",
ISNUMBER(SEARCH("triple action",E462)),"Triple Action Fertilizer",
ISNUMBER(SEARCH("green max",E462)),"Green Max Lawn Food",
ISNUMBER(SEARCH("patchmaster",E462)),"PatchMaster Repair",
ISNUMBER(SEARCH("ez seed",E462)),"EZ Seed Repair",
ISNUMBER(SEARCH("rapid grass",E462)),"Rapid Grass",
ISNUMBER(SEARCH("thick'r lawn",E462)),"Thick'R Lawn",
ISNUMBER(SEARCH("fungicide",E462)),"Fungicide",
ISNUMBER(SEARCH("moss",E462)),"Moss Control",
ISNUMBER(SEARCH("perlite",E462)),"Perlite",
ISNUMBER(SEARCH("plant food",E462)),"Plant Food",
ISNUMBER(SEARCH("spreader",E462)),"Spreader",
ISNUMBER(SEARCH("sprayer",E462)),"Sprayer",
ISNUMBER(SEARCH("mower",E462)),"Lawn Mower",
ISNUMBER(SEARCH("sweeper",E462)),"Lawn Sweeper",
OR(ISNUMBER(SEARCH("pruner",E462)),ISNUMBER(SEARCH("trimmer",E462)),ISNUMBER(SEARCH("pole saw",E462))),"Pruning Tools",
TRUE,"Other"
)</f>
        <v>Bait &amp; Poison</v>
      </c>
      <c r="J462" s="7" t="str">
        <f t="shared" si="124"/>
        <v>Rodent Control - Bait &amp; Poison</v>
      </c>
      <c r="K462" s="4">
        <v>100</v>
      </c>
      <c r="L462" s="4">
        <v>4.5</v>
      </c>
      <c r="M462" s="4">
        <v>84</v>
      </c>
      <c r="N462" s="4" t="s">
        <v>2021</v>
      </c>
      <c r="O462" s="4">
        <f>VLOOKUP(A462,'[6]Monthly Sold'!$A:$B,2,0)</f>
        <v>100</v>
      </c>
      <c r="P462" s="4">
        <f>VLOOKUP(A462,'[6]Monthly Sold'!$A:$M,3,0)</f>
        <v>100</v>
      </c>
      <c r="Q462" s="4">
        <f>VLOOKUP(A462,'[6]Monthly Sold'!$A:$M,4,0)</f>
        <v>50</v>
      </c>
      <c r="R462" s="4">
        <f>VLOOKUP(A462,'[6]Monthly Sold'!$A:$M,5,0)</f>
        <v>50</v>
      </c>
      <c r="S462" s="4">
        <f>VLOOKUP(A462,'[6]Monthly Sold'!$A:$M,6,0)</f>
        <v>50</v>
      </c>
      <c r="T462" s="4">
        <f>VLOOKUP(A462,'[6]Monthly Sold'!$A:$M,7,0)</f>
        <v>50</v>
      </c>
      <c r="U462" s="4">
        <f>VLOOKUP(A462,'[6]Monthly Sold'!$A:$M,8,0)</f>
        <v>50</v>
      </c>
      <c r="V462" s="4">
        <f>VLOOKUP(A462,'[6]Monthly Sold'!$A:$M,9,0)</f>
        <v>50</v>
      </c>
      <c r="W462" s="4">
        <f>VLOOKUP(A462,'[6]Monthly Sold'!$A:$M,10,0)</f>
        <v>50</v>
      </c>
      <c r="X462" s="4">
        <f>VLOOKUP(A462,'[6]Monthly Sold'!$A:$M,11,0)</f>
        <v>100</v>
      </c>
      <c r="Y462" s="4">
        <f>VLOOKUP(A462,'[6]Monthly Sold'!$A:$M,12,0)</f>
        <v>100</v>
      </c>
      <c r="Z462" s="4">
        <f>VLOOKUP(A462,'[6]Monthly Sold'!$A:$M,13,0)</f>
        <v>100</v>
      </c>
      <c r="AA462" s="4">
        <f t="shared" si="118"/>
        <v>850</v>
      </c>
      <c r="AB462" s="7">
        <f t="shared" si="125"/>
        <v>71</v>
      </c>
      <c r="AC462" s="15">
        <f t="shared" si="119"/>
        <v>70.833333333333329</v>
      </c>
      <c r="AD462" s="16">
        <f t="shared" si="120"/>
        <v>30157.999999999996</v>
      </c>
      <c r="AE462" s="16">
        <f t="shared" si="121"/>
        <v>2513.1666666666661</v>
      </c>
      <c r="AF462" s="21">
        <v>7.38</v>
      </c>
      <c r="AG462" s="21">
        <v>35.479999999999997</v>
      </c>
      <c r="AH462" s="15">
        <f t="shared" si="122"/>
        <v>0.38746666666666651</v>
      </c>
      <c r="AI462" s="15">
        <f t="shared" si="123"/>
        <v>1.3561333333333327</v>
      </c>
      <c r="AJ462" s="10">
        <v>0.5</v>
      </c>
      <c r="AK462" s="10">
        <v>0.5</v>
      </c>
      <c r="AL462" s="21">
        <v>7.38</v>
      </c>
      <c r="AM462" s="9">
        <f t="shared" si="126"/>
        <v>5.3219999999999992</v>
      </c>
      <c r="AN462" s="9">
        <f t="shared" si="127"/>
        <v>1.0643999999999998</v>
      </c>
      <c r="AO462" s="9">
        <f t="shared" si="128"/>
        <v>7.0960000000000001</v>
      </c>
      <c r="AP462" s="9">
        <f t="shared" si="129"/>
        <v>0.7095999999999999</v>
      </c>
      <c r="AQ462" s="9">
        <f t="shared" si="130"/>
        <v>7.0960000000000001</v>
      </c>
      <c r="AR462" s="9">
        <f t="shared" si="131"/>
        <v>8.8699999999999992</v>
      </c>
      <c r="AS462" s="11">
        <f t="shared" si="132"/>
        <v>3.8746666666666649</v>
      </c>
      <c r="AT462" s="12">
        <f t="shared" si="133"/>
        <v>2.6919999999999988</v>
      </c>
    </row>
    <row r="463" spans="1:46" ht="16.5" x14ac:dyDescent="0.4">
      <c r="A463" s="4" t="s">
        <v>1877</v>
      </c>
      <c r="B463" s="4" t="s">
        <v>1895</v>
      </c>
      <c r="C463" s="4" t="s">
        <v>1784</v>
      </c>
      <c r="D463" s="4" t="s">
        <v>2133</v>
      </c>
      <c r="E463" s="4" t="s">
        <v>2134</v>
      </c>
      <c r="F463" s="4" t="s">
        <v>2135</v>
      </c>
      <c r="G463" s="7" t="str">
        <f>VLOOKUP(A463,[1]done!$A:$I,9,0)</f>
        <v>Deer &amp; Rabbit control</v>
      </c>
      <c r="H463" s="7" t="str" cm="1">
        <f t="array" ref="H463">_xlfn.IFS(
OR(ISNUMBER(SEARCH("mouse",E463)),ISNUMBER(SEARCH("rat",E463)),ISNUMBER(SEARCH("mice",E463)),ISNUMBER(SEARCH("rodent",E463))),"Rodent Control",
OR(ISNUMBER(SEARCH("fly",E463)),ISNUMBER(SEARCH("gnat",E463)),ISNUMBER(SEARCH("insect",E463)),ISNUMBER(SEARCH("mosquito",E463))),"Flying Insect Control",
OR(ISNUMBER(SEARCH("roach",E463)),ISNUMBER(SEARCH("ant",E463)),ISNUMBER(SEARCH("spider",E463)),ISNUMBER(SEARCH("cricket",E463)),ISNUMBER(SEARCH("scorpion",E463)),ISNUMBER(SEARCH("centipede",E463)),ISNUMBER(SEARCH("beetle",E463))),"Crawling Insect Control",
OR(ISNUMBER(SEARCH("tree",E463)),ISNUMBER(SEARCH("lantern",E463)),ISNUMBER(SEARCH("garden",E463)),ISNUMBER(SEARCH("plant",E463))),"Garden Pest Control",
OR(ISNUMBER(SEARCH("grass seed",E463)),ISNUMBER(SEARCH("seed mix",E463))),"Grass Seed",
OR(ISNUMBER(SEARCH("lawn food",E463)),ISNUMBER(SEARCH("fertilizer",E463))),"Lawn Fertilizer",
OR(ISNUMBER(SEARCH("patch",E463)),ISNUMBER(SEARCH("repair",E463)),ISNUMBER(SEARCH("thick'r",E463)),ISNUMBER(SEARCH("thick'r lawn",E463)),ISNUMBER(SEARCH("rapid grass",E463))),"Lawn Repair",
OR(ISNUMBER(SEARCH("weed",E463)),ISNUMBER(SEARCH("crabgrass",E463))),"Weed Control",
OR(ISNUMBER(SEARCH("fungicide",E463)),ISNUMBER(SEARCH("moss",E463))),"Disease &amp; Moss Control",
OR(ISNUMBER(SEARCH("plant food",E463)),ISNUMBER(SEARCH("miracid",E463))),"Plant Nutrition",
OR(ISNUMBER(SEARCH("perlite",E463))),"Soil Amendment",
OR(ISNUMBER(SEARCH("spreader",E463)),ISNUMBER(SEARCH("sprayer",E463)),ISNUMBER(SEARCH("mower",E463)),ISNUMBER(SEARCH("sweeper",E463)),ISNUMBER(SEARCH("pruner",E463)),ISNUMBER(SEARCH("trimmer",E463)),ISNUMBER(SEARCH("pole saw",E463))),"Garden Equipment",
TRUE,"Other"
)</f>
        <v>Other</v>
      </c>
      <c r="I463" s="7" t="str" cm="1">
        <f t="array" ref="I463">_xlfn.IFS(
OR(ISNUMBER(SEARCH("glue trap",E463)),ISNUMBER(SEARCH("glue board",E463))),"Glue Traps",
OR(ISNUMBER(SEARCH("snap trap",E463)),ISNUMBER(SEARCH("power-kill",E463)),ISNUMBER(SEARCH("wide pedal",E463)),ISNUMBER(SEARCH("metal pedal",E463))),"Snap Traps",
OR(ISNUMBER(SEARCH("electronic",E463)),ISNUMBER(SEARCH("zapper",E463))),"Electronic Traps",
OR(ISNUMBER(SEARCH("live catch",E463)),ISNUMBER(SEARCH("multi-catch",E463)),ISNUMBER(SEARCH("catch &amp; hold",E463)),ISNUMBER(SEARCH("tin cat",E463))),"Live Catch Traps",
OR(ISNUMBER(SEARCH("bait",E463)),ISNUMBER(SEARCH("poison",E463))),"Bait &amp; Poison",
ISNUMBER(SEARCH("repellent",E463)),"Repellents",
OR(ISNUMBER(SEARCH("fly trap",E463)),ISNUMBER(SEARCH("fly ribbon",E463)),ISNUMBER(SEARCH("fly stick",E463)),ISNUMBER(SEARCH("window fly",E463)),ISNUMBER(SEARCH("fly magnet",E463))),"Fly Traps",
OR(ISNUMBER(SEARCH("uv",E463)),ISNUMBER(SEARCH("fly light",E463)),ISNUMBER(SEARCH("plug-in",E463))),"UV Fly Traps",
ISNUMBER(SEARCH("roach",E463)),"Roach Traps",
ISNUMBER(SEARCH("ant",E463)),"Ant Traps",
ISNUMBER(SEARCH("spider",E463)),"Spider Traps",
ISNUMBER(SEARCH("mosquito",E463)),"Mosquito Traps",
ISNUMBER(SEARCH("beetle",E463)),"Beetle Traps",
ISNUMBER(SEARCH("lantern",E463)),"Lanternfly Control",
OR(ISNUMBER(SEARCH("tree shield",E463)),ISNUMBER(SEARCH("tree banding",E463)),ISNUMBER(SEARCH("insect barrier",E463))),"Tree Barriers",
OR(ISNUMBER(SEARCH("sun &amp; shade",E463)),ISNUMBER(SEARCH("sun and shade",E463))),"Sun &amp; Shade Mix",
ISNUMBER(SEARCH("tall fescue",E463)),"Tall Fescue",
ISNUMBER(SEARCH("bermudagrass",E463)),"Bermudagrass",
ISNUMBER(SEARCH("kentucky",E463)),"Kentucky Bluegrass",
ISNUMBER(SEARCH("zoysia",E463)),"Zoysia",
ISNUMBER(SEARCH("ryegrass",E463)),"Perennial Ryegrass",
ISNUMBER(SEARCH("centipede",E463)),"Centipede Grass",
ISNUMBER(SEARCH("dense shade",E463)),"Dense Shade Mix",
ISNUMBER(SEARCH("southern gold",E463)),"Southern Gold Mix",
ISNUMBER(SEARCH("heat-tolerant blue",E463)),"Heat-Tolerant Blue Mix",
ISNUMBER(SEARCH("high traffic",E463)),"High Traffic Mix",
ISNUMBER(SEARCH("quick fix",E463)),"Quick Fix Mix",
ISNUMBER(SEARCH("starter",E463)),"Starter Fertilizer",
ISNUMBER(SEARCH("weed &amp; feed",E463)),"Weed &amp; Feed",
ISNUMBER(SEARCH("lawn food",E463)),"Lawn Food",
ISNUMBER(SEARCH("triple action",E463)),"Triple Action Fertilizer",
ISNUMBER(SEARCH("green max",E463)),"Green Max Lawn Food",
ISNUMBER(SEARCH("patchmaster",E463)),"PatchMaster Repair",
ISNUMBER(SEARCH("ez seed",E463)),"EZ Seed Repair",
ISNUMBER(SEARCH("rapid grass",E463)),"Rapid Grass",
ISNUMBER(SEARCH("thick'r lawn",E463)),"Thick'R Lawn",
ISNUMBER(SEARCH("fungicide",E463)),"Fungicide",
ISNUMBER(SEARCH("moss",E463)),"Moss Control",
ISNUMBER(SEARCH("perlite",E463)),"Perlite",
ISNUMBER(SEARCH("plant food",E463)),"Plant Food",
ISNUMBER(SEARCH("spreader",E463)),"Spreader",
ISNUMBER(SEARCH("sprayer",E463)),"Sprayer",
ISNUMBER(SEARCH("mower",E463)),"Lawn Mower",
ISNUMBER(SEARCH("sweeper",E463)),"Lawn Sweeper",
OR(ISNUMBER(SEARCH("pruner",E463)),ISNUMBER(SEARCH("trimmer",E463)),ISNUMBER(SEARCH("pole saw",E463))),"Pruning Tools",
TRUE,"Other"
)</f>
        <v>Repellents</v>
      </c>
      <c r="J463" s="7" t="str">
        <f t="shared" si="124"/>
        <v>Other - Repellents</v>
      </c>
      <c r="K463" s="4">
        <v>100</v>
      </c>
      <c r="L463" s="4">
        <v>3.8</v>
      </c>
      <c r="M463" s="4">
        <v>323</v>
      </c>
      <c r="N463" s="4" t="s">
        <v>2136</v>
      </c>
      <c r="O463" s="4">
        <f>VLOOKUP(A463,'[6]Monthly Sold'!$A:$B,2,0)</f>
        <v>0</v>
      </c>
      <c r="P463" s="4">
        <f>VLOOKUP(A463,'[6]Monthly Sold'!$A:$M,3,0)</f>
        <v>0</v>
      </c>
      <c r="Q463" s="4">
        <f>VLOOKUP(A463,'[6]Monthly Sold'!$A:$M,4,0)</f>
        <v>0</v>
      </c>
      <c r="R463" s="4">
        <f>VLOOKUP(A463,'[6]Monthly Sold'!$A:$M,5,0)</f>
        <v>50</v>
      </c>
      <c r="S463" s="4">
        <f>VLOOKUP(A463,'[6]Monthly Sold'!$A:$M,6,0)</f>
        <v>100</v>
      </c>
      <c r="T463" s="4">
        <f>VLOOKUP(A463,'[6]Monthly Sold'!$A:$M,7,0)</f>
        <v>100</v>
      </c>
      <c r="U463" s="4">
        <f>VLOOKUP(A463,'[6]Monthly Sold'!$A:$M,8,0)</f>
        <v>200</v>
      </c>
      <c r="V463" s="4">
        <f>VLOOKUP(A463,'[6]Monthly Sold'!$A:$M,9,0)</f>
        <v>100</v>
      </c>
      <c r="W463" s="4">
        <f>VLOOKUP(A463,'[6]Monthly Sold'!$A:$M,10,0)</f>
        <v>50</v>
      </c>
      <c r="X463" s="4">
        <f>VLOOKUP(A463,'[6]Monthly Sold'!$A:$M,11,0)</f>
        <v>50</v>
      </c>
      <c r="Y463" s="4">
        <f>VLOOKUP(A463,'[6]Monthly Sold'!$A:$M,12,0)</f>
        <v>0</v>
      </c>
      <c r="Z463" s="4">
        <f>VLOOKUP(A463,'[6]Monthly Sold'!$A:$M,13,0)</f>
        <v>0</v>
      </c>
      <c r="AA463" s="4">
        <f t="shared" si="118"/>
        <v>650</v>
      </c>
      <c r="AB463" s="7">
        <f t="shared" si="125"/>
        <v>54</v>
      </c>
      <c r="AC463" s="15">
        <f t="shared" si="119"/>
        <v>54.166666666666664</v>
      </c>
      <c r="AD463" s="16">
        <f t="shared" si="120"/>
        <v>6532.5000000000009</v>
      </c>
      <c r="AE463" s="16">
        <f t="shared" si="121"/>
        <v>544.375</v>
      </c>
      <c r="AF463" s="21">
        <v>9.3699999999999992</v>
      </c>
      <c r="AG463" s="21">
        <v>10.050000000000001</v>
      </c>
      <c r="AH463" s="15">
        <f t="shared" si="122"/>
        <v>-0.42333333333333334</v>
      </c>
      <c r="AI463" s="15">
        <f t="shared" si="123"/>
        <v>-1.4816666666666667</v>
      </c>
      <c r="AJ463" s="10">
        <v>0.5</v>
      </c>
      <c r="AK463" s="10">
        <v>0.5</v>
      </c>
      <c r="AL463" s="21">
        <v>9.3699999999999992</v>
      </c>
      <c r="AM463" s="9">
        <f t="shared" si="126"/>
        <v>1.5075000000000001</v>
      </c>
      <c r="AN463" s="9">
        <f t="shared" si="127"/>
        <v>0.30149999999999999</v>
      </c>
      <c r="AO463" s="9">
        <f t="shared" si="128"/>
        <v>2.0100000000000002</v>
      </c>
      <c r="AP463" s="9">
        <f t="shared" si="129"/>
        <v>0.20100000000000001</v>
      </c>
      <c r="AQ463" s="9">
        <f t="shared" si="130"/>
        <v>2.0100000000000002</v>
      </c>
      <c r="AR463" s="9">
        <f t="shared" si="131"/>
        <v>2.5125000000000002</v>
      </c>
      <c r="AS463" s="11">
        <f t="shared" si="132"/>
        <v>-4.2333333333333334</v>
      </c>
      <c r="AT463" s="12">
        <f t="shared" si="133"/>
        <v>-4.5683333333333325</v>
      </c>
    </row>
    <row r="464" spans="1:46" ht="16.5" x14ac:dyDescent="0.4">
      <c r="A464" s="4" t="s">
        <v>1878</v>
      </c>
      <c r="B464" s="4" t="s">
        <v>1895</v>
      </c>
      <c r="C464" s="4" t="s">
        <v>1784</v>
      </c>
      <c r="D464" s="4" t="s">
        <v>2137</v>
      </c>
      <c r="E464" s="4" t="s">
        <v>2138</v>
      </c>
      <c r="F464" s="4" t="s">
        <v>2139</v>
      </c>
      <c r="G464" s="7" t="str">
        <f>VLOOKUP(A464,[1]done!$A:$I,9,0)</f>
        <v>Rodent</v>
      </c>
      <c r="H464" s="7" t="str" cm="1">
        <f t="array" ref="H464">_xlfn.IFS(
OR(ISNUMBER(SEARCH("mouse",E464)),ISNUMBER(SEARCH("rat",E464)),ISNUMBER(SEARCH("mice",E464)),ISNUMBER(SEARCH("rodent",E464))),"Rodent Control",
OR(ISNUMBER(SEARCH("fly",E464)),ISNUMBER(SEARCH("gnat",E464)),ISNUMBER(SEARCH("insect",E464)),ISNUMBER(SEARCH("mosquito",E464))),"Flying Insect Control",
OR(ISNUMBER(SEARCH("roach",E464)),ISNUMBER(SEARCH("ant",E464)),ISNUMBER(SEARCH("spider",E464)),ISNUMBER(SEARCH("cricket",E464)),ISNUMBER(SEARCH("scorpion",E464)),ISNUMBER(SEARCH("centipede",E464)),ISNUMBER(SEARCH("beetle",E464))),"Crawling Insect Control",
OR(ISNUMBER(SEARCH("tree",E464)),ISNUMBER(SEARCH("lantern",E464)),ISNUMBER(SEARCH("garden",E464)),ISNUMBER(SEARCH("plant",E464))),"Garden Pest Control",
OR(ISNUMBER(SEARCH("grass seed",E464)),ISNUMBER(SEARCH("seed mix",E464))),"Grass Seed",
OR(ISNUMBER(SEARCH("lawn food",E464)),ISNUMBER(SEARCH("fertilizer",E464))),"Lawn Fertilizer",
OR(ISNUMBER(SEARCH("patch",E464)),ISNUMBER(SEARCH("repair",E464)),ISNUMBER(SEARCH("thick'r",E464)),ISNUMBER(SEARCH("thick'r lawn",E464)),ISNUMBER(SEARCH("rapid grass",E464))),"Lawn Repair",
OR(ISNUMBER(SEARCH("weed",E464)),ISNUMBER(SEARCH("crabgrass",E464))),"Weed Control",
OR(ISNUMBER(SEARCH("fungicide",E464)),ISNUMBER(SEARCH("moss",E464))),"Disease &amp; Moss Control",
OR(ISNUMBER(SEARCH("plant food",E464)),ISNUMBER(SEARCH("miracid",E464))),"Plant Nutrition",
OR(ISNUMBER(SEARCH("perlite",E464))),"Soil Amendment",
OR(ISNUMBER(SEARCH("spreader",E464)),ISNUMBER(SEARCH("sprayer",E464)),ISNUMBER(SEARCH("mower",E464)),ISNUMBER(SEARCH("sweeper",E464)),ISNUMBER(SEARCH("pruner",E464)),ISNUMBER(SEARCH("trimmer",E464)),ISNUMBER(SEARCH("pole saw",E464))),"Garden Equipment",
TRUE,"Other"
)</f>
        <v>Rodent Control</v>
      </c>
      <c r="I464" s="7" t="str" cm="1">
        <f t="array" ref="I464">_xlfn.IFS(
OR(ISNUMBER(SEARCH("glue trap",E464)),ISNUMBER(SEARCH("glue board",E464))),"Glue Traps",
OR(ISNUMBER(SEARCH("snap trap",E464)),ISNUMBER(SEARCH("power-kill",E464)),ISNUMBER(SEARCH("wide pedal",E464)),ISNUMBER(SEARCH("metal pedal",E464))),"Snap Traps",
OR(ISNUMBER(SEARCH("electronic",E464)),ISNUMBER(SEARCH("zapper",E464))),"Electronic Traps",
OR(ISNUMBER(SEARCH("live catch",E464)),ISNUMBER(SEARCH("multi-catch",E464)),ISNUMBER(SEARCH("catch &amp; hold",E464)),ISNUMBER(SEARCH("tin cat",E464))),"Live Catch Traps",
OR(ISNUMBER(SEARCH("bait",E464)),ISNUMBER(SEARCH("poison",E464))),"Bait &amp; Poison",
ISNUMBER(SEARCH("repellent",E464)),"Repellents",
OR(ISNUMBER(SEARCH("fly trap",E464)),ISNUMBER(SEARCH("fly ribbon",E464)),ISNUMBER(SEARCH("fly stick",E464)),ISNUMBER(SEARCH("window fly",E464)),ISNUMBER(SEARCH("fly magnet",E464))),"Fly Traps",
OR(ISNUMBER(SEARCH("uv",E464)),ISNUMBER(SEARCH("fly light",E464)),ISNUMBER(SEARCH("plug-in",E464))),"UV Fly Traps",
ISNUMBER(SEARCH("roach",E464)),"Roach Traps",
ISNUMBER(SEARCH("ant",E464)),"Ant Traps",
ISNUMBER(SEARCH("spider",E464)),"Spider Traps",
ISNUMBER(SEARCH("mosquito",E464)),"Mosquito Traps",
ISNUMBER(SEARCH("beetle",E464)),"Beetle Traps",
ISNUMBER(SEARCH("lantern",E464)),"Lanternfly Control",
OR(ISNUMBER(SEARCH("tree shield",E464)),ISNUMBER(SEARCH("tree banding",E464)),ISNUMBER(SEARCH("insect barrier",E464))),"Tree Barriers",
OR(ISNUMBER(SEARCH("sun &amp; shade",E464)),ISNUMBER(SEARCH("sun and shade",E464))),"Sun &amp; Shade Mix",
ISNUMBER(SEARCH("tall fescue",E464)),"Tall Fescue",
ISNUMBER(SEARCH("bermudagrass",E464)),"Bermudagrass",
ISNUMBER(SEARCH("kentucky",E464)),"Kentucky Bluegrass",
ISNUMBER(SEARCH("zoysia",E464)),"Zoysia",
ISNUMBER(SEARCH("ryegrass",E464)),"Perennial Ryegrass",
ISNUMBER(SEARCH("centipede",E464)),"Centipede Grass",
ISNUMBER(SEARCH("dense shade",E464)),"Dense Shade Mix",
ISNUMBER(SEARCH("southern gold",E464)),"Southern Gold Mix",
ISNUMBER(SEARCH("heat-tolerant blue",E464)),"Heat-Tolerant Blue Mix",
ISNUMBER(SEARCH("high traffic",E464)),"High Traffic Mix",
ISNUMBER(SEARCH("quick fix",E464)),"Quick Fix Mix",
ISNUMBER(SEARCH("starter",E464)),"Starter Fertilizer",
ISNUMBER(SEARCH("weed &amp; feed",E464)),"Weed &amp; Feed",
ISNUMBER(SEARCH("lawn food",E464)),"Lawn Food",
ISNUMBER(SEARCH("triple action",E464)),"Triple Action Fertilizer",
ISNUMBER(SEARCH("green max",E464)),"Green Max Lawn Food",
ISNUMBER(SEARCH("patchmaster",E464)),"PatchMaster Repair",
ISNUMBER(SEARCH("ez seed",E464)),"EZ Seed Repair",
ISNUMBER(SEARCH("rapid grass",E464)),"Rapid Grass",
ISNUMBER(SEARCH("thick'r lawn",E464)),"Thick'R Lawn",
ISNUMBER(SEARCH("fungicide",E464)),"Fungicide",
ISNUMBER(SEARCH("moss",E464)),"Moss Control",
ISNUMBER(SEARCH("perlite",E464)),"Perlite",
ISNUMBER(SEARCH("plant food",E464)),"Plant Food",
ISNUMBER(SEARCH("spreader",E464)),"Spreader",
ISNUMBER(SEARCH("sprayer",E464)),"Sprayer",
ISNUMBER(SEARCH("mower",E464)),"Lawn Mower",
ISNUMBER(SEARCH("sweeper",E464)),"Lawn Sweeper",
OR(ISNUMBER(SEARCH("pruner",E464)),ISNUMBER(SEARCH("trimmer",E464)),ISNUMBER(SEARCH("pole saw",E464))),"Pruning Tools",
TRUE,"Other"
)</f>
        <v>Snap Traps</v>
      </c>
      <c r="J464" s="7" t="str">
        <f t="shared" si="124"/>
        <v>Rodent Control - Snap Traps</v>
      </c>
      <c r="K464" s="4">
        <v>100</v>
      </c>
      <c r="L464" s="4">
        <v>4.5</v>
      </c>
      <c r="M464" s="4">
        <v>173</v>
      </c>
      <c r="N464" s="4" t="s">
        <v>2028</v>
      </c>
      <c r="O464" s="4">
        <f>VLOOKUP(A464,'[6]Monthly Sold'!$A:$B,2,0)</f>
        <v>100</v>
      </c>
      <c r="P464" s="4">
        <f>VLOOKUP(A464,'[6]Monthly Sold'!$A:$M,3,0)</f>
        <v>100</v>
      </c>
      <c r="Q464" s="4">
        <f>VLOOKUP(A464,'[6]Monthly Sold'!$A:$M,4,0)</f>
        <v>100</v>
      </c>
      <c r="R464" s="4">
        <f>VLOOKUP(A464,'[6]Monthly Sold'!$A:$M,5,0)</f>
        <v>100</v>
      </c>
      <c r="S464" s="4">
        <f>VLOOKUP(A464,'[6]Monthly Sold'!$A:$M,6,0)</f>
        <v>100</v>
      </c>
      <c r="T464" s="4">
        <f>VLOOKUP(A464,'[6]Monthly Sold'!$A:$M,7,0)</f>
        <v>50</v>
      </c>
      <c r="U464" s="4">
        <f>VLOOKUP(A464,'[6]Monthly Sold'!$A:$M,8,0)</f>
        <v>100</v>
      </c>
      <c r="V464" s="4">
        <f>VLOOKUP(A464,'[6]Monthly Sold'!$A:$M,9,0)</f>
        <v>100</v>
      </c>
      <c r="W464" s="4">
        <f>VLOOKUP(A464,'[6]Monthly Sold'!$A:$M,10,0)</f>
        <v>100</v>
      </c>
      <c r="X464" s="4">
        <f>VLOOKUP(A464,'[6]Monthly Sold'!$A:$M,11,0)</f>
        <v>500</v>
      </c>
      <c r="Y464" s="4">
        <f>VLOOKUP(A464,'[6]Monthly Sold'!$A:$M,12,0)</f>
        <v>300</v>
      </c>
      <c r="Z464" s="4">
        <f>VLOOKUP(A464,'[6]Monthly Sold'!$A:$M,13,0)</f>
        <v>200</v>
      </c>
      <c r="AA464" s="4">
        <f t="shared" si="118"/>
        <v>1850</v>
      </c>
      <c r="AB464" s="7">
        <f t="shared" si="125"/>
        <v>154</v>
      </c>
      <c r="AC464" s="15">
        <f t="shared" si="119"/>
        <v>154.16666666666666</v>
      </c>
      <c r="AD464" s="16">
        <f t="shared" si="120"/>
        <v>92148.5</v>
      </c>
      <c r="AE464" s="16">
        <f t="shared" si="121"/>
        <v>7679.041666666667</v>
      </c>
      <c r="AF464" s="21">
        <v>8.14</v>
      </c>
      <c r="AG464" s="21">
        <v>49.81</v>
      </c>
      <c r="AH464" s="15">
        <f t="shared" si="122"/>
        <v>0.7189333333333332</v>
      </c>
      <c r="AI464" s="15">
        <f t="shared" si="123"/>
        <v>2.5162666666666658</v>
      </c>
      <c r="AJ464" s="10">
        <v>0.5</v>
      </c>
      <c r="AK464" s="10">
        <v>0.5</v>
      </c>
      <c r="AL464" s="21">
        <v>8.14</v>
      </c>
      <c r="AM464" s="9">
        <f t="shared" si="126"/>
        <v>7.4714999999999998</v>
      </c>
      <c r="AN464" s="9">
        <f t="shared" si="127"/>
        <v>1.4943</v>
      </c>
      <c r="AO464" s="9">
        <f t="shared" si="128"/>
        <v>9.9620000000000015</v>
      </c>
      <c r="AP464" s="9">
        <f t="shared" si="129"/>
        <v>0.99620000000000009</v>
      </c>
      <c r="AQ464" s="9">
        <f t="shared" si="130"/>
        <v>9.9620000000000015</v>
      </c>
      <c r="AR464" s="9">
        <f t="shared" si="131"/>
        <v>12.452500000000001</v>
      </c>
      <c r="AS464" s="11">
        <f t="shared" si="132"/>
        <v>7.1893333333333311</v>
      </c>
      <c r="AT464" s="12">
        <f t="shared" si="133"/>
        <v>5.528999999999999</v>
      </c>
    </row>
    <row r="465" spans="1:46" ht="16.5" x14ac:dyDescent="0.4">
      <c r="A465" s="4" t="s">
        <v>1879</v>
      </c>
      <c r="B465" s="4" t="s">
        <v>1895</v>
      </c>
      <c r="C465" s="4" t="s">
        <v>1784</v>
      </c>
      <c r="D465" s="4" t="s">
        <v>2140</v>
      </c>
      <c r="E465" s="4" t="s">
        <v>2141</v>
      </c>
      <c r="F465" s="4" t="s">
        <v>2142</v>
      </c>
      <c r="G465" s="7" t="str">
        <f>VLOOKUP(A465,[1]done!$A:$I,9,0)</f>
        <v>Rodent</v>
      </c>
      <c r="H465" s="7" t="str" cm="1">
        <f t="array" ref="H465">_xlfn.IFS(
OR(ISNUMBER(SEARCH("mouse",E465)),ISNUMBER(SEARCH("rat",E465)),ISNUMBER(SEARCH("mice",E465)),ISNUMBER(SEARCH("rodent",E465))),"Rodent Control",
OR(ISNUMBER(SEARCH("fly",E465)),ISNUMBER(SEARCH("gnat",E465)),ISNUMBER(SEARCH("insect",E465)),ISNUMBER(SEARCH("mosquito",E465))),"Flying Insect Control",
OR(ISNUMBER(SEARCH("roach",E465)),ISNUMBER(SEARCH("ant",E465)),ISNUMBER(SEARCH("spider",E465)),ISNUMBER(SEARCH("cricket",E465)),ISNUMBER(SEARCH("scorpion",E465)),ISNUMBER(SEARCH("centipede",E465)),ISNUMBER(SEARCH("beetle",E465))),"Crawling Insect Control",
OR(ISNUMBER(SEARCH("tree",E465)),ISNUMBER(SEARCH("lantern",E465)),ISNUMBER(SEARCH("garden",E465)),ISNUMBER(SEARCH("plant",E465))),"Garden Pest Control",
OR(ISNUMBER(SEARCH("grass seed",E465)),ISNUMBER(SEARCH("seed mix",E465))),"Grass Seed",
OR(ISNUMBER(SEARCH("lawn food",E465)),ISNUMBER(SEARCH("fertilizer",E465))),"Lawn Fertilizer",
OR(ISNUMBER(SEARCH("patch",E465)),ISNUMBER(SEARCH("repair",E465)),ISNUMBER(SEARCH("thick'r",E465)),ISNUMBER(SEARCH("thick'r lawn",E465)),ISNUMBER(SEARCH("rapid grass",E465))),"Lawn Repair",
OR(ISNUMBER(SEARCH("weed",E465)),ISNUMBER(SEARCH("crabgrass",E465))),"Weed Control",
OR(ISNUMBER(SEARCH("fungicide",E465)),ISNUMBER(SEARCH("moss",E465))),"Disease &amp; Moss Control",
OR(ISNUMBER(SEARCH("plant food",E465)),ISNUMBER(SEARCH("miracid",E465))),"Plant Nutrition",
OR(ISNUMBER(SEARCH("perlite",E465))),"Soil Amendment",
OR(ISNUMBER(SEARCH("spreader",E465)),ISNUMBER(SEARCH("sprayer",E465)),ISNUMBER(SEARCH("mower",E465)),ISNUMBER(SEARCH("sweeper",E465)),ISNUMBER(SEARCH("pruner",E465)),ISNUMBER(SEARCH("trimmer",E465)),ISNUMBER(SEARCH("pole saw",E465))),"Garden Equipment",
TRUE,"Other"
)</f>
        <v>Rodent Control</v>
      </c>
      <c r="I465" s="7" t="str" cm="1">
        <f t="array" ref="I465">_xlfn.IFS(
OR(ISNUMBER(SEARCH("glue trap",E465)),ISNUMBER(SEARCH("glue board",E465))),"Glue Traps",
OR(ISNUMBER(SEARCH("snap trap",E465)),ISNUMBER(SEARCH("power-kill",E465)),ISNUMBER(SEARCH("wide pedal",E465)),ISNUMBER(SEARCH("metal pedal",E465))),"Snap Traps",
OR(ISNUMBER(SEARCH("electronic",E465)),ISNUMBER(SEARCH("zapper",E465))),"Electronic Traps",
OR(ISNUMBER(SEARCH("live catch",E465)),ISNUMBER(SEARCH("multi-catch",E465)),ISNUMBER(SEARCH("catch &amp; hold",E465)),ISNUMBER(SEARCH("tin cat",E465))),"Live Catch Traps",
OR(ISNUMBER(SEARCH("bait",E465)),ISNUMBER(SEARCH("poison",E465))),"Bait &amp; Poison",
ISNUMBER(SEARCH("repellent",E465)),"Repellents",
OR(ISNUMBER(SEARCH("fly trap",E465)),ISNUMBER(SEARCH("fly ribbon",E465)),ISNUMBER(SEARCH("fly stick",E465)),ISNUMBER(SEARCH("window fly",E465)),ISNUMBER(SEARCH("fly magnet",E465))),"Fly Traps",
OR(ISNUMBER(SEARCH("uv",E465)),ISNUMBER(SEARCH("fly light",E465)),ISNUMBER(SEARCH("plug-in",E465))),"UV Fly Traps",
ISNUMBER(SEARCH("roach",E465)),"Roach Traps",
ISNUMBER(SEARCH("ant",E465)),"Ant Traps",
ISNUMBER(SEARCH("spider",E465)),"Spider Traps",
ISNUMBER(SEARCH("mosquito",E465)),"Mosquito Traps",
ISNUMBER(SEARCH("beetle",E465)),"Beetle Traps",
ISNUMBER(SEARCH("lantern",E465)),"Lanternfly Control",
OR(ISNUMBER(SEARCH("tree shield",E465)),ISNUMBER(SEARCH("tree banding",E465)),ISNUMBER(SEARCH("insect barrier",E465))),"Tree Barriers",
OR(ISNUMBER(SEARCH("sun &amp; shade",E465)),ISNUMBER(SEARCH("sun and shade",E465))),"Sun &amp; Shade Mix",
ISNUMBER(SEARCH("tall fescue",E465)),"Tall Fescue",
ISNUMBER(SEARCH("bermudagrass",E465)),"Bermudagrass",
ISNUMBER(SEARCH("kentucky",E465)),"Kentucky Bluegrass",
ISNUMBER(SEARCH("zoysia",E465)),"Zoysia",
ISNUMBER(SEARCH("ryegrass",E465)),"Perennial Ryegrass",
ISNUMBER(SEARCH("centipede",E465)),"Centipede Grass",
ISNUMBER(SEARCH("dense shade",E465)),"Dense Shade Mix",
ISNUMBER(SEARCH("southern gold",E465)),"Southern Gold Mix",
ISNUMBER(SEARCH("heat-tolerant blue",E465)),"Heat-Tolerant Blue Mix",
ISNUMBER(SEARCH("high traffic",E465)),"High Traffic Mix",
ISNUMBER(SEARCH("quick fix",E465)),"Quick Fix Mix",
ISNUMBER(SEARCH("starter",E465)),"Starter Fertilizer",
ISNUMBER(SEARCH("weed &amp; feed",E465)),"Weed &amp; Feed",
ISNUMBER(SEARCH("lawn food",E465)),"Lawn Food",
ISNUMBER(SEARCH("triple action",E465)),"Triple Action Fertilizer",
ISNUMBER(SEARCH("green max",E465)),"Green Max Lawn Food",
ISNUMBER(SEARCH("patchmaster",E465)),"PatchMaster Repair",
ISNUMBER(SEARCH("ez seed",E465)),"EZ Seed Repair",
ISNUMBER(SEARCH("rapid grass",E465)),"Rapid Grass",
ISNUMBER(SEARCH("thick'r lawn",E465)),"Thick'R Lawn",
ISNUMBER(SEARCH("fungicide",E465)),"Fungicide",
ISNUMBER(SEARCH("moss",E465)),"Moss Control",
ISNUMBER(SEARCH("perlite",E465)),"Perlite",
ISNUMBER(SEARCH("plant food",E465)),"Plant Food",
ISNUMBER(SEARCH("spreader",E465)),"Spreader",
ISNUMBER(SEARCH("sprayer",E465)),"Sprayer",
ISNUMBER(SEARCH("mower",E465)),"Lawn Mower",
ISNUMBER(SEARCH("sweeper",E465)),"Lawn Sweeper",
OR(ISNUMBER(SEARCH("pruner",E465)),ISNUMBER(SEARCH("trimmer",E465)),ISNUMBER(SEARCH("pole saw",E465))),"Pruning Tools",
TRUE,"Other"
)</f>
        <v>Other</v>
      </c>
      <c r="J465" s="7" t="str">
        <f t="shared" si="124"/>
        <v>Rodent Control - Other</v>
      </c>
      <c r="K465" s="4">
        <v>100</v>
      </c>
      <c r="L465" s="4">
        <v>4.4000000000000004</v>
      </c>
      <c r="M465" s="4">
        <v>17626</v>
      </c>
      <c r="N465" s="4" t="s">
        <v>2143</v>
      </c>
      <c r="O465" s="4">
        <f>VLOOKUP(A465,'[6]Monthly Sold'!$A:$B,2,0)</f>
        <v>100</v>
      </c>
      <c r="P465" s="4">
        <f>VLOOKUP(A465,'[6]Monthly Sold'!$A:$M,3,0)</f>
        <v>0</v>
      </c>
      <c r="Q465" s="4">
        <f>VLOOKUP(A465,'[6]Monthly Sold'!$A:$M,4,0)</f>
        <v>100</v>
      </c>
      <c r="R465" s="4">
        <f>VLOOKUP(A465,'[6]Monthly Sold'!$A:$M,5,0)</f>
        <v>0</v>
      </c>
      <c r="S465" s="4">
        <f>VLOOKUP(A465,'[6]Monthly Sold'!$A:$M,6,0)</f>
        <v>0</v>
      </c>
      <c r="T465" s="4">
        <f>VLOOKUP(A465,'[6]Monthly Sold'!$A:$M,7,0)</f>
        <v>100</v>
      </c>
      <c r="U465" s="4">
        <f>VLOOKUP(A465,'[6]Monthly Sold'!$A:$M,8,0)</f>
        <v>100</v>
      </c>
      <c r="V465" s="4">
        <f>VLOOKUP(A465,'[6]Monthly Sold'!$A:$M,9,0)</f>
        <v>100</v>
      </c>
      <c r="W465" s="4">
        <f>VLOOKUP(A465,'[6]Monthly Sold'!$A:$M,10,0)</f>
        <v>100</v>
      </c>
      <c r="X465" s="4">
        <f>VLOOKUP(A465,'[6]Monthly Sold'!$A:$M,11,0)</f>
        <v>100</v>
      </c>
      <c r="Y465" s="4">
        <f>VLOOKUP(A465,'[6]Monthly Sold'!$A:$M,12,0)</f>
        <v>100</v>
      </c>
      <c r="Z465" s="4">
        <f>VLOOKUP(A465,'[6]Monthly Sold'!$A:$M,13,0)</f>
        <v>0</v>
      </c>
      <c r="AA465" s="4">
        <f t="shared" si="118"/>
        <v>800</v>
      </c>
      <c r="AB465" s="7">
        <f t="shared" si="125"/>
        <v>67</v>
      </c>
      <c r="AC465" s="15">
        <f t="shared" si="119"/>
        <v>66.666666666666671</v>
      </c>
      <c r="AD465" s="16">
        <f t="shared" si="120"/>
        <v>4712</v>
      </c>
      <c r="AE465" s="16">
        <f t="shared" si="121"/>
        <v>392.66666666666669</v>
      </c>
      <c r="AF465" s="21">
        <v>3.01</v>
      </c>
      <c r="AG465" s="21">
        <v>5.89</v>
      </c>
      <c r="AH465" s="15">
        <f t="shared" si="122"/>
        <v>-0.11026666666666668</v>
      </c>
      <c r="AI465" s="15">
        <f t="shared" si="123"/>
        <v>-0.38593333333333329</v>
      </c>
      <c r="AJ465" s="10">
        <v>0.5</v>
      </c>
      <c r="AK465" s="10">
        <v>0.5</v>
      </c>
      <c r="AL465" s="21">
        <v>3.01</v>
      </c>
      <c r="AM465" s="9">
        <f t="shared" si="126"/>
        <v>0.88349999999999995</v>
      </c>
      <c r="AN465" s="9">
        <f t="shared" si="127"/>
        <v>0.1767</v>
      </c>
      <c r="AO465" s="9">
        <f t="shared" si="128"/>
        <v>1.1779999999999999</v>
      </c>
      <c r="AP465" s="9">
        <f t="shared" si="129"/>
        <v>0.1178</v>
      </c>
      <c r="AQ465" s="9">
        <f t="shared" si="130"/>
        <v>1.1779999999999999</v>
      </c>
      <c r="AR465" s="9">
        <f t="shared" si="131"/>
        <v>1.4724999999999999</v>
      </c>
      <c r="AS465" s="11">
        <f t="shared" si="132"/>
        <v>-1.1026666666666667</v>
      </c>
      <c r="AT465" s="12">
        <f t="shared" si="133"/>
        <v>-1.2989999999999999</v>
      </c>
    </row>
    <row r="466" spans="1:46" ht="16.5" x14ac:dyDescent="0.4">
      <c r="A466" s="4" t="s">
        <v>1880</v>
      </c>
      <c r="B466" s="4" t="s">
        <v>1895</v>
      </c>
      <c r="C466" s="4" t="s">
        <v>1784</v>
      </c>
      <c r="D466" s="4" t="s">
        <v>2144</v>
      </c>
      <c r="E466" s="4" t="s">
        <v>2145</v>
      </c>
      <c r="F466" s="4" t="s">
        <v>2146</v>
      </c>
      <c r="G466" s="7" t="str">
        <f>VLOOKUP(A466,[1]done!$A:$I,9,0)</f>
        <v>Rodent</v>
      </c>
      <c r="H466" s="7" t="str" cm="1">
        <f t="array" ref="H466">_xlfn.IFS(
OR(ISNUMBER(SEARCH("mouse",E466)),ISNUMBER(SEARCH("rat",E466)),ISNUMBER(SEARCH("mice",E466)),ISNUMBER(SEARCH("rodent",E466))),"Rodent Control",
OR(ISNUMBER(SEARCH("fly",E466)),ISNUMBER(SEARCH("gnat",E466)),ISNUMBER(SEARCH("insect",E466)),ISNUMBER(SEARCH("mosquito",E466))),"Flying Insect Control",
OR(ISNUMBER(SEARCH("roach",E466)),ISNUMBER(SEARCH("ant",E466)),ISNUMBER(SEARCH("spider",E466)),ISNUMBER(SEARCH("cricket",E466)),ISNUMBER(SEARCH("scorpion",E466)),ISNUMBER(SEARCH("centipede",E466)),ISNUMBER(SEARCH("beetle",E466))),"Crawling Insect Control",
OR(ISNUMBER(SEARCH("tree",E466)),ISNUMBER(SEARCH("lantern",E466)),ISNUMBER(SEARCH("garden",E466)),ISNUMBER(SEARCH("plant",E466))),"Garden Pest Control",
OR(ISNUMBER(SEARCH("grass seed",E466)),ISNUMBER(SEARCH("seed mix",E466))),"Grass Seed",
OR(ISNUMBER(SEARCH("lawn food",E466)),ISNUMBER(SEARCH("fertilizer",E466))),"Lawn Fertilizer",
OR(ISNUMBER(SEARCH("patch",E466)),ISNUMBER(SEARCH("repair",E466)),ISNUMBER(SEARCH("thick'r",E466)),ISNUMBER(SEARCH("thick'r lawn",E466)),ISNUMBER(SEARCH("rapid grass",E466))),"Lawn Repair",
OR(ISNUMBER(SEARCH("weed",E466)),ISNUMBER(SEARCH("crabgrass",E466))),"Weed Control",
OR(ISNUMBER(SEARCH("fungicide",E466)),ISNUMBER(SEARCH("moss",E466))),"Disease &amp; Moss Control",
OR(ISNUMBER(SEARCH("plant food",E466)),ISNUMBER(SEARCH("miracid",E466))),"Plant Nutrition",
OR(ISNUMBER(SEARCH("perlite",E466))),"Soil Amendment",
OR(ISNUMBER(SEARCH("spreader",E466)),ISNUMBER(SEARCH("sprayer",E466)),ISNUMBER(SEARCH("mower",E466)),ISNUMBER(SEARCH("sweeper",E466)),ISNUMBER(SEARCH("pruner",E466)),ISNUMBER(SEARCH("trimmer",E466)),ISNUMBER(SEARCH("pole saw",E466))),"Garden Equipment",
TRUE,"Other"
)</f>
        <v>Rodent Control</v>
      </c>
      <c r="I466" s="7" t="str" cm="1">
        <f t="array" ref="I466">_xlfn.IFS(
OR(ISNUMBER(SEARCH("glue trap",E466)),ISNUMBER(SEARCH("glue board",E466))),"Glue Traps",
OR(ISNUMBER(SEARCH("snap trap",E466)),ISNUMBER(SEARCH("power-kill",E466)),ISNUMBER(SEARCH("wide pedal",E466)),ISNUMBER(SEARCH("metal pedal",E466))),"Snap Traps",
OR(ISNUMBER(SEARCH("electronic",E466)),ISNUMBER(SEARCH("zapper",E466))),"Electronic Traps",
OR(ISNUMBER(SEARCH("live catch",E466)),ISNUMBER(SEARCH("multi-catch",E466)),ISNUMBER(SEARCH("catch &amp; hold",E466)),ISNUMBER(SEARCH("tin cat",E466))),"Live Catch Traps",
OR(ISNUMBER(SEARCH("bait",E466)),ISNUMBER(SEARCH("poison",E466))),"Bait &amp; Poison",
ISNUMBER(SEARCH("repellent",E466)),"Repellents",
OR(ISNUMBER(SEARCH("fly trap",E466)),ISNUMBER(SEARCH("fly ribbon",E466)),ISNUMBER(SEARCH("fly stick",E466)),ISNUMBER(SEARCH("window fly",E466)),ISNUMBER(SEARCH("fly magnet",E466))),"Fly Traps",
OR(ISNUMBER(SEARCH("uv",E466)),ISNUMBER(SEARCH("fly light",E466)),ISNUMBER(SEARCH("plug-in",E466))),"UV Fly Traps",
ISNUMBER(SEARCH("roach",E466)),"Roach Traps",
ISNUMBER(SEARCH("ant",E466)),"Ant Traps",
ISNUMBER(SEARCH("spider",E466)),"Spider Traps",
ISNUMBER(SEARCH("mosquito",E466)),"Mosquito Traps",
ISNUMBER(SEARCH("beetle",E466)),"Beetle Traps",
ISNUMBER(SEARCH("lantern",E466)),"Lanternfly Control",
OR(ISNUMBER(SEARCH("tree shield",E466)),ISNUMBER(SEARCH("tree banding",E466)),ISNUMBER(SEARCH("insect barrier",E466))),"Tree Barriers",
OR(ISNUMBER(SEARCH("sun &amp; shade",E466)),ISNUMBER(SEARCH("sun and shade",E466))),"Sun &amp; Shade Mix",
ISNUMBER(SEARCH("tall fescue",E466)),"Tall Fescue",
ISNUMBER(SEARCH("bermudagrass",E466)),"Bermudagrass",
ISNUMBER(SEARCH("kentucky",E466)),"Kentucky Bluegrass",
ISNUMBER(SEARCH("zoysia",E466)),"Zoysia",
ISNUMBER(SEARCH("ryegrass",E466)),"Perennial Ryegrass",
ISNUMBER(SEARCH("centipede",E466)),"Centipede Grass",
ISNUMBER(SEARCH("dense shade",E466)),"Dense Shade Mix",
ISNUMBER(SEARCH("southern gold",E466)),"Southern Gold Mix",
ISNUMBER(SEARCH("heat-tolerant blue",E466)),"Heat-Tolerant Blue Mix",
ISNUMBER(SEARCH("high traffic",E466)),"High Traffic Mix",
ISNUMBER(SEARCH("quick fix",E466)),"Quick Fix Mix",
ISNUMBER(SEARCH("starter",E466)),"Starter Fertilizer",
ISNUMBER(SEARCH("weed &amp; feed",E466)),"Weed &amp; Feed",
ISNUMBER(SEARCH("lawn food",E466)),"Lawn Food",
ISNUMBER(SEARCH("triple action",E466)),"Triple Action Fertilizer",
ISNUMBER(SEARCH("green max",E466)),"Green Max Lawn Food",
ISNUMBER(SEARCH("patchmaster",E466)),"PatchMaster Repair",
ISNUMBER(SEARCH("ez seed",E466)),"EZ Seed Repair",
ISNUMBER(SEARCH("rapid grass",E466)),"Rapid Grass",
ISNUMBER(SEARCH("thick'r lawn",E466)),"Thick'R Lawn",
ISNUMBER(SEARCH("fungicide",E466)),"Fungicide",
ISNUMBER(SEARCH("moss",E466)),"Moss Control",
ISNUMBER(SEARCH("perlite",E466)),"Perlite",
ISNUMBER(SEARCH("plant food",E466)),"Plant Food",
ISNUMBER(SEARCH("spreader",E466)),"Spreader",
ISNUMBER(SEARCH("sprayer",E466)),"Sprayer",
ISNUMBER(SEARCH("mower",E466)),"Lawn Mower",
ISNUMBER(SEARCH("sweeper",E466)),"Lawn Sweeper",
OR(ISNUMBER(SEARCH("pruner",E466)),ISNUMBER(SEARCH("trimmer",E466)),ISNUMBER(SEARCH("pole saw",E466))),"Pruning Tools",
TRUE,"Other"
)</f>
        <v>Glue Traps</v>
      </c>
      <c r="J466" s="7" t="str">
        <f t="shared" si="124"/>
        <v>Rodent Control - Glue Traps</v>
      </c>
      <c r="K466" s="4">
        <v>50</v>
      </c>
      <c r="L466" s="4">
        <v>4.4000000000000004</v>
      </c>
      <c r="M466" s="4">
        <v>45915</v>
      </c>
      <c r="N466" s="4" t="s">
        <v>1569</v>
      </c>
      <c r="O466" s="4">
        <f>VLOOKUP(A466,'[6]Monthly Sold'!$A:$B,2,0)</f>
        <v>50</v>
      </c>
      <c r="P466" s="4">
        <f>VLOOKUP(A466,'[6]Monthly Sold'!$A:$M,3,0)</f>
        <v>0</v>
      </c>
      <c r="Q466" s="4">
        <f>VLOOKUP(A466,'[6]Monthly Sold'!$A:$M,4,0)</f>
        <v>50</v>
      </c>
      <c r="R466" s="4">
        <f>VLOOKUP(A466,'[6]Monthly Sold'!$A:$M,5,0)</f>
        <v>50</v>
      </c>
      <c r="S466" s="4">
        <f>VLOOKUP(A466,'[6]Monthly Sold'!$A:$M,6,0)</f>
        <v>0</v>
      </c>
      <c r="T466" s="4">
        <f>VLOOKUP(A466,'[6]Monthly Sold'!$A:$M,7,0)</f>
        <v>100</v>
      </c>
      <c r="U466" s="4">
        <f>VLOOKUP(A466,'[6]Monthly Sold'!$A:$M,8,0)</f>
        <v>0</v>
      </c>
      <c r="V466" s="4">
        <f>VLOOKUP(A466,'[6]Monthly Sold'!$A:$M,9,0)</f>
        <v>50</v>
      </c>
      <c r="W466" s="4">
        <f>VLOOKUP(A466,'[6]Monthly Sold'!$A:$M,10,0)</f>
        <v>50</v>
      </c>
      <c r="X466" s="4">
        <f>VLOOKUP(A466,'[6]Monthly Sold'!$A:$M,11,0)</f>
        <v>100</v>
      </c>
      <c r="Y466" s="4">
        <f>VLOOKUP(A466,'[6]Monthly Sold'!$A:$M,12,0)</f>
        <v>100</v>
      </c>
      <c r="Z466" s="4">
        <f>VLOOKUP(A466,'[6]Monthly Sold'!$A:$M,13,0)</f>
        <v>100</v>
      </c>
      <c r="AA466" s="4">
        <f t="shared" si="118"/>
        <v>650</v>
      </c>
      <c r="AB466" s="7">
        <f t="shared" si="125"/>
        <v>54</v>
      </c>
      <c r="AC466" s="15">
        <f t="shared" si="119"/>
        <v>54.166666666666664</v>
      </c>
      <c r="AD466" s="16">
        <f t="shared" si="120"/>
        <v>36400</v>
      </c>
      <c r="AE466" s="16">
        <f t="shared" si="121"/>
        <v>3033.333333333333</v>
      </c>
      <c r="AF466" s="21">
        <v>7.75</v>
      </c>
      <c r="AG466" s="21">
        <v>56</v>
      </c>
      <c r="AH466" s="15">
        <f t="shared" si="122"/>
        <v>0.91</v>
      </c>
      <c r="AI466" s="15">
        <f t="shared" si="123"/>
        <v>3.1849999999999996</v>
      </c>
      <c r="AJ466" s="10">
        <v>0.5</v>
      </c>
      <c r="AK466" s="10">
        <v>0.5</v>
      </c>
      <c r="AL466" s="21">
        <v>7.75</v>
      </c>
      <c r="AM466" s="9">
        <f t="shared" si="126"/>
        <v>8.4</v>
      </c>
      <c r="AN466" s="9">
        <f t="shared" si="127"/>
        <v>1.68</v>
      </c>
      <c r="AO466" s="9">
        <f t="shared" si="128"/>
        <v>11.200000000000001</v>
      </c>
      <c r="AP466" s="9">
        <f t="shared" si="129"/>
        <v>1.1200000000000001</v>
      </c>
      <c r="AQ466" s="9">
        <f t="shared" si="130"/>
        <v>11.200000000000001</v>
      </c>
      <c r="AR466" s="9">
        <f t="shared" si="131"/>
        <v>14</v>
      </c>
      <c r="AS466" s="11">
        <f t="shared" si="132"/>
        <v>9.1</v>
      </c>
      <c r="AT466" s="12">
        <f t="shared" si="133"/>
        <v>7.2333333333333343</v>
      </c>
    </row>
    <row r="467" spans="1:46" ht="16.5" x14ac:dyDescent="0.4">
      <c r="A467" s="4" t="s">
        <v>1881</v>
      </c>
      <c r="B467" s="4" t="s">
        <v>1895</v>
      </c>
      <c r="C467" s="4" t="s">
        <v>1784</v>
      </c>
      <c r="D467" s="4" t="s">
        <v>2147</v>
      </c>
      <c r="E467" s="4" t="s">
        <v>2148</v>
      </c>
      <c r="F467" s="4" t="s">
        <v>2149</v>
      </c>
      <c r="G467" s="7" t="str">
        <f>VLOOKUP(A467,[1]done!$A:$I,9,0)</f>
        <v>Rodent</v>
      </c>
      <c r="H467" s="7" t="str" cm="1">
        <f t="array" ref="H467">_xlfn.IFS(
OR(ISNUMBER(SEARCH("mouse",E467)),ISNUMBER(SEARCH("rat",E467)),ISNUMBER(SEARCH("mice",E467)),ISNUMBER(SEARCH("rodent",E467))),"Rodent Control",
OR(ISNUMBER(SEARCH("fly",E467)),ISNUMBER(SEARCH("gnat",E467)),ISNUMBER(SEARCH("insect",E467)),ISNUMBER(SEARCH("mosquito",E467))),"Flying Insect Control",
OR(ISNUMBER(SEARCH("roach",E467)),ISNUMBER(SEARCH("ant",E467)),ISNUMBER(SEARCH("spider",E467)),ISNUMBER(SEARCH("cricket",E467)),ISNUMBER(SEARCH("scorpion",E467)),ISNUMBER(SEARCH("centipede",E467)),ISNUMBER(SEARCH("beetle",E467))),"Crawling Insect Control",
OR(ISNUMBER(SEARCH("tree",E467)),ISNUMBER(SEARCH("lantern",E467)),ISNUMBER(SEARCH("garden",E467)),ISNUMBER(SEARCH("plant",E467))),"Garden Pest Control",
OR(ISNUMBER(SEARCH("grass seed",E467)),ISNUMBER(SEARCH("seed mix",E467))),"Grass Seed",
OR(ISNUMBER(SEARCH("lawn food",E467)),ISNUMBER(SEARCH("fertilizer",E467))),"Lawn Fertilizer",
OR(ISNUMBER(SEARCH("patch",E467)),ISNUMBER(SEARCH("repair",E467)),ISNUMBER(SEARCH("thick'r",E467)),ISNUMBER(SEARCH("thick'r lawn",E467)),ISNUMBER(SEARCH("rapid grass",E467))),"Lawn Repair",
OR(ISNUMBER(SEARCH("weed",E467)),ISNUMBER(SEARCH("crabgrass",E467))),"Weed Control",
OR(ISNUMBER(SEARCH("fungicide",E467)),ISNUMBER(SEARCH("moss",E467))),"Disease &amp; Moss Control",
OR(ISNUMBER(SEARCH("plant food",E467)),ISNUMBER(SEARCH("miracid",E467))),"Plant Nutrition",
OR(ISNUMBER(SEARCH("perlite",E467))),"Soil Amendment",
OR(ISNUMBER(SEARCH("spreader",E467)),ISNUMBER(SEARCH("sprayer",E467)),ISNUMBER(SEARCH("mower",E467)),ISNUMBER(SEARCH("sweeper",E467)),ISNUMBER(SEARCH("pruner",E467)),ISNUMBER(SEARCH("trimmer",E467)),ISNUMBER(SEARCH("pole saw",E467))),"Garden Equipment",
TRUE,"Other"
)</f>
        <v>Rodent Control</v>
      </c>
      <c r="I467" s="7" t="str" cm="1">
        <f t="array" ref="I467">_xlfn.IFS(
OR(ISNUMBER(SEARCH("glue trap",E467)),ISNUMBER(SEARCH("glue board",E467))),"Glue Traps",
OR(ISNUMBER(SEARCH("snap trap",E467)),ISNUMBER(SEARCH("power-kill",E467)),ISNUMBER(SEARCH("wide pedal",E467)),ISNUMBER(SEARCH("metal pedal",E467))),"Snap Traps",
OR(ISNUMBER(SEARCH("electronic",E467)),ISNUMBER(SEARCH("zapper",E467))),"Electronic Traps",
OR(ISNUMBER(SEARCH("live catch",E467)),ISNUMBER(SEARCH("multi-catch",E467)),ISNUMBER(SEARCH("catch &amp; hold",E467)),ISNUMBER(SEARCH("tin cat",E467))),"Live Catch Traps",
OR(ISNUMBER(SEARCH("bait",E467)),ISNUMBER(SEARCH("poison",E467))),"Bait &amp; Poison",
ISNUMBER(SEARCH("repellent",E467)),"Repellents",
OR(ISNUMBER(SEARCH("fly trap",E467)),ISNUMBER(SEARCH("fly ribbon",E467)),ISNUMBER(SEARCH("fly stick",E467)),ISNUMBER(SEARCH("window fly",E467)),ISNUMBER(SEARCH("fly magnet",E467))),"Fly Traps",
OR(ISNUMBER(SEARCH("uv",E467)),ISNUMBER(SEARCH("fly light",E467)),ISNUMBER(SEARCH("plug-in",E467))),"UV Fly Traps",
ISNUMBER(SEARCH("roach",E467)),"Roach Traps",
ISNUMBER(SEARCH("ant",E467)),"Ant Traps",
ISNUMBER(SEARCH("spider",E467)),"Spider Traps",
ISNUMBER(SEARCH("mosquito",E467)),"Mosquito Traps",
ISNUMBER(SEARCH("beetle",E467)),"Beetle Traps",
ISNUMBER(SEARCH("lantern",E467)),"Lanternfly Control",
OR(ISNUMBER(SEARCH("tree shield",E467)),ISNUMBER(SEARCH("tree banding",E467)),ISNUMBER(SEARCH("insect barrier",E467))),"Tree Barriers",
OR(ISNUMBER(SEARCH("sun &amp; shade",E467)),ISNUMBER(SEARCH("sun and shade",E467))),"Sun &amp; Shade Mix",
ISNUMBER(SEARCH("tall fescue",E467)),"Tall Fescue",
ISNUMBER(SEARCH("bermudagrass",E467)),"Bermudagrass",
ISNUMBER(SEARCH("kentucky",E467)),"Kentucky Bluegrass",
ISNUMBER(SEARCH("zoysia",E467)),"Zoysia",
ISNUMBER(SEARCH("ryegrass",E467)),"Perennial Ryegrass",
ISNUMBER(SEARCH("centipede",E467)),"Centipede Grass",
ISNUMBER(SEARCH("dense shade",E467)),"Dense Shade Mix",
ISNUMBER(SEARCH("southern gold",E467)),"Southern Gold Mix",
ISNUMBER(SEARCH("heat-tolerant blue",E467)),"Heat-Tolerant Blue Mix",
ISNUMBER(SEARCH("high traffic",E467)),"High Traffic Mix",
ISNUMBER(SEARCH("quick fix",E467)),"Quick Fix Mix",
ISNUMBER(SEARCH("starter",E467)),"Starter Fertilizer",
ISNUMBER(SEARCH("weed &amp; feed",E467)),"Weed &amp; Feed",
ISNUMBER(SEARCH("lawn food",E467)),"Lawn Food",
ISNUMBER(SEARCH("triple action",E467)),"Triple Action Fertilizer",
ISNUMBER(SEARCH("green max",E467)),"Green Max Lawn Food",
ISNUMBER(SEARCH("patchmaster",E467)),"PatchMaster Repair",
ISNUMBER(SEARCH("ez seed",E467)),"EZ Seed Repair",
ISNUMBER(SEARCH("rapid grass",E467)),"Rapid Grass",
ISNUMBER(SEARCH("thick'r lawn",E467)),"Thick'R Lawn",
ISNUMBER(SEARCH("fungicide",E467)),"Fungicide",
ISNUMBER(SEARCH("moss",E467)),"Moss Control",
ISNUMBER(SEARCH("perlite",E467)),"Perlite",
ISNUMBER(SEARCH("plant food",E467)),"Plant Food",
ISNUMBER(SEARCH("spreader",E467)),"Spreader",
ISNUMBER(SEARCH("sprayer",E467)),"Sprayer",
ISNUMBER(SEARCH("mower",E467)),"Lawn Mower",
ISNUMBER(SEARCH("sweeper",E467)),"Lawn Sweeper",
OR(ISNUMBER(SEARCH("pruner",E467)),ISNUMBER(SEARCH("trimmer",E467)),ISNUMBER(SEARCH("pole saw",E467))),"Pruning Tools",
TRUE,"Other"
)</f>
        <v>Bait &amp; Poison</v>
      </c>
      <c r="J467" s="7" t="str">
        <f t="shared" si="124"/>
        <v>Rodent Control - Bait &amp; Poison</v>
      </c>
      <c r="K467" s="4">
        <v>50</v>
      </c>
      <c r="L467" s="4">
        <v>4.2</v>
      </c>
      <c r="M467" s="4">
        <v>268</v>
      </c>
      <c r="N467" s="4" t="s">
        <v>2021</v>
      </c>
      <c r="O467" s="4">
        <f>VLOOKUP(A467,'[6]Monthly Sold'!$A:$B,2,0)</f>
        <v>60</v>
      </c>
      <c r="P467" s="4">
        <f>VLOOKUP(A467,'[6]Monthly Sold'!$A:$M,3,0)</f>
        <v>60</v>
      </c>
      <c r="Q467" s="4">
        <f>VLOOKUP(A467,'[6]Monthly Sold'!$A:$M,4,0)</f>
        <v>60</v>
      </c>
      <c r="R467" s="4">
        <f>VLOOKUP(A467,'[6]Monthly Sold'!$A:$M,5,0)</f>
        <v>60</v>
      </c>
      <c r="S467" s="4">
        <f>VLOOKUP(A467,'[6]Monthly Sold'!$A:$M,6,0)</f>
        <v>60</v>
      </c>
      <c r="T467" s="4">
        <f>VLOOKUP(A467,'[6]Monthly Sold'!$A:$M,7,0)</f>
        <v>60</v>
      </c>
      <c r="U467" s="4">
        <f>VLOOKUP(A467,'[6]Monthly Sold'!$A:$M,8,0)</f>
        <v>60</v>
      </c>
      <c r="V467" s="4">
        <f>VLOOKUP(A467,'[6]Monthly Sold'!$A:$M,9,0)</f>
        <v>60</v>
      </c>
      <c r="W467" s="4">
        <f>VLOOKUP(A467,'[6]Monthly Sold'!$A:$M,10,0)</f>
        <v>60</v>
      </c>
      <c r="X467" s="4">
        <f>VLOOKUP(A467,'[6]Monthly Sold'!$A:$M,11,0)</f>
        <v>100</v>
      </c>
      <c r="Y467" s="4">
        <f>VLOOKUP(A467,'[6]Monthly Sold'!$A:$M,12,0)</f>
        <v>100</v>
      </c>
      <c r="Z467" s="4">
        <f>VLOOKUP(A467,'[6]Monthly Sold'!$A:$M,13,0)</f>
        <v>60</v>
      </c>
      <c r="AA467" s="4">
        <f t="shared" si="118"/>
        <v>800</v>
      </c>
      <c r="AB467" s="7">
        <f t="shared" si="125"/>
        <v>67</v>
      </c>
      <c r="AC467" s="15">
        <f t="shared" si="119"/>
        <v>66.666666666666671</v>
      </c>
      <c r="AD467" s="16">
        <f t="shared" si="120"/>
        <v>32896</v>
      </c>
      <c r="AE467" s="16">
        <f t="shared" si="121"/>
        <v>2741.3333333333335</v>
      </c>
      <c r="AF467" s="21">
        <v>7.56</v>
      </c>
      <c r="AG467" s="21">
        <v>41.12</v>
      </c>
      <c r="AH467" s="15">
        <f t="shared" si="122"/>
        <v>0.52586666666666659</v>
      </c>
      <c r="AI467" s="15">
        <f t="shared" si="123"/>
        <v>1.8405333333333329</v>
      </c>
      <c r="AJ467" s="10">
        <v>0.5</v>
      </c>
      <c r="AK467" s="10">
        <v>0.5</v>
      </c>
      <c r="AL467" s="21">
        <v>7.56</v>
      </c>
      <c r="AM467" s="9">
        <f t="shared" si="126"/>
        <v>6.1679999999999993</v>
      </c>
      <c r="AN467" s="9">
        <f t="shared" si="127"/>
        <v>1.2335999999999998</v>
      </c>
      <c r="AO467" s="9">
        <f t="shared" si="128"/>
        <v>8.2240000000000002</v>
      </c>
      <c r="AP467" s="9">
        <f t="shared" si="129"/>
        <v>0.82240000000000002</v>
      </c>
      <c r="AQ467" s="9">
        <f t="shared" si="130"/>
        <v>8.2240000000000002</v>
      </c>
      <c r="AR467" s="9">
        <f t="shared" si="131"/>
        <v>10.28</v>
      </c>
      <c r="AS467" s="11">
        <f t="shared" si="132"/>
        <v>5.2586666666666657</v>
      </c>
      <c r="AT467" s="12">
        <f t="shared" si="133"/>
        <v>3.8879999999999995</v>
      </c>
    </row>
    <row r="468" spans="1:46" ht="16.5" x14ac:dyDescent="0.4">
      <c r="A468" s="4" t="s">
        <v>1882</v>
      </c>
      <c r="B468" s="4" t="s">
        <v>1895</v>
      </c>
      <c r="C468" s="4" t="s">
        <v>1784</v>
      </c>
      <c r="D468" s="4" t="s">
        <v>2150</v>
      </c>
      <c r="E468" s="4" t="s">
        <v>2151</v>
      </c>
      <c r="F468" s="4" t="s">
        <v>2152</v>
      </c>
      <c r="G468" s="7" t="str">
        <f>VLOOKUP(A468,[1]done!$A:$I,9,0)</f>
        <v>Rodent</v>
      </c>
      <c r="H468" s="7" t="str" cm="1">
        <f t="array" ref="H468">_xlfn.IFS(
OR(ISNUMBER(SEARCH("mouse",E468)),ISNUMBER(SEARCH("rat",E468)),ISNUMBER(SEARCH("mice",E468)),ISNUMBER(SEARCH("rodent",E468))),"Rodent Control",
OR(ISNUMBER(SEARCH("fly",E468)),ISNUMBER(SEARCH("gnat",E468)),ISNUMBER(SEARCH("insect",E468)),ISNUMBER(SEARCH("mosquito",E468))),"Flying Insect Control",
OR(ISNUMBER(SEARCH("roach",E468)),ISNUMBER(SEARCH("ant",E468)),ISNUMBER(SEARCH("spider",E468)),ISNUMBER(SEARCH("cricket",E468)),ISNUMBER(SEARCH("scorpion",E468)),ISNUMBER(SEARCH("centipede",E468)),ISNUMBER(SEARCH("beetle",E468))),"Crawling Insect Control",
OR(ISNUMBER(SEARCH("tree",E468)),ISNUMBER(SEARCH("lantern",E468)),ISNUMBER(SEARCH("garden",E468)),ISNUMBER(SEARCH("plant",E468))),"Garden Pest Control",
OR(ISNUMBER(SEARCH("grass seed",E468)),ISNUMBER(SEARCH("seed mix",E468))),"Grass Seed",
OR(ISNUMBER(SEARCH("lawn food",E468)),ISNUMBER(SEARCH("fertilizer",E468))),"Lawn Fertilizer",
OR(ISNUMBER(SEARCH("patch",E468)),ISNUMBER(SEARCH("repair",E468)),ISNUMBER(SEARCH("thick'r",E468)),ISNUMBER(SEARCH("thick'r lawn",E468)),ISNUMBER(SEARCH("rapid grass",E468))),"Lawn Repair",
OR(ISNUMBER(SEARCH("weed",E468)),ISNUMBER(SEARCH("crabgrass",E468))),"Weed Control",
OR(ISNUMBER(SEARCH("fungicide",E468)),ISNUMBER(SEARCH("moss",E468))),"Disease &amp; Moss Control",
OR(ISNUMBER(SEARCH("plant food",E468)),ISNUMBER(SEARCH("miracid",E468))),"Plant Nutrition",
OR(ISNUMBER(SEARCH("perlite",E468))),"Soil Amendment",
OR(ISNUMBER(SEARCH("spreader",E468)),ISNUMBER(SEARCH("sprayer",E468)),ISNUMBER(SEARCH("mower",E468)),ISNUMBER(SEARCH("sweeper",E468)),ISNUMBER(SEARCH("pruner",E468)),ISNUMBER(SEARCH("trimmer",E468)),ISNUMBER(SEARCH("pole saw",E468))),"Garden Equipment",
TRUE,"Other"
)</f>
        <v>Rodent Control</v>
      </c>
      <c r="I468" s="7" t="str" cm="1">
        <f t="array" ref="I468">_xlfn.IFS(
OR(ISNUMBER(SEARCH("glue trap",E468)),ISNUMBER(SEARCH("glue board",E468))),"Glue Traps",
OR(ISNUMBER(SEARCH("snap trap",E468)),ISNUMBER(SEARCH("power-kill",E468)),ISNUMBER(SEARCH("wide pedal",E468)),ISNUMBER(SEARCH("metal pedal",E468))),"Snap Traps",
OR(ISNUMBER(SEARCH("electronic",E468)),ISNUMBER(SEARCH("zapper",E468))),"Electronic Traps",
OR(ISNUMBER(SEARCH("live catch",E468)),ISNUMBER(SEARCH("multi-catch",E468)),ISNUMBER(SEARCH("catch &amp; hold",E468)),ISNUMBER(SEARCH("tin cat",E468))),"Live Catch Traps",
OR(ISNUMBER(SEARCH("bait",E468)),ISNUMBER(SEARCH("poison",E468))),"Bait &amp; Poison",
ISNUMBER(SEARCH("repellent",E468)),"Repellents",
OR(ISNUMBER(SEARCH("fly trap",E468)),ISNUMBER(SEARCH("fly ribbon",E468)),ISNUMBER(SEARCH("fly stick",E468)),ISNUMBER(SEARCH("window fly",E468)),ISNUMBER(SEARCH("fly magnet",E468))),"Fly Traps",
OR(ISNUMBER(SEARCH("uv",E468)),ISNUMBER(SEARCH("fly light",E468)),ISNUMBER(SEARCH("plug-in",E468))),"UV Fly Traps",
ISNUMBER(SEARCH("roach",E468)),"Roach Traps",
ISNUMBER(SEARCH("ant",E468)),"Ant Traps",
ISNUMBER(SEARCH("spider",E468)),"Spider Traps",
ISNUMBER(SEARCH("mosquito",E468)),"Mosquito Traps",
ISNUMBER(SEARCH("beetle",E468)),"Beetle Traps",
ISNUMBER(SEARCH("lantern",E468)),"Lanternfly Control",
OR(ISNUMBER(SEARCH("tree shield",E468)),ISNUMBER(SEARCH("tree banding",E468)),ISNUMBER(SEARCH("insect barrier",E468))),"Tree Barriers",
OR(ISNUMBER(SEARCH("sun &amp; shade",E468)),ISNUMBER(SEARCH("sun and shade",E468))),"Sun &amp; Shade Mix",
ISNUMBER(SEARCH("tall fescue",E468)),"Tall Fescue",
ISNUMBER(SEARCH("bermudagrass",E468)),"Bermudagrass",
ISNUMBER(SEARCH("kentucky",E468)),"Kentucky Bluegrass",
ISNUMBER(SEARCH("zoysia",E468)),"Zoysia",
ISNUMBER(SEARCH("ryegrass",E468)),"Perennial Ryegrass",
ISNUMBER(SEARCH("centipede",E468)),"Centipede Grass",
ISNUMBER(SEARCH("dense shade",E468)),"Dense Shade Mix",
ISNUMBER(SEARCH("southern gold",E468)),"Southern Gold Mix",
ISNUMBER(SEARCH("heat-tolerant blue",E468)),"Heat-Tolerant Blue Mix",
ISNUMBER(SEARCH("high traffic",E468)),"High Traffic Mix",
ISNUMBER(SEARCH("quick fix",E468)),"Quick Fix Mix",
ISNUMBER(SEARCH("starter",E468)),"Starter Fertilizer",
ISNUMBER(SEARCH("weed &amp; feed",E468)),"Weed &amp; Feed",
ISNUMBER(SEARCH("lawn food",E468)),"Lawn Food",
ISNUMBER(SEARCH("triple action",E468)),"Triple Action Fertilizer",
ISNUMBER(SEARCH("green max",E468)),"Green Max Lawn Food",
ISNUMBER(SEARCH("patchmaster",E468)),"PatchMaster Repair",
ISNUMBER(SEARCH("ez seed",E468)),"EZ Seed Repair",
ISNUMBER(SEARCH("rapid grass",E468)),"Rapid Grass",
ISNUMBER(SEARCH("thick'r lawn",E468)),"Thick'R Lawn",
ISNUMBER(SEARCH("fungicide",E468)),"Fungicide",
ISNUMBER(SEARCH("moss",E468)),"Moss Control",
ISNUMBER(SEARCH("perlite",E468)),"Perlite",
ISNUMBER(SEARCH("plant food",E468)),"Plant Food",
ISNUMBER(SEARCH("spreader",E468)),"Spreader",
ISNUMBER(SEARCH("sprayer",E468)),"Sprayer",
ISNUMBER(SEARCH("mower",E468)),"Lawn Mower",
ISNUMBER(SEARCH("sweeper",E468)),"Lawn Sweeper",
OR(ISNUMBER(SEARCH("pruner",E468)),ISNUMBER(SEARCH("trimmer",E468)),ISNUMBER(SEARCH("pole saw",E468))),"Pruning Tools",
TRUE,"Other"
)</f>
        <v>Other</v>
      </c>
      <c r="J468" s="7" t="str">
        <f t="shared" si="124"/>
        <v>Rodent Control - Other</v>
      </c>
      <c r="K468" s="4">
        <v>50</v>
      </c>
      <c r="L468" s="4">
        <v>4</v>
      </c>
      <c r="M468" s="4">
        <v>772</v>
      </c>
      <c r="N468" s="4" t="s">
        <v>1202</v>
      </c>
      <c r="O468" s="4">
        <f>VLOOKUP(A468,'[6]Monthly Sold'!$A:$B,2,0)</f>
        <v>0</v>
      </c>
      <c r="P468" s="4">
        <f>VLOOKUP(A468,'[6]Monthly Sold'!$A:$M,3,0)</f>
        <v>0</v>
      </c>
      <c r="Q468" s="4">
        <f>VLOOKUP(A468,'[6]Monthly Sold'!$A:$M,4,0)</f>
        <v>50</v>
      </c>
      <c r="R468" s="4">
        <f>VLOOKUP(A468,'[6]Monthly Sold'!$A:$M,5,0)</f>
        <v>50</v>
      </c>
      <c r="S468" s="4">
        <f>VLOOKUP(A468,'[6]Monthly Sold'!$A:$M,6,0)</f>
        <v>50</v>
      </c>
      <c r="T468" s="4">
        <f>VLOOKUP(A468,'[6]Monthly Sold'!$A:$M,7,0)</f>
        <v>100</v>
      </c>
      <c r="U468" s="4">
        <f>VLOOKUP(A468,'[6]Monthly Sold'!$A:$M,8,0)</f>
        <v>50</v>
      </c>
      <c r="V468" s="4">
        <f>VLOOKUP(A468,'[6]Monthly Sold'!$A:$M,9,0)</f>
        <v>100</v>
      </c>
      <c r="W468" s="4">
        <f>VLOOKUP(A468,'[6]Monthly Sold'!$A:$M,10,0)</f>
        <v>50</v>
      </c>
      <c r="X468" s="4">
        <f>VLOOKUP(A468,'[6]Monthly Sold'!$A:$M,11,0)</f>
        <v>0</v>
      </c>
      <c r="Y468" s="4">
        <f>VLOOKUP(A468,'[6]Monthly Sold'!$A:$M,12,0)</f>
        <v>0</v>
      </c>
      <c r="Z468" s="4">
        <f>VLOOKUP(A468,'[6]Monthly Sold'!$A:$M,13,0)</f>
        <v>0</v>
      </c>
      <c r="AA468" s="4">
        <f t="shared" si="118"/>
        <v>450</v>
      </c>
      <c r="AB468" s="7">
        <f t="shared" si="125"/>
        <v>38</v>
      </c>
      <c r="AC468" s="15">
        <f t="shared" si="119"/>
        <v>37.5</v>
      </c>
      <c r="AD468" s="16">
        <f t="shared" si="120"/>
        <v>6183</v>
      </c>
      <c r="AE468" s="16">
        <f t="shared" si="121"/>
        <v>515.25</v>
      </c>
      <c r="AF468" s="21">
        <v>4.76</v>
      </c>
      <c r="AG468" s="21">
        <v>13.74</v>
      </c>
      <c r="AH468" s="15">
        <f t="shared" si="122"/>
        <v>-1.7600000000000015E-2</v>
      </c>
      <c r="AI468" s="15">
        <f t="shared" si="123"/>
        <v>-6.1600000000000051E-2</v>
      </c>
      <c r="AJ468" s="10">
        <v>0.5</v>
      </c>
      <c r="AK468" s="10">
        <v>0.5</v>
      </c>
      <c r="AL468" s="21">
        <v>4.76</v>
      </c>
      <c r="AM468" s="9">
        <f t="shared" si="126"/>
        <v>2.0609999999999999</v>
      </c>
      <c r="AN468" s="9">
        <f t="shared" si="127"/>
        <v>0.41220000000000001</v>
      </c>
      <c r="AO468" s="9">
        <f t="shared" si="128"/>
        <v>2.7480000000000002</v>
      </c>
      <c r="AP468" s="9">
        <f t="shared" si="129"/>
        <v>0.27479999999999999</v>
      </c>
      <c r="AQ468" s="9">
        <f t="shared" si="130"/>
        <v>2.7480000000000002</v>
      </c>
      <c r="AR468" s="9">
        <f t="shared" si="131"/>
        <v>3.4350000000000001</v>
      </c>
      <c r="AS468" s="11">
        <f t="shared" si="132"/>
        <v>-0.17600000000000016</v>
      </c>
      <c r="AT468" s="12">
        <f t="shared" si="133"/>
        <v>-0.63400000000000001</v>
      </c>
    </row>
    <row r="469" spans="1:46" ht="16.5" x14ac:dyDescent="0.4">
      <c r="A469" s="4" t="s">
        <v>1883</v>
      </c>
      <c r="B469" s="4" t="s">
        <v>1895</v>
      </c>
      <c r="C469" s="4" t="s">
        <v>1784</v>
      </c>
      <c r="D469" s="4" t="s">
        <v>2153</v>
      </c>
      <c r="E469" s="4" t="s">
        <v>2154</v>
      </c>
      <c r="F469" s="4" t="s">
        <v>2155</v>
      </c>
      <c r="G469" s="7" t="str">
        <f>VLOOKUP(A469,[1]done!$A:$I,9,0)</f>
        <v>Mole Repellent</v>
      </c>
      <c r="H469" s="7" t="str" cm="1">
        <f t="array" ref="H469">_xlfn.IFS(
OR(ISNUMBER(SEARCH("mouse",E469)),ISNUMBER(SEARCH("rat",E469)),ISNUMBER(SEARCH("mice",E469)),ISNUMBER(SEARCH("rodent",E469))),"Rodent Control",
OR(ISNUMBER(SEARCH("fly",E469)),ISNUMBER(SEARCH("gnat",E469)),ISNUMBER(SEARCH("insect",E469)),ISNUMBER(SEARCH("mosquito",E469))),"Flying Insect Control",
OR(ISNUMBER(SEARCH("roach",E469)),ISNUMBER(SEARCH("ant",E469)),ISNUMBER(SEARCH("spider",E469)),ISNUMBER(SEARCH("cricket",E469)),ISNUMBER(SEARCH("scorpion",E469)),ISNUMBER(SEARCH("centipede",E469)),ISNUMBER(SEARCH("beetle",E469))),"Crawling Insect Control",
OR(ISNUMBER(SEARCH("tree",E469)),ISNUMBER(SEARCH("lantern",E469)),ISNUMBER(SEARCH("garden",E469)),ISNUMBER(SEARCH("plant",E469))),"Garden Pest Control",
OR(ISNUMBER(SEARCH("grass seed",E469)),ISNUMBER(SEARCH("seed mix",E469))),"Grass Seed",
OR(ISNUMBER(SEARCH("lawn food",E469)),ISNUMBER(SEARCH("fertilizer",E469))),"Lawn Fertilizer",
OR(ISNUMBER(SEARCH("patch",E469)),ISNUMBER(SEARCH("repair",E469)),ISNUMBER(SEARCH("thick'r",E469)),ISNUMBER(SEARCH("thick'r lawn",E469)),ISNUMBER(SEARCH("rapid grass",E469))),"Lawn Repair",
OR(ISNUMBER(SEARCH("weed",E469)),ISNUMBER(SEARCH("crabgrass",E469))),"Weed Control",
OR(ISNUMBER(SEARCH("fungicide",E469)),ISNUMBER(SEARCH("moss",E469))),"Disease &amp; Moss Control",
OR(ISNUMBER(SEARCH("plant food",E469)),ISNUMBER(SEARCH("miracid",E469))),"Plant Nutrition",
OR(ISNUMBER(SEARCH("perlite",E469))),"Soil Amendment",
OR(ISNUMBER(SEARCH("spreader",E469)),ISNUMBER(SEARCH("sprayer",E469)),ISNUMBER(SEARCH("mower",E469)),ISNUMBER(SEARCH("sweeper",E469)),ISNUMBER(SEARCH("pruner",E469)),ISNUMBER(SEARCH("trimmer",E469)),ISNUMBER(SEARCH("pole saw",E469))),"Garden Equipment",
TRUE,"Other"
)</f>
        <v>Other</v>
      </c>
      <c r="I469" s="7" t="str" cm="1">
        <f t="array" ref="I469">_xlfn.IFS(
OR(ISNUMBER(SEARCH("glue trap",E469)),ISNUMBER(SEARCH("glue board",E469))),"Glue Traps",
OR(ISNUMBER(SEARCH("snap trap",E469)),ISNUMBER(SEARCH("power-kill",E469)),ISNUMBER(SEARCH("wide pedal",E469)),ISNUMBER(SEARCH("metal pedal",E469))),"Snap Traps",
OR(ISNUMBER(SEARCH("electronic",E469)),ISNUMBER(SEARCH("zapper",E469))),"Electronic Traps",
OR(ISNUMBER(SEARCH("live catch",E469)),ISNUMBER(SEARCH("multi-catch",E469)),ISNUMBER(SEARCH("catch &amp; hold",E469)),ISNUMBER(SEARCH("tin cat",E469))),"Live Catch Traps",
OR(ISNUMBER(SEARCH("bait",E469)),ISNUMBER(SEARCH("poison",E469))),"Bait &amp; Poison",
ISNUMBER(SEARCH("repellent",E469)),"Repellents",
OR(ISNUMBER(SEARCH("fly trap",E469)),ISNUMBER(SEARCH("fly ribbon",E469)),ISNUMBER(SEARCH("fly stick",E469)),ISNUMBER(SEARCH("window fly",E469)),ISNUMBER(SEARCH("fly magnet",E469))),"Fly Traps",
OR(ISNUMBER(SEARCH("uv",E469)),ISNUMBER(SEARCH("fly light",E469)),ISNUMBER(SEARCH("plug-in",E469))),"UV Fly Traps",
ISNUMBER(SEARCH("roach",E469)),"Roach Traps",
ISNUMBER(SEARCH("ant",E469)),"Ant Traps",
ISNUMBER(SEARCH("spider",E469)),"Spider Traps",
ISNUMBER(SEARCH("mosquito",E469)),"Mosquito Traps",
ISNUMBER(SEARCH("beetle",E469)),"Beetle Traps",
ISNUMBER(SEARCH("lantern",E469)),"Lanternfly Control",
OR(ISNUMBER(SEARCH("tree shield",E469)),ISNUMBER(SEARCH("tree banding",E469)),ISNUMBER(SEARCH("insect barrier",E469))),"Tree Barriers",
OR(ISNUMBER(SEARCH("sun &amp; shade",E469)),ISNUMBER(SEARCH("sun and shade",E469))),"Sun &amp; Shade Mix",
ISNUMBER(SEARCH("tall fescue",E469)),"Tall Fescue",
ISNUMBER(SEARCH("bermudagrass",E469)),"Bermudagrass",
ISNUMBER(SEARCH("kentucky",E469)),"Kentucky Bluegrass",
ISNUMBER(SEARCH("zoysia",E469)),"Zoysia",
ISNUMBER(SEARCH("ryegrass",E469)),"Perennial Ryegrass",
ISNUMBER(SEARCH("centipede",E469)),"Centipede Grass",
ISNUMBER(SEARCH("dense shade",E469)),"Dense Shade Mix",
ISNUMBER(SEARCH("southern gold",E469)),"Southern Gold Mix",
ISNUMBER(SEARCH("heat-tolerant blue",E469)),"Heat-Tolerant Blue Mix",
ISNUMBER(SEARCH("high traffic",E469)),"High Traffic Mix",
ISNUMBER(SEARCH("quick fix",E469)),"Quick Fix Mix",
ISNUMBER(SEARCH("starter",E469)),"Starter Fertilizer",
ISNUMBER(SEARCH("weed &amp; feed",E469)),"Weed &amp; Feed",
ISNUMBER(SEARCH("lawn food",E469)),"Lawn Food",
ISNUMBER(SEARCH("triple action",E469)),"Triple Action Fertilizer",
ISNUMBER(SEARCH("green max",E469)),"Green Max Lawn Food",
ISNUMBER(SEARCH("patchmaster",E469)),"PatchMaster Repair",
ISNUMBER(SEARCH("ez seed",E469)),"EZ Seed Repair",
ISNUMBER(SEARCH("rapid grass",E469)),"Rapid Grass",
ISNUMBER(SEARCH("thick'r lawn",E469)),"Thick'R Lawn",
ISNUMBER(SEARCH("fungicide",E469)),"Fungicide",
ISNUMBER(SEARCH("moss",E469)),"Moss Control",
ISNUMBER(SEARCH("perlite",E469)),"Perlite",
ISNUMBER(SEARCH("plant food",E469)),"Plant Food",
ISNUMBER(SEARCH("spreader",E469)),"Spreader",
ISNUMBER(SEARCH("sprayer",E469)),"Sprayer",
ISNUMBER(SEARCH("mower",E469)),"Lawn Mower",
ISNUMBER(SEARCH("sweeper",E469)),"Lawn Sweeper",
OR(ISNUMBER(SEARCH("pruner",E469)),ISNUMBER(SEARCH("trimmer",E469)),ISNUMBER(SEARCH("pole saw",E469))),"Pruning Tools",
TRUE,"Other"
)</f>
        <v>Other</v>
      </c>
      <c r="J469" s="7" t="str">
        <f t="shared" si="124"/>
        <v>Other - Other</v>
      </c>
      <c r="K469" s="4">
        <v>50</v>
      </c>
      <c r="L469" s="4">
        <v>4</v>
      </c>
      <c r="M469" s="4">
        <v>69</v>
      </c>
      <c r="N469" s="4" t="s">
        <v>1202</v>
      </c>
      <c r="O469" s="4">
        <f>VLOOKUP(A469,'[6]Monthly Sold'!$A:$B,2,0)</f>
        <v>0</v>
      </c>
      <c r="P469" s="4">
        <f>VLOOKUP(A469,'[6]Monthly Sold'!$A:$M,3,0)</f>
        <v>0</v>
      </c>
      <c r="Q469" s="4">
        <f>VLOOKUP(A469,'[6]Monthly Sold'!$A:$M,4,0)</f>
        <v>100</v>
      </c>
      <c r="R469" s="4">
        <f>VLOOKUP(A469,'[6]Monthly Sold'!$A:$M,5,0)</f>
        <v>50</v>
      </c>
      <c r="S469" s="4">
        <f>VLOOKUP(A469,'[6]Monthly Sold'!$A:$M,6,0)</f>
        <v>50</v>
      </c>
      <c r="T469" s="4">
        <f>VLOOKUP(A469,'[6]Monthly Sold'!$A:$M,7,0)</f>
        <v>0</v>
      </c>
      <c r="U469" s="4">
        <f>VLOOKUP(A469,'[6]Monthly Sold'!$A:$M,8,0)</f>
        <v>0</v>
      </c>
      <c r="V469" s="4">
        <f>VLOOKUP(A469,'[6]Monthly Sold'!$A:$M,9,0)</f>
        <v>0</v>
      </c>
      <c r="W469" s="4">
        <f>VLOOKUP(A469,'[6]Monthly Sold'!$A:$M,10,0)</f>
        <v>50</v>
      </c>
      <c r="X469" s="4">
        <f>VLOOKUP(A469,'[6]Monthly Sold'!$A:$M,11,0)</f>
        <v>0</v>
      </c>
      <c r="Y469" s="4">
        <f>VLOOKUP(A469,'[6]Monthly Sold'!$A:$M,12,0)</f>
        <v>0</v>
      </c>
      <c r="Z469" s="4">
        <f>VLOOKUP(A469,'[6]Monthly Sold'!$A:$M,13,0)</f>
        <v>0</v>
      </c>
      <c r="AA469" s="4">
        <f t="shared" si="118"/>
        <v>250</v>
      </c>
      <c r="AB469" s="7">
        <f t="shared" si="125"/>
        <v>21</v>
      </c>
      <c r="AC469" s="15">
        <f t="shared" si="119"/>
        <v>20.833333333333332</v>
      </c>
      <c r="AD469" s="16">
        <f t="shared" si="120"/>
        <v>10600</v>
      </c>
      <c r="AE469" s="16">
        <f t="shared" si="121"/>
        <v>883.33333333333326</v>
      </c>
      <c r="AF469" s="21">
        <v>21.51</v>
      </c>
      <c r="AG469" s="21">
        <v>42.4</v>
      </c>
      <c r="AH469" s="15">
        <f t="shared" si="122"/>
        <v>-0.37000000000000033</v>
      </c>
      <c r="AI469" s="15">
        <f t="shared" si="123"/>
        <v>-1.2950000000000008</v>
      </c>
      <c r="AJ469" s="10">
        <v>0.5</v>
      </c>
      <c r="AK469" s="10">
        <v>0.5</v>
      </c>
      <c r="AL469" s="21">
        <v>21.51</v>
      </c>
      <c r="AM469" s="9">
        <f t="shared" si="126"/>
        <v>6.3599999999999994</v>
      </c>
      <c r="AN469" s="9">
        <f t="shared" si="127"/>
        <v>1.272</v>
      </c>
      <c r="AO469" s="9">
        <f t="shared" si="128"/>
        <v>8.48</v>
      </c>
      <c r="AP469" s="9">
        <f t="shared" si="129"/>
        <v>0.84799999999999998</v>
      </c>
      <c r="AQ469" s="9">
        <f t="shared" si="130"/>
        <v>8.48</v>
      </c>
      <c r="AR469" s="9">
        <f t="shared" si="131"/>
        <v>10.6</v>
      </c>
      <c r="AS469" s="11">
        <f t="shared" si="132"/>
        <v>-3.7000000000000028</v>
      </c>
      <c r="AT469" s="12">
        <f t="shared" si="133"/>
        <v>-5.113333333333336</v>
      </c>
    </row>
    <row r="470" spans="1:46" ht="16.5" x14ac:dyDescent="0.4">
      <c r="A470" s="4" t="s">
        <v>1884</v>
      </c>
      <c r="B470" s="4" t="s">
        <v>1895</v>
      </c>
      <c r="C470" s="4" t="s">
        <v>1895</v>
      </c>
      <c r="D470" s="4" t="s">
        <v>2156</v>
      </c>
      <c r="E470" s="4" t="s">
        <v>2157</v>
      </c>
      <c r="F470" s="4" t="s">
        <v>2158</v>
      </c>
      <c r="G470" s="7" t="str">
        <f>VLOOKUP(A470,[1]done!$A:$I,9,0)</f>
        <v>Rodent</v>
      </c>
      <c r="H470" s="7" t="str" cm="1">
        <f t="array" ref="H470">_xlfn.IFS(
OR(ISNUMBER(SEARCH("mouse",E470)),ISNUMBER(SEARCH("rat",E470)),ISNUMBER(SEARCH("mice",E470)),ISNUMBER(SEARCH("rodent",E470))),"Rodent Control",
OR(ISNUMBER(SEARCH("fly",E470)),ISNUMBER(SEARCH("gnat",E470)),ISNUMBER(SEARCH("insect",E470)),ISNUMBER(SEARCH("mosquito",E470))),"Flying Insect Control",
OR(ISNUMBER(SEARCH("roach",E470)),ISNUMBER(SEARCH("ant",E470)),ISNUMBER(SEARCH("spider",E470)),ISNUMBER(SEARCH("cricket",E470)),ISNUMBER(SEARCH("scorpion",E470)),ISNUMBER(SEARCH("centipede",E470)),ISNUMBER(SEARCH("beetle",E470))),"Crawling Insect Control",
OR(ISNUMBER(SEARCH("tree",E470)),ISNUMBER(SEARCH("lantern",E470)),ISNUMBER(SEARCH("garden",E470)),ISNUMBER(SEARCH("plant",E470))),"Garden Pest Control",
OR(ISNUMBER(SEARCH("grass seed",E470)),ISNUMBER(SEARCH("seed mix",E470))),"Grass Seed",
OR(ISNUMBER(SEARCH("lawn food",E470)),ISNUMBER(SEARCH("fertilizer",E470))),"Lawn Fertilizer",
OR(ISNUMBER(SEARCH("patch",E470)),ISNUMBER(SEARCH("repair",E470)),ISNUMBER(SEARCH("thick'r",E470)),ISNUMBER(SEARCH("thick'r lawn",E470)),ISNUMBER(SEARCH("rapid grass",E470))),"Lawn Repair",
OR(ISNUMBER(SEARCH("weed",E470)),ISNUMBER(SEARCH("crabgrass",E470))),"Weed Control",
OR(ISNUMBER(SEARCH("fungicide",E470)),ISNUMBER(SEARCH("moss",E470))),"Disease &amp; Moss Control",
OR(ISNUMBER(SEARCH("plant food",E470)),ISNUMBER(SEARCH("miracid",E470))),"Plant Nutrition",
OR(ISNUMBER(SEARCH("perlite",E470))),"Soil Amendment",
OR(ISNUMBER(SEARCH("spreader",E470)),ISNUMBER(SEARCH("sprayer",E470)),ISNUMBER(SEARCH("mower",E470)),ISNUMBER(SEARCH("sweeper",E470)),ISNUMBER(SEARCH("pruner",E470)),ISNUMBER(SEARCH("trimmer",E470)),ISNUMBER(SEARCH("pole saw",E470))),"Garden Equipment",
TRUE,"Other"
)</f>
        <v>Rodent Control</v>
      </c>
      <c r="I470" s="7" t="str" cm="1">
        <f t="array" ref="I470">_xlfn.IFS(
OR(ISNUMBER(SEARCH("glue trap",E470)),ISNUMBER(SEARCH("glue board",E470))),"Glue Traps",
OR(ISNUMBER(SEARCH("snap trap",E470)),ISNUMBER(SEARCH("power-kill",E470)),ISNUMBER(SEARCH("wide pedal",E470)),ISNUMBER(SEARCH("metal pedal",E470))),"Snap Traps",
OR(ISNUMBER(SEARCH("electronic",E470)),ISNUMBER(SEARCH("zapper",E470))),"Electronic Traps",
OR(ISNUMBER(SEARCH("live catch",E470)),ISNUMBER(SEARCH("multi-catch",E470)),ISNUMBER(SEARCH("catch &amp; hold",E470)),ISNUMBER(SEARCH("tin cat",E470))),"Live Catch Traps",
OR(ISNUMBER(SEARCH("bait",E470)),ISNUMBER(SEARCH("poison",E470))),"Bait &amp; Poison",
ISNUMBER(SEARCH("repellent",E470)),"Repellents",
OR(ISNUMBER(SEARCH("fly trap",E470)),ISNUMBER(SEARCH("fly ribbon",E470)),ISNUMBER(SEARCH("fly stick",E470)),ISNUMBER(SEARCH("window fly",E470)),ISNUMBER(SEARCH("fly magnet",E470))),"Fly Traps",
OR(ISNUMBER(SEARCH("uv",E470)),ISNUMBER(SEARCH("fly light",E470)),ISNUMBER(SEARCH("plug-in",E470))),"UV Fly Traps",
ISNUMBER(SEARCH("roach",E470)),"Roach Traps",
ISNUMBER(SEARCH("ant",E470)),"Ant Traps",
ISNUMBER(SEARCH("spider",E470)),"Spider Traps",
ISNUMBER(SEARCH("mosquito",E470)),"Mosquito Traps",
ISNUMBER(SEARCH("beetle",E470)),"Beetle Traps",
ISNUMBER(SEARCH("lantern",E470)),"Lanternfly Control",
OR(ISNUMBER(SEARCH("tree shield",E470)),ISNUMBER(SEARCH("tree banding",E470)),ISNUMBER(SEARCH("insect barrier",E470))),"Tree Barriers",
OR(ISNUMBER(SEARCH("sun &amp; shade",E470)),ISNUMBER(SEARCH("sun and shade",E470))),"Sun &amp; Shade Mix",
ISNUMBER(SEARCH("tall fescue",E470)),"Tall Fescue",
ISNUMBER(SEARCH("bermudagrass",E470)),"Bermudagrass",
ISNUMBER(SEARCH("kentucky",E470)),"Kentucky Bluegrass",
ISNUMBER(SEARCH("zoysia",E470)),"Zoysia",
ISNUMBER(SEARCH("ryegrass",E470)),"Perennial Ryegrass",
ISNUMBER(SEARCH("centipede",E470)),"Centipede Grass",
ISNUMBER(SEARCH("dense shade",E470)),"Dense Shade Mix",
ISNUMBER(SEARCH("southern gold",E470)),"Southern Gold Mix",
ISNUMBER(SEARCH("heat-tolerant blue",E470)),"Heat-Tolerant Blue Mix",
ISNUMBER(SEARCH("high traffic",E470)),"High Traffic Mix",
ISNUMBER(SEARCH("quick fix",E470)),"Quick Fix Mix",
ISNUMBER(SEARCH("starter",E470)),"Starter Fertilizer",
ISNUMBER(SEARCH("weed &amp; feed",E470)),"Weed &amp; Feed",
ISNUMBER(SEARCH("lawn food",E470)),"Lawn Food",
ISNUMBER(SEARCH("triple action",E470)),"Triple Action Fertilizer",
ISNUMBER(SEARCH("green max",E470)),"Green Max Lawn Food",
ISNUMBER(SEARCH("patchmaster",E470)),"PatchMaster Repair",
ISNUMBER(SEARCH("ez seed",E470)),"EZ Seed Repair",
ISNUMBER(SEARCH("rapid grass",E470)),"Rapid Grass",
ISNUMBER(SEARCH("thick'r lawn",E470)),"Thick'R Lawn",
ISNUMBER(SEARCH("fungicide",E470)),"Fungicide",
ISNUMBER(SEARCH("moss",E470)),"Moss Control",
ISNUMBER(SEARCH("perlite",E470)),"Perlite",
ISNUMBER(SEARCH("plant food",E470)),"Plant Food",
ISNUMBER(SEARCH("spreader",E470)),"Spreader",
ISNUMBER(SEARCH("sprayer",E470)),"Sprayer",
ISNUMBER(SEARCH("mower",E470)),"Lawn Mower",
ISNUMBER(SEARCH("sweeper",E470)),"Lawn Sweeper",
OR(ISNUMBER(SEARCH("pruner",E470)),ISNUMBER(SEARCH("trimmer",E470)),ISNUMBER(SEARCH("pole saw",E470))),"Pruning Tools",
TRUE,"Other"
)</f>
        <v>Other</v>
      </c>
      <c r="J470" s="7" t="str">
        <f t="shared" si="124"/>
        <v>Rodent Control - Other</v>
      </c>
      <c r="K470" s="4">
        <v>50</v>
      </c>
      <c r="L470" s="4">
        <v>4.3</v>
      </c>
      <c r="M470" s="4">
        <v>4876</v>
      </c>
      <c r="N470" s="4" t="s">
        <v>2159</v>
      </c>
      <c r="O470" s="4">
        <f>VLOOKUP(A470,'[6]Monthly Sold'!$A:$B,2,0)</f>
        <v>0</v>
      </c>
      <c r="P470" s="4">
        <f>VLOOKUP(A470,'[6]Monthly Sold'!$A:$M,3,0)</f>
        <v>0</v>
      </c>
      <c r="Q470" s="4">
        <f>VLOOKUP(A470,'[6]Monthly Sold'!$A:$M,4,0)</f>
        <v>100</v>
      </c>
      <c r="R470" s="4">
        <f>VLOOKUP(A470,'[6]Monthly Sold'!$A:$M,5,0)</f>
        <v>60</v>
      </c>
      <c r="S470" s="4">
        <f>VLOOKUP(A470,'[6]Monthly Sold'!$A:$M,6,0)</f>
        <v>100</v>
      </c>
      <c r="T470" s="4">
        <f>VLOOKUP(A470,'[6]Monthly Sold'!$A:$M,7,0)</f>
        <v>60</v>
      </c>
      <c r="U470" s="4">
        <f>VLOOKUP(A470,'[6]Monthly Sold'!$A:$M,8,0)</f>
        <v>60</v>
      </c>
      <c r="V470" s="4">
        <f>VLOOKUP(A470,'[6]Monthly Sold'!$A:$M,9,0)</f>
        <v>60</v>
      </c>
      <c r="W470" s="4">
        <f>VLOOKUP(A470,'[6]Monthly Sold'!$A:$M,10,0)</f>
        <v>60</v>
      </c>
      <c r="X470" s="4">
        <f>VLOOKUP(A470,'[6]Monthly Sold'!$A:$M,11,0)</f>
        <v>0</v>
      </c>
      <c r="Y470" s="4">
        <f>VLOOKUP(A470,'[6]Monthly Sold'!$A:$M,12,0)</f>
        <v>100</v>
      </c>
      <c r="Z470" s="4">
        <f>VLOOKUP(A470,'[6]Monthly Sold'!$A:$M,13,0)</f>
        <v>60</v>
      </c>
      <c r="AA470" s="4">
        <f t="shared" si="118"/>
        <v>660</v>
      </c>
      <c r="AB470" s="7">
        <f t="shared" si="125"/>
        <v>55</v>
      </c>
      <c r="AC470" s="15">
        <f t="shared" si="119"/>
        <v>55</v>
      </c>
      <c r="AD470" s="16">
        <f t="shared" si="120"/>
        <v>22314.600000000002</v>
      </c>
      <c r="AE470" s="16">
        <f t="shared" si="121"/>
        <v>1859.5500000000002</v>
      </c>
      <c r="AF470" s="21">
        <v>6.13</v>
      </c>
      <c r="AG470" s="21">
        <v>33.81</v>
      </c>
      <c r="AH470" s="15">
        <f t="shared" si="122"/>
        <v>0.42626666666666679</v>
      </c>
      <c r="AI470" s="15">
        <f t="shared" si="123"/>
        <v>1.4919333333333338</v>
      </c>
      <c r="AJ470" s="10">
        <v>0.5</v>
      </c>
      <c r="AK470" s="10">
        <v>0.5</v>
      </c>
      <c r="AL470" s="21">
        <v>6.13</v>
      </c>
      <c r="AM470" s="9">
        <f t="shared" si="126"/>
        <v>5.0715000000000003</v>
      </c>
      <c r="AN470" s="9">
        <f t="shared" si="127"/>
        <v>1.0143</v>
      </c>
      <c r="AO470" s="9">
        <f t="shared" si="128"/>
        <v>6.7620000000000005</v>
      </c>
      <c r="AP470" s="9">
        <f t="shared" si="129"/>
        <v>0.67620000000000002</v>
      </c>
      <c r="AQ470" s="9">
        <f t="shared" si="130"/>
        <v>6.7620000000000005</v>
      </c>
      <c r="AR470" s="9">
        <f t="shared" si="131"/>
        <v>8.4525000000000006</v>
      </c>
      <c r="AS470" s="11">
        <f t="shared" si="132"/>
        <v>4.2626666666666679</v>
      </c>
      <c r="AT470" s="12">
        <f t="shared" si="133"/>
        <v>3.1356666666666677</v>
      </c>
    </row>
    <row r="471" spans="1:46" ht="16.5" x14ac:dyDescent="0.4">
      <c r="A471" s="4" t="s">
        <v>1885</v>
      </c>
      <c r="B471" s="4" t="s">
        <v>1895</v>
      </c>
      <c r="C471" s="4" t="s">
        <v>1784</v>
      </c>
      <c r="D471" s="4" t="s">
        <v>2160</v>
      </c>
      <c r="E471" s="4" t="s">
        <v>2161</v>
      </c>
      <c r="F471" s="4" t="s">
        <v>2162</v>
      </c>
      <c r="G471" s="7" t="str">
        <f>VLOOKUP(A471,[1]done!$A:$I,9,0)</f>
        <v>Rodent</v>
      </c>
      <c r="H471" s="7" t="str" cm="1">
        <f t="array" ref="H471">_xlfn.IFS(
OR(ISNUMBER(SEARCH("mouse",E471)),ISNUMBER(SEARCH("rat",E471)),ISNUMBER(SEARCH("mice",E471)),ISNUMBER(SEARCH("rodent",E471))),"Rodent Control",
OR(ISNUMBER(SEARCH("fly",E471)),ISNUMBER(SEARCH("gnat",E471)),ISNUMBER(SEARCH("insect",E471)),ISNUMBER(SEARCH("mosquito",E471))),"Flying Insect Control",
OR(ISNUMBER(SEARCH("roach",E471)),ISNUMBER(SEARCH("ant",E471)),ISNUMBER(SEARCH("spider",E471)),ISNUMBER(SEARCH("cricket",E471)),ISNUMBER(SEARCH("scorpion",E471)),ISNUMBER(SEARCH("centipede",E471)),ISNUMBER(SEARCH("beetle",E471))),"Crawling Insect Control",
OR(ISNUMBER(SEARCH("tree",E471)),ISNUMBER(SEARCH("lantern",E471)),ISNUMBER(SEARCH("garden",E471)),ISNUMBER(SEARCH("plant",E471))),"Garden Pest Control",
OR(ISNUMBER(SEARCH("grass seed",E471)),ISNUMBER(SEARCH("seed mix",E471))),"Grass Seed",
OR(ISNUMBER(SEARCH("lawn food",E471)),ISNUMBER(SEARCH("fertilizer",E471))),"Lawn Fertilizer",
OR(ISNUMBER(SEARCH("patch",E471)),ISNUMBER(SEARCH("repair",E471)),ISNUMBER(SEARCH("thick'r",E471)),ISNUMBER(SEARCH("thick'r lawn",E471)),ISNUMBER(SEARCH("rapid grass",E471))),"Lawn Repair",
OR(ISNUMBER(SEARCH("weed",E471)),ISNUMBER(SEARCH("crabgrass",E471))),"Weed Control",
OR(ISNUMBER(SEARCH("fungicide",E471)),ISNUMBER(SEARCH("moss",E471))),"Disease &amp; Moss Control",
OR(ISNUMBER(SEARCH("plant food",E471)),ISNUMBER(SEARCH("miracid",E471))),"Plant Nutrition",
OR(ISNUMBER(SEARCH("perlite",E471))),"Soil Amendment",
OR(ISNUMBER(SEARCH("spreader",E471)),ISNUMBER(SEARCH("sprayer",E471)),ISNUMBER(SEARCH("mower",E471)),ISNUMBER(SEARCH("sweeper",E471)),ISNUMBER(SEARCH("pruner",E471)),ISNUMBER(SEARCH("trimmer",E471)),ISNUMBER(SEARCH("pole saw",E471))),"Garden Equipment",
TRUE,"Other"
)</f>
        <v>Rodent Control</v>
      </c>
      <c r="I471" s="7" t="str" cm="1">
        <f t="array" ref="I471">_xlfn.IFS(
OR(ISNUMBER(SEARCH("glue trap",E471)),ISNUMBER(SEARCH("glue board",E471))),"Glue Traps",
OR(ISNUMBER(SEARCH("snap trap",E471)),ISNUMBER(SEARCH("power-kill",E471)),ISNUMBER(SEARCH("wide pedal",E471)),ISNUMBER(SEARCH("metal pedal",E471))),"Snap Traps",
OR(ISNUMBER(SEARCH("electronic",E471)),ISNUMBER(SEARCH("zapper",E471))),"Electronic Traps",
OR(ISNUMBER(SEARCH("live catch",E471)),ISNUMBER(SEARCH("multi-catch",E471)),ISNUMBER(SEARCH("catch &amp; hold",E471)),ISNUMBER(SEARCH("tin cat",E471))),"Live Catch Traps",
OR(ISNUMBER(SEARCH("bait",E471)),ISNUMBER(SEARCH("poison",E471))),"Bait &amp; Poison",
ISNUMBER(SEARCH("repellent",E471)),"Repellents",
OR(ISNUMBER(SEARCH("fly trap",E471)),ISNUMBER(SEARCH("fly ribbon",E471)),ISNUMBER(SEARCH("fly stick",E471)),ISNUMBER(SEARCH("window fly",E471)),ISNUMBER(SEARCH("fly magnet",E471))),"Fly Traps",
OR(ISNUMBER(SEARCH("uv",E471)),ISNUMBER(SEARCH("fly light",E471)),ISNUMBER(SEARCH("plug-in",E471))),"UV Fly Traps",
ISNUMBER(SEARCH("roach",E471)),"Roach Traps",
ISNUMBER(SEARCH("ant",E471)),"Ant Traps",
ISNUMBER(SEARCH("spider",E471)),"Spider Traps",
ISNUMBER(SEARCH("mosquito",E471)),"Mosquito Traps",
ISNUMBER(SEARCH("beetle",E471)),"Beetle Traps",
ISNUMBER(SEARCH("lantern",E471)),"Lanternfly Control",
OR(ISNUMBER(SEARCH("tree shield",E471)),ISNUMBER(SEARCH("tree banding",E471)),ISNUMBER(SEARCH("insect barrier",E471))),"Tree Barriers",
OR(ISNUMBER(SEARCH("sun &amp; shade",E471)),ISNUMBER(SEARCH("sun and shade",E471))),"Sun &amp; Shade Mix",
ISNUMBER(SEARCH("tall fescue",E471)),"Tall Fescue",
ISNUMBER(SEARCH("bermudagrass",E471)),"Bermudagrass",
ISNUMBER(SEARCH("kentucky",E471)),"Kentucky Bluegrass",
ISNUMBER(SEARCH("zoysia",E471)),"Zoysia",
ISNUMBER(SEARCH("ryegrass",E471)),"Perennial Ryegrass",
ISNUMBER(SEARCH("centipede",E471)),"Centipede Grass",
ISNUMBER(SEARCH("dense shade",E471)),"Dense Shade Mix",
ISNUMBER(SEARCH("southern gold",E471)),"Southern Gold Mix",
ISNUMBER(SEARCH("heat-tolerant blue",E471)),"Heat-Tolerant Blue Mix",
ISNUMBER(SEARCH("high traffic",E471)),"High Traffic Mix",
ISNUMBER(SEARCH("quick fix",E471)),"Quick Fix Mix",
ISNUMBER(SEARCH("starter",E471)),"Starter Fertilizer",
ISNUMBER(SEARCH("weed &amp; feed",E471)),"Weed &amp; Feed",
ISNUMBER(SEARCH("lawn food",E471)),"Lawn Food",
ISNUMBER(SEARCH("triple action",E471)),"Triple Action Fertilizer",
ISNUMBER(SEARCH("green max",E471)),"Green Max Lawn Food",
ISNUMBER(SEARCH("patchmaster",E471)),"PatchMaster Repair",
ISNUMBER(SEARCH("ez seed",E471)),"EZ Seed Repair",
ISNUMBER(SEARCH("rapid grass",E471)),"Rapid Grass",
ISNUMBER(SEARCH("thick'r lawn",E471)),"Thick'R Lawn",
ISNUMBER(SEARCH("fungicide",E471)),"Fungicide",
ISNUMBER(SEARCH("moss",E471)),"Moss Control",
ISNUMBER(SEARCH("perlite",E471)),"Perlite",
ISNUMBER(SEARCH("plant food",E471)),"Plant Food",
ISNUMBER(SEARCH("spreader",E471)),"Spreader",
ISNUMBER(SEARCH("sprayer",E471)),"Sprayer",
ISNUMBER(SEARCH("mower",E471)),"Lawn Mower",
ISNUMBER(SEARCH("sweeper",E471)),"Lawn Sweeper",
OR(ISNUMBER(SEARCH("pruner",E471)),ISNUMBER(SEARCH("trimmer",E471)),ISNUMBER(SEARCH("pole saw",E471))),"Pruning Tools",
TRUE,"Other"
)</f>
        <v>Repellents</v>
      </c>
      <c r="J471" s="7" t="str">
        <f t="shared" si="124"/>
        <v>Rodent Control - Repellents</v>
      </c>
      <c r="K471" s="4">
        <v>50</v>
      </c>
      <c r="L471" s="4">
        <v>4</v>
      </c>
      <c r="M471" s="4">
        <v>11806</v>
      </c>
      <c r="N471" s="4" t="s">
        <v>2163</v>
      </c>
      <c r="O471" s="4">
        <f>VLOOKUP(A471,'[6]Monthly Sold'!$A:$B,2,0)</f>
        <v>4000</v>
      </c>
      <c r="P471" s="4">
        <f>VLOOKUP(A471,'[6]Monthly Sold'!$A:$M,3,0)</f>
        <v>3000</v>
      </c>
      <c r="Q471" s="4">
        <f>VLOOKUP(A471,'[6]Monthly Sold'!$A:$M,4,0)</f>
        <v>3000</v>
      </c>
      <c r="R471" s="4">
        <f>VLOOKUP(A471,'[6]Monthly Sold'!$A:$M,5,0)</f>
        <v>4000</v>
      </c>
      <c r="S471" s="4">
        <f>VLOOKUP(A471,'[6]Monthly Sold'!$A:$M,6,0)</f>
        <v>3000</v>
      </c>
      <c r="T471" s="4">
        <f>VLOOKUP(A471,'[6]Monthly Sold'!$A:$M,7,0)</f>
        <v>4000</v>
      </c>
      <c r="U471" s="4">
        <f>VLOOKUP(A471,'[6]Monthly Sold'!$A:$M,8,0)</f>
        <v>4000</v>
      </c>
      <c r="V471" s="4">
        <f>VLOOKUP(A471,'[6]Monthly Sold'!$A:$M,9,0)</f>
        <v>3000</v>
      </c>
      <c r="W471" s="4">
        <f>VLOOKUP(A471,'[6]Monthly Sold'!$A:$M,10,0)</f>
        <v>0</v>
      </c>
      <c r="X471" s="4">
        <f>VLOOKUP(A471,'[6]Monthly Sold'!$A:$M,11,0)</f>
        <v>7000</v>
      </c>
      <c r="Y471" s="4">
        <f>VLOOKUP(A471,'[6]Monthly Sold'!$A:$M,12,0)</f>
        <v>10000</v>
      </c>
      <c r="Z471" s="4">
        <f>VLOOKUP(A471,'[6]Monthly Sold'!$A:$M,13,0)</f>
        <v>10000</v>
      </c>
      <c r="AA471" s="4">
        <f t="shared" si="118"/>
        <v>55000</v>
      </c>
      <c r="AB471" s="7">
        <f t="shared" si="125"/>
        <v>4583</v>
      </c>
      <c r="AC471" s="15">
        <f t="shared" si="119"/>
        <v>4583.333333333333</v>
      </c>
      <c r="AD471" s="16">
        <f t="shared" si="120"/>
        <v>1786950</v>
      </c>
      <c r="AE471" s="16">
        <f t="shared" si="121"/>
        <v>148912.5</v>
      </c>
      <c r="AF471" s="21">
        <v>9.3699999999999992</v>
      </c>
      <c r="AG471" s="21">
        <v>32.49</v>
      </c>
      <c r="AH471" s="15">
        <f t="shared" si="122"/>
        <v>0.17506666666666665</v>
      </c>
      <c r="AI471" s="15">
        <f t="shared" si="123"/>
        <v>0.61273333333333324</v>
      </c>
      <c r="AJ471" s="10">
        <v>0.5</v>
      </c>
      <c r="AK471" s="10">
        <v>0.5</v>
      </c>
      <c r="AL471" s="21">
        <v>9.3699999999999992</v>
      </c>
      <c r="AM471" s="9">
        <f t="shared" si="126"/>
        <v>4.8734999999999999</v>
      </c>
      <c r="AN471" s="9">
        <f t="shared" si="127"/>
        <v>0.97470000000000001</v>
      </c>
      <c r="AO471" s="9">
        <f t="shared" si="128"/>
        <v>6.4980000000000011</v>
      </c>
      <c r="AP471" s="9">
        <f t="shared" si="129"/>
        <v>0.64980000000000004</v>
      </c>
      <c r="AQ471" s="9">
        <f t="shared" si="130"/>
        <v>6.4980000000000011</v>
      </c>
      <c r="AR471" s="9">
        <f t="shared" si="131"/>
        <v>8.1225000000000005</v>
      </c>
      <c r="AS471" s="11">
        <f t="shared" si="132"/>
        <v>1.7506666666666664</v>
      </c>
      <c r="AT471" s="12">
        <f t="shared" si="133"/>
        <v>0.66766666666666674</v>
      </c>
    </row>
    <row r="472" spans="1:46" ht="16.5" x14ac:dyDescent="0.4">
      <c r="A472" s="4" t="s">
        <v>1886</v>
      </c>
      <c r="B472" s="4" t="s">
        <v>1895</v>
      </c>
      <c r="C472" s="4" t="s">
        <v>1784</v>
      </c>
      <c r="D472" s="4" t="s">
        <v>2164</v>
      </c>
      <c r="E472" s="4" t="s">
        <v>2165</v>
      </c>
      <c r="F472" s="4" t="s">
        <v>2166</v>
      </c>
      <c r="G472" s="7" t="str">
        <f>VLOOKUP(A472,[1]done!$A:$I,9,0)</f>
        <v>Rodent</v>
      </c>
      <c r="H472" s="7" t="str" cm="1">
        <f t="array" ref="H472">_xlfn.IFS(
OR(ISNUMBER(SEARCH("mouse",E472)),ISNUMBER(SEARCH("rat",E472)),ISNUMBER(SEARCH("mice",E472)),ISNUMBER(SEARCH("rodent",E472))),"Rodent Control",
OR(ISNUMBER(SEARCH("fly",E472)),ISNUMBER(SEARCH("gnat",E472)),ISNUMBER(SEARCH("insect",E472)),ISNUMBER(SEARCH("mosquito",E472))),"Flying Insect Control",
OR(ISNUMBER(SEARCH("roach",E472)),ISNUMBER(SEARCH("ant",E472)),ISNUMBER(SEARCH("spider",E472)),ISNUMBER(SEARCH("cricket",E472)),ISNUMBER(SEARCH("scorpion",E472)),ISNUMBER(SEARCH("centipede",E472)),ISNUMBER(SEARCH("beetle",E472))),"Crawling Insect Control",
OR(ISNUMBER(SEARCH("tree",E472)),ISNUMBER(SEARCH("lantern",E472)),ISNUMBER(SEARCH("garden",E472)),ISNUMBER(SEARCH("plant",E472))),"Garden Pest Control",
OR(ISNUMBER(SEARCH("grass seed",E472)),ISNUMBER(SEARCH("seed mix",E472))),"Grass Seed",
OR(ISNUMBER(SEARCH("lawn food",E472)),ISNUMBER(SEARCH("fertilizer",E472))),"Lawn Fertilizer",
OR(ISNUMBER(SEARCH("patch",E472)),ISNUMBER(SEARCH("repair",E472)),ISNUMBER(SEARCH("thick'r",E472)),ISNUMBER(SEARCH("thick'r lawn",E472)),ISNUMBER(SEARCH("rapid grass",E472))),"Lawn Repair",
OR(ISNUMBER(SEARCH("weed",E472)),ISNUMBER(SEARCH("crabgrass",E472))),"Weed Control",
OR(ISNUMBER(SEARCH("fungicide",E472)),ISNUMBER(SEARCH("moss",E472))),"Disease &amp; Moss Control",
OR(ISNUMBER(SEARCH("plant food",E472)),ISNUMBER(SEARCH("miracid",E472))),"Plant Nutrition",
OR(ISNUMBER(SEARCH("perlite",E472))),"Soil Amendment",
OR(ISNUMBER(SEARCH("spreader",E472)),ISNUMBER(SEARCH("sprayer",E472)),ISNUMBER(SEARCH("mower",E472)),ISNUMBER(SEARCH("sweeper",E472)),ISNUMBER(SEARCH("pruner",E472)),ISNUMBER(SEARCH("trimmer",E472)),ISNUMBER(SEARCH("pole saw",E472))),"Garden Equipment",
TRUE,"Other"
)</f>
        <v>Rodent Control</v>
      </c>
      <c r="I472" s="7" t="str" cm="1">
        <f t="array" ref="I472">_xlfn.IFS(
OR(ISNUMBER(SEARCH("glue trap",E472)),ISNUMBER(SEARCH("glue board",E472))),"Glue Traps",
OR(ISNUMBER(SEARCH("snap trap",E472)),ISNUMBER(SEARCH("power-kill",E472)),ISNUMBER(SEARCH("wide pedal",E472)),ISNUMBER(SEARCH("metal pedal",E472))),"Snap Traps",
OR(ISNUMBER(SEARCH("electronic",E472)),ISNUMBER(SEARCH("zapper",E472))),"Electronic Traps",
OR(ISNUMBER(SEARCH("live catch",E472)),ISNUMBER(SEARCH("multi-catch",E472)),ISNUMBER(SEARCH("catch &amp; hold",E472)),ISNUMBER(SEARCH("tin cat",E472))),"Live Catch Traps",
OR(ISNUMBER(SEARCH("bait",E472)),ISNUMBER(SEARCH("poison",E472))),"Bait &amp; Poison",
ISNUMBER(SEARCH("repellent",E472)),"Repellents",
OR(ISNUMBER(SEARCH("fly trap",E472)),ISNUMBER(SEARCH("fly ribbon",E472)),ISNUMBER(SEARCH("fly stick",E472)),ISNUMBER(SEARCH("window fly",E472)),ISNUMBER(SEARCH("fly magnet",E472))),"Fly Traps",
OR(ISNUMBER(SEARCH("uv",E472)),ISNUMBER(SEARCH("fly light",E472)),ISNUMBER(SEARCH("plug-in",E472))),"UV Fly Traps",
ISNUMBER(SEARCH("roach",E472)),"Roach Traps",
ISNUMBER(SEARCH("ant",E472)),"Ant Traps",
ISNUMBER(SEARCH("spider",E472)),"Spider Traps",
ISNUMBER(SEARCH("mosquito",E472)),"Mosquito Traps",
ISNUMBER(SEARCH("beetle",E472)),"Beetle Traps",
ISNUMBER(SEARCH("lantern",E472)),"Lanternfly Control",
OR(ISNUMBER(SEARCH("tree shield",E472)),ISNUMBER(SEARCH("tree banding",E472)),ISNUMBER(SEARCH("insect barrier",E472))),"Tree Barriers",
OR(ISNUMBER(SEARCH("sun &amp; shade",E472)),ISNUMBER(SEARCH("sun and shade",E472))),"Sun &amp; Shade Mix",
ISNUMBER(SEARCH("tall fescue",E472)),"Tall Fescue",
ISNUMBER(SEARCH("bermudagrass",E472)),"Bermudagrass",
ISNUMBER(SEARCH("kentucky",E472)),"Kentucky Bluegrass",
ISNUMBER(SEARCH("zoysia",E472)),"Zoysia",
ISNUMBER(SEARCH("ryegrass",E472)),"Perennial Ryegrass",
ISNUMBER(SEARCH("centipede",E472)),"Centipede Grass",
ISNUMBER(SEARCH("dense shade",E472)),"Dense Shade Mix",
ISNUMBER(SEARCH("southern gold",E472)),"Southern Gold Mix",
ISNUMBER(SEARCH("heat-tolerant blue",E472)),"Heat-Tolerant Blue Mix",
ISNUMBER(SEARCH("high traffic",E472)),"High Traffic Mix",
ISNUMBER(SEARCH("quick fix",E472)),"Quick Fix Mix",
ISNUMBER(SEARCH("starter",E472)),"Starter Fertilizer",
ISNUMBER(SEARCH("weed &amp; feed",E472)),"Weed &amp; Feed",
ISNUMBER(SEARCH("lawn food",E472)),"Lawn Food",
ISNUMBER(SEARCH("triple action",E472)),"Triple Action Fertilizer",
ISNUMBER(SEARCH("green max",E472)),"Green Max Lawn Food",
ISNUMBER(SEARCH("patchmaster",E472)),"PatchMaster Repair",
ISNUMBER(SEARCH("ez seed",E472)),"EZ Seed Repair",
ISNUMBER(SEARCH("rapid grass",E472)),"Rapid Grass",
ISNUMBER(SEARCH("thick'r lawn",E472)),"Thick'R Lawn",
ISNUMBER(SEARCH("fungicide",E472)),"Fungicide",
ISNUMBER(SEARCH("moss",E472)),"Moss Control",
ISNUMBER(SEARCH("perlite",E472)),"Perlite",
ISNUMBER(SEARCH("plant food",E472)),"Plant Food",
ISNUMBER(SEARCH("spreader",E472)),"Spreader",
ISNUMBER(SEARCH("sprayer",E472)),"Sprayer",
ISNUMBER(SEARCH("mower",E472)),"Lawn Mower",
ISNUMBER(SEARCH("sweeper",E472)),"Lawn Sweeper",
OR(ISNUMBER(SEARCH("pruner",E472)),ISNUMBER(SEARCH("trimmer",E472)),ISNUMBER(SEARCH("pole saw",E472))),"Pruning Tools",
TRUE,"Other"
)</f>
        <v>Repellents</v>
      </c>
      <c r="J472" s="7" t="str">
        <f t="shared" si="124"/>
        <v>Rodent Control - Repellents</v>
      </c>
      <c r="K472" s="4">
        <v>50</v>
      </c>
      <c r="L472" s="4">
        <v>4</v>
      </c>
      <c r="M472" s="4">
        <v>109</v>
      </c>
      <c r="N472" s="4" t="s">
        <v>2167</v>
      </c>
      <c r="O472" s="4">
        <f>VLOOKUP(A472,'[6]Monthly Sold'!$A:$B,2,0)</f>
        <v>200</v>
      </c>
      <c r="P472" s="4">
        <f>VLOOKUP(A472,'[6]Monthly Sold'!$A:$M,3,0)</f>
        <v>50</v>
      </c>
      <c r="Q472" s="4">
        <f>VLOOKUP(A472,'[6]Monthly Sold'!$A:$M,4,0)</f>
        <v>200</v>
      </c>
      <c r="R472" s="4">
        <f>VLOOKUP(A472,'[6]Monthly Sold'!$A:$M,5,0)</f>
        <v>100</v>
      </c>
      <c r="S472" s="4">
        <f>VLOOKUP(A472,'[6]Monthly Sold'!$A:$M,6,0)</f>
        <v>100</v>
      </c>
      <c r="T472" s="4">
        <f>VLOOKUP(A472,'[6]Monthly Sold'!$A:$M,7,0)</f>
        <v>100</v>
      </c>
      <c r="U472" s="4">
        <f>VLOOKUP(A472,'[6]Monthly Sold'!$A:$M,8,0)</f>
        <v>100</v>
      </c>
      <c r="V472" s="4">
        <f>VLOOKUP(A472,'[6]Monthly Sold'!$A:$M,9,0)</f>
        <v>50</v>
      </c>
      <c r="W472" s="4">
        <f>VLOOKUP(A472,'[6]Monthly Sold'!$A:$M,10,0)</f>
        <v>50</v>
      </c>
      <c r="X472" s="4">
        <f>VLOOKUP(A472,'[6]Monthly Sold'!$A:$M,11,0)</f>
        <v>50</v>
      </c>
      <c r="Y472" s="4">
        <f>VLOOKUP(A472,'[6]Monthly Sold'!$A:$M,12,0)</f>
        <v>200</v>
      </c>
      <c r="Z472" s="4">
        <f>VLOOKUP(A472,'[6]Monthly Sold'!$A:$M,13,0)</f>
        <v>300</v>
      </c>
      <c r="AA472" s="4">
        <f t="shared" si="118"/>
        <v>1500</v>
      </c>
      <c r="AB472" s="7">
        <f t="shared" si="125"/>
        <v>125</v>
      </c>
      <c r="AC472" s="15">
        <f t="shared" si="119"/>
        <v>125</v>
      </c>
      <c r="AD472" s="16">
        <f t="shared" si="120"/>
        <v>31214.999999999996</v>
      </c>
      <c r="AE472" s="16">
        <f t="shared" si="121"/>
        <v>2601.25</v>
      </c>
      <c r="AF472" s="21">
        <v>4.76</v>
      </c>
      <c r="AG472" s="21">
        <v>20.81</v>
      </c>
      <c r="AH472" s="15">
        <f t="shared" si="122"/>
        <v>0.17093333333333327</v>
      </c>
      <c r="AI472" s="15">
        <f t="shared" si="123"/>
        <v>0.59826666666666639</v>
      </c>
      <c r="AJ472" s="10">
        <v>0.5</v>
      </c>
      <c r="AK472" s="10">
        <v>0.5</v>
      </c>
      <c r="AL472" s="21">
        <v>4.76</v>
      </c>
      <c r="AM472" s="9">
        <f t="shared" si="126"/>
        <v>3.1214999999999997</v>
      </c>
      <c r="AN472" s="9">
        <f t="shared" si="127"/>
        <v>0.62429999999999997</v>
      </c>
      <c r="AO472" s="9">
        <f t="shared" si="128"/>
        <v>4.1619999999999999</v>
      </c>
      <c r="AP472" s="9">
        <f t="shared" si="129"/>
        <v>0.41619999999999996</v>
      </c>
      <c r="AQ472" s="9">
        <f t="shared" si="130"/>
        <v>4.1619999999999999</v>
      </c>
      <c r="AR472" s="9">
        <f t="shared" si="131"/>
        <v>5.2024999999999997</v>
      </c>
      <c r="AS472" s="11">
        <f t="shared" si="132"/>
        <v>1.7093333333333327</v>
      </c>
      <c r="AT472" s="12">
        <f t="shared" si="133"/>
        <v>1.0156666666666663</v>
      </c>
    </row>
    <row r="473" spans="1:46" ht="16.5" x14ac:dyDescent="0.4">
      <c r="A473" s="4" t="s">
        <v>1887</v>
      </c>
      <c r="B473" s="4" t="s">
        <v>1895</v>
      </c>
      <c r="C473" s="4" t="s">
        <v>1784</v>
      </c>
      <c r="D473" s="4" t="s">
        <v>2168</v>
      </c>
      <c r="E473" s="4" t="s">
        <v>2169</v>
      </c>
      <c r="F473" s="4" t="s">
        <v>2170</v>
      </c>
      <c r="G473" s="7" t="str">
        <f>VLOOKUP(A473,[1]done!$A:$I,9,0)</f>
        <v>Rodent</v>
      </c>
      <c r="H473" s="7" t="str" cm="1">
        <f t="array" ref="H473">_xlfn.IFS(
OR(ISNUMBER(SEARCH("mouse",E473)),ISNUMBER(SEARCH("rat",E473)),ISNUMBER(SEARCH("mice",E473)),ISNUMBER(SEARCH("rodent",E473))),"Rodent Control",
OR(ISNUMBER(SEARCH("fly",E473)),ISNUMBER(SEARCH("gnat",E473)),ISNUMBER(SEARCH("insect",E473)),ISNUMBER(SEARCH("mosquito",E473))),"Flying Insect Control",
OR(ISNUMBER(SEARCH("roach",E473)),ISNUMBER(SEARCH("ant",E473)),ISNUMBER(SEARCH("spider",E473)),ISNUMBER(SEARCH("cricket",E473)),ISNUMBER(SEARCH("scorpion",E473)),ISNUMBER(SEARCH("centipede",E473)),ISNUMBER(SEARCH("beetle",E473))),"Crawling Insect Control",
OR(ISNUMBER(SEARCH("tree",E473)),ISNUMBER(SEARCH("lantern",E473)),ISNUMBER(SEARCH("garden",E473)),ISNUMBER(SEARCH("plant",E473))),"Garden Pest Control",
OR(ISNUMBER(SEARCH("grass seed",E473)),ISNUMBER(SEARCH("seed mix",E473))),"Grass Seed",
OR(ISNUMBER(SEARCH("lawn food",E473)),ISNUMBER(SEARCH("fertilizer",E473))),"Lawn Fertilizer",
OR(ISNUMBER(SEARCH("patch",E473)),ISNUMBER(SEARCH("repair",E473)),ISNUMBER(SEARCH("thick'r",E473)),ISNUMBER(SEARCH("thick'r lawn",E473)),ISNUMBER(SEARCH("rapid grass",E473))),"Lawn Repair",
OR(ISNUMBER(SEARCH("weed",E473)),ISNUMBER(SEARCH("crabgrass",E473))),"Weed Control",
OR(ISNUMBER(SEARCH("fungicide",E473)),ISNUMBER(SEARCH("moss",E473))),"Disease &amp; Moss Control",
OR(ISNUMBER(SEARCH("plant food",E473)),ISNUMBER(SEARCH("miracid",E473))),"Plant Nutrition",
OR(ISNUMBER(SEARCH("perlite",E473))),"Soil Amendment",
OR(ISNUMBER(SEARCH("spreader",E473)),ISNUMBER(SEARCH("sprayer",E473)),ISNUMBER(SEARCH("mower",E473)),ISNUMBER(SEARCH("sweeper",E473)),ISNUMBER(SEARCH("pruner",E473)),ISNUMBER(SEARCH("trimmer",E473)),ISNUMBER(SEARCH("pole saw",E473))),"Garden Equipment",
TRUE,"Other"
)</f>
        <v>Other</v>
      </c>
      <c r="I473" s="7" t="str" cm="1">
        <f t="array" ref="I473">_xlfn.IFS(
OR(ISNUMBER(SEARCH("glue trap",E473)),ISNUMBER(SEARCH("glue board",E473))),"Glue Traps",
OR(ISNUMBER(SEARCH("snap trap",E473)),ISNUMBER(SEARCH("power-kill",E473)),ISNUMBER(SEARCH("wide pedal",E473)),ISNUMBER(SEARCH("metal pedal",E473))),"Snap Traps",
OR(ISNUMBER(SEARCH("electronic",E473)),ISNUMBER(SEARCH("zapper",E473))),"Electronic Traps",
OR(ISNUMBER(SEARCH("live catch",E473)),ISNUMBER(SEARCH("multi-catch",E473)),ISNUMBER(SEARCH("catch &amp; hold",E473)),ISNUMBER(SEARCH("tin cat",E473))),"Live Catch Traps",
OR(ISNUMBER(SEARCH("bait",E473)),ISNUMBER(SEARCH("poison",E473))),"Bait &amp; Poison",
ISNUMBER(SEARCH("repellent",E473)),"Repellents",
OR(ISNUMBER(SEARCH("fly trap",E473)),ISNUMBER(SEARCH("fly ribbon",E473)),ISNUMBER(SEARCH("fly stick",E473)),ISNUMBER(SEARCH("window fly",E473)),ISNUMBER(SEARCH("fly magnet",E473))),"Fly Traps",
OR(ISNUMBER(SEARCH("uv",E473)),ISNUMBER(SEARCH("fly light",E473)),ISNUMBER(SEARCH("plug-in",E473))),"UV Fly Traps",
ISNUMBER(SEARCH("roach",E473)),"Roach Traps",
ISNUMBER(SEARCH("ant",E473)),"Ant Traps",
ISNUMBER(SEARCH("spider",E473)),"Spider Traps",
ISNUMBER(SEARCH("mosquito",E473)),"Mosquito Traps",
ISNUMBER(SEARCH("beetle",E473)),"Beetle Traps",
ISNUMBER(SEARCH("lantern",E473)),"Lanternfly Control",
OR(ISNUMBER(SEARCH("tree shield",E473)),ISNUMBER(SEARCH("tree banding",E473)),ISNUMBER(SEARCH("insect barrier",E473))),"Tree Barriers",
OR(ISNUMBER(SEARCH("sun &amp; shade",E473)),ISNUMBER(SEARCH("sun and shade",E473))),"Sun &amp; Shade Mix",
ISNUMBER(SEARCH("tall fescue",E473)),"Tall Fescue",
ISNUMBER(SEARCH("bermudagrass",E473)),"Bermudagrass",
ISNUMBER(SEARCH("kentucky",E473)),"Kentucky Bluegrass",
ISNUMBER(SEARCH("zoysia",E473)),"Zoysia",
ISNUMBER(SEARCH("ryegrass",E473)),"Perennial Ryegrass",
ISNUMBER(SEARCH("centipede",E473)),"Centipede Grass",
ISNUMBER(SEARCH("dense shade",E473)),"Dense Shade Mix",
ISNUMBER(SEARCH("southern gold",E473)),"Southern Gold Mix",
ISNUMBER(SEARCH("heat-tolerant blue",E473)),"Heat-Tolerant Blue Mix",
ISNUMBER(SEARCH("high traffic",E473)),"High Traffic Mix",
ISNUMBER(SEARCH("quick fix",E473)),"Quick Fix Mix",
ISNUMBER(SEARCH("starter",E473)),"Starter Fertilizer",
ISNUMBER(SEARCH("weed &amp; feed",E473)),"Weed &amp; Feed",
ISNUMBER(SEARCH("lawn food",E473)),"Lawn Food",
ISNUMBER(SEARCH("triple action",E473)),"Triple Action Fertilizer",
ISNUMBER(SEARCH("green max",E473)),"Green Max Lawn Food",
ISNUMBER(SEARCH("patchmaster",E473)),"PatchMaster Repair",
ISNUMBER(SEARCH("ez seed",E473)),"EZ Seed Repair",
ISNUMBER(SEARCH("rapid grass",E473)),"Rapid Grass",
ISNUMBER(SEARCH("thick'r lawn",E473)),"Thick'R Lawn",
ISNUMBER(SEARCH("fungicide",E473)),"Fungicide",
ISNUMBER(SEARCH("moss",E473)),"Moss Control",
ISNUMBER(SEARCH("perlite",E473)),"Perlite",
ISNUMBER(SEARCH("plant food",E473)),"Plant Food",
ISNUMBER(SEARCH("spreader",E473)),"Spreader",
ISNUMBER(SEARCH("sprayer",E473)),"Sprayer",
ISNUMBER(SEARCH("mower",E473)),"Lawn Mower",
ISNUMBER(SEARCH("sweeper",E473)),"Lawn Sweeper",
OR(ISNUMBER(SEARCH("pruner",E473)),ISNUMBER(SEARCH("trimmer",E473)),ISNUMBER(SEARCH("pole saw",E473))),"Pruning Tools",
TRUE,"Other"
)</f>
        <v>Repellents</v>
      </c>
      <c r="J473" s="7" t="str">
        <f t="shared" si="124"/>
        <v>Other - Repellents</v>
      </c>
      <c r="K473" s="4">
        <v>50</v>
      </c>
      <c r="L473" s="4">
        <v>3.6</v>
      </c>
      <c r="M473" s="4">
        <v>1463</v>
      </c>
      <c r="N473" s="4" t="s">
        <v>2136</v>
      </c>
      <c r="O473" s="4">
        <f>VLOOKUP(A473,'[6]Monthly Sold'!$A:$B,2,0)</f>
        <v>0</v>
      </c>
      <c r="P473" s="4">
        <f>VLOOKUP(A473,'[6]Monthly Sold'!$A:$M,3,0)</f>
        <v>0</v>
      </c>
      <c r="Q473" s="4">
        <f>VLOOKUP(A473,'[6]Monthly Sold'!$A:$M,4,0)</f>
        <v>0</v>
      </c>
      <c r="R473" s="4">
        <f>VLOOKUP(A473,'[6]Monthly Sold'!$A:$M,5,0)</f>
        <v>50</v>
      </c>
      <c r="S473" s="4">
        <f>VLOOKUP(A473,'[6]Monthly Sold'!$A:$M,6,0)</f>
        <v>50</v>
      </c>
      <c r="T473" s="4">
        <f>VLOOKUP(A473,'[6]Monthly Sold'!$A:$M,7,0)</f>
        <v>100</v>
      </c>
      <c r="U473" s="4">
        <f>VLOOKUP(A473,'[6]Monthly Sold'!$A:$M,8,0)</f>
        <v>100</v>
      </c>
      <c r="V473" s="4">
        <f>VLOOKUP(A473,'[6]Monthly Sold'!$A:$M,9,0)</f>
        <v>50</v>
      </c>
      <c r="W473" s="4">
        <f>VLOOKUP(A473,'[6]Monthly Sold'!$A:$M,10,0)</f>
        <v>50</v>
      </c>
      <c r="X473" s="4">
        <f>VLOOKUP(A473,'[6]Monthly Sold'!$A:$M,11,0)</f>
        <v>50</v>
      </c>
      <c r="Y473" s="4">
        <f>VLOOKUP(A473,'[6]Monthly Sold'!$A:$M,12,0)</f>
        <v>50</v>
      </c>
      <c r="Z473" s="4">
        <f>VLOOKUP(A473,'[6]Monthly Sold'!$A:$M,13,0)</f>
        <v>0</v>
      </c>
      <c r="AA473" s="4">
        <f t="shared" si="118"/>
        <v>500</v>
      </c>
      <c r="AB473" s="7">
        <f t="shared" si="125"/>
        <v>42</v>
      </c>
      <c r="AC473" s="15">
        <f t="shared" si="119"/>
        <v>41.666666666666664</v>
      </c>
      <c r="AD473" s="16">
        <f t="shared" si="120"/>
        <v>16495</v>
      </c>
      <c r="AE473" s="16">
        <f t="shared" si="121"/>
        <v>1374.5833333333333</v>
      </c>
      <c r="AF473" s="21">
        <v>9.3699999999999992</v>
      </c>
      <c r="AG473" s="21">
        <v>32.99</v>
      </c>
      <c r="AH473" s="15">
        <f t="shared" si="122"/>
        <v>0.18840000000000004</v>
      </c>
      <c r="AI473" s="15">
        <f t="shared" si="123"/>
        <v>0.6594000000000001</v>
      </c>
      <c r="AJ473" s="10">
        <v>0.5</v>
      </c>
      <c r="AK473" s="10">
        <v>0.5</v>
      </c>
      <c r="AL473" s="21">
        <v>9.3699999999999992</v>
      </c>
      <c r="AM473" s="9">
        <f t="shared" si="126"/>
        <v>4.9485000000000001</v>
      </c>
      <c r="AN473" s="9">
        <f t="shared" si="127"/>
        <v>0.98970000000000002</v>
      </c>
      <c r="AO473" s="9">
        <f t="shared" si="128"/>
        <v>6.5980000000000008</v>
      </c>
      <c r="AP473" s="9">
        <f t="shared" si="129"/>
        <v>0.65980000000000005</v>
      </c>
      <c r="AQ473" s="9">
        <f t="shared" si="130"/>
        <v>6.5980000000000008</v>
      </c>
      <c r="AR473" s="9">
        <f t="shared" si="131"/>
        <v>8.2475000000000005</v>
      </c>
      <c r="AS473" s="11">
        <f t="shared" si="132"/>
        <v>1.8840000000000003</v>
      </c>
      <c r="AT473" s="12">
        <f t="shared" si="133"/>
        <v>0.78433333333333388</v>
      </c>
    </row>
    <row r="474" spans="1:46" ht="16.5" x14ac:dyDescent="0.4">
      <c r="A474" s="4" t="s">
        <v>1888</v>
      </c>
      <c r="B474" s="4" t="s">
        <v>1895</v>
      </c>
      <c r="C474" s="4" t="s">
        <v>1789</v>
      </c>
      <c r="D474" s="4" t="s">
        <v>2171</v>
      </c>
      <c r="E474" s="4" t="s">
        <v>2172</v>
      </c>
      <c r="F474" s="4" t="s">
        <v>2173</v>
      </c>
      <c r="G474" s="7" t="str">
        <f>VLOOKUP(A474,[1]done!$A:$I,9,0)</f>
        <v>Rodent</v>
      </c>
      <c r="H474" s="7" t="str" cm="1">
        <f t="array" ref="H474">_xlfn.IFS(
OR(ISNUMBER(SEARCH("mouse",E474)),ISNUMBER(SEARCH("rat",E474)),ISNUMBER(SEARCH("mice",E474)),ISNUMBER(SEARCH("rodent",E474))),"Rodent Control",
OR(ISNUMBER(SEARCH("fly",E474)),ISNUMBER(SEARCH("gnat",E474)),ISNUMBER(SEARCH("insect",E474)),ISNUMBER(SEARCH("mosquito",E474))),"Flying Insect Control",
OR(ISNUMBER(SEARCH("roach",E474)),ISNUMBER(SEARCH("ant",E474)),ISNUMBER(SEARCH("spider",E474)),ISNUMBER(SEARCH("cricket",E474)),ISNUMBER(SEARCH("scorpion",E474)),ISNUMBER(SEARCH("centipede",E474)),ISNUMBER(SEARCH("beetle",E474))),"Crawling Insect Control",
OR(ISNUMBER(SEARCH("tree",E474)),ISNUMBER(SEARCH("lantern",E474)),ISNUMBER(SEARCH("garden",E474)),ISNUMBER(SEARCH("plant",E474))),"Garden Pest Control",
OR(ISNUMBER(SEARCH("grass seed",E474)),ISNUMBER(SEARCH("seed mix",E474))),"Grass Seed",
OR(ISNUMBER(SEARCH("lawn food",E474)),ISNUMBER(SEARCH("fertilizer",E474))),"Lawn Fertilizer",
OR(ISNUMBER(SEARCH("patch",E474)),ISNUMBER(SEARCH("repair",E474)),ISNUMBER(SEARCH("thick'r",E474)),ISNUMBER(SEARCH("thick'r lawn",E474)),ISNUMBER(SEARCH("rapid grass",E474))),"Lawn Repair",
OR(ISNUMBER(SEARCH("weed",E474)),ISNUMBER(SEARCH("crabgrass",E474))),"Weed Control",
OR(ISNUMBER(SEARCH("fungicide",E474)),ISNUMBER(SEARCH("moss",E474))),"Disease &amp; Moss Control",
OR(ISNUMBER(SEARCH("plant food",E474)),ISNUMBER(SEARCH("miracid",E474))),"Plant Nutrition",
OR(ISNUMBER(SEARCH("perlite",E474))),"Soil Amendment",
OR(ISNUMBER(SEARCH("spreader",E474)),ISNUMBER(SEARCH("sprayer",E474)),ISNUMBER(SEARCH("mower",E474)),ISNUMBER(SEARCH("sweeper",E474)),ISNUMBER(SEARCH("pruner",E474)),ISNUMBER(SEARCH("trimmer",E474)),ISNUMBER(SEARCH("pole saw",E474))),"Garden Equipment",
TRUE,"Other"
)</f>
        <v>Rodent Control</v>
      </c>
      <c r="I474" s="7" t="str" cm="1">
        <f t="array" ref="I474">_xlfn.IFS(
OR(ISNUMBER(SEARCH("glue trap",E474)),ISNUMBER(SEARCH("glue board",E474))),"Glue Traps",
OR(ISNUMBER(SEARCH("snap trap",E474)),ISNUMBER(SEARCH("power-kill",E474)),ISNUMBER(SEARCH("wide pedal",E474)),ISNUMBER(SEARCH("metal pedal",E474))),"Snap Traps",
OR(ISNUMBER(SEARCH("electronic",E474)),ISNUMBER(SEARCH("zapper",E474))),"Electronic Traps",
OR(ISNUMBER(SEARCH("live catch",E474)),ISNUMBER(SEARCH("multi-catch",E474)),ISNUMBER(SEARCH("catch &amp; hold",E474)),ISNUMBER(SEARCH("tin cat",E474))),"Live Catch Traps",
OR(ISNUMBER(SEARCH("bait",E474)),ISNUMBER(SEARCH("poison",E474))),"Bait &amp; Poison",
ISNUMBER(SEARCH("repellent",E474)),"Repellents",
OR(ISNUMBER(SEARCH("fly trap",E474)),ISNUMBER(SEARCH("fly ribbon",E474)),ISNUMBER(SEARCH("fly stick",E474)),ISNUMBER(SEARCH("window fly",E474)),ISNUMBER(SEARCH("fly magnet",E474))),"Fly Traps",
OR(ISNUMBER(SEARCH("uv",E474)),ISNUMBER(SEARCH("fly light",E474)),ISNUMBER(SEARCH("plug-in",E474))),"UV Fly Traps",
ISNUMBER(SEARCH("roach",E474)),"Roach Traps",
ISNUMBER(SEARCH("ant",E474)),"Ant Traps",
ISNUMBER(SEARCH("spider",E474)),"Spider Traps",
ISNUMBER(SEARCH("mosquito",E474)),"Mosquito Traps",
ISNUMBER(SEARCH("beetle",E474)),"Beetle Traps",
ISNUMBER(SEARCH("lantern",E474)),"Lanternfly Control",
OR(ISNUMBER(SEARCH("tree shield",E474)),ISNUMBER(SEARCH("tree banding",E474)),ISNUMBER(SEARCH("insect barrier",E474))),"Tree Barriers",
OR(ISNUMBER(SEARCH("sun &amp; shade",E474)),ISNUMBER(SEARCH("sun and shade",E474))),"Sun &amp; Shade Mix",
ISNUMBER(SEARCH("tall fescue",E474)),"Tall Fescue",
ISNUMBER(SEARCH("bermudagrass",E474)),"Bermudagrass",
ISNUMBER(SEARCH("kentucky",E474)),"Kentucky Bluegrass",
ISNUMBER(SEARCH("zoysia",E474)),"Zoysia",
ISNUMBER(SEARCH("ryegrass",E474)),"Perennial Ryegrass",
ISNUMBER(SEARCH("centipede",E474)),"Centipede Grass",
ISNUMBER(SEARCH("dense shade",E474)),"Dense Shade Mix",
ISNUMBER(SEARCH("southern gold",E474)),"Southern Gold Mix",
ISNUMBER(SEARCH("heat-tolerant blue",E474)),"Heat-Tolerant Blue Mix",
ISNUMBER(SEARCH("high traffic",E474)),"High Traffic Mix",
ISNUMBER(SEARCH("quick fix",E474)),"Quick Fix Mix",
ISNUMBER(SEARCH("starter",E474)),"Starter Fertilizer",
ISNUMBER(SEARCH("weed &amp; feed",E474)),"Weed &amp; Feed",
ISNUMBER(SEARCH("lawn food",E474)),"Lawn Food",
ISNUMBER(SEARCH("triple action",E474)),"Triple Action Fertilizer",
ISNUMBER(SEARCH("green max",E474)),"Green Max Lawn Food",
ISNUMBER(SEARCH("patchmaster",E474)),"PatchMaster Repair",
ISNUMBER(SEARCH("ez seed",E474)),"EZ Seed Repair",
ISNUMBER(SEARCH("rapid grass",E474)),"Rapid Grass",
ISNUMBER(SEARCH("thick'r lawn",E474)),"Thick'R Lawn",
ISNUMBER(SEARCH("fungicide",E474)),"Fungicide",
ISNUMBER(SEARCH("moss",E474)),"Moss Control",
ISNUMBER(SEARCH("perlite",E474)),"Perlite",
ISNUMBER(SEARCH("plant food",E474)),"Plant Food",
ISNUMBER(SEARCH("spreader",E474)),"Spreader",
ISNUMBER(SEARCH("sprayer",E474)),"Sprayer",
ISNUMBER(SEARCH("mower",E474)),"Lawn Mower",
ISNUMBER(SEARCH("sweeper",E474)),"Lawn Sweeper",
OR(ISNUMBER(SEARCH("pruner",E474)),ISNUMBER(SEARCH("trimmer",E474)),ISNUMBER(SEARCH("pole saw",E474))),"Pruning Tools",
TRUE,"Other"
)</f>
        <v>Bait &amp; Poison</v>
      </c>
      <c r="J474" s="7" t="str">
        <f t="shared" si="124"/>
        <v>Rodent Control - Bait &amp; Poison</v>
      </c>
      <c r="K474" s="4">
        <v>50</v>
      </c>
      <c r="L474" s="4">
        <v>4</v>
      </c>
      <c r="M474" s="4">
        <v>135</v>
      </c>
      <c r="N474" s="4" t="s">
        <v>579</v>
      </c>
      <c r="O474" s="4">
        <f>VLOOKUP(A474,'[6]Monthly Sold'!$A:$B,2,0)</f>
        <v>50</v>
      </c>
      <c r="P474" s="4">
        <f>VLOOKUP(A474,'[6]Monthly Sold'!$A:$M,3,0)</f>
        <v>50</v>
      </c>
      <c r="Q474" s="4">
        <f>VLOOKUP(A474,'[6]Monthly Sold'!$A:$M,4,0)</f>
        <v>50</v>
      </c>
      <c r="R474" s="4">
        <f>VLOOKUP(A474,'[6]Monthly Sold'!$A:$M,5,0)</f>
        <v>100</v>
      </c>
      <c r="S474" s="4">
        <f>VLOOKUP(A474,'[6]Monthly Sold'!$A:$M,6,0)</f>
        <v>50</v>
      </c>
      <c r="T474" s="4">
        <f>VLOOKUP(A474,'[6]Monthly Sold'!$A:$M,7,0)</f>
        <v>50</v>
      </c>
      <c r="U474" s="4">
        <f>VLOOKUP(A474,'[6]Monthly Sold'!$A:$M,8,0)</f>
        <v>50</v>
      </c>
      <c r="V474" s="4">
        <f>VLOOKUP(A474,'[6]Monthly Sold'!$A:$M,9,0)</f>
        <v>0</v>
      </c>
      <c r="W474" s="4">
        <f>VLOOKUP(A474,'[6]Monthly Sold'!$A:$M,10,0)</f>
        <v>50</v>
      </c>
      <c r="X474" s="4">
        <f>VLOOKUP(A474,'[6]Monthly Sold'!$A:$M,11,0)</f>
        <v>100</v>
      </c>
      <c r="Y474" s="4">
        <f>VLOOKUP(A474,'[6]Monthly Sold'!$A:$M,12,0)</f>
        <v>50</v>
      </c>
      <c r="Z474" s="4">
        <f>VLOOKUP(A474,'[6]Monthly Sold'!$A:$M,13,0)</f>
        <v>50</v>
      </c>
      <c r="AA474" s="4">
        <f t="shared" si="118"/>
        <v>650</v>
      </c>
      <c r="AB474" s="7">
        <f t="shared" si="125"/>
        <v>54</v>
      </c>
      <c r="AC474" s="15">
        <f t="shared" si="119"/>
        <v>54.166666666666664</v>
      </c>
      <c r="AD474" s="16">
        <f t="shared" si="120"/>
        <v>8450</v>
      </c>
      <c r="AE474" s="16">
        <f t="shared" si="121"/>
        <v>704.16666666666663</v>
      </c>
      <c r="AF474" s="21">
        <v>5.22</v>
      </c>
      <c r="AG474" s="21">
        <v>13</v>
      </c>
      <c r="AH474" s="15">
        <f t="shared" si="122"/>
        <v>-6.8000000000000005E-2</v>
      </c>
      <c r="AI474" s="15">
        <f t="shared" si="123"/>
        <v>-0.23799999999999999</v>
      </c>
      <c r="AJ474" s="10">
        <v>0.5</v>
      </c>
      <c r="AK474" s="10">
        <v>0.5</v>
      </c>
      <c r="AL474" s="21">
        <v>5.22</v>
      </c>
      <c r="AM474" s="9">
        <f t="shared" si="126"/>
        <v>1.95</v>
      </c>
      <c r="AN474" s="9">
        <f t="shared" si="127"/>
        <v>0.39</v>
      </c>
      <c r="AO474" s="9">
        <f t="shared" si="128"/>
        <v>2.6</v>
      </c>
      <c r="AP474" s="9">
        <f t="shared" si="129"/>
        <v>0.26</v>
      </c>
      <c r="AQ474" s="9">
        <f t="shared" si="130"/>
        <v>2.6</v>
      </c>
      <c r="AR474" s="9">
        <f t="shared" si="131"/>
        <v>3.25</v>
      </c>
      <c r="AS474" s="11">
        <f t="shared" si="132"/>
        <v>-0.68</v>
      </c>
      <c r="AT474" s="12">
        <f t="shared" si="133"/>
        <v>-1.1133333333333333</v>
      </c>
    </row>
    <row r="475" spans="1:46" ht="16.5" x14ac:dyDescent="0.4">
      <c r="A475" s="4" t="s">
        <v>1889</v>
      </c>
      <c r="B475" s="4" t="s">
        <v>1895</v>
      </c>
      <c r="C475" s="4" t="s">
        <v>1789</v>
      </c>
      <c r="D475" s="4" t="s">
        <v>2174</v>
      </c>
      <c r="E475" s="4" t="s">
        <v>2175</v>
      </c>
      <c r="F475" s="4" t="s">
        <v>2176</v>
      </c>
      <c r="G475" s="7" t="str">
        <f>VLOOKUP(A475,[1]done!$A:$I,9,0)</f>
        <v>Rodent</v>
      </c>
      <c r="H475" s="7" t="str" cm="1">
        <f t="array" ref="H475">_xlfn.IFS(
OR(ISNUMBER(SEARCH("mouse",E475)),ISNUMBER(SEARCH("rat",E475)),ISNUMBER(SEARCH("mice",E475)),ISNUMBER(SEARCH("rodent",E475))),"Rodent Control",
OR(ISNUMBER(SEARCH("fly",E475)),ISNUMBER(SEARCH("gnat",E475)),ISNUMBER(SEARCH("insect",E475)),ISNUMBER(SEARCH("mosquito",E475))),"Flying Insect Control",
OR(ISNUMBER(SEARCH("roach",E475)),ISNUMBER(SEARCH("ant",E475)),ISNUMBER(SEARCH("spider",E475)),ISNUMBER(SEARCH("cricket",E475)),ISNUMBER(SEARCH("scorpion",E475)),ISNUMBER(SEARCH("centipede",E475)),ISNUMBER(SEARCH("beetle",E475))),"Crawling Insect Control",
OR(ISNUMBER(SEARCH("tree",E475)),ISNUMBER(SEARCH("lantern",E475)),ISNUMBER(SEARCH("garden",E475)),ISNUMBER(SEARCH("plant",E475))),"Garden Pest Control",
OR(ISNUMBER(SEARCH("grass seed",E475)),ISNUMBER(SEARCH("seed mix",E475))),"Grass Seed",
OR(ISNUMBER(SEARCH("lawn food",E475)),ISNUMBER(SEARCH("fertilizer",E475))),"Lawn Fertilizer",
OR(ISNUMBER(SEARCH("patch",E475)),ISNUMBER(SEARCH("repair",E475)),ISNUMBER(SEARCH("thick'r",E475)),ISNUMBER(SEARCH("thick'r lawn",E475)),ISNUMBER(SEARCH("rapid grass",E475))),"Lawn Repair",
OR(ISNUMBER(SEARCH("weed",E475)),ISNUMBER(SEARCH("crabgrass",E475))),"Weed Control",
OR(ISNUMBER(SEARCH("fungicide",E475)),ISNUMBER(SEARCH("moss",E475))),"Disease &amp; Moss Control",
OR(ISNUMBER(SEARCH("plant food",E475)),ISNUMBER(SEARCH("miracid",E475))),"Plant Nutrition",
OR(ISNUMBER(SEARCH("perlite",E475))),"Soil Amendment",
OR(ISNUMBER(SEARCH("spreader",E475)),ISNUMBER(SEARCH("sprayer",E475)),ISNUMBER(SEARCH("mower",E475)),ISNUMBER(SEARCH("sweeper",E475)),ISNUMBER(SEARCH("pruner",E475)),ISNUMBER(SEARCH("trimmer",E475)),ISNUMBER(SEARCH("pole saw",E475))),"Garden Equipment",
TRUE,"Other"
)</f>
        <v>Rodent Control</v>
      </c>
      <c r="I475" s="7" t="str" cm="1">
        <f t="array" ref="I475">_xlfn.IFS(
OR(ISNUMBER(SEARCH("glue trap",E475)),ISNUMBER(SEARCH("glue board",E475))),"Glue Traps",
OR(ISNUMBER(SEARCH("snap trap",E475)),ISNUMBER(SEARCH("power-kill",E475)),ISNUMBER(SEARCH("wide pedal",E475)),ISNUMBER(SEARCH("metal pedal",E475))),"Snap Traps",
OR(ISNUMBER(SEARCH("electronic",E475)),ISNUMBER(SEARCH("zapper",E475))),"Electronic Traps",
OR(ISNUMBER(SEARCH("live catch",E475)),ISNUMBER(SEARCH("multi-catch",E475)),ISNUMBER(SEARCH("catch &amp; hold",E475)),ISNUMBER(SEARCH("tin cat",E475))),"Live Catch Traps",
OR(ISNUMBER(SEARCH("bait",E475)),ISNUMBER(SEARCH("poison",E475))),"Bait &amp; Poison",
ISNUMBER(SEARCH("repellent",E475)),"Repellents",
OR(ISNUMBER(SEARCH("fly trap",E475)),ISNUMBER(SEARCH("fly ribbon",E475)),ISNUMBER(SEARCH("fly stick",E475)),ISNUMBER(SEARCH("window fly",E475)),ISNUMBER(SEARCH("fly magnet",E475))),"Fly Traps",
OR(ISNUMBER(SEARCH("uv",E475)),ISNUMBER(SEARCH("fly light",E475)),ISNUMBER(SEARCH("plug-in",E475))),"UV Fly Traps",
ISNUMBER(SEARCH("roach",E475)),"Roach Traps",
ISNUMBER(SEARCH("ant",E475)),"Ant Traps",
ISNUMBER(SEARCH("spider",E475)),"Spider Traps",
ISNUMBER(SEARCH("mosquito",E475)),"Mosquito Traps",
ISNUMBER(SEARCH("beetle",E475)),"Beetle Traps",
ISNUMBER(SEARCH("lantern",E475)),"Lanternfly Control",
OR(ISNUMBER(SEARCH("tree shield",E475)),ISNUMBER(SEARCH("tree banding",E475)),ISNUMBER(SEARCH("insect barrier",E475))),"Tree Barriers",
OR(ISNUMBER(SEARCH("sun &amp; shade",E475)),ISNUMBER(SEARCH("sun and shade",E475))),"Sun &amp; Shade Mix",
ISNUMBER(SEARCH("tall fescue",E475)),"Tall Fescue",
ISNUMBER(SEARCH("bermudagrass",E475)),"Bermudagrass",
ISNUMBER(SEARCH("kentucky",E475)),"Kentucky Bluegrass",
ISNUMBER(SEARCH("zoysia",E475)),"Zoysia",
ISNUMBER(SEARCH("ryegrass",E475)),"Perennial Ryegrass",
ISNUMBER(SEARCH("centipede",E475)),"Centipede Grass",
ISNUMBER(SEARCH("dense shade",E475)),"Dense Shade Mix",
ISNUMBER(SEARCH("southern gold",E475)),"Southern Gold Mix",
ISNUMBER(SEARCH("heat-tolerant blue",E475)),"Heat-Tolerant Blue Mix",
ISNUMBER(SEARCH("high traffic",E475)),"High Traffic Mix",
ISNUMBER(SEARCH("quick fix",E475)),"Quick Fix Mix",
ISNUMBER(SEARCH("starter",E475)),"Starter Fertilizer",
ISNUMBER(SEARCH("weed &amp; feed",E475)),"Weed &amp; Feed",
ISNUMBER(SEARCH("lawn food",E475)),"Lawn Food",
ISNUMBER(SEARCH("triple action",E475)),"Triple Action Fertilizer",
ISNUMBER(SEARCH("green max",E475)),"Green Max Lawn Food",
ISNUMBER(SEARCH("patchmaster",E475)),"PatchMaster Repair",
ISNUMBER(SEARCH("ez seed",E475)),"EZ Seed Repair",
ISNUMBER(SEARCH("rapid grass",E475)),"Rapid Grass",
ISNUMBER(SEARCH("thick'r lawn",E475)),"Thick'R Lawn",
ISNUMBER(SEARCH("fungicide",E475)),"Fungicide",
ISNUMBER(SEARCH("moss",E475)),"Moss Control",
ISNUMBER(SEARCH("perlite",E475)),"Perlite",
ISNUMBER(SEARCH("plant food",E475)),"Plant Food",
ISNUMBER(SEARCH("spreader",E475)),"Spreader",
ISNUMBER(SEARCH("sprayer",E475)),"Sprayer",
ISNUMBER(SEARCH("mower",E475)),"Lawn Mower",
ISNUMBER(SEARCH("sweeper",E475)),"Lawn Sweeper",
OR(ISNUMBER(SEARCH("pruner",E475)),ISNUMBER(SEARCH("trimmer",E475)),ISNUMBER(SEARCH("pole saw",E475))),"Pruning Tools",
TRUE,"Other"
)</f>
        <v>Bait &amp; Poison</v>
      </c>
      <c r="J475" s="7" t="str">
        <f t="shared" si="124"/>
        <v>Rodent Control - Bait &amp; Poison</v>
      </c>
      <c r="K475" s="4">
        <v>50</v>
      </c>
      <c r="L475" s="4">
        <v>4.3</v>
      </c>
      <c r="M475" s="4">
        <v>50</v>
      </c>
      <c r="N475" s="4" t="s">
        <v>579</v>
      </c>
      <c r="O475" s="4">
        <f>VLOOKUP(A475,'[6]Monthly Sold'!$A:$B,2,0)</f>
        <v>0</v>
      </c>
      <c r="P475" s="4">
        <f>VLOOKUP(A475,'[6]Monthly Sold'!$A:$M,3,0)</f>
        <v>0</v>
      </c>
      <c r="Q475" s="4">
        <f>VLOOKUP(A475,'[6]Monthly Sold'!$A:$M,4,0)</f>
        <v>0</v>
      </c>
      <c r="R475" s="4">
        <f>VLOOKUP(A475,'[6]Monthly Sold'!$A:$M,5,0)</f>
        <v>0</v>
      </c>
      <c r="S475" s="4">
        <f>VLOOKUP(A475,'[6]Monthly Sold'!$A:$M,6,0)</f>
        <v>0</v>
      </c>
      <c r="T475" s="4">
        <f>VLOOKUP(A475,'[6]Monthly Sold'!$A:$M,7,0)</f>
        <v>0</v>
      </c>
      <c r="U475" s="4">
        <f>VLOOKUP(A475,'[6]Monthly Sold'!$A:$M,8,0)</f>
        <v>0</v>
      </c>
      <c r="V475" s="4">
        <f>VLOOKUP(A475,'[6]Monthly Sold'!$A:$M,9,0)</f>
        <v>50</v>
      </c>
      <c r="W475" s="4">
        <f>VLOOKUP(A475,'[6]Monthly Sold'!$A:$M,10,0)</f>
        <v>50</v>
      </c>
      <c r="X475" s="4">
        <f>VLOOKUP(A475,'[6]Monthly Sold'!$A:$M,11,0)</f>
        <v>0</v>
      </c>
      <c r="Y475" s="4">
        <f>VLOOKUP(A475,'[6]Monthly Sold'!$A:$M,12,0)</f>
        <v>0</v>
      </c>
      <c r="Z475" s="4">
        <f>VLOOKUP(A475,'[6]Monthly Sold'!$A:$M,13,0)</f>
        <v>0</v>
      </c>
      <c r="AA475" s="4">
        <f t="shared" si="118"/>
        <v>100</v>
      </c>
      <c r="AB475" s="7">
        <f t="shared" si="125"/>
        <v>8</v>
      </c>
      <c r="AC475" s="15">
        <f t="shared" si="119"/>
        <v>8.3333333333333339</v>
      </c>
      <c r="AD475" s="16">
        <f t="shared" si="120"/>
        <v>1698.9999999999998</v>
      </c>
      <c r="AE475" s="16">
        <f t="shared" si="121"/>
        <v>141.58333333333334</v>
      </c>
      <c r="AF475" s="21">
        <v>6.31</v>
      </c>
      <c r="AG475" s="21">
        <v>16.989999999999998</v>
      </c>
      <c r="AH475" s="15">
        <f t="shared" si="122"/>
        <v>-3.4266666666666688E-2</v>
      </c>
      <c r="AI475" s="15">
        <f t="shared" si="123"/>
        <v>-0.11993333333333339</v>
      </c>
      <c r="AJ475" s="10">
        <v>0.5</v>
      </c>
      <c r="AK475" s="10">
        <v>0.5</v>
      </c>
      <c r="AL475" s="21">
        <v>6.31</v>
      </c>
      <c r="AM475" s="9">
        <f t="shared" si="126"/>
        <v>2.5484999999999998</v>
      </c>
      <c r="AN475" s="9">
        <f t="shared" si="127"/>
        <v>0.50969999999999993</v>
      </c>
      <c r="AO475" s="9">
        <f t="shared" si="128"/>
        <v>3.3979999999999997</v>
      </c>
      <c r="AP475" s="9">
        <f t="shared" si="129"/>
        <v>0.33979999999999999</v>
      </c>
      <c r="AQ475" s="9">
        <f t="shared" si="130"/>
        <v>3.3979999999999997</v>
      </c>
      <c r="AR475" s="9">
        <f t="shared" si="131"/>
        <v>4.2474999999999996</v>
      </c>
      <c r="AS475" s="11">
        <f t="shared" si="132"/>
        <v>-0.34266666666666684</v>
      </c>
      <c r="AT475" s="12">
        <f t="shared" si="133"/>
        <v>-0.90900000000000014</v>
      </c>
    </row>
    <row r="476" spans="1:46" ht="16.5" x14ac:dyDescent="0.4">
      <c r="A476" s="4" t="s">
        <v>1890</v>
      </c>
      <c r="B476" s="4" t="s">
        <v>1895</v>
      </c>
      <c r="C476" s="4" t="s">
        <v>1784</v>
      </c>
      <c r="D476" s="4" t="s">
        <v>2177</v>
      </c>
      <c r="E476" s="4" t="s">
        <v>2178</v>
      </c>
      <c r="F476" s="4" t="s">
        <v>2179</v>
      </c>
      <c r="G476" s="7" t="str">
        <f>VLOOKUP(A476,[1]done!$A:$I,9,0)</f>
        <v>Rodent</v>
      </c>
      <c r="H476" s="7" t="str" cm="1">
        <f t="array" ref="H476">_xlfn.IFS(
OR(ISNUMBER(SEARCH("mouse",E476)),ISNUMBER(SEARCH("rat",E476)),ISNUMBER(SEARCH("mice",E476)),ISNUMBER(SEARCH("rodent",E476))),"Rodent Control",
OR(ISNUMBER(SEARCH("fly",E476)),ISNUMBER(SEARCH("gnat",E476)),ISNUMBER(SEARCH("insect",E476)),ISNUMBER(SEARCH("mosquito",E476))),"Flying Insect Control",
OR(ISNUMBER(SEARCH("roach",E476)),ISNUMBER(SEARCH("ant",E476)),ISNUMBER(SEARCH("spider",E476)),ISNUMBER(SEARCH("cricket",E476)),ISNUMBER(SEARCH("scorpion",E476)),ISNUMBER(SEARCH("centipede",E476)),ISNUMBER(SEARCH("beetle",E476))),"Crawling Insect Control",
OR(ISNUMBER(SEARCH("tree",E476)),ISNUMBER(SEARCH("lantern",E476)),ISNUMBER(SEARCH("garden",E476)),ISNUMBER(SEARCH("plant",E476))),"Garden Pest Control",
OR(ISNUMBER(SEARCH("grass seed",E476)),ISNUMBER(SEARCH("seed mix",E476))),"Grass Seed",
OR(ISNUMBER(SEARCH("lawn food",E476)),ISNUMBER(SEARCH("fertilizer",E476))),"Lawn Fertilizer",
OR(ISNUMBER(SEARCH("patch",E476)),ISNUMBER(SEARCH("repair",E476)),ISNUMBER(SEARCH("thick'r",E476)),ISNUMBER(SEARCH("thick'r lawn",E476)),ISNUMBER(SEARCH("rapid grass",E476))),"Lawn Repair",
OR(ISNUMBER(SEARCH("weed",E476)),ISNUMBER(SEARCH("crabgrass",E476))),"Weed Control",
OR(ISNUMBER(SEARCH("fungicide",E476)),ISNUMBER(SEARCH("moss",E476))),"Disease &amp; Moss Control",
OR(ISNUMBER(SEARCH("plant food",E476)),ISNUMBER(SEARCH("miracid",E476))),"Plant Nutrition",
OR(ISNUMBER(SEARCH("perlite",E476))),"Soil Amendment",
OR(ISNUMBER(SEARCH("spreader",E476)),ISNUMBER(SEARCH("sprayer",E476)),ISNUMBER(SEARCH("mower",E476)),ISNUMBER(SEARCH("sweeper",E476)),ISNUMBER(SEARCH("pruner",E476)),ISNUMBER(SEARCH("trimmer",E476)),ISNUMBER(SEARCH("pole saw",E476))),"Garden Equipment",
TRUE,"Other"
)</f>
        <v>Rodent Control</v>
      </c>
      <c r="I476" s="7" t="str" cm="1">
        <f t="array" ref="I476">_xlfn.IFS(
OR(ISNUMBER(SEARCH("glue trap",E476)),ISNUMBER(SEARCH("glue board",E476))),"Glue Traps",
OR(ISNUMBER(SEARCH("snap trap",E476)),ISNUMBER(SEARCH("power-kill",E476)),ISNUMBER(SEARCH("wide pedal",E476)),ISNUMBER(SEARCH("metal pedal",E476))),"Snap Traps",
OR(ISNUMBER(SEARCH("electronic",E476)),ISNUMBER(SEARCH("zapper",E476))),"Electronic Traps",
OR(ISNUMBER(SEARCH("live catch",E476)),ISNUMBER(SEARCH("multi-catch",E476)),ISNUMBER(SEARCH("catch &amp; hold",E476)),ISNUMBER(SEARCH("tin cat",E476))),"Live Catch Traps",
OR(ISNUMBER(SEARCH("bait",E476)),ISNUMBER(SEARCH("poison",E476))),"Bait &amp; Poison",
ISNUMBER(SEARCH("repellent",E476)),"Repellents",
OR(ISNUMBER(SEARCH("fly trap",E476)),ISNUMBER(SEARCH("fly ribbon",E476)),ISNUMBER(SEARCH("fly stick",E476)),ISNUMBER(SEARCH("window fly",E476)),ISNUMBER(SEARCH("fly magnet",E476))),"Fly Traps",
OR(ISNUMBER(SEARCH("uv",E476)),ISNUMBER(SEARCH("fly light",E476)),ISNUMBER(SEARCH("plug-in",E476))),"UV Fly Traps",
ISNUMBER(SEARCH("roach",E476)),"Roach Traps",
ISNUMBER(SEARCH("ant",E476)),"Ant Traps",
ISNUMBER(SEARCH("spider",E476)),"Spider Traps",
ISNUMBER(SEARCH("mosquito",E476)),"Mosquito Traps",
ISNUMBER(SEARCH("beetle",E476)),"Beetle Traps",
ISNUMBER(SEARCH("lantern",E476)),"Lanternfly Control",
OR(ISNUMBER(SEARCH("tree shield",E476)),ISNUMBER(SEARCH("tree banding",E476)),ISNUMBER(SEARCH("insect barrier",E476))),"Tree Barriers",
OR(ISNUMBER(SEARCH("sun &amp; shade",E476)),ISNUMBER(SEARCH("sun and shade",E476))),"Sun &amp; Shade Mix",
ISNUMBER(SEARCH("tall fescue",E476)),"Tall Fescue",
ISNUMBER(SEARCH("bermudagrass",E476)),"Bermudagrass",
ISNUMBER(SEARCH("kentucky",E476)),"Kentucky Bluegrass",
ISNUMBER(SEARCH("zoysia",E476)),"Zoysia",
ISNUMBER(SEARCH("ryegrass",E476)),"Perennial Ryegrass",
ISNUMBER(SEARCH("centipede",E476)),"Centipede Grass",
ISNUMBER(SEARCH("dense shade",E476)),"Dense Shade Mix",
ISNUMBER(SEARCH("southern gold",E476)),"Southern Gold Mix",
ISNUMBER(SEARCH("heat-tolerant blue",E476)),"Heat-Tolerant Blue Mix",
ISNUMBER(SEARCH("high traffic",E476)),"High Traffic Mix",
ISNUMBER(SEARCH("quick fix",E476)),"Quick Fix Mix",
ISNUMBER(SEARCH("starter",E476)),"Starter Fertilizer",
ISNUMBER(SEARCH("weed &amp; feed",E476)),"Weed &amp; Feed",
ISNUMBER(SEARCH("lawn food",E476)),"Lawn Food",
ISNUMBER(SEARCH("triple action",E476)),"Triple Action Fertilizer",
ISNUMBER(SEARCH("green max",E476)),"Green Max Lawn Food",
ISNUMBER(SEARCH("patchmaster",E476)),"PatchMaster Repair",
ISNUMBER(SEARCH("ez seed",E476)),"EZ Seed Repair",
ISNUMBER(SEARCH("rapid grass",E476)),"Rapid Grass",
ISNUMBER(SEARCH("thick'r lawn",E476)),"Thick'R Lawn",
ISNUMBER(SEARCH("fungicide",E476)),"Fungicide",
ISNUMBER(SEARCH("moss",E476)),"Moss Control",
ISNUMBER(SEARCH("perlite",E476)),"Perlite",
ISNUMBER(SEARCH("plant food",E476)),"Plant Food",
ISNUMBER(SEARCH("spreader",E476)),"Spreader",
ISNUMBER(SEARCH("sprayer",E476)),"Sprayer",
ISNUMBER(SEARCH("mower",E476)),"Lawn Mower",
ISNUMBER(SEARCH("sweeper",E476)),"Lawn Sweeper",
OR(ISNUMBER(SEARCH("pruner",E476)),ISNUMBER(SEARCH("trimmer",E476)),ISNUMBER(SEARCH("pole saw",E476))),"Pruning Tools",
TRUE,"Other"
)</f>
        <v>Bait &amp; Poison</v>
      </c>
      <c r="J476" s="7" t="str">
        <f t="shared" si="124"/>
        <v>Rodent Control - Bait &amp; Poison</v>
      </c>
      <c r="K476" s="4">
        <v>50</v>
      </c>
      <c r="L476" s="4">
        <v>4.3</v>
      </c>
      <c r="M476" s="4">
        <v>163</v>
      </c>
      <c r="N476" s="4" t="s">
        <v>357</v>
      </c>
      <c r="O476" s="4">
        <f>VLOOKUP(A476,'[6]Monthly Sold'!$A:$B,2,0)</f>
        <v>100</v>
      </c>
      <c r="P476" s="4">
        <f>VLOOKUP(A476,'[6]Monthly Sold'!$A:$M,3,0)</f>
        <v>100</v>
      </c>
      <c r="Q476" s="4">
        <f>VLOOKUP(A476,'[6]Monthly Sold'!$A:$M,4,0)</f>
        <v>60</v>
      </c>
      <c r="R476" s="4">
        <f>VLOOKUP(A476,'[6]Monthly Sold'!$A:$M,5,0)</f>
        <v>0</v>
      </c>
      <c r="S476" s="4">
        <f>VLOOKUP(A476,'[6]Monthly Sold'!$A:$M,6,0)</f>
        <v>0</v>
      </c>
      <c r="T476" s="4">
        <f>VLOOKUP(A476,'[6]Monthly Sold'!$A:$M,7,0)</f>
        <v>60</v>
      </c>
      <c r="U476" s="4">
        <f>VLOOKUP(A476,'[6]Monthly Sold'!$A:$M,8,0)</f>
        <v>0</v>
      </c>
      <c r="V476" s="4">
        <f>VLOOKUP(A476,'[6]Monthly Sold'!$A:$M,9,0)</f>
        <v>60</v>
      </c>
      <c r="W476" s="4">
        <f>VLOOKUP(A476,'[6]Monthly Sold'!$A:$M,10,0)</f>
        <v>60</v>
      </c>
      <c r="X476" s="4">
        <f>VLOOKUP(A476,'[6]Monthly Sold'!$A:$M,11,0)</f>
        <v>300</v>
      </c>
      <c r="Y476" s="4">
        <f>VLOOKUP(A476,'[6]Monthly Sold'!$A:$M,12,0)</f>
        <v>300</v>
      </c>
      <c r="Z476" s="4">
        <f>VLOOKUP(A476,'[6]Monthly Sold'!$A:$M,13,0)</f>
        <v>200</v>
      </c>
      <c r="AA476" s="4">
        <f t="shared" si="118"/>
        <v>1240</v>
      </c>
      <c r="AB476" s="7">
        <f t="shared" si="125"/>
        <v>103</v>
      </c>
      <c r="AC476" s="15">
        <f t="shared" si="119"/>
        <v>103.33333333333333</v>
      </c>
      <c r="AD476" s="16">
        <f t="shared" si="120"/>
        <v>50815.199999999997</v>
      </c>
      <c r="AE476" s="16">
        <f t="shared" si="121"/>
        <v>4234.5999999999995</v>
      </c>
      <c r="AF476" s="21">
        <v>6.9</v>
      </c>
      <c r="AG476" s="21">
        <v>40.98</v>
      </c>
      <c r="AH476" s="15">
        <f t="shared" si="122"/>
        <v>0.56613333333333304</v>
      </c>
      <c r="AI476" s="15">
        <f t="shared" si="123"/>
        <v>1.9814666666666656</v>
      </c>
      <c r="AJ476" s="10">
        <v>0.5</v>
      </c>
      <c r="AK476" s="10">
        <v>0.5</v>
      </c>
      <c r="AL476" s="21">
        <v>6.9</v>
      </c>
      <c r="AM476" s="9">
        <f t="shared" si="126"/>
        <v>6.1469999999999994</v>
      </c>
      <c r="AN476" s="9">
        <f t="shared" si="127"/>
        <v>1.2293999999999998</v>
      </c>
      <c r="AO476" s="9">
        <f t="shared" si="128"/>
        <v>8.1959999999999997</v>
      </c>
      <c r="AP476" s="9">
        <f t="shared" si="129"/>
        <v>0.8196</v>
      </c>
      <c r="AQ476" s="9">
        <f t="shared" si="130"/>
        <v>8.1959999999999997</v>
      </c>
      <c r="AR476" s="9">
        <f t="shared" si="131"/>
        <v>10.244999999999999</v>
      </c>
      <c r="AS476" s="11">
        <f t="shared" si="132"/>
        <v>5.6613333333333307</v>
      </c>
      <c r="AT476" s="12">
        <f t="shared" si="133"/>
        <v>4.295333333333331</v>
      </c>
    </row>
    <row r="477" spans="1:46" ht="16.5" x14ac:dyDescent="0.4">
      <c r="A477" s="4" t="s">
        <v>1891</v>
      </c>
      <c r="B477" s="4" t="s">
        <v>1895</v>
      </c>
      <c r="C477" s="4" t="s">
        <v>1786</v>
      </c>
      <c r="D477" s="4" t="s">
        <v>2180</v>
      </c>
      <c r="E477" s="4" t="s">
        <v>2181</v>
      </c>
      <c r="F477" s="4" t="s">
        <v>2182</v>
      </c>
      <c r="G477" s="7" t="str">
        <f>VLOOKUP(A477,[1]done!$A:$I,9,0)</f>
        <v>Rodent</v>
      </c>
      <c r="H477" s="7" t="str" cm="1">
        <f t="array" ref="H477">_xlfn.IFS(
OR(ISNUMBER(SEARCH("mouse",E477)),ISNUMBER(SEARCH("rat",E477)),ISNUMBER(SEARCH("mice",E477)),ISNUMBER(SEARCH("rodent",E477))),"Rodent Control",
OR(ISNUMBER(SEARCH("fly",E477)),ISNUMBER(SEARCH("gnat",E477)),ISNUMBER(SEARCH("insect",E477)),ISNUMBER(SEARCH("mosquito",E477))),"Flying Insect Control",
OR(ISNUMBER(SEARCH("roach",E477)),ISNUMBER(SEARCH("ant",E477)),ISNUMBER(SEARCH("spider",E477)),ISNUMBER(SEARCH("cricket",E477)),ISNUMBER(SEARCH("scorpion",E477)),ISNUMBER(SEARCH("centipede",E477)),ISNUMBER(SEARCH("beetle",E477))),"Crawling Insect Control",
OR(ISNUMBER(SEARCH("tree",E477)),ISNUMBER(SEARCH("lantern",E477)),ISNUMBER(SEARCH("garden",E477)),ISNUMBER(SEARCH("plant",E477))),"Garden Pest Control",
OR(ISNUMBER(SEARCH("grass seed",E477)),ISNUMBER(SEARCH("seed mix",E477))),"Grass Seed",
OR(ISNUMBER(SEARCH("lawn food",E477)),ISNUMBER(SEARCH("fertilizer",E477))),"Lawn Fertilizer",
OR(ISNUMBER(SEARCH("patch",E477)),ISNUMBER(SEARCH("repair",E477)),ISNUMBER(SEARCH("thick'r",E477)),ISNUMBER(SEARCH("thick'r lawn",E477)),ISNUMBER(SEARCH("rapid grass",E477))),"Lawn Repair",
OR(ISNUMBER(SEARCH("weed",E477)),ISNUMBER(SEARCH("crabgrass",E477))),"Weed Control",
OR(ISNUMBER(SEARCH("fungicide",E477)),ISNUMBER(SEARCH("moss",E477))),"Disease &amp; Moss Control",
OR(ISNUMBER(SEARCH("plant food",E477)),ISNUMBER(SEARCH("miracid",E477))),"Plant Nutrition",
OR(ISNUMBER(SEARCH("perlite",E477))),"Soil Amendment",
OR(ISNUMBER(SEARCH("spreader",E477)),ISNUMBER(SEARCH("sprayer",E477)),ISNUMBER(SEARCH("mower",E477)),ISNUMBER(SEARCH("sweeper",E477)),ISNUMBER(SEARCH("pruner",E477)),ISNUMBER(SEARCH("trimmer",E477)),ISNUMBER(SEARCH("pole saw",E477))),"Garden Equipment",
TRUE,"Other"
)</f>
        <v>Rodent Control</v>
      </c>
      <c r="I477" s="7" t="str" cm="1">
        <f t="array" ref="I477">_xlfn.IFS(
OR(ISNUMBER(SEARCH("glue trap",E477)),ISNUMBER(SEARCH("glue board",E477))),"Glue Traps",
OR(ISNUMBER(SEARCH("snap trap",E477)),ISNUMBER(SEARCH("power-kill",E477)),ISNUMBER(SEARCH("wide pedal",E477)),ISNUMBER(SEARCH("metal pedal",E477))),"Snap Traps",
OR(ISNUMBER(SEARCH("electronic",E477)),ISNUMBER(SEARCH("zapper",E477))),"Electronic Traps",
OR(ISNUMBER(SEARCH("live catch",E477)),ISNUMBER(SEARCH("multi-catch",E477)),ISNUMBER(SEARCH("catch &amp; hold",E477)),ISNUMBER(SEARCH("tin cat",E477))),"Live Catch Traps",
OR(ISNUMBER(SEARCH("bait",E477)),ISNUMBER(SEARCH("poison",E477))),"Bait &amp; Poison",
ISNUMBER(SEARCH("repellent",E477)),"Repellents",
OR(ISNUMBER(SEARCH("fly trap",E477)),ISNUMBER(SEARCH("fly ribbon",E477)),ISNUMBER(SEARCH("fly stick",E477)),ISNUMBER(SEARCH("window fly",E477)),ISNUMBER(SEARCH("fly magnet",E477))),"Fly Traps",
OR(ISNUMBER(SEARCH("uv",E477)),ISNUMBER(SEARCH("fly light",E477)),ISNUMBER(SEARCH("plug-in",E477))),"UV Fly Traps",
ISNUMBER(SEARCH("roach",E477)),"Roach Traps",
ISNUMBER(SEARCH("ant",E477)),"Ant Traps",
ISNUMBER(SEARCH("spider",E477)),"Spider Traps",
ISNUMBER(SEARCH("mosquito",E477)),"Mosquito Traps",
ISNUMBER(SEARCH("beetle",E477)),"Beetle Traps",
ISNUMBER(SEARCH("lantern",E477)),"Lanternfly Control",
OR(ISNUMBER(SEARCH("tree shield",E477)),ISNUMBER(SEARCH("tree banding",E477)),ISNUMBER(SEARCH("insect barrier",E477))),"Tree Barriers",
OR(ISNUMBER(SEARCH("sun &amp; shade",E477)),ISNUMBER(SEARCH("sun and shade",E477))),"Sun &amp; Shade Mix",
ISNUMBER(SEARCH("tall fescue",E477)),"Tall Fescue",
ISNUMBER(SEARCH("bermudagrass",E477)),"Bermudagrass",
ISNUMBER(SEARCH("kentucky",E477)),"Kentucky Bluegrass",
ISNUMBER(SEARCH("zoysia",E477)),"Zoysia",
ISNUMBER(SEARCH("ryegrass",E477)),"Perennial Ryegrass",
ISNUMBER(SEARCH("centipede",E477)),"Centipede Grass",
ISNUMBER(SEARCH("dense shade",E477)),"Dense Shade Mix",
ISNUMBER(SEARCH("southern gold",E477)),"Southern Gold Mix",
ISNUMBER(SEARCH("heat-tolerant blue",E477)),"Heat-Tolerant Blue Mix",
ISNUMBER(SEARCH("high traffic",E477)),"High Traffic Mix",
ISNUMBER(SEARCH("quick fix",E477)),"Quick Fix Mix",
ISNUMBER(SEARCH("starter",E477)),"Starter Fertilizer",
ISNUMBER(SEARCH("weed &amp; feed",E477)),"Weed &amp; Feed",
ISNUMBER(SEARCH("lawn food",E477)),"Lawn Food",
ISNUMBER(SEARCH("triple action",E477)),"Triple Action Fertilizer",
ISNUMBER(SEARCH("green max",E477)),"Green Max Lawn Food",
ISNUMBER(SEARCH("patchmaster",E477)),"PatchMaster Repair",
ISNUMBER(SEARCH("ez seed",E477)),"EZ Seed Repair",
ISNUMBER(SEARCH("rapid grass",E477)),"Rapid Grass",
ISNUMBER(SEARCH("thick'r lawn",E477)),"Thick'R Lawn",
ISNUMBER(SEARCH("fungicide",E477)),"Fungicide",
ISNUMBER(SEARCH("moss",E477)),"Moss Control",
ISNUMBER(SEARCH("perlite",E477)),"Perlite",
ISNUMBER(SEARCH("plant food",E477)),"Plant Food",
ISNUMBER(SEARCH("spreader",E477)),"Spreader",
ISNUMBER(SEARCH("sprayer",E477)),"Sprayer",
ISNUMBER(SEARCH("mower",E477)),"Lawn Mower",
ISNUMBER(SEARCH("sweeper",E477)),"Lawn Sweeper",
OR(ISNUMBER(SEARCH("pruner",E477)),ISNUMBER(SEARCH("trimmer",E477)),ISNUMBER(SEARCH("pole saw",E477))),"Pruning Tools",
TRUE,"Other"
)</f>
        <v>Bait &amp; Poison</v>
      </c>
      <c r="J477" s="7" t="str">
        <f t="shared" si="124"/>
        <v>Rodent Control - Bait &amp; Poison</v>
      </c>
      <c r="K477" s="4">
        <v>50</v>
      </c>
      <c r="L477" s="4">
        <v>4.5</v>
      </c>
      <c r="M477" s="4">
        <v>122</v>
      </c>
      <c r="N477" s="4" t="s">
        <v>2014</v>
      </c>
      <c r="O477" s="4">
        <f>VLOOKUP(A477,'[6]Monthly Sold'!$A:$B,2,0)</f>
        <v>60</v>
      </c>
      <c r="P477" s="4">
        <f>VLOOKUP(A477,'[6]Monthly Sold'!$A:$M,3,0)</f>
        <v>0</v>
      </c>
      <c r="Q477" s="4">
        <f>VLOOKUP(A477,'[6]Monthly Sold'!$A:$M,4,0)</f>
        <v>60</v>
      </c>
      <c r="R477" s="4">
        <f>VLOOKUP(A477,'[6]Monthly Sold'!$A:$M,5,0)</f>
        <v>100</v>
      </c>
      <c r="S477" s="4">
        <f>VLOOKUP(A477,'[6]Monthly Sold'!$A:$M,6,0)</f>
        <v>100</v>
      </c>
      <c r="T477" s="4">
        <f>VLOOKUP(A477,'[6]Monthly Sold'!$A:$M,7,0)</f>
        <v>100</v>
      </c>
      <c r="U477" s="4">
        <f>VLOOKUP(A477,'[6]Monthly Sold'!$A:$M,8,0)</f>
        <v>100</v>
      </c>
      <c r="V477" s="4">
        <f>VLOOKUP(A477,'[6]Monthly Sold'!$A:$M,9,0)</f>
        <v>100</v>
      </c>
      <c r="W477" s="4">
        <f>VLOOKUP(A477,'[6]Monthly Sold'!$A:$M,10,0)</f>
        <v>60</v>
      </c>
      <c r="X477" s="4">
        <f>VLOOKUP(A477,'[6]Monthly Sold'!$A:$M,11,0)</f>
        <v>100</v>
      </c>
      <c r="Y477" s="4">
        <f>VLOOKUP(A477,'[6]Monthly Sold'!$A:$M,12,0)</f>
        <v>100</v>
      </c>
      <c r="Z477" s="4">
        <f>VLOOKUP(A477,'[6]Monthly Sold'!$A:$M,13,0)</f>
        <v>100</v>
      </c>
      <c r="AA477" s="4">
        <f t="shared" si="118"/>
        <v>980</v>
      </c>
      <c r="AB477" s="7">
        <f t="shared" si="125"/>
        <v>82</v>
      </c>
      <c r="AC477" s="15">
        <f t="shared" si="119"/>
        <v>81.666666666666671</v>
      </c>
      <c r="AD477" s="16">
        <f t="shared" si="120"/>
        <v>73470.600000000006</v>
      </c>
      <c r="AE477" s="16">
        <f t="shared" si="121"/>
        <v>6122.55</v>
      </c>
      <c r="AF477" s="21">
        <v>13.03</v>
      </c>
      <c r="AG477" s="21">
        <v>74.97</v>
      </c>
      <c r="AH477" s="15">
        <f t="shared" si="122"/>
        <v>1.0638666666666665</v>
      </c>
      <c r="AI477" s="15">
        <f t="shared" si="123"/>
        <v>3.7235333333333327</v>
      </c>
      <c r="AJ477" s="10">
        <v>0.5</v>
      </c>
      <c r="AK477" s="10">
        <v>0.5</v>
      </c>
      <c r="AL477" s="21">
        <v>13.03</v>
      </c>
      <c r="AM477" s="9">
        <f t="shared" si="126"/>
        <v>11.2455</v>
      </c>
      <c r="AN477" s="9">
        <f t="shared" si="127"/>
        <v>2.2490999999999999</v>
      </c>
      <c r="AO477" s="9">
        <f t="shared" si="128"/>
        <v>14.994</v>
      </c>
      <c r="AP477" s="9">
        <f t="shared" si="129"/>
        <v>1.4994000000000001</v>
      </c>
      <c r="AQ477" s="9">
        <f t="shared" si="130"/>
        <v>14.994</v>
      </c>
      <c r="AR477" s="9">
        <f t="shared" si="131"/>
        <v>18.7425</v>
      </c>
      <c r="AS477" s="11">
        <f t="shared" si="132"/>
        <v>10.638666666666666</v>
      </c>
      <c r="AT477" s="12">
        <f t="shared" si="133"/>
        <v>8.1396666666666651</v>
      </c>
    </row>
    <row r="478" spans="1:46" ht="16.5" x14ac:dyDescent="0.4">
      <c r="A478" s="4" t="s">
        <v>1892</v>
      </c>
      <c r="B478" s="4" t="s">
        <v>1895</v>
      </c>
      <c r="C478" s="4" t="s">
        <v>1784</v>
      </c>
      <c r="D478" s="4" t="s">
        <v>2183</v>
      </c>
      <c r="E478" s="4" t="s">
        <v>2184</v>
      </c>
      <c r="F478" s="4" t="s">
        <v>2185</v>
      </c>
      <c r="G478" s="7" t="str">
        <f>VLOOKUP(A478,[1]done!$A:$I,9,0)</f>
        <v>Rodent</v>
      </c>
      <c r="H478" s="7" t="str" cm="1">
        <f t="array" ref="H478">_xlfn.IFS(
OR(ISNUMBER(SEARCH("mouse",E478)),ISNUMBER(SEARCH("rat",E478)),ISNUMBER(SEARCH("mice",E478)),ISNUMBER(SEARCH("rodent",E478))),"Rodent Control",
OR(ISNUMBER(SEARCH("fly",E478)),ISNUMBER(SEARCH("gnat",E478)),ISNUMBER(SEARCH("insect",E478)),ISNUMBER(SEARCH("mosquito",E478))),"Flying Insect Control",
OR(ISNUMBER(SEARCH("roach",E478)),ISNUMBER(SEARCH("ant",E478)),ISNUMBER(SEARCH("spider",E478)),ISNUMBER(SEARCH("cricket",E478)),ISNUMBER(SEARCH("scorpion",E478)),ISNUMBER(SEARCH("centipede",E478)),ISNUMBER(SEARCH("beetle",E478))),"Crawling Insect Control",
OR(ISNUMBER(SEARCH("tree",E478)),ISNUMBER(SEARCH("lantern",E478)),ISNUMBER(SEARCH("garden",E478)),ISNUMBER(SEARCH("plant",E478))),"Garden Pest Control",
OR(ISNUMBER(SEARCH("grass seed",E478)),ISNUMBER(SEARCH("seed mix",E478))),"Grass Seed",
OR(ISNUMBER(SEARCH("lawn food",E478)),ISNUMBER(SEARCH("fertilizer",E478))),"Lawn Fertilizer",
OR(ISNUMBER(SEARCH("patch",E478)),ISNUMBER(SEARCH("repair",E478)),ISNUMBER(SEARCH("thick'r",E478)),ISNUMBER(SEARCH("thick'r lawn",E478)),ISNUMBER(SEARCH("rapid grass",E478))),"Lawn Repair",
OR(ISNUMBER(SEARCH("weed",E478)),ISNUMBER(SEARCH("crabgrass",E478))),"Weed Control",
OR(ISNUMBER(SEARCH("fungicide",E478)),ISNUMBER(SEARCH("moss",E478))),"Disease &amp; Moss Control",
OR(ISNUMBER(SEARCH("plant food",E478)),ISNUMBER(SEARCH("miracid",E478))),"Plant Nutrition",
OR(ISNUMBER(SEARCH("perlite",E478))),"Soil Amendment",
OR(ISNUMBER(SEARCH("spreader",E478)),ISNUMBER(SEARCH("sprayer",E478)),ISNUMBER(SEARCH("mower",E478)),ISNUMBER(SEARCH("sweeper",E478)),ISNUMBER(SEARCH("pruner",E478)),ISNUMBER(SEARCH("trimmer",E478)),ISNUMBER(SEARCH("pole saw",E478))),"Garden Equipment",
TRUE,"Other"
)</f>
        <v>Rodent Control</v>
      </c>
      <c r="I478" s="7" t="str" cm="1">
        <f t="array" ref="I478">_xlfn.IFS(
OR(ISNUMBER(SEARCH("glue trap",E478)),ISNUMBER(SEARCH("glue board",E478))),"Glue Traps",
OR(ISNUMBER(SEARCH("snap trap",E478)),ISNUMBER(SEARCH("power-kill",E478)),ISNUMBER(SEARCH("wide pedal",E478)),ISNUMBER(SEARCH("metal pedal",E478))),"Snap Traps",
OR(ISNUMBER(SEARCH("electronic",E478)),ISNUMBER(SEARCH("zapper",E478))),"Electronic Traps",
OR(ISNUMBER(SEARCH("live catch",E478)),ISNUMBER(SEARCH("multi-catch",E478)),ISNUMBER(SEARCH("catch &amp; hold",E478)),ISNUMBER(SEARCH("tin cat",E478))),"Live Catch Traps",
OR(ISNUMBER(SEARCH("bait",E478)),ISNUMBER(SEARCH("poison",E478))),"Bait &amp; Poison",
ISNUMBER(SEARCH("repellent",E478)),"Repellents",
OR(ISNUMBER(SEARCH("fly trap",E478)),ISNUMBER(SEARCH("fly ribbon",E478)),ISNUMBER(SEARCH("fly stick",E478)),ISNUMBER(SEARCH("window fly",E478)),ISNUMBER(SEARCH("fly magnet",E478))),"Fly Traps",
OR(ISNUMBER(SEARCH("uv",E478)),ISNUMBER(SEARCH("fly light",E478)),ISNUMBER(SEARCH("plug-in",E478))),"UV Fly Traps",
ISNUMBER(SEARCH("roach",E478)),"Roach Traps",
ISNUMBER(SEARCH("ant",E478)),"Ant Traps",
ISNUMBER(SEARCH("spider",E478)),"Spider Traps",
ISNUMBER(SEARCH("mosquito",E478)),"Mosquito Traps",
ISNUMBER(SEARCH("beetle",E478)),"Beetle Traps",
ISNUMBER(SEARCH("lantern",E478)),"Lanternfly Control",
OR(ISNUMBER(SEARCH("tree shield",E478)),ISNUMBER(SEARCH("tree banding",E478)),ISNUMBER(SEARCH("insect barrier",E478))),"Tree Barriers",
OR(ISNUMBER(SEARCH("sun &amp; shade",E478)),ISNUMBER(SEARCH("sun and shade",E478))),"Sun &amp; Shade Mix",
ISNUMBER(SEARCH("tall fescue",E478)),"Tall Fescue",
ISNUMBER(SEARCH("bermudagrass",E478)),"Bermudagrass",
ISNUMBER(SEARCH("kentucky",E478)),"Kentucky Bluegrass",
ISNUMBER(SEARCH("zoysia",E478)),"Zoysia",
ISNUMBER(SEARCH("ryegrass",E478)),"Perennial Ryegrass",
ISNUMBER(SEARCH("centipede",E478)),"Centipede Grass",
ISNUMBER(SEARCH("dense shade",E478)),"Dense Shade Mix",
ISNUMBER(SEARCH("southern gold",E478)),"Southern Gold Mix",
ISNUMBER(SEARCH("heat-tolerant blue",E478)),"Heat-Tolerant Blue Mix",
ISNUMBER(SEARCH("high traffic",E478)),"High Traffic Mix",
ISNUMBER(SEARCH("quick fix",E478)),"Quick Fix Mix",
ISNUMBER(SEARCH("starter",E478)),"Starter Fertilizer",
ISNUMBER(SEARCH("weed &amp; feed",E478)),"Weed &amp; Feed",
ISNUMBER(SEARCH("lawn food",E478)),"Lawn Food",
ISNUMBER(SEARCH("triple action",E478)),"Triple Action Fertilizer",
ISNUMBER(SEARCH("green max",E478)),"Green Max Lawn Food",
ISNUMBER(SEARCH("patchmaster",E478)),"PatchMaster Repair",
ISNUMBER(SEARCH("ez seed",E478)),"EZ Seed Repair",
ISNUMBER(SEARCH("rapid grass",E478)),"Rapid Grass",
ISNUMBER(SEARCH("thick'r lawn",E478)),"Thick'R Lawn",
ISNUMBER(SEARCH("fungicide",E478)),"Fungicide",
ISNUMBER(SEARCH("moss",E478)),"Moss Control",
ISNUMBER(SEARCH("perlite",E478)),"Perlite",
ISNUMBER(SEARCH("plant food",E478)),"Plant Food",
ISNUMBER(SEARCH("spreader",E478)),"Spreader",
ISNUMBER(SEARCH("sprayer",E478)),"Sprayer",
ISNUMBER(SEARCH("mower",E478)),"Lawn Mower",
ISNUMBER(SEARCH("sweeper",E478)),"Lawn Sweeper",
OR(ISNUMBER(SEARCH("pruner",E478)),ISNUMBER(SEARCH("trimmer",E478)),ISNUMBER(SEARCH("pole saw",E478))),"Pruning Tools",
TRUE,"Other"
)</f>
        <v>Bait &amp; Poison</v>
      </c>
      <c r="J478" s="7" t="str">
        <f t="shared" si="124"/>
        <v>Rodent Control - Bait &amp; Poison</v>
      </c>
      <c r="K478" s="4">
        <v>50</v>
      </c>
      <c r="L478" s="4">
        <v>4</v>
      </c>
      <c r="M478" s="4">
        <v>146</v>
      </c>
      <c r="N478" s="4">
        <v>0</v>
      </c>
      <c r="O478" s="4">
        <f>VLOOKUP(A478,'[6]Monthly Sold'!$A:$B,2,0)</f>
        <v>50</v>
      </c>
      <c r="P478" s="4">
        <f>VLOOKUP(A478,'[6]Monthly Sold'!$A:$M,3,0)</f>
        <v>0</v>
      </c>
      <c r="Q478" s="4">
        <f>VLOOKUP(A478,'[6]Monthly Sold'!$A:$M,4,0)</f>
        <v>0</v>
      </c>
      <c r="R478" s="4">
        <f>VLOOKUP(A478,'[6]Monthly Sold'!$A:$M,5,0)</f>
        <v>0</v>
      </c>
      <c r="S478" s="4">
        <f>VLOOKUP(A478,'[6]Monthly Sold'!$A:$M,6,0)</f>
        <v>0</v>
      </c>
      <c r="T478" s="4">
        <f>VLOOKUP(A478,'[6]Monthly Sold'!$A:$M,7,0)</f>
        <v>0</v>
      </c>
      <c r="U478" s="4">
        <f>VLOOKUP(A478,'[6]Monthly Sold'!$A:$M,8,0)</f>
        <v>0</v>
      </c>
      <c r="V478" s="4">
        <f>VLOOKUP(A478,'[6]Monthly Sold'!$A:$M,9,0)</f>
        <v>50</v>
      </c>
      <c r="W478" s="4">
        <f>VLOOKUP(A478,'[6]Monthly Sold'!$A:$M,10,0)</f>
        <v>50</v>
      </c>
      <c r="X478" s="4">
        <f>VLOOKUP(A478,'[6]Monthly Sold'!$A:$M,11,0)</f>
        <v>50</v>
      </c>
      <c r="Y478" s="4">
        <f>VLOOKUP(A478,'[6]Monthly Sold'!$A:$M,12,0)</f>
        <v>50</v>
      </c>
      <c r="Z478" s="4">
        <f>VLOOKUP(A478,'[6]Monthly Sold'!$A:$M,13,0)</f>
        <v>50</v>
      </c>
      <c r="AA478" s="4">
        <f t="shared" si="118"/>
        <v>300</v>
      </c>
      <c r="AB478" s="7">
        <f t="shared" si="125"/>
        <v>25</v>
      </c>
      <c r="AC478" s="15">
        <f t="shared" si="119"/>
        <v>25</v>
      </c>
      <c r="AD478" s="16">
        <f t="shared" si="120"/>
        <v>4197</v>
      </c>
      <c r="AE478" s="16">
        <f t="shared" si="121"/>
        <v>349.75</v>
      </c>
      <c r="AF478" s="21">
        <v>4.05</v>
      </c>
      <c r="AG478" s="21">
        <v>13.99</v>
      </c>
      <c r="AH478" s="15">
        <f t="shared" si="122"/>
        <v>3.6400000000000016E-2</v>
      </c>
      <c r="AI478" s="15">
        <f t="shared" si="123"/>
        <v>0.12740000000000004</v>
      </c>
      <c r="AJ478" s="10">
        <v>0.5</v>
      </c>
      <c r="AK478" s="10">
        <v>0.5</v>
      </c>
      <c r="AL478" s="21">
        <v>4.05</v>
      </c>
      <c r="AM478" s="9">
        <f t="shared" si="126"/>
        <v>2.0985</v>
      </c>
      <c r="AN478" s="9">
        <f t="shared" si="127"/>
        <v>0.41970000000000002</v>
      </c>
      <c r="AO478" s="9">
        <f t="shared" si="128"/>
        <v>2.798</v>
      </c>
      <c r="AP478" s="9">
        <f t="shared" si="129"/>
        <v>0.27979999999999999</v>
      </c>
      <c r="AQ478" s="9">
        <f t="shared" si="130"/>
        <v>2.798</v>
      </c>
      <c r="AR478" s="9">
        <f t="shared" si="131"/>
        <v>3.4975000000000001</v>
      </c>
      <c r="AS478" s="11">
        <f t="shared" si="132"/>
        <v>0.36400000000000016</v>
      </c>
      <c r="AT478" s="12">
        <f t="shared" si="133"/>
        <v>-0.10233333333333317</v>
      </c>
    </row>
    <row r="479" spans="1:46" ht="16.5" x14ac:dyDescent="0.4">
      <c r="A479" s="4" t="s">
        <v>1893</v>
      </c>
      <c r="B479" s="4" t="s">
        <v>1895</v>
      </c>
      <c r="C479" s="4" t="s">
        <v>1789</v>
      </c>
      <c r="D479" s="4" t="s">
        <v>2186</v>
      </c>
      <c r="E479" s="4" t="s">
        <v>2175</v>
      </c>
      <c r="F479" s="4" t="s">
        <v>2187</v>
      </c>
      <c r="G479" s="7" t="str">
        <f>VLOOKUP(A479,[1]done!$A:$I,9,0)</f>
        <v>Rodent</v>
      </c>
      <c r="H479" s="7" t="str" cm="1">
        <f t="array" ref="H479">_xlfn.IFS(
OR(ISNUMBER(SEARCH("mouse",E479)),ISNUMBER(SEARCH("rat",E479)),ISNUMBER(SEARCH("mice",E479)),ISNUMBER(SEARCH("rodent",E479))),"Rodent Control",
OR(ISNUMBER(SEARCH("fly",E479)),ISNUMBER(SEARCH("gnat",E479)),ISNUMBER(SEARCH("insect",E479)),ISNUMBER(SEARCH("mosquito",E479))),"Flying Insect Control",
OR(ISNUMBER(SEARCH("roach",E479)),ISNUMBER(SEARCH("ant",E479)),ISNUMBER(SEARCH("spider",E479)),ISNUMBER(SEARCH("cricket",E479)),ISNUMBER(SEARCH("scorpion",E479)),ISNUMBER(SEARCH("centipede",E479)),ISNUMBER(SEARCH("beetle",E479))),"Crawling Insect Control",
OR(ISNUMBER(SEARCH("tree",E479)),ISNUMBER(SEARCH("lantern",E479)),ISNUMBER(SEARCH("garden",E479)),ISNUMBER(SEARCH("plant",E479))),"Garden Pest Control",
OR(ISNUMBER(SEARCH("grass seed",E479)),ISNUMBER(SEARCH("seed mix",E479))),"Grass Seed",
OR(ISNUMBER(SEARCH("lawn food",E479)),ISNUMBER(SEARCH("fertilizer",E479))),"Lawn Fertilizer",
OR(ISNUMBER(SEARCH("patch",E479)),ISNUMBER(SEARCH("repair",E479)),ISNUMBER(SEARCH("thick'r",E479)),ISNUMBER(SEARCH("thick'r lawn",E479)),ISNUMBER(SEARCH("rapid grass",E479))),"Lawn Repair",
OR(ISNUMBER(SEARCH("weed",E479)),ISNUMBER(SEARCH("crabgrass",E479))),"Weed Control",
OR(ISNUMBER(SEARCH("fungicide",E479)),ISNUMBER(SEARCH("moss",E479))),"Disease &amp; Moss Control",
OR(ISNUMBER(SEARCH("plant food",E479)),ISNUMBER(SEARCH("miracid",E479))),"Plant Nutrition",
OR(ISNUMBER(SEARCH("perlite",E479))),"Soil Amendment",
OR(ISNUMBER(SEARCH("spreader",E479)),ISNUMBER(SEARCH("sprayer",E479)),ISNUMBER(SEARCH("mower",E479)),ISNUMBER(SEARCH("sweeper",E479)),ISNUMBER(SEARCH("pruner",E479)),ISNUMBER(SEARCH("trimmer",E479)),ISNUMBER(SEARCH("pole saw",E479))),"Garden Equipment",
TRUE,"Other"
)</f>
        <v>Rodent Control</v>
      </c>
      <c r="I479" s="7" t="str" cm="1">
        <f t="array" ref="I479">_xlfn.IFS(
OR(ISNUMBER(SEARCH("glue trap",E479)),ISNUMBER(SEARCH("glue board",E479))),"Glue Traps",
OR(ISNUMBER(SEARCH("snap trap",E479)),ISNUMBER(SEARCH("power-kill",E479)),ISNUMBER(SEARCH("wide pedal",E479)),ISNUMBER(SEARCH("metal pedal",E479))),"Snap Traps",
OR(ISNUMBER(SEARCH("electronic",E479)),ISNUMBER(SEARCH("zapper",E479))),"Electronic Traps",
OR(ISNUMBER(SEARCH("live catch",E479)),ISNUMBER(SEARCH("multi-catch",E479)),ISNUMBER(SEARCH("catch &amp; hold",E479)),ISNUMBER(SEARCH("tin cat",E479))),"Live Catch Traps",
OR(ISNUMBER(SEARCH("bait",E479)),ISNUMBER(SEARCH("poison",E479))),"Bait &amp; Poison",
ISNUMBER(SEARCH("repellent",E479)),"Repellents",
OR(ISNUMBER(SEARCH("fly trap",E479)),ISNUMBER(SEARCH("fly ribbon",E479)),ISNUMBER(SEARCH("fly stick",E479)),ISNUMBER(SEARCH("window fly",E479)),ISNUMBER(SEARCH("fly magnet",E479))),"Fly Traps",
OR(ISNUMBER(SEARCH("uv",E479)),ISNUMBER(SEARCH("fly light",E479)),ISNUMBER(SEARCH("plug-in",E479))),"UV Fly Traps",
ISNUMBER(SEARCH("roach",E479)),"Roach Traps",
ISNUMBER(SEARCH("ant",E479)),"Ant Traps",
ISNUMBER(SEARCH("spider",E479)),"Spider Traps",
ISNUMBER(SEARCH("mosquito",E479)),"Mosquito Traps",
ISNUMBER(SEARCH("beetle",E479)),"Beetle Traps",
ISNUMBER(SEARCH("lantern",E479)),"Lanternfly Control",
OR(ISNUMBER(SEARCH("tree shield",E479)),ISNUMBER(SEARCH("tree banding",E479)),ISNUMBER(SEARCH("insect barrier",E479))),"Tree Barriers",
OR(ISNUMBER(SEARCH("sun &amp; shade",E479)),ISNUMBER(SEARCH("sun and shade",E479))),"Sun &amp; Shade Mix",
ISNUMBER(SEARCH("tall fescue",E479)),"Tall Fescue",
ISNUMBER(SEARCH("bermudagrass",E479)),"Bermudagrass",
ISNUMBER(SEARCH("kentucky",E479)),"Kentucky Bluegrass",
ISNUMBER(SEARCH("zoysia",E479)),"Zoysia",
ISNUMBER(SEARCH("ryegrass",E479)),"Perennial Ryegrass",
ISNUMBER(SEARCH("centipede",E479)),"Centipede Grass",
ISNUMBER(SEARCH("dense shade",E479)),"Dense Shade Mix",
ISNUMBER(SEARCH("southern gold",E479)),"Southern Gold Mix",
ISNUMBER(SEARCH("heat-tolerant blue",E479)),"Heat-Tolerant Blue Mix",
ISNUMBER(SEARCH("high traffic",E479)),"High Traffic Mix",
ISNUMBER(SEARCH("quick fix",E479)),"Quick Fix Mix",
ISNUMBER(SEARCH("starter",E479)),"Starter Fertilizer",
ISNUMBER(SEARCH("weed &amp; feed",E479)),"Weed &amp; Feed",
ISNUMBER(SEARCH("lawn food",E479)),"Lawn Food",
ISNUMBER(SEARCH("triple action",E479)),"Triple Action Fertilizer",
ISNUMBER(SEARCH("green max",E479)),"Green Max Lawn Food",
ISNUMBER(SEARCH("patchmaster",E479)),"PatchMaster Repair",
ISNUMBER(SEARCH("ez seed",E479)),"EZ Seed Repair",
ISNUMBER(SEARCH("rapid grass",E479)),"Rapid Grass",
ISNUMBER(SEARCH("thick'r lawn",E479)),"Thick'R Lawn",
ISNUMBER(SEARCH("fungicide",E479)),"Fungicide",
ISNUMBER(SEARCH("moss",E479)),"Moss Control",
ISNUMBER(SEARCH("perlite",E479)),"Perlite",
ISNUMBER(SEARCH("plant food",E479)),"Plant Food",
ISNUMBER(SEARCH("spreader",E479)),"Spreader",
ISNUMBER(SEARCH("sprayer",E479)),"Sprayer",
ISNUMBER(SEARCH("mower",E479)),"Lawn Mower",
ISNUMBER(SEARCH("sweeper",E479)),"Lawn Sweeper",
OR(ISNUMBER(SEARCH("pruner",E479)),ISNUMBER(SEARCH("trimmer",E479)),ISNUMBER(SEARCH("pole saw",E479))),"Pruning Tools",
TRUE,"Other"
)</f>
        <v>Bait &amp; Poison</v>
      </c>
      <c r="J479" s="7" t="str">
        <f t="shared" si="124"/>
        <v>Rodent Control - Bait &amp; Poison</v>
      </c>
      <c r="K479" s="4">
        <v>50</v>
      </c>
      <c r="L479" s="4">
        <v>4.2</v>
      </c>
      <c r="M479" s="4">
        <v>157</v>
      </c>
      <c r="N479" s="4" t="s">
        <v>579</v>
      </c>
      <c r="O479" s="4">
        <f>VLOOKUP(A479,'[6]Monthly Sold'!$A:$B,2,0)</f>
        <v>50</v>
      </c>
      <c r="P479" s="4">
        <f>VLOOKUP(A479,'[6]Monthly Sold'!$A:$M,3,0)</f>
        <v>50</v>
      </c>
      <c r="Q479" s="4">
        <f>VLOOKUP(A479,'[6]Monthly Sold'!$A:$M,4,0)</f>
        <v>100</v>
      </c>
      <c r="R479" s="4">
        <f>VLOOKUP(A479,'[6]Monthly Sold'!$A:$M,5,0)</f>
        <v>50</v>
      </c>
      <c r="S479" s="4">
        <f>VLOOKUP(A479,'[6]Monthly Sold'!$A:$M,6,0)</f>
        <v>100</v>
      </c>
      <c r="T479" s="4">
        <f>VLOOKUP(A479,'[6]Monthly Sold'!$A:$M,7,0)</f>
        <v>100</v>
      </c>
      <c r="U479" s="4">
        <f>VLOOKUP(A479,'[6]Monthly Sold'!$A:$M,8,0)</f>
        <v>100</v>
      </c>
      <c r="V479" s="4">
        <f>VLOOKUP(A479,'[6]Monthly Sold'!$A:$M,9,0)</f>
        <v>50</v>
      </c>
      <c r="W479" s="4">
        <f>VLOOKUP(A479,'[6]Monthly Sold'!$A:$M,10,0)</f>
        <v>100</v>
      </c>
      <c r="X479" s="4">
        <f>VLOOKUP(A479,'[6]Monthly Sold'!$A:$M,11,0)</f>
        <v>100</v>
      </c>
      <c r="Y479" s="4">
        <f>VLOOKUP(A479,'[6]Monthly Sold'!$A:$M,12,0)</f>
        <v>100</v>
      </c>
      <c r="Z479" s="4">
        <f>VLOOKUP(A479,'[6]Monthly Sold'!$A:$M,13,0)</f>
        <v>50</v>
      </c>
      <c r="AA479" s="4">
        <f t="shared" si="118"/>
        <v>950</v>
      </c>
      <c r="AB479" s="7">
        <f t="shared" si="125"/>
        <v>79</v>
      </c>
      <c r="AC479" s="15">
        <f t="shared" si="119"/>
        <v>79.166666666666671</v>
      </c>
      <c r="AD479" s="16">
        <f t="shared" si="120"/>
        <v>23265.5</v>
      </c>
      <c r="AE479" s="16">
        <f t="shared" si="121"/>
        <v>1938.7916666666667</v>
      </c>
      <c r="AF479" s="21">
        <v>5.76</v>
      </c>
      <c r="AG479" s="21">
        <v>24.49</v>
      </c>
      <c r="AH479" s="15">
        <f t="shared" si="122"/>
        <v>0.20239999999999997</v>
      </c>
      <c r="AI479" s="15">
        <f t="shared" si="123"/>
        <v>0.70839999999999981</v>
      </c>
      <c r="AJ479" s="10">
        <v>0.5</v>
      </c>
      <c r="AK479" s="10">
        <v>0.5</v>
      </c>
      <c r="AL479" s="21">
        <v>5.76</v>
      </c>
      <c r="AM479" s="9">
        <f t="shared" si="126"/>
        <v>3.6734999999999998</v>
      </c>
      <c r="AN479" s="9">
        <f t="shared" si="127"/>
        <v>0.73469999999999991</v>
      </c>
      <c r="AO479" s="9">
        <f t="shared" si="128"/>
        <v>4.8979999999999997</v>
      </c>
      <c r="AP479" s="9">
        <f t="shared" si="129"/>
        <v>0.48979999999999996</v>
      </c>
      <c r="AQ479" s="9">
        <f t="shared" si="130"/>
        <v>4.8979999999999997</v>
      </c>
      <c r="AR479" s="9">
        <f t="shared" si="131"/>
        <v>6.1224999999999996</v>
      </c>
      <c r="AS479" s="11">
        <f t="shared" si="132"/>
        <v>2.0239999999999996</v>
      </c>
      <c r="AT479" s="12">
        <f t="shared" si="133"/>
        <v>1.2076666666666664</v>
      </c>
    </row>
    <row r="480" spans="1:46" ht="16.5" x14ac:dyDescent="0.4">
      <c r="A480" s="4" t="s">
        <v>1894</v>
      </c>
      <c r="B480" s="4" t="s">
        <v>1895</v>
      </c>
      <c r="C480" s="4" t="s">
        <v>1784</v>
      </c>
      <c r="D480" s="4" t="s">
        <v>2188</v>
      </c>
      <c r="E480" s="4" t="s">
        <v>2189</v>
      </c>
      <c r="F480" s="4" t="s">
        <v>2190</v>
      </c>
      <c r="G480" s="7" t="str">
        <f>VLOOKUP(A480,[1]done!$A:$I,9,0)</f>
        <v>Rodent</v>
      </c>
      <c r="H480" s="7" t="str" cm="1">
        <f t="array" ref="H480">_xlfn.IFS(
OR(ISNUMBER(SEARCH("mouse",E480)),ISNUMBER(SEARCH("rat",E480)),ISNUMBER(SEARCH("mice",E480)),ISNUMBER(SEARCH("rodent",E480))),"Rodent Control",
OR(ISNUMBER(SEARCH("fly",E480)),ISNUMBER(SEARCH("gnat",E480)),ISNUMBER(SEARCH("insect",E480)),ISNUMBER(SEARCH("mosquito",E480))),"Flying Insect Control",
OR(ISNUMBER(SEARCH("roach",E480)),ISNUMBER(SEARCH("ant",E480)),ISNUMBER(SEARCH("spider",E480)),ISNUMBER(SEARCH("cricket",E480)),ISNUMBER(SEARCH("scorpion",E480)),ISNUMBER(SEARCH("centipede",E480)),ISNUMBER(SEARCH("beetle",E480))),"Crawling Insect Control",
OR(ISNUMBER(SEARCH("tree",E480)),ISNUMBER(SEARCH("lantern",E480)),ISNUMBER(SEARCH("garden",E480)),ISNUMBER(SEARCH("plant",E480))),"Garden Pest Control",
OR(ISNUMBER(SEARCH("grass seed",E480)),ISNUMBER(SEARCH("seed mix",E480))),"Grass Seed",
OR(ISNUMBER(SEARCH("lawn food",E480)),ISNUMBER(SEARCH("fertilizer",E480))),"Lawn Fertilizer",
OR(ISNUMBER(SEARCH("patch",E480)),ISNUMBER(SEARCH("repair",E480)),ISNUMBER(SEARCH("thick'r",E480)),ISNUMBER(SEARCH("thick'r lawn",E480)),ISNUMBER(SEARCH("rapid grass",E480))),"Lawn Repair",
OR(ISNUMBER(SEARCH("weed",E480)),ISNUMBER(SEARCH("crabgrass",E480))),"Weed Control",
OR(ISNUMBER(SEARCH("fungicide",E480)),ISNUMBER(SEARCH("moss",E480))),"Disease &amp; Moss Control",
OR(ISNUMBER(SEARCH("plant food",E480)),ISNUMBER(SEARCH("miracid",E480))),"Plant Nutrition",
OR(ISNUMBER(SEARCH("perlite",E480))),"Soil Amendment",
OR(ISNUMBER(SEARCH("spreader",E480)),ISNUMBER(SEARCH("sprayer",E480)),ISNUMBER(SEARCH("mower",E480)),ISNUMBER(SEARCH("sweeper",E480)),ISNUMBER(SEARCH("pruner",E480)),ISNUMBER(SEARCH("trimmer",E480)),ISNUMBER(SEARCH("pole saw",E480))),"Garden Equipment",
TRUE,"Other"
)</f>
        <v>Rodent Control</v>
      </c>
      <c r="I480" s="7" t="str" cm="1">
        <f t="array" ref="I480">_xlfn.IFS(
OR(ISNUMBER(SEARCH("glue trap",E480)),ISNUMBER(SEARCH("glue board",E480))),"Glue Traps",
OR(ISNUMBER(SEARCH("snap trap",E480)),ISNUMBER(SEARCH("power-kill",E480)),ISNUMBER(SEARCH("wide pedal",E480)),ISNUMBER(SEARCH("metal pedal",E480))),"Snap Traps",
OR(ISNUMBER(SEARCH("electronic",E480)),ISNUMBER(SEARCH("zapper",E480))),"Electronic Traps",
OR(ISNUMBER(SEARCH("live catch",E480)),ISNUMBER(SEARCH("multi-catch",E480)),ISNUMBER(SEARCH("catch &amp; hold",E480)),ISNUMBER(SEARCH("tin cat",E480))),"Live Catch Traps",
OR(ISNUMBER(SEARCH("bait",E480)),ISNUMBER(SEARCH("poison",E480))),"Bait &amp; Poison",
ISNUMBER(SEARCH("repellent",E480)),"Repellents",
OR(ISNUMBER(SEARCH("fly trap",E480)),ISNUMBER(SEARCH("fly ribbon",E480)),ISNUMBER(SEARCH("fly stick",E480)),ISNUMBER(SEARCH("window fly",E480)),ISNUMBER(SEARCH("fly magnet",E480))),"Fly Traps",
OR(ISNUMBER(SEARCH("uv",E480)),ISNUMBER(SEARCH("fly light",E480)),ISNUMBER(SEARCH("plug-in",E480))),"UV Fly Traps",
ISNUMBER(SEARCH("roach",E480)),"Roach Traps",
ISNUMBER(SEARCH("ant",E480)),"Ant Traps",
ISNUMBER(SEARCH("spider",E480)),"Spider Traps",
ISNUMBER(SEARCH("mosquito",E480)),"Mosquito Traps",
ISNUMBER(SEARCH("beetle",E480)),"Beetle Traps",
ISNUMBER(SEARCH("lantern",E480)),"Lanternfly Control",
OR(ISNUMBER(SEARCH("tree shield",E480)),ISNUMBER(SEARCH("tree banding",E480)),ISNUMBER(SEARCH("insect barrier",E480))),"Tree Barriers",
OR(ISNUMBER(SEARCH("sun &amp; shade",E480)),ISNUMBER(SEARCH("sun and shade",E480))),"Sun &amp; Shade Mix",
ISNUMBER(SEARCH("tall fescue",E480)),"Tall Fescue",
ISNUMBER(SEARCH("bermudagrass",E480)),"Bermudagrass",
ISNUMBER(SEARCH("kentucky",E480)),"Kentucky Bluegrass",
ISNUMBER(SEARCH("zoysia",E480)),"Zoysia",
ISNUMBER(SEARCH("ryegrass",E480)),"Perennial Ryegrass",
ISNUMBER(SEARCH("centipede",E480)),"Centipede Grass",
ISNUMBER(SEARCH("dense shade",E480)),"Dense Shade Mix",
ISNUMBER(SEARCH("southern gold",E480)),"Southern Gold Mix",
ISNUMBER(SEARCH("heat-tolerant blue",E480)),"Heat-Tolerant Blue Mix",
ISNUMBER(SEARCH("high traffic",E480)),"High Traffic Mix",
ISNUMBER(SEARCH("quick fix",E480)),"Quick Fix Mix",
ISNUMBER(SEARCH("starter",E480)),"Starter Fertilizer",
ISNUMBER(SEARCH("weed &amp; feed",E480)),"Weed &amp; Feed",
ISNUMBER(SEARCH("lawn food",E480)),"Lawn Food",
ISNUMBER(SEARCH("triple action",E480)),"Triple Action Fertilizer",
ISNUMBER(SEARCH("green max",E480)),"Green Max Lawn Food",
ISNUMBER(SEARCH("patchmaster",E480)),"PatchMaster Repair",
ISNUMBER(SEARCH("ez seed",E480)),"EZ Seed Repair",
ISNUMBER(SEARCH("rapid grass",E480)),"Rapid Grass",
ISNUMBER(SEARCH("thick'r lawn",E480)),"Thick'R Lawn",
ISNUMBER(SEARCH("fungicide",E480)),"Fungicide",
ISNUMBER(SEARCH("moss",E480)),"Moss Control",
ISNUMBER(SEARCH("perlite",E480)),"Perlite",
ISNUMBER(SEARCH("plant food",E480)),"Plant Food",
ISNUMBER(SEARCH("spreader",E480)),"Spreader",
ISNUMBER(SEARCH("sprayer",E480)),"Sprayer",
ISNUMBER(SEARCH("mower",E480)),"Lawn Mower",
ISNUMBER(SEARCH("sweeper",E480)),"Lawn Sweeper",
OR(ISNUMBER(SEARCH("pruner",E480)),ISNUMBER(SEARCH("trimmer",E480)),ISNUMBER(SEARCH("pole saw",E480))),"Pruning Tools",
TRUE,"Other"
)</f>
        <v>Bait &amp; Poison</v>
      </c>
      <c r="J480" s="7" t="str">
        <f t="shared" si="124"/>
        <v>Rodent Control - Bait &amp; Poison</v>
      </c>
      <c r="K480" s="4">
        <v>50</v>
      </c>
      <c r="L480" s="4">
        <v>4.0999999999999996</v>
      </c>
      <c r="M480" s="4">
        <v>652</v>
      </c>
      <c r="N480" s="4">
        <v>0</v>
      </c>
      <c r="O480" s="4">
        <f>VLOOKUP(A480,'[6]Monthly Sold'!$A:$B,2,0)</f>
        <v>0</v>
      </c>
      <c r="P480" s="4">
        <f>VLOOKUP(A480,'[6]Monthly Sold'!$A:$M,3,0)</f>
        <v>0</v>
      </c>
      <c r="Q480" s="4">
        <f>VLOOKUP(A480,'[6]Monthly Sold'!$A:$M,4,0)</f>
        <v>0</v>
      </c>
      <c r="R480" s="4">
        <f>VLOOKUP(A480,'[6]Monthly Sold'!$A:$M,5,0)</f>
        <v>0</v>
      </c>
      <c r="S480" s="4">
        <f>VLOOKUP(A480,'[6]Monthly Sold'!$A:$M,6,0)</f>
        <v>0</v>
      </c>
      <c r="T480" s="4">
        <f>VLOOKUP(A480,'[6]Monthly Sold'!$A:$M,7,0)</f>
        <v>0</v>
      </c>
      <c r="U480" s="4">
        <f>VLOOKUP(A480,'[6]Monthly Sold'!$A:$M,8,0)</f>
        <v>0</v>
      </c>
      <c r="V480" s="4">
        <f>VLOOKUP(A480,'[6]Monthly Sold'!$A:$M,9,0)</f>
        <v>0</v>
      </c>
      <c r="W480" s="4">
        <f>VLOOKUP(A480,'[6]Monthly Sold'!$A:$M,10,0)</f>
        <v>50</v>
      </c>
      <c r="X480" s="4">
        <f>VLOOKUP(A480,'[6]Monthly Sold'!$A:$M,11,0)</f>
        <v>0</v>
      </c>
      <c r="Y480" s="4">
        <f>VLOOKUP(A480,'[6]Monthly Sold'!$A:$M,12,0)</f>
        <v>0</v>
      </c>
      <c r="Z480" s="4">
        <f>VLOOKUP(A480,'[6]Monthly Sold'!$A:$M,13,0)</f>
        <v>0</v>
      </c>
      <c r="AA480" s="4">
        <f t="shared" si="118"/>
        <v>50</v>
      </c>
      <c r="AB480" s="7">
        <f t="shared" si="125"/>
        <v>4</v>
      </c>
      <c r="AC480" s="15">
        <f t="shared" si="119"/>
        <v>4.166666666666667</v>
      </c>
      <c r="AD480" s="16">
        <f t="shared" si="120"/>
        <v>1249.5</v>
      </c>
      <c r="AE480" s="16">
        <f t="shared" si="121"/>
        <v>104.125</v>
      </c>
      <c r="AF480" s="21">
        <v>5.76</v>
      </c>
      <c r="AG480" s="21">
        <v>24.99</v>
      </c>
      <c r="AH480" s="15">
        <f>0.1*AS480</f>
        <v>0.21573333333333322</v>
      </c>
      <c r="AI480" s="15">
        <f>0.35*AS480</f>
        <v>0.75506666666666611</v>
      </c>
      <c r="AJ480" s="10">
        <v>0.5</v>
      </c>
      <c r="AK480" s="10">
        <v>0.5</v>
      </c>
      <c r="AL480" s="21">
        <v>5.76</v>
      </c>
      <c r="AM480" s="9">
        <f t="shared" si="126"/>
        <v>3.7484999999999995</v>
      </c>
      <c r="AN480" s="9">
        <f t="shared" si="127"/>
        <v>0.74969999999999992</v>
      </c>
      <c r="AO480" s="9">
        <f t="shared" si="128"/>
        <v>4.9980000000000002</v>
      </c>
      <c r="AP480" s="9">
        <f t="shared" si="129"/>
        <v>0.49979999999999997</v>
      </c>
      <c r="AQ480" s="9">
        <f t="shared" si="130"/>
        <v>4.9980000000000002</v>
      </c>
      <c r="AR480" s="9">
        <f t="shared" si="131"/>
        <v>6.2474999999999996</v>
      </c>
      <c r="AS480" s="11">
        <f t="shared" si="132"/>
        <v>2.157333333333332</v>
      </c>
      <c r="AT480" s="12">
        <f t="shared" si="133"/>
        <v>1.3243333333333325</v>
      </c>
    </row>
    <row r="481" spans="1:46" ht="16.5" x14ac:dyDescent="0.4">
      <c r="A481" s="4" t="s">
        <v>2191</v>
      </c>
      <c r="B481" s="4" t="s">
        <v>2236</v>
      </c>
      <c r="C481" s="4" t="s">
        <v>2237</v>
      </c>
      <c r="D481" s="4" t="s">
        <v>2238</v>
      </c>
      <c r="E481" s="4" t="s">
        <v>2239</v>
      </c>
      <c r="F481" s="4" t="s">
        <v>2240</v>
      </c>
      <c r="G481" s="7" t="str">
        <f>VLOOKUP(A481,[1]done!$A:$I,9,0)</f>
        <v>All Other products</v>
      </c>
      <c r="H481" s="7" t="str" cm="1">
        <f t="array" ref="H481">_xlfn.IFS(
OR(ISNUMBER(SEARCH("mouse",E481)),ISNUMBER(SEARCH("rat",E481)),ISNUMBER(SEARCH("mice",E481)),ISNUMBER(SEARCH("rodent",E481))),"Rodent Control",
OR(ISNUMBER(SEARCH("fly",E481)),ISNUMBER(SEARCH("gnat",E481)),ISNUMBER(SEARCH("insect",E481)),ISNUMBER(SEARCH("mosquito",E481))),"Flying Insect Control",
OR(ISNUMBER(SEARCH("roach",E481)),ISNUMBER(SEARCH("ant",E481)),ISNUMBER(SEARCH("spider",E481)),ISNUMBER(SEARCH("cricket",E481)),ISNUMBER(SEARCH("scorpion",E481)),ISNUMBER(SEARCH("centipede",E481)),ISNUMBER(SEARCH("beetle",E481))),"Crawling Insect Control",
OR(ISNUMBER(SEARCH("tree",E481)),ISNUMBER(SEARCH("lantern",E481)),ISNUMBER(SEARCH("garden",E481)),ISNUMBER(SEARCH("plant",E481))),"Garden Pest Control",
OR(ISNUMBER(SEARCH("grass seed",E481)),ISNUMBER(SEARCH("seed mix",E481))),"Grass Seed",
OR(ISNUMBER(SEARCH("lawn food",E481)),ISNUMBER(SEARCH("fertilizer",E481))),"Lawn Fertilizer",
OR(ISNUMBER(SEARCH("patch",E481)),ISNUMBER(SEARCH("repair",E481)),ISNUMBER(SEARCH("thick'r",E481)),ISNUMBER(SEARCH("thick'r lawn",E481)),ISNUMBER(SEARCH("rapid grass",E481))),"Lawn Repair",
OR(ISNUMBER(SEARCH("weed",E481)),ISNUMBER(SEARCH("crabgrass",E481))),"Weed Control",
OR(ISNUMBER(SEARCH("fungicide",E481)),ISNUMBER(SEARCH("moss",E481))),"Disease &amp; Moss Control",
OR(ISNUMBER(SEARCH("plant food",E481)),ISNUMBER(SEARCH("miracid",E481))),"Plant Nutrition",
OR(ISNUMBER(SEARCH("perlite",E481))),"Soil Amendment",
OR(ISNUMBER(SEARCH("spreader",E481)),ISNUMBER(SEARCH("sprayer",E481)),ISNUMBER(SEARCH("mower",E481)),ISNUMBER(SEARCH("sweeper",E481)),ISNUMBER(SEARCH("pruner",E481)),ISNUMBER(SEARCH("trimmer",E481)),ISNUMBER(SEARCH("pole saw",E481))),"Garden Equipment",
TRUE,"Other"
)</f>
        <v>Other</v>
      </c>
      <c r="I481" s="7" t="str" cm="1">
        <f t="array" ref="I481">_xlfn.IFS(
OR(ISNUMBER(SEARCH("glue trap",E481)),ISNUMBER(SEARCH("glue board",E481))),"Glue Traps",
OR(ISNUMBER(SEARCH("snap trap",E481)),ISNUMBER(SEARCH("power-kill",E481)),ISNUMBER(SEARCH("wide pedal",E481)),ISNUMBER(SEARCH("metal pedal",E481))),"Snap Traps",
OR(ISNUMBER(SEARCH("electronic",E481)),ISNUMBER(SEARCH("zapper",E481))),"Electronic Traps",
OR(ISNUMBER(SEARCH("live catch",E481)),ISNUMBER(SEARCH("multi-catch",E481)),ISNUMBER(SEARCH("catch &amp; hold",E481)),ISNUMBER(SEARCH("tin cat",E481))),"Live Catch Traps",
OR(ISNUMBER(SEARCH("bait",E481)),ISNUMBER(SEARCH("poison",E481))),"Bait &amp; Poison",
ISNUMBER(SEARCH("repellent",E481)),"Repellents",
OR(ISNUMBER(SEARCH("fly trap",E481)),ISNUMBER(SEARCH("fly ribbon",E481)),ISNUMBER(SEARCH("fly stick",E481)),ISNUMBER(SEARCH("window fly",E481)),ISNUMBER(SEARCH("fly magnet",E481))),"Fly Traps",
OR(ISNUMBER(SEARCH("uv",E481)),ISNUMBER(SEARCH("fly light",E481)),ISNUMBER(SEARCH("plug-in",E481))),"UV Fly Traps",
ISNUMBER(SEARCH("roach",E481)),"Roach Traps",
ISNUMBER(SEARCH("ant",E481)),"Ant Traps",
ISNUMBER(SEARCH("spider",E481)),"Spider Traps",
ISNUMBER(SEARCH("mosquito",E481)),"Mosquito Traps",
ISNUMBER(SEARCH("beetle",E481)),"Beetle Traps",
ISNUMBER(SEARCH("lantern",E481)),"Lanternfly Control",
OR(ISNUMBER(SEARCH("tree shield",E481)),ISNUMBER(SEARCH("tree banding",E481)),ISNUMBER(SEARCH("insect barrier",E481))),"Tree Barriers",
OR(ISNUMBER(SEARCH("sun &amp; shade",E481)),ISNUMBER(SEARCH("sun and shade",E481))),"Sun &amp; Shade Mix",
ISNUMBER(SEARCH("tall fescue",E481)),"Tall Fescue",
ISNUMBER(SEARCH("bermudagrass",E481)),"Bermudagrass",
ISNUMBER(SEARCH("kentucky",E481)),"Kentucky Bluegrass",
ISNUMBER(SEARCH("zoysia",E481)),"Zoysia",
ISNUMBER(SEARCH("ryegrass",E481)),"Perennial Ryegrass",
ISNUMBER(SEARCH("centipede",E481)),"Centipede Grass",
ISNUMBER(SEARCH("dense shade",E481)),"Dense Shade Mix",
ISNUMBER(SEARCH("southern gold",E481)),"Southern Gold Mix",
ISNUMBER(SEARCH("heat-tolerant blue",E481)),"Heat-Tolerant Blue Mix",
ISNUMBER(SEARCH("high traffic",E481)),"High Traffic Mix",
ISNUMBER(SEARCH("quick fix",E481)),"Quick Fix Mix",
ISNUMBER(SEARCH("starter",E481)),"Starter Fertilizer",
ISNUMBER(SEARCH("weed &amp; feed",E481)),"Weed &amp; Feed",
ISNUMBER(SEARCH("lawn food",E481)),"Lawn Food",
ISNUMBER(SEARCH("triple action",E481)),"Triple Action Fertilizer",
ISNUMBER(SEARCH("green max",E481)),"Green Max Lawn Food",
ISNUMBER(SEARCH("patchmaster",E481)),"PatchMaster Repair",
ISNUMBER(SEARCH("ez seed",E481)),"EZ Seed Repair",
ISNUMBER(SEARCH("rapid grass",E481)),"Rapid Grass",
ISNUMBER(SEARCH("thick'r lawn",E481)),"Thick'R Lawn",
ISNUMBER(SEARCH("fungicide",E481)),"Fungicide",
ISNUMBER(SEARCH("moss",E481)),"Moss Control",
ISNUMBER(SEARCH("perlite",E481)),"Perlite",
ISNUMBER(SEARCH("plant food",E481)),"Plant Food",
ISNUMBER(SEARCH("spreader",E481)),"Spreader",
ISNUMBER(SEARCH("sprayer",E481)),"Sprayer",
ISNUMBER(SEARCH("mower",E481)),"Lawn Mower",
ISNUMBER(SEARCH("sweeper",E481)),"Lawn Sweeper",
OR(ISNUMBER(SEARCH("pruner",E481)),ISNUMBER(SEARCH("trimmer",E481)),ISNUMBER(SEARCH("pole saw",E481))),"Pruning Tools",
TRUE,"Other"
)</f>
        <v>Bait &amp; Poison</v>
      </c>
      <c r="J481" s="7" t="str">
        <f t="shared" si="124"/>
        <v>Other - Bait &amp; Poison</v>
      </c>
      <c r="K481" s="4">
        <v>5000</v>
      </c>
      <c r="L481" s="4">
        <v>4.4000000000000004</v>
      </c>
      <c r="M481" s="4">
        <v>9755</v>
      </c>
      <c r="N481" s="4" t="s">
        <v>2014</v>
      </c>
      <c r="O481" s="4">
        <v>2000</v>
      </c>
      <c r="P481" s="4">
        <v>2000</v>
      </c>
      <c r="Q481" s="4">
        <v>4000</v>
      </c>
      <c r="R481" s="4">
        <v>4000</v>
      </c>
      <c r="S481" s="4">
        <v>4000</v>
      </c>
      <c r="T481" s="4">
        <v>3000</v>
      </c>
      <c r="U481" s="4">
        <v>2000</v>
      </c>
      <c r="V481" s="4">
        <v>4000</v>
      </c>
      <c r="W481" s="4">
        <v>5000</v>
      </c>
      <c r="X481" s="4">
        <v>6000</v>
      </c>
      <c r="Y481" s="4">
        <v>4000</v>
      </c>
      <c r="Z481" s="4">
        <v>3000</v>
      </c>
      <c r="AA481" s="4">
        <f t="shared" si="118"/>
        <v>43000</v>
      </c>
      <c r="AB481" s="7">
        <f t="shared" si="125"/>
        <v>3583</v>
      </c>
      <c r="AC481" s="15">
        <f t="shared" si="119"/>
        <v>3583.3333333333335</v>
      </c>
      <c r="AD481" s="16">
        <f t="shared" si="120"/>
        <v>1154550</v>
      </c>
      <c r="AE481" s="16">
        <f t="shared" si="121"/>
        <v>96212.500000000015</v>
      </c>
      <c r="AF481" s="21">
        <v>7.71</v>
      </c>
      <c r="AG481" s="21">
        <v>26.85</v>
      </c>
      <c r="AH481" s="15">
        <f t="shared" ref="AH481:AH544" si="134">0.1*AS481</f>
        <v>0.13533333333333325</v>
      </c>
      <c r="AI481" s="15">
        <f t="shared" ref="AI481:AI544" si="135">0.35*AS481</f>
        <v>0.47366666666666629</v>
      </c>
      <c r="AJ481" s="10">
        <v>0.5</v>
      </c>
      <c r="AK481" s="10">
        <v>0.5</v>
      </c>
      <c r="AL481" s="21">
        <v>7.71</v>
      </c>
      <c r="AM481" s="9">
        <f t="shared" si="126"/>
        <v>4.0274999999999999</v>
      </c>
      <c r="AN481" s="9">
        <f t="shared" si="127"/>
        <v>0.80549999999999999</v>
      </c>
      <c r="AO481" s="9">
        <f t="shared" si="128"/>
        <v>5.370000000000001</v>
      </c>
      <c r="AP481" s="9">
        <f t="shared" si="129"/>
        <v>0.53700000000000003</v>
      </c>
      <c r="AQ481" s="9">
        <f t="shared" si="130"/>
        <v>5.370000000000001</v>
      </c>
      <c r="AR481" s="9">
        <f t="shared" si="131"/>
        <v>6.7125000000000004</v>
      </c>
      <c r="AS481" s="11">
        <f t="shared" si="132"/>
        <v>1.3533333333333324</v>
      </c>
      <c r="AT481" s="12">
        <f t="shared" si="133"/>
        <v>0.45833333333333276</v>
      </c>
    </row>
    <row r="482" spans="1:46" ht="16.5" x14ac:dyDescent="0.4">
      <c r="A482" s="4" t="s">
        <v>2192</v>
      </c>
      <c r="B482" s="4" t="s">
        <v>2236</v>
      </c>
      <c r="C482" s="4" t="s">
        <v>2236</v>
      </c>
      <c r="D482" s="4" t="s">
        <v>2241</v>
      </c>
      <c r="E482" s="4" t="s">
        <v>2242</v>
      </c>
      <c r="F482" s="4" t="s">
        <v>2243</v>
      </c>
      <c r="G482" s="7" t="str">
        <f>VLOOKUP(A482,[1]done!$A:$I,9,0)</f>
        <v>Rodent</v>
      </c>
      <c r="H482" s="7" t="str" cm="1">
        <f t="array" ref="H482">_xlfn.IFS(
OR(ISNUMBER(SEARCH("mouse",E482)),ISNUMBER(SEARCH("rat",E482)),ISNUMBER(SEARCH("mice",E482)),ISNUMBER(SEARCH("rodent",E482))),"Rodent Control",
OR(ISNUMBER(SEARCH("fly",E482)),ISNUMBER(SEARCH("gnat",E482)),ISNUMBER(SEARCH("insect",E482)),ISNUMBER(SEARCH("mosquito",E482))),"Flying Insect Control",
OR(ISNUMBER(SEARCH("roach",E482)),ISNUMBER(SEARCH("ant",E482)),ISNUMBER(SEARCH("spider",E482)),ISNUMBER(SEARCH("cricket",E482)),ISNUMBER(SEARCH("scorpion",E482)),ISNUMBER(SEARCH("centipede",E482)),ISNUMBER(SEARCH("beetle",E482))),"Crawling Insect Control",
OR(ISNUMBER(SEARCH("tree",E482)),ISNUMBER(SEARCH("lantern",E482)),ISNUMBER(SEARCH("garden",E482)),ISNUMBER(SEARCH("plant",E482))),"Garden Pest Control",
OR(ISNUMBER(SEARCH("grass seed",E482)),ISNUMBER(SEARCH("seed mix",E482))),"Grass Seed",
OR(ISNUMBER(SEARCH("lawn food",E482)),ISNUMBER(SEARCH("fertilizer",E482))),"Lawn Fertilizer",
OR(ISNUMBER(SEARCH("patch",E482)),ISNUMBER(SEARCH("repair",E482)),ISNUMBER(SEARCH("thick'r",E482)),ISNUMBER(SEARCH("thick'r lawn",E482)),ISNUMBER(SEARCH("rapid grass",E482))),"Lawn Repair",
OR(ISNUMBER(SEARCH("weed",E482)),ISNUMBER(SEARCH("crabgrass",E482))),"Weed Control",
OR(ISNUMBER(SEARCH("fungicide",E482)),ISNUMBER(SEARCH("moss",E482))),"Disease &amp; Moss Control",
OR(ISNUMBER(SEARCH("plant food",E482)),ISNUMBER(SEARCH("miracid",E482))),"Plant Nutrition",
OR(ISNUMBER(SEARCH("perlite",E482))),"Soil Amendment",
OR(ISNUMBER(SEARCH("spreader",E482)),ISNUMBER(SEARCH("sprayer",E482)),ISNUMBER(SEARCH("mower",E482)),ISNUMBER(SEARCH("sweeper",E482)),ISNUMBER(SEARCH("pruner",E482)),ISNUMBER(SEARCH("trimmer",E482)),ISNUMBER(SEARCH("pole saw",E482))),"Garden Equipment",
TRUE,"Other"
)</f>
        <v>Rodent Control</v>
      </c>
      <c r="I482" s="7" t="str" cm="1">
        <f t="array" ref="I482">_xlfn.IFS(
OR(ISNUMBER(SEARCH("glue trap",E482)),ISNUMBER(SEARCH("glue board",E482))),"Glue Traps",
OR(ISNUMBER(SEARCH("snap trap",E482)),ISNUMBER(SEARCH("power-kill",E482)),ISNUMBER(SEARCH("wide pedal",E482)),ISNUMBER(SEARCH("metal pedal",E482))),"Snap Traps",
OR(ISNUMBER(SEARCH("electronic",E482)),ISNUMBER(SEARCH("zapper",E482))),"Electronic Traps",
OR(ISNUMBER(SEARCH("live catch",E482)),ISNUMBER(SEARCH("multi-catch",E482)),ISNUMBER(SEARCH("catch &amp; hold",E482)),ISNUMBER(SEARCH("tin cat",E482))),"Live Catch Traps",
OR(ISNUMBER(SEARCH("bait",E482)),ISNUMBER(SEARCH("poison",E482))),"Bait &amp; Poison",
ISNUMBER(SEARCH("repellent",E482)),"Repellents",
OR(ISNUMBER(SEARCH("fly trap",E482)),ISNUMBER(SEARCH("fly ribbon",E482)),ISNUMBER(SEARCH("fly stick",E482)),ISNUMBER(SEARCH("window fly",E482)),ISNUMBER(SEARCH("fly magnet",E482))),"Fly Traps",
OR(ISNUMBER(SEARCH("uv",E482)),ISNUMBER(SEARCH("fly light",E482)),ISNUMBER(SEARCH("plug-in",E482))),"UV Fly Traps",
ISNUMBER(SEARCH("roach",E482)),"Roach Traps",
ISNUMBER(SEARCH("ant",E482)),"Ant Traps",
ISNUMBER(SEARCH("spider",E482)),"Spider Traps",
ISNUMBER(SEARCH("mosquito",E482)),"Mosquito Traps",
ISNUMBER(SEARCH("beetle",E482)),"Beetle Traps",
ISNUMBER(SEARCH("lantern",E482)),"Lanternfly Control",
OR(ISNUMBER(SEARCH("tree shield",E482)),ISNUMBER(SEARCH("tree banding",E482)),ISNUMBER(SEARCH("insect barrier",E482))),"Tree Barriers",
OR(ISNUMBER(SEARCH("sun &amp; shade",E482)),ISNUMBER(SEARCH("sun and shade",E482))),"Sun &amp; Shade Mix",
ISNUMBER(SEARCH("tall fescue",E482)),"Tall Fescue",
ISNUMBER(SEARCH("bermudagrass",E482)),"Bermudagrass",
ISNUMBER(SEARCH("kentucky",E482)),"Kentucky Bluegrass",
ISNUMBER(SEARCH("zoysia",E482)),"Zoysia",
ISNUMBER(SEARCH("ryegrass",E482)),"Perennial Ryegrass",
ISNUMBER(SEARCH("centipede",E482)),"Centipede Grass",
ISNUMBER(SEARCH("dense shade",E482)),"Dense Shade Mix",
ISNUMBER(SEARCH("southern gold",E482)),"Southern Gold Mix",
ISNUMBER(SEARCH("heat-tolerant blue",E482)),"Heat-Tolerant Blue Mix",
ISNUMBER(SEARCH("high traffic",E482)),"High Traffic Mix",
ISNUMBER(SEARCH("quick fix",E482)),"Quick Fix Mix",
ISNUMBER(SEARCH("starter",E482)),"Starter Fertilizer",
ISNUMBER(SEARCH("weed &amp; feed",E482)),"Weed &amp; Feed",
ISNUMBER(SEARCH("lawn food",E482)),"Lawn Food",
ISNUMBER(SEARCH("triple action",E482)),"Triple Action Fertilizer",
ISNUMBER(SEARCH("green max",E482)),"Green Max Lawn Food",
ISNUMBER(SEARCH("patchmaster",E482)),"PatchMaster Repair",
ISNUMBER(SEARCH("ez seed",E482)),"EZ Seed Repair",
ISNUMBER(SEARCH("rapid grass",E482)),"Rapid Grass",
ISNUMBER(SEARCH("thick'r lawn",E482)),"Thick'R Lawn",
ISNUMBER(SEARCH("fungicide",E482)),"Fungicide",
ISNUMBER(SEARCH("moss",E482)),"Moss Control",
ISNUMBER(SEARCH("perlite",E482)),"Perlite",
ISNUMBER(SEARCH("plant food",E482)),"Plant Food",
ISNUMBER(SEARCH("spreader",E482)),"Spreader",
ISNUMBER(SEARCH("sprayer",E482)),"Sprayer",
ISNUMBER(SEARCH("mower",E482)),"Lawn Mower",
ISNUMBER(SEARCH("sweeper",E482)),"Lawn Sweeper",
OR(ISNUMBER(SEARCH("pruner",E482)),ISNUMBER(SEARCH("trimmer",E482)),ISNUMBER(SEARCH("pole saw",E482))),"Pruning Tools",
TRUE,"Other"
)</f>
        <v>Snap Traps</v>
      </c>
      <c r="J482" s="7" t="str">
        <f t="shared" si="124"/>
        <v>Rodent Control - Snap Traps</v>
      </c>
      <c r="K482" s="4">
        <v>1000</v>
      </c>
      <c r="L482" s="4">
        <v>3.4</v>
      </c>
      <c r="M482" s="4">
        <v>1630</v>
      </c>
      <c r="N482" s="4" t="s">
        <v>1094</v>
      </c>
      <c r="O482" s="4">
        <f>VLOOKUP(A482,[7]Sheet1!$A:$M,2,0)</f>
        <v>1000</v>
      </c>
      <c r="P482" s="4">
        <f>VLOOKUP(A482,[7]Sheet1!$A:$M,3,0)</f>
        <v>1000</v>
      </c>
      <c r="Q482" s="4">
        <f>VLOOKUP(A482,[7]Sheet1!$A:$M,4,0)</f>
        <v>800</v>
      </c>
      <c r="R482" s="4">
        <f>VLOOKUP(A482,[7]Sheet1!$A:$M,5,0)</f>
        <v>1000</v>
      </c>
      <c r="S482" s="4">
        <f>VLOOKUP(A482,[7]Sheet1!$A:$M,6,0)</f>
        <v>1000</v>
      </c>
      <c r="T482" s="4">
        <f>VLOOKUP(A482,[7]Sheet1!$A:$M,7,0)</f>
        <v>1000</v>
      </c>
      <c r="U482" s="4">
        <f>VLOOKUP(A482,[7]Sheet1!$A:$M,8,0)</f>
        <v>1000</v>
      </c>
      <c r="V482" s="4">
        <f>VLOOKUP(A482,[7]Sheet1!$A:$M,9,0)</f>
        <v>1000</v>
      </c>
      <c r="W482" s="4">
        <f>VLOOKUP(A482,[7]Sheet1!$A:$M,10,0)</f>
        <v>1000</v>
      </c>
      <c r="X482" s="4">
        <f>VLOOKUP(A482,[7]Sheet1!$A:$M,11,0)</f>
        <v>1000</v>
      </c>
      <c r="Y482" s="4">
        <f>VLOOKUP(A482,[7]Sheet1!$A:$M,12,0)</f>
        <v>1000</v>
      </c>
      <c r="Z482" s="4">
        <f>VLOOKUP(A482,[7]Sheet1!$A:$M,13,0)</f>
        <v>1000</v>
      </c>
      <c r="AA482" s="4">
        <f t="shared" si="118"/>
        <v>11800</v>
      </c>
      <c r="AB482" s="7">
        <f t="shared" si="125"/>
        <v>983</v>
      </c>
      <c r="AC482" s="15">
        <f t="shared" si="119"/>
        <v>983.33333333333337</v>
      </c>
      <c r="AD482" s="16">
        <f t="shared" si="120"/>
        <v>47790</v>
      </c>
      <c r="AE482" s="16">
        <f t="shared" si="121"/>
        <v>3982.5</v>
      </c>
      <c r="AF482" s="21">
        <v>3.24</v>
      </c>
      <c r="AG482" s="21">
        <v>4.05</v>
      </c>
      <c r="AH482" s="15">
        <f t="shared" si="134"/>
        <v>-0.17466666666666672</v>
      </c>
      <c r="AI482" s="15">
        <f t="shared" si="135"/>
        <v>-0.6113333333333334</v>
      </c>
      <c r="AJ482" s="10">
        <v>0.5</v>
      </c>
      <c r="AK482" s="10">
        <v>0.5</v>
      </c>
      <c r="AL482" s="21">
        <v>3.24</v>
      </c>
      <c r="AM482" s="9">
        <f t="shared" si="126"/>
        <v>0.60749999999999993</v>
      </c>
      <c r="AN482" s="9">
        <f t="shared" si="127"/>
        <v>0.1215</v>
      </c>
      <c r="AO482" s="9">
        <f t="shared" si="128"/>
        <v>0.81</v>
      </c>
      <c r="AP482" s="9">
        <f t="shared" si="129"/>
        <v>8.1000000000000003E-2</v>
      </c>
      <c r="AQ482" s="9">
        <f t="shared" si="130"/>
        <v>0.81</v>
      </c>
      <c r="AR482" s="9">
        <f t="shared" si="131"/>
        <v>1.0125</v>
      </c>
      <c r="AS482" s="11">
        <f t="shared" si="132"/>
        <v>-1.746666666666667</v>
      </c>
      <c r="AT482" s="12">
        <f t="shared" si="133"/>
        <v>-1.881666666666667</v>
      </c>
    </row>
    <row r="483" spans="1:46" ht="16.5" x14ac:dyDescent="0.4">
      <c r="A483" s="4" t="s">
        <v>2193</v>
      </c>
      <c r="B483" s="4" t="s">
        <v>2236</v>
      </c>
      <c r="C483" s="4" t="s">
        <v>2236</v>
      </c>
      <c r="D483" s="4" t="s">
        <v>2244</v>
      </c>
      <c r="E483" s="4" t="s">
        <v>2245</v>
      </c>
      <c r="F483" s="4" t="s">
        <v>2246</v>
      </c>
      <c r="G483" s="7" t="str">
        <f>VLOOKUP(A483,[1]done!$A:$I,9,0)</f>
        <v>Rodent</v>
      </c>
      <c r="H483" s="7" t="str" cm="1">
        <f t="array" ref="H483">_xlfn.IFS(
OR(ISNUMBER(SEARCH("mouse",E483)),ISNUMBER(SEARCH("rat",E483)),ISNUMBER(SEARCH("mice",E483)),ISNUMBER(SEARCH("rodent",E483))),"Rodent Control",
OR(ISNUMBER(SEARCH("fly",E483)),ISNUMBER(SEARCH("gnat",E483)),ISNUMBER(SEARCH("insect",E483)),ISNUMBER(SEARCH("mosquito",E483))),"Flying Insect Control",
OR(ISNUMBER(SEARCH("roach",E483)),ISNUMBER(SEARCH("ant",E483)),ISNUMBER(SEARCH("spider",E483)),ISNUMBER(SEARCH("cricket",E483)),ISNUMBER(SEARCH("scorpion",E483)),ISNUMBER(SEARCH("centipede",E483)),ISNUMBER(SEARCH("beetle",E483))),"Crawling Insect Control",
OR(ISNUMBER(SEARCH("tree",E483)),ISNUMBER(SEARCH("lantern",E483)),ISNUMBER(SEARCH("garden",E483)),ISNUMBER(SEARCH("plant",E483))),"Garden Pest Control",
OR(ISNUMBER(SEARCH("grass seed",E483)),ISNUMBER(SEARCH("seed mix",E483))),"Grass Seed",
OR(ISNUMBER(SEARCH("lawn food",E483)),ISNUMBER(SEARCH("fertilizer",E483))),"Lawn Fertilizer",
OR(ISNUMBER(SEARCH("patch",E483)),ISNUMBER(SEARCH("repair",E483)),ISNUMBER(SEARCH("thick'r",E483)),ISNUMBER(SEARCH("thick'r lawn",E483)),ISNUMBER(SEARCH("rapid grass",E483))),"Lawn Repair",
OR(ISNUMBER(SEARCH("weed",E483)),ISNUMBER(SEARCH("crabgrass",E483))),"Weed Control",
OR(ISNUMBER(SEARCH("fungicide",E483)),ISNUMBER(SEARCH("moss",E483))),"Disease &amp; Moss Control",
OR(ISNUMBER(SEARCH("plant food",E483)),ISNUMBER(SEARCH("miracid",E483))),"Plant Nutrition",
OR(ISNUMBER(SEARCH("perlite",E483))),"Soil Amendment",
OR(ISNUMBER(SEARCH("spreader",E483)),ISNUMBER(SEARCH("sprayer",E483)),ISNUMBER(SEARCH("mower",E483)),ISNUMBER(SEARCH("sweeper",E483)),ISNUMBER(SEARCH("pruner",E483)),ISNUMBER(SEARCH("trimmer",E483)),ISNUMBER(SEARCH("pole saw",E483))),"Garden Equipment",
TRUE,"Other"
)</f>
        <v>Rodent Control</v>
      </c>
      <c r="I483" s="7" t="str" cm="1">
        <f t="array" ref="I483">_xlfn.IFS(
OR(ISNUMBER(SEARCH("glue trap",E483)),ISNUMBER(SEARCH("glue board",E483))),"Glue Traps",
OR(ISNUMBER(SEARCH("snap trap",E483)),ISNUMBER(SEARCH("power-kill",E483)),ISNUMBER(SEARCH("wide pedal",E483)),ISNUMBER(SEARCH("metal pedal",E483))),"Snap Traps",
OR(ISNUMBER(SEARCH("electronic",E483)),ISNUMBER(SEARCH("zapper",E483))),"Electronic Traps",
OR(ISNUMBER(SEARCH("live catch",E483)),ISNUMBER(SEARCH("multi-catch",E483)),ISNUMBER(SEARCH("catch &amp; hold",E483)),ISNUMBER(SEARCH("tin cat",E483))),"Live Catch Traps",
OR(ISNUMBER(SEARCH("bait",E483)),ISNUMBER(SEARCH("poison",E483))),"Bait &amp; Poison",
ISNUMBER(SEARCH("repellent",E483)),"Repellents",
OR(ISNUMBER(SEARCH("fly trap",E483)),ISNUMBER(SEARCH("fly ribbon",E483)),ISNUMBER(SEARCH("fly stick",E483)),ISNUMBER(SEARCH("window fly",E483)),ISNUMBER(SEARCH("fly magnet",E483))),"Fly Traps",
OR(ISNUMBER(SEARCH("uv",E483)),ISNUMBER(SEARCH("fly light",E483)),ISNUMBER(SEARCH("plug-in",E483))),"UV Fly Traps",
ISNUMBER(SEARCH("roach",E483)),"Roach Traps",
ISNUMBER(SEARCH("ant",E483)),"Ant Traps",
ISNUMBER(SEARCH("spider",E483)),"Spider Traps",
ISNUMBER(SEARCH("mosquito",E483)),"Mosquito Traps",
ISNUMBER(SEARCH("beetle",E483)),"Beetle Traps",
ISNUMBER(SEARCH("lantern",E483)),"Lanternfly Control",
OR(ISNUMBER(SEARCH("tree shield",E483)),ISNUMBER(SEARCH("tree banding",E483)),ISNUMBER(SEARCH("insect barrier",E483))),"Tree Barriers",
OR(ISNUMBER(SEARCH("sun &amp; shade",E483)),ISNUMBER(SEARCH("sun and shade",E483))),"Sun &amp; Shade Mix",
ISNUMBER(SEARCH("tall fescue",E483)),"Tall Fescue",
ISNUMBER(SEARCH("bermudagrass",E483)),"Bermudagrass",
ISNUMBER(SEARCH("kentucky",E483)),"Kentucky Bluegrass",
ISNUMBER(SEARCH("zoysia",E483)),"Zoysia",
ISNUMBER(SEARCH("ryegrass",E483)),"Perennial Ryegrass",
ISNUMBER(SEARCH("centipede",E483)),"Centipede Grass",
ISNUMBER(SEARCH("dense shade",E483)),"Dense Shade Mix",
ISNUMBER(SEARCH("southern gold",E483)),"Southern Gold Mix",
ISNUMBER(SEARCH("heat-tolerant blue",E483)),"Heat-Tolerant Blue Mix",
ISNUMBER(SEARCH("high traffic",E483)),"High Traffic Mix",
ISNUMBER(SEARCH("quick fix",E483)),"Quick Fix Mix",
ISNUMBER(SEARCH("starter",E483)),"Starter Fertilizer",
ISNUMBER(SEARCH("weed &amp; feed",E483)),"Weed &amp; Feed",
ISNUMBER(SEARCH("lawn food",E483)),"Lawn Food",
ISNUMBER(SEARCH("triple action",E483)),"Triple Action Fertilizer",
ISNUMBER(SEARCH("green max",E483)),"Green Max Lawn Food",
ISNUMBER(SEARCH("patchmaster",E483)),"PatchMaster Repair",
ISNUMBER(SEARCH("ez seed",E483)),"EZ Seed Repair",
ISNUMBER(SEARCH("rapid grass",E483)),"Rapid Grass",
ISNUMBER(SEARCH("thick'r lawn",E483)),"Thick'R Lawn",
ISNUMBER(SEARCH("fungicide",E483)),"Fungicide",
ISNUMBER(SEARCH("moss",E483)),"Moss Control",
ISNUMBER(SEARCH("perlite",E483)),"Perlite",
ISNUMBER(SEARCH("plant food",E483)),"Plant Food",
ISNUMBER(SEARCH("spreader",E483)),"Spreader",
ISNUMBER(SEARCH("sprayer",E483)),"Sprayer",
ISNUMBER(SEARCH("mower",E483)),"Lawn Mower",
ISNUMBER(SEARCH("sweeper",E483)),"Lawn Sweeper",
OR(ISNUMBER(SEARCH("pruner",E483)),ISNUMBER(SEARCH("trimmer",E483)),ISNUMBER(SEARCH("pole saw",E483))),"Pruning Tools",
TRUE,"Other"
)</f>
        <v>Bait &amp; Poison</v>
      </c>
      <c r="J483" s="7" t="str">
        <f t="shared" si="124"/>
        <v>Rodent Control - Bait &amp; Poison</v>
      </c>
      <c r="K483" s="4">
        <v>1000</v>
      </c>
      <c r="L483" s="4">
        <v>4.5</v>
      </c>
      <c r="M483" s="4">
        <v>2066</v>
      </c>
      <c r="N483" s="4" t="s">
        <v>2375</v>
      </c>
      <c r="O483" s="4">
        <f>VLOOKUP(A483,[7]Sheet1!$A:$M,2,0)</f>
        <v>500</v>
      </c>
      <c r="P483" s="4">
        <f>VLOOKUP(A483,[7]Sheet1!$A:$M,3,0)</f>
        <v>400</v>
      </c>
      <c r="Q483" s="4">
        <f>VLOOKUP(A483,[7]Sheet1!$A:$M,4,0)</f>
        <v>500</v>
      </c>
      <c r="R483" s="4">
        <f>VLOOKUP(A483,[7]Sheet1!$A:$M,5,0)</f>
        <v>600</v>
      </c>
      <c r="S483" s="4">
        <f>VLOOKUP(A483,[7]Sheet1!$A:$M,6,0)</f>
        <v>700</v>
      </c>
      <c r="T483" s="4">
        <f>VLOOKUP(A483,[7]Sheet1!$A:$M,7,0)</f>
        <v>700</v>
      </c>
      <c r="U483" s="4">
        <f>VLOOKUP(A483,[7]Sheet1!$A:$M,8,0)</f>
        <v>600</v>
      </c>
      <c r="V483" s="4">
        <f>VLOOKUP(A483,[7]Sheet1!$A:$M,9,0)</f>
        <v>400</v>
      </c>
      <c r="W483" s="4">
        <f>VLOOKUP(A483,[7]Sheet1!$A:$M,10,0)</f>
        <v>800</v>
      </c>
      <c r="X483" s="4">
        <f>VLOOKUP(A483,[7]Sheet1!$A:$M,11,0)</f>
        <v>1000</v>
      </c>
      <c r="Y483" s="4">
        <f>VLOOKUP(A483,[7]Sheet1!$A:$M,12,0)</f>
        <v>1000</v>
      </c>
      <c r="Z483" s="4">
        <f>VLOOKUP(A483,[7]Sheet1!$A:$M,13,0)</f>
        <v>1000</v>
      </c>
      <c r="AA483" s="4">
        <f t="shared" si="118"/>
        <v>8200</v>
      </c>
      <c r="AB483" s="7">
        <f t="shared" si="125"/>
        <v>683</v>
      </c>
      <c r="AC483" s="15">
        <f t="shared" si="119"/>
        <v>683.33333333333337</v>
      </c>
      <c r="AD483" s="16">
        <f t="shared" si="120"/>
        <v>354240</v>
      </c>
      <c r="AE483" s="16">
        <f t="shared" si="121"/>
        <v>29520.000000000004</v>
      </c>
      <c r="AF483" s="21">
        <v>13.03</v>
      </c>
      <c r="AG483" s="21">
        <v>43.2</v>
      </c>
      <c r="AH483" s="15">
        <f t="shared" si="134"/>
        <v>0.21666666666666679</v>
      </c>
      <c r="AI483" s="15">
        <f t="shared" si="135"/>
        <v>0.75833333333333375</v>
      </c>
      <c r="AJ483" s="10">
        <v>0.5</v>
      </c>
      <c r="AK483" s="10">
        <v>0.5</v>
      </c>
      <c r="AL483" s="21">
        <v>13.03</v>
      </c>
      <c r="AM483" s="9">
        <f t="shared" si="126"/>
        <v>6.48</v>
      </c>
      <c r="AN483" s="9">
        <f t="shared" si="127"/>
        <v>1.296</v>
      </c>
      <c r="AO483" s="9">
        <f t="shared" si="128"/>
        <v>8.64</v>
      </c>
      <c r="AP483" s="9">
        <f t="shared" si="129"/>
        <v>0.8640000000000001</v>
      </c>
      <c r="AQ483" s="9">
        <f t="shared" si="130"/>
        <v>8.64</v>
      </c>
      <c r="AR483" s="9">
        <f t="shared" si="131"/>
        <v>10.8</v>
      </c>
      <c r="AS483" s="11">
        <f t="shared" si="132"/>
        <v>2.1666666666666679</v>
      </c>
      <c r="AT483" s="12">
        <f t="shared" si="133"/>
        <v>0.72666666666666779</v>
      </c>
    </row>
    <row r="484" spans="1:46" ht="16.5" x14ac:dyDescent="0.4">
      <c r="A484" s="4" t="s">
        <v>2194</v>
      </c>
      <c r="B484" s="4" t="s">
        <v>2236</v>
      </c>
      <c r="C484" s="4" t="s">
        <v>2247</v>
      </c>
      <c r="D484" s="4" t="s">
        <v>2248</v>
      </c>
      <c r="E484" s="4" t="s">
        <v>2249</v>
      </c>
      <c r="F484" s="4" t="s">
        <v>2250</v>
      </c>
      <c r="G484" s="7" t="str">
        <f>VLOOKUP(A484,[1]done!$A:$I,9,0)</f>
        <v>Rodent</v>
      </c>
      <c r="H484" s="7" t="str" cm="1">
        <f t="array" ref="H484">_xlfn.IFS(
OR(ISNUMBER(SEARCH("mouse",E484)),ISNUMBER(SEARCH("rat",E484)),ISNUMBER(SEARCH("mice",E484)),ISNUMBER(SEARCH("rodent",E484))),"Rodent Control",
OR(ISNUMBER(SEARCH("fly",E484)),ISNUMBER(SEARCH("gnat",E484)),ISNUMBER(SEARCH("insect",E484)),ISNUMBER(SEARCH("mosquito",E484))),"Flying Insect Control",
OR(ISNUMBER(SEARCH("roach",E484)),ISNUMBER(SEARCH("ant",E484)),ISNUMBER(SEARCH("spider",E484)),ISNUMBER(SEARCH("cricket",E484)),ISNUMBER(SEARCH("scorpion",E484)),ISNUMBER(SEARCH("centipede",E484)),ISNUMBER(SEARCH("beetle",E484))),"Crawling Insect Control",
OR(ISNUMBER(SEARCH("tree",E484)),ISNUMBER(SEARCH("lantern",E484)),ISNUMBER(SEARCH("garden",E484)),ISNUMBER(SEARCH("plant",E484))),"Garden Pest Control",
OR(ISNUMBER(SEARCH("grass seed",E484)),ISNUMBER(SEARCH("seed mix",E484))),"Grass Seed",
OR(ISNUMBER(SEARCH("lawn food",E484)),ISNUMBER(SEARCH("fertilizer",E484))),"Lawn Fertilizer",
OR(ISNUMBER(SEARCH("patch",E484)),ISNUMBER(SEARCH("repair",E484)),ISNUMBER(SEARCH("thick'r",E484)),ISNUMBER(SEARCH("thick'r lawn",E484)),ISNUMBER(SEARCH("rapid grass",E484))),"Lawn Repair",
OR(ISNUMBER(SEARCH("weed",E484)),ISNUMBER(SEARCH("crabgrass",E484))),"Weed Control",
OR(ISNUMBER(SEARCH("fungicide",E484)),ISNUMBER(SEARCH("moss",E484))),"Disease &amp; Moss Control",
OR(ISNUMBER(SEARCH("plant food",E484)),ISNUMBER(SEARCH("miracid",E484))),"Plant Nutrition",
OR(ISNUMBER(SEARCH("perlite",E484))),"Soil Amendment",
OR(ISNUMBER(SEARCH("spreader",E484)),ISNUMBER(SEARCH("sprayer",E484)),ISNUMBER(SEARCH("mower",E484)),ISNUMBER(SEARCH("sweeper",E484)),ISNUMBER(SEARCH("pruner",E484)),ISNUMBER(SEARCH("trimmer",E484)),ISNUMBER(SEARCH("pole saw",E484))),"Garden Equipment",
TRUE,"Other"
)</f>
        <v>Rodent Control</v>
      </c>
      <c r="I484" s="7" t="str" cm="1">
        <f t="array" ref="I484">_xlfn.IFS(
OR(ISNUMBER(SEARCH("glue trap",E484)),ISNUMBER(SEARCH("glue board",E484))),"Glue Traps",
OR(ISNUMBER(SEARCH("snap trap",E484)),ISNUMBER(SEARCH("power-kill",E484)),ISNUMBER(SEARCH("wide pedal",E484)),ISNUMBER(SEARCH("metal pedal",E484))),"Snap Traps",
OR(ISNUMBER(SEARCH("electronic",E484)),ISNUMBER(SEARCH("zapper",E484))),"Electronic Traps",
OR(ISNUMBER(SEARCH("live catch",E484)),ISNUMBER(SEARCH("multi-catch",E484)),ISNUMBER(SEARCH("catch &amp; hold",E484)),ISNUMBER(SEARCH("tin cat",E484))),"Live Catch Traps",
OR(ISNUMBER(SEARCH("bait",E484)),ISNUMBER(SEARCH("poison",E484))),"Bait &amp; Poison",
ISNUMBER(SEARCH("repellent",E484)),"Repellents",
OR(ISNUMBER(SEARCH("fly trap",E484)),ISNUMBER(SEARCH("fly ribbon",E484)),ISNUMBER(SEARCH("fly stick",E484)),ISNUMBER(SEARCH("window fly",E484)),ISNUMBER(SEARCH("fly magnet",E484))),"Fly Traps",
OR(ISNUMBER(SEARCH("uv",E484)),ISNUMBER(SEARCH("fly light",E484)),ISNUMBER(SEARCH("plug-in",E484))),"UV Fly Traps",
ISNUMBER(SEARCH("roach",E484)),"Roach Traps",
ISNUMBER(SEARCH("ant",E484)),"Ant Traps",
ISNUMBER(SEARCH("spider",E484)),"Spider Traps",
ISNUMBER(SEARCH("mosquito",E484)),"Mosquito Traps",
ISNUMBER(SEARCH("beetle",E484)),"Beetle Traps",
ISNUMBER(SEARCH("lantern",E484)),"Lanternfly Control",
OR(ISNUMBER(SEARCH("tree shield",E484)),ISNUMBER(SEARCH("tree banding",E484)),ISNUMBER(SEARCH("insect barrier",E484))),"Tree Barriers",
OR(ISNUMBER(SEARCH("sun &amp; shade",E484)),ISNUMBER(SEARCH("sun and shade",E484))),"Sun &amp; Shade Mix",
ISNUMBER(SEARCH("tall fescue",E484)),"Tall Fescue",
ISNUMBER(SEARCH("bermudagrass",E484)),"Bermudagrass",
ISNUMBER(SEARCH("kentucky",E484)),"Kentucky Bluegrass",
ISNUMBER(SEARCH("zoysia",E484)),"Zoysia",
ISNUMBER(SEARCH("ryegrass",E484)),"Perennial Ryegrass",
ISNUMBER(SEARCH("centipede",E484)),"Centipede Grass",
ISNUMBER(SEARCH("dense shade",E484)),"Dense Shade Mix",
ISNUMBER(SEARCH("southern gold",E484)),"Southern Gold Mix",
ISNUMBER(SEARCH("heat-tolerant blue",E484)),"Heat-Tolerant Blue Mix",
ISNUMBER(SEARCH("high traffic",E484)),"High Traffic Mix",
ISNUMBER(SEARCH("quick fix",E484)),"Quick Fix Mix",
ISNUMBER(SEARCH("starter",E484)),"Starter Fertilizer",
ISNUMBER(SEARCH("weed &amp; feed",E484)),"Weed &amp; Feed",
ISNUMBER(SEARCH("lawn food",E484)),"Lawn Food",
ISNUMBER(SEARCH("triple action",E484)),"Triple Action Fertilizer",
ISNUMBER(SEARCH("green max",E484)),"Green Max Lawn Food",
ISNUMBER(SEARCH("patchmaster",E484)),"PatchMaster Repair",
ISNUMBER(SEARCH("ez seed",E484)),"EZ Seed Repair",
ISNUMBER(SEARCH("rapid grass",E484)),"Rapid Grass",
ISNUMBER(SEARCH("thick'r lawn",E484)),"Thick'R Lawn",
ISNUMBER(SEARCH("fungicide",E484)),"Fungicide",
ISNUMBER(SEARCH("moss",E484)),"Moss Control",
ISNUMBER(SEARCH("perlite",E484)),"Perlite",
ISNUMBER(SEARCH("plant food",E484)),"Plant Food",
ISNUMBER(SEARCH("spreader",E484)),"Spreader",
ISNUMBER(SEARCH("sprayer",E484)),"Sprayer",
ISNUMBER(SEARCH("mower",E484)),"Lawn Mower",
ISNUMBER(SEARCH("sweeper",E484)),"Lawn Sweeper",
OR(ISNUMBER(SEARCH("pruner",E484)),ISNUMBER(SEARCH("trimmer",E484)),ISNUMBER(SEARCH("pole saw",E484))),"Pruning Tools",
TRUE,"Other"
)</f>
        <v>Bait &amp; Poison</v>
      </c>
      <c r="J484" s="7" t="str">
        <f t="shared" si="124"/>
        <v>Rodent Control - Bait &amp; Poison</v>
      </c>
      <c r="K484" s="4">
        <v>900</v>
      </c>
      <c r="L484" s="4">
        <v>4.2</v>
      </c>
      <c r="M484" s="4">
        <v>6378</v>
      </c>
      <c r="N484" s="4" t="s">
        <v>2376</v>
      </c>
      <c r="O484" s="4">
        <f>VLOOKUP(A484,[7]Sheet1!$A:$M,2,0)</f>
        <v>700</v>
      </c>
      <c r="P484" s="4">
        <f>VLOOKUP(A484,[7]Sheet1!$A:$M,3,0)</f>
        <v>900</v>
      </c>
      <c r="Q484" s="4">
        <f>VLOOKUP(A484,[7]Sheet1!$A:$M,4,0)</f>
        <v>600</v>
      </c>
      <c r="R484" s="4">
        <f>VLOOKUP(A484,[7]Sheet1!$A:$M,5,0)</f>
        <v>600</v>
      </c>
      <c r="S484" s="4">
        <f>VLOOKUP(A484,[7]Sheet1!$A:$M,6,0)</f>
        <v>1000</v>
      </c>
      <c r="T484" s="4">
        <f>VLOOKUP(A484,[7]Sheet1!$A:$M,7,0)</f>
        <v>1000</v>
      </c>
      <c r="U484" s="4">
        <f>VLOOKUP(A484,[7]Sheet1!$A:$M,8,0)</f>
        <v>700</v>
      </c>
      <c r="V484" s="4">
        <f>VLOOKUP(A484,[7]Sheet1!$A:$M,9,0)</f>
        <v>1000</v>
      </c>
      <c r="W484" s="4">
        <f>VLOOKUP(A484,[7]Sheet1!$A:$M,10,0)</f>
        <v>1000</v>
      </c>
      <c r="X484" s="4">
        <f>VLOOKUP(A484,[7]Sheet1!$A:$M,11,0)</f>
        <v>1000</v>
      </c>
      <c r="Y484" s="4">
        <f>VLOOKUP(A484,[7]Sheet1!$A:$M,12,0)</f>
        <v>1000</v>
      </c>
      <c r="Z484" s="4">
        <f>VLOOKUP(A484,[7]Sheet1!$A:$M,13,0)</f>
        <v>800</v>
      </c>
      <c r="AA484" s="4">
        <f t="shared" si="118"/>
        <v>10300</v>
      </c>
      <c r="AB484" s="7">
        <f t="shared" si="125"/>
        <v>858</v>
      </c>
      <c r="AC484" s="15">
        <f t="shared" si="119"/>
        <v>858.33333333333337</v>
      </c>
      <c r="AD484" s="16">
        <f t="shared" si="120"/>
        <v>264195</v>
      </c>
      <c r="AE484" s="16">
        <f t="shared" si="121"/>
        <v>22016.25</v>
      </c>
      <c r="AF484" s="21">
        <v>7.79</v>
      </c>
      <c r="AG484" s="21">
        <v>25.65</v>
      </c>
      <c r="AH484" s="15">
        <f t="shared" si="134"/>
        <v>9.7999999999999921E-2</v>
      </c>
      <c r="AI484" s="15">
        <f t="shared" si="135"/>
        <v>0.34299999999999969</v>
      </c>
      <c r="AJ484" s="10">
        <v>0.5</v>
      </c>
      <c r="AK484" s="10">
        <v>0.5</v>
      </c>
      <c r="AL484" s="21">
        <v>7.79</v>
      </c>
      <c r="AM484" s="9">
        <f t="shared" si="126"/>
        <v>3.8474999999999997</v>
      </c>
      <c r="AN484" s="9">
        <f t="shared" si="127"/>
        <v>0.76949999999999996</v>
      </c>
      <c r="AO484" s="9">
        <f t="shared" si="128"/>
        <v>5.13</v>
      </c>
      <c r="AP484" s="9">
        <f t="shared" si="129"/>
        <v>0.51300000000000001</v>
      </c>
      <c r="AQ484" s="9">
        <f t="shared" si="130"/>
        <v>5.13</v>
      </c>
      <c r="AR484" s="9">
        <f t="shared" si="131"/>
        <v>6.4124999999999996</v>
      </c>
      <c r="AS484" s="11">
        <f t="shared" si="132"/>
        <v>0.97999999999999921</v>
      </c>
      <c r="AT484" s="12">
        <f t="shared" si="133"/>
        <v>0.1249999999999994</v>
      </c>
    </row>
    <row r="485" spans="1:46" ht="16.5" x14ac:dyDescent="0.4">
      <c r="A485" s="4" t="s">
        <v>2195</v>
      </c>
      <c r="B485" s="4" t="s">
        <v>2236</v>
      </c>
      <c r="C485" s="4" t="s">
        <v>2236</v>
      </c>
      <c r="D485" s="4" t="s">
        <v>2251</v>
      </c>
      <c r="E485" s="4" t="s">
        <v>2252</v>
      </c>
      <c r="F485" s="4" t="s">
        <v>2253</v>
      </c>
      <c r="G485" s="7" t="str">
        <f>VLOOKUP(A485,[1]done!$A:$I,9,0)</f>
        <v>Rodent</v>
      </c>
      <c r="H485" s="7" t="str" cm="1">
        <f t="array" ref="H485">_xlfn.IFS(
OR(ISNUMBER(SEARCH("mouse",E485)),ISNUMBER(SEARCH("rat",E485)),ISNUMBER(SEARCH("mice",E485)),ISNUMBER(SEARCH("rodent",E485))),"Rodent Control",
OR(ISNUMBER(SEARCH("fly",E485)),ISNUMBER(SEARCH("gnat",E485)),ISNUMBER(SEARCH("insect",E485)),ISNUMBER(SEARCH("mosquito",E485))),"Flying Insect Control",
OR(ISNUMBER(SEARCH("roach",E485)),ISNUMBER(SEARCH("ant",E485)),ISNUMBER(SEARCH("spider",E485)),ISNUMBER(SEARCH("cricket",E485)),ISNUMBER(SEARCH("scorpion",E485)),ISNUMBER(SEARCH("centipede",E485)),ISNUMBER(SEARCH("beetle",E485))),"Crawling Insect Control",
OR(ISNUMBER(SEARCH("tree",E485)),ISNUMBER(SEARCH("lantern",E485)),ISNUMBER(SEARCH("garden",E485)),ISNUMBER(SEARCH("plant",E485))),"Garden Pest Control",
OR(ISNUMBER(SEARCH("grass seed",E485)),ISNUMBER(SEARCH("seed mix",E485))),"Grass Seed",
OR(ISNUMBER(SEARCH("lawn food",E485)),ISNUMBER(SEARCH("fertilizer",E485))),"Lawn Fertilizer",
OR(ISNUMBER(SEARCH("patch",E485)),ISNUMBER(SEARCH("repair",E485)),ISNUMBER(SEARCH("thick'r",E485)),ISNUMBER(SEARCH("thick'r lawn",E485)),ISNUMBER(SEARCH("rapid grass",E485))),"Lawn Repair",
OR(ISNUMBER(SEARCH("weed",E485)),ISNUMBER(SEARCH("crabgrass",E485))),"Weed Control",
OR(ISNUMBER(SEARCH("fungicide",E485)),ISNUMBER(SEARCH("moss",E485))),"Disease &amp; Moss Control",
OR(ISNUMBER(SEARCH("plant food",E485)),ISNUMBER(SEARCH("miracid",E485))),"Plant Nutrition",
OR(ISNUMBER(SEARCH("perlite",E485))),"Soil Amendment",
OR(ISNUMBER(SEARCH("spreader",E485)),ISNUMBER(SEARCH("sprayer",E485)),ISNUMBER(SEARCH("mower",E485)),ISNUMBER(SEARCH("sweeper",E485)),ISNUMBER(SEARCH("pruner",E485)),ISNUMBER(SEARCH("trimmer",E485)),ISNUMBER(SEARCH("pole saw",E485))),"Garden Equipment",
TRUE,"Other"
)</f>
        <v>Rodent Control</v>
      </c>
      <c r="I485" s="7" t="str" cm="1">
        <f t="array" ref="I485">_xlfn.IFS(
OR(ISNUMBER(SEARCH("glue trap",E485)),ISNUMBER(SEARCH("glue board",E485))),"Glue Traps",
OR(ISNUMBER(SEARCH("snap trap",E485)),ISNUMBER(SEARCH("power-kill",E485)),ISNUMBER(SEARCH("wide pedal",E485)),ISNUMBER(SEARCH("metal pedal",E485))),"Snap Traps",
OR(ISNUMBER(SEARCH("electronic",E485)),ISNUMBER(SEARCH("zapper",E485))),"Electronic Traps",
OR(ISNUMBER(SEARCH("live catch",E485)),ISNUMBER(SEARCH("multi-catch",E485)),ISNUMBER(SEARCH("catch &amp; hold",E485)),ISNUMBER(SEARCH("tin cat",E485))),"Live Catch Traps",
OR(ISNUMBER(SEARCH("bait",E485)),ISNUMBER(SEARCH("poison",E485))),"Bait &amp; Poison",
ISNUMBER(SEARCH("repellent",E485)),"Repellents",
OR(ISNUMBER(SEARCH("fly trap",E485)),ISNUMBER(SEARCH("fly ribbon",E485)),ISNUMBER(SEARCH("fly stick",E485)),ISNUMBER(SEARCH("window fly",E485)),ISNUMBER(SEARCH("fly magnet",E485))),"Fly Traps",
OR(ISNUMBER(SEARCH("uv",E485)),ISNUMBER(SEARCH("fly light",E485)),ISNUMBER(SEARCH("plug-in",E485))),"UV Fly Traps",
ISNUMBER(SEARCH("roach",E485)),"Roach Traps",
ISNUMBER(SEARCH("ant",E485)),"Ant Traps",
ISNUMBER(SEARCH("spider",E485)),"Spider Traps",
ISNUMBER(SEARCH("mosquito",E485)),"Mosquito Traps",
ISNUMBER(SEARCH("beetle",E485)),"Beetle Traps",
ISNUMBER(SEARCH("lantern",E485)),"Lanternfly Control",
OR(ISNUMBER(SEARCH("tree shield",E485)),ISNUMBER(SEARCH("tree banding",E485)),ISNUMBER(SEARCH("insect barrier",E485))),"Tree Barriers",
OR(ISNUMBER(SEARCH("sun &amp; shade",E485)),ISNUMBER(SEARCH("sun and shade",E485))),"Sun &amp; Shade Mix",
ISNUMBER(SEARCH("tall fescue",E485)),"Tall Fescue",
ISNUMBER(SEARCH("bermudagrass",E485)),"Bermudagrass",
ISNUMBER(SEARCH("kentucky",E485)),"Kentucky Bluegrass",
ISNUMBER(SEARCH("zoysia",E485)),"Zoysia",
ISNUMBER(SEARCH("ryegrass",E485)),"Perennial Ryegrass",
ISNUMBER(SEARCH("centipede",E485)),"Centipede Grass",
ISNUMBER(SEARCH("dense shade",E485)),"Dense Shade Mix",
ISNUMBER(SEARCH("southern gold",E485)),"Southern Gold Mix",
ISNUMBER(SEARCH("heat-tolerant blue",E485)),"Heat-Tolerant Blue Mix",
ISNUMBER(SEARCH("high traffic",E485)),"High Traffic Mix",
ISNUMBER(SEARCH("quick fix",E485)),"Quick Fix Mix",
ISNUMBER(SEARCH("starter",E485)),"Starter Fertilizer",
ISNUMBER(SEARCH("weed &amp; feed",E485)),"Weed &amp; Feed",
ISNUMBER(SEARCH("lawn food",E485)),"Lawn Food",
ISNUMBER(SEARCH("triple action",E485)),"Triple Action Fertilizer",
ISNUMBER(SEARCH("green max",E485)),"Green Max Lawn Food",
ISNUMBER(SEARCH("patchmaster",E485)),"PatchMaster Repair",
ISNUMBER(SEARCH("ez seed",E485)),"EZ Seed Repair",
ISNUMBER(SEARCH("rapid grass",E485)),"Rapid Grass",
ISNUMBER(SEARCH("thick'r lawn",E485)),"Thick'R Lawn",
ISNUMBER(SEARCH("fungicide",E485)),"Fungicide",
ISNUMBER(SEARCH("moss",E485)),"Moss Control",
ISNUMBER(SEARCH("perlite",E485)),"Perlite",
ISNUMBER(SEARCH("plant food",E485)),"Plant Food",
ISNUMBER(SEARCH("spreader",E485)),"Spreader",
ISNUMBER(SEARCH("sprayer",E485)),"Sprayer",
ISNUMBER(SEARCH("mower",E485)),"Lawn Mower",
ISNUMBER(SEARCH("sweeper",E485)),"Lawn Sweeper",
OR(ISNUMBER(SEARCH("pruner",E485)),ISNUMBER(SEARCH("trimmer",E485)),ISNUMBER(SEARCH("pole saw",E485))),"Pruning Tools",
TRUE,"Other"
)</f>
        <v>Bait &amp; Poison</v>
      </c>
      <c r="J485" s="7" t="str">
        <f t="shared" si="124"/>
        <v>Rodent Control - Bait &amp; Poison</v>
      </c>
      <c r="K485" s="4">
        <v>800</v>
      </c>
      <c r="L485" s="4">
        <v>4.4000000000000004</v>
      </c>
      <c r="M485" s="4">
        <v>920</v>
      </c>
      <c r="N485" s="4">
        <v>0</v>
      </c>
      <c r="O485" s="4">
        <f>VLOOKUP(A485,[7]Sheet1!$A:$M,2,0)</f>
        <v>1000</v>
      </c>
      <c r="P485" s="4">
        <f>VLOOKUP(A485,[7]Sheet1!$A:$M,3,0)</f>
        <v>600</v>
      </c>
      <c r="Q485" s="4">
        <f>VLOOKUP(A485,[7]Sheet1!$A:$M,4,0)</f>
        <v>600</v>
      </c>
      <c r="R485" s="4">
        <f>VLOOKUP(A485,[7]Sheet1!$A:$M,5,0)</f>
        <v>1000</v>
      </c>
      <c r="S485" s="4">
        <f>VLOOKUP(A485,[7]Sheet1!$A:$M,6,0)</f>
        <v>900</v>
      </c>
      <c r="T485" s="4">
        <f>VLOOKUP(A485,[7]Sheet1!$A:$M,7,0)</f>
        <v>1000</v>
      </c>
      <c r="U485" s="4">
        <f>VLOOKUP(A485,[7]Sheet1!$A:$M,8,0)</f>
        <v>700</v>
      </c>
      <c r="V485" s="4">
        <f>VLOOKUP(A485,[7]Sheet1!$A:$M,9,0)</f>
        <v>900</v>
      </c>
      <c r="W485" s="4">
        <f>VLOOKUP(A485,[7]Sheet1!$A:$M,10,0)</f>
        <v>800</v>
      </c>
      <c r="X485" s="4">
        <f>VLOOKUP(A485,[7]Sheet1!$A:$M,11,0)</f>
        <v>1000</v>
      </c>
      <c r="Y485" s="4">
        <f>VLOOKUP(A485,[7]Sheet1!$A:$M,12,0)</f>
        <v>2000</v>
      </c>
      <c r="Z485" s="4">
        <f>VLOOKUP(A485,[7]Sheet1!$A:$M,13,0)</f>
        <v>1000</v>
      </c>
      <c r="AA485" s="4">
        <f t="shared" si="118"/>
        <v>11500</v>
      </c>
      <c r="AB485" s="7">
        <f t="shared" si="125"/>
        <v>958</v>
      </c>
      <c r="AC485" s="15">
        <f t="shared" si="119"/>
        <v>958.33333333333337</v>
      </c>
      <c r="AD485" s="16">
        <f t="shared" si="120"/>
        <v>121785</v>
      </c>
      <c r="AE485" s="16">
        <f t="shared" si="121"/>
        <v>10148.75</v>
      </c>
      <c r="AF485" s="21">
        <v>6.01</v>
      </c>
      <c r="AG485" s="21">
        <v>10.59</v>
      </c>
      <c r="AH485" s="15">
        <f t="shared" si="134"/>
        <v>-0.18493333333333331</v>
      </c>
      <c r="AI485" s="15">
        <f t="shared" si="135"/>
        <v>-0.64726666666666655</v>
      </c>
      <c r="AJ485" s="10">
        <v>0.5</v>
      </c>
      <c r="AK485" s="10">
        <v>0.5</v>
      </c>
      <c r="AL485" s="21">
        <v>6.01</v>
      </c>
      <c r="AM485" s="9">
        <f t="shared" si="126"/>
        <v>1.5885</v>
      </c>
      <c r="AN485" s="9">
        <f t="shared" si="127"/>
        <v>0.31769999999999998</v>
      </c>
      <c r="AO485" s="9">
        <f t="shared" si="128"/>
        <v>2.1179999999999999</v>
      </c>
      <c r="AP485" s="9">
        <f t="shared" si="129"/>
        <v>0.21179999999999999</v>
      </c>
      <c r="AQ485" s="9">
        <f t="shared" si="130"/>
        <v>2.1179999999999999</v>
      </c>
      <c r="AR485" s="9">
        <f t="shared" si="131"/>
        <v>2.6475</v>
      </c>
      <c r="AS485" s="11">
        <f t="shared" si="132"/>
        <v>-1.8493333333333331</v>
      </c>
      <c r="AT485" s="12">
        <f t="shared" si="133"/>
        <v>-2.2023333333333333</v>
      </c>
    </row>
    <row r="486" spans="1:46" ht="16.5" x14ac:dyDescent="0.4">
      <c r="A486" s="4" t="s">
        <v>2196</v>
      </c>
      <c r="B486" s="4" t="s">
        <v>2236</v>
      </c>
      <c r="C486" s="4" t="s">
        <v>2236</v>
      </c>
      <c r="D486" s="4" t="s">
        <v>2254</v>
      </c>
      <c r="E486" s="4" t="s">
        <v>2255</v>
      </c>
      <c r="F486" s="4" t="s">
        <v>2256</v>
      </c>
      <c r="G486" s="7" t="str">
        <f>VLOOKUP(A486,[1]done!$A:$I,9,0)</f>
        <v>Other crawling insects</v>
      </c>
      <c r="H486" s="7" t="str" cm="1">
        <f t="array" ref="H486">_xlfn.IFS(
OR(ISNUMBER(SEARCH("mouse",E486)),ISNUMBER(SEARCH("rat",E486)),ISNUMBER(SEARCH("mice",E486)),ISNUMBER(SEARCH("rodent",E486))),"Rodent Control",
OR(ISNUMBER(SEARCH("fly",E486)),ISNUMBER(SEARCH("gnat",E486)),ISNUMBER(SEARCH("insect",E486)),ISNUMBER(SEARCH("mosquito",E486))),"Flying Insect Control",
OR(ISNUMBER(SEARCH("roach",E486)),ISNUMBER(SEARCH("ant",E486)),ISNUMBER(SEARCH("spider",E486)),ISNUMBER(SEARCH("cricket",E486)),ISNUMBER(SEARCH("scorpion",E486)),ISNUMBER(SEARCH("centipede",E486)),ISNUMBER(SEARCH("beetle",E486))),"Crawling Insect Control",
OR(ISNUMBER(SEARCH("tree",E486)),ISNUMBER(SEARCH("lantern",E486)),ISNUMBER(SEARCH("garden",E486)),ISNUMBER(SEARCH("plant",E486))),"Garden Pest Control",
OR(ISNUMBER(SEARCH("grass seed",E486)),ISNUMBER(SEARCH("seed mix",E486))),"Grass Seed",
OR(ISNUMBER(SEARCH("lawn food",E486)),ISNUMBER(SEARCH("fertilizer",E486))),"Lawn Fertilizer",
OR(ISNUMBER(SEARCH("patch",E486)),ISNUMBER(SEARCH("repair",E486)),ISNUMBER(SEARCH("thick'r",E486)),ISNUMBER(SEARCH("thick'r lawn",E486)),ISNUMBER(SEARCH("rapid grass",E486))),"Lawn Repair",
OR(ISNUMBER(SEARCH("weed",E486)),ISNUMBER(SEARCH("crabgrass",E486))),"Weed Control",
OR(ISNUMBER(SEARCH("fungicide",E486)),ISNUMBER(SEARCH("moss",E486))),"Disease &amp; Moss Control",
OR(ISNUMBER(SEARCH("plant food",E486)),ISNUMBER(SEARCH("miracid",E486))),"Plant Nutrition",
OR(ISNUMBER(SEARCH("perlite",E486))),"Soil Amendment",
OR(ISNUMBER(SEARCH("spreader",E486)),ISNUMBER(SEARCH("sprayer",E486)),ISNUMBER(SEARCH("mower",E486)),ISNUMBER(SEARCH("sweeper",E486)),ISNUMBER(SEARCH("pruner",E486)),ISNUMBER(SEARCH("trimmer",E486)),ISNUMBER(SEARCH("pole saw",E486))),"Garden Equipment",
TRUE,"Other"
)</f>
        <v>Crawling Insect Control</v>
      </c>
      <c r="I486" s="7" t="str" cm="1">
        <f t="array" ref="I486">_xlfn.IFS(
OR(ISNUMBER(SEARCH("glue trap",E486)),ISNUMBER(SEARCH("glue board",E486))),"Glue Traps",
OR(ISNUMBER(SEARCH("snap trap",E486)),ISNUMBER(SEARCH("power-kill",E486)),ISNUMBER(SEARCH("wide pedal",E486)),ISNUMBER(SEARCH("metal pedal",E486))),"Snap Traps",
OR(ISNUMBER(SEARCH("electronic",E486)),ISNUMBER(SEARCH("zapper",E486))),"Electronic Traps",
OR(ISNUMBER(SEARCH("live catch",E486)),ISNUMBER(SEARCH("multi-catch",E486)),ISNUMBER(SEARCH("catch &amp; hold",E486)),ISNUMBER(SEARCH("tin cat",E486))),"Live Catch Traps",
OR(ISNUMBER(SEARCH("bait",E486)),ISNUMBER(SEARCH("poison",E486))),"Bait &amp; Poison",
ISNUMBER(SEARCH("repellent",E486)),"Repellents",
OR(ISNUMBER(SEARCH("fly trap",E486)),ISNUMBER(SEARCH("fly ribbon",E486)),ISNUMBER(SEARCH("fly stick",E486)),ISNUMBER(SEARCH("window fly",E486)),ISNUMBER(SEARCH("fly magnet",E486))),"Fly Traps",
OR(ISNUMBER(SEARCH("uv",E486)),ISNUMBER(SEARCH("fly light",E486)),ISNUMBER(SEARCH("plug-in",E486))),"UV Fly Traps",
ISNUMBER(SEARCH("roach",E486)),"Roach Traps",
ISNUMBER(SEARCH("ant",E486)),"Ant Traps",
ISNUMBER(SEARCH("spider",E486)),"Spider Traps",
ISNUMBER(SEARCH("mosquito",E486)),"Mosquito Traps",
ISNUMBER(SEARCH("beetle",E486)),"Beetle Traps",
ISNUMBER(SEARCH("lantern",E486)),"Lanternfly Control",
OR(ISNUMBER(SEARCH("tree shield",E486)),ISNUMBER(SEARCH("tree banding",E486)),ISNUMBER(SEARCH("insect barrier",E486))),"Tree Barriers",
OR(ISNUMBER(SEARCH("sun &amp; shade",E486)),ISNUMBER(SEARCH("sun and shade",E486))),"Sun &amp; Shade Mix",
ISNUMBER(SEARCH("tall fescue",E486)),"Tall Fescue",
ISNUMBER(SEARCH("bermudagrass",E486)),"Bermudagrass",
ISNUMBER(SEARCH("kentucky",E486)),"Kentucky Bluegrass",
ISNUMBER(SEARCH("zoysia",E486)),"Zoysia",
ISNUMBER(SEARCH("ryegrass",E486)),"Perennial Ryegrass",
ISNUMBER(SEARCH("centipede",E486)),"Centipede Grass",
ISNUMBER(SEARCH("dense shade",E486)),"Dense Shade Mix",
ISNUMBER(SEARCH("southern gold",E486)),"Southern Gold Mix",
ISNUMBER(SEARCH("heat-tolerant blue",E486)),"Heat-Tolerant Blue Mix",
ISNUMBER(SEARCH("high traffic",E486)),"High Traffic Mix",
ISNUMBER(SEARCH("quick fix",E486)),"Quick Fix Mix",
ISNUMBER(SEARCH("starter",E486)),"Starter Fertilizer",
ISNUMBER(SEARCH("weed &amp; feed",E486)),"Weed &amp; Feed",
ISNUMBER(SEARCH("lawn food",E486)),"Lawn Food",
ISNUMBER(SEARCH("triple action",E486)),"Triple Action Fertilizer",
ISNUMBER(SEARCH("green max",E486)),"Green Max Lawn Food",
ISNUMBER(SEARCH("patchmaster",E486)),"PatchMaster Repair",
ISNUMBER(SEARCH("ez seed",E486)),"EZ Seed Repair",
ISNUMBER(SEARCH("rapid grass",E486)),"Rapid Grass",
ISNUMBER(SEARCH("thick'r lawn",E486)),"Thick'R Lawn",
ISNUMBER(SEARCH("fungicide",E486)),"Fungicide",
ISNUMBER(SEARCH("moss",E486)),"Moss Control",
ISNUMBER(SEARCH("perlite",E486)),"Perlite",
ISNUMBER(SEARCH("plant food",E486)),"Plant Food",
ISNUMBER(SEARCH("spreader",E486)),"Spreader",
ISNUMBER(SEARCH("sprayer",E486)),"Sprayer",
ISNUMBER(SEARCH("mower",E486)),"Lawn Mower",
ISNUMBER(SEARCH("sweeper",E486)),"Lawn Sweeper",
OR(ISNUMBER(SEARCH("pruner",E486)),ISNUMBER(SEARCH("trimmer",E486)),ISNUMBER(SEARCH("pole saw",E486))),"Pruning Tools",
TRUE,"Other"
)</f>
        <v>Glue Traps</v>
      </c>
      <c r="J486" s="7" t="str">
        <f t="shared" si="124"/>
        <v>Crawling Insect Control - Glue Traps</v>
      </c>
      <c r="K486" s="4">
        <v>700</v>
      </c>
      <c r="L486" s="4">
        <v>4.5999999999999996</v>
      </c>
      <c r="M486" s="4">
        <v>1412</v>
      </c>
      <c r="N486" s="4" t="s">
        <v>1545</v>
      </c>
      <c r="O486" s="4">
        <f>VLOOKUP(A486,[7]Sheet1!$A:$M,2,0)</f>
        <v>100</v>
      </c>
      <c r="P486" s="4">
        <f>VLOOKUP(A486,[7]Sheet1!$A:$M,3,0)</f>
        <v>60</v>
      </c>
      <c r="Q486" s="4">
        <f>VLOOKUP(A486,[7]Sheet1!$A:$M,4,0)</f>
        <v>100</v>
      </c>
      <c r="R486" s="4">
        <f>VLOOKUP(A486,[7]Sheet1!$A:$M,5,0)</f>
        <v>200</v>
      </c>
      <c r="S486" s="4">
        <f>VLOOKUP(A486,[7]Sheet1!$A:$M,6,0)</f>
        <v>200</v>
      </c>
      <c r="T486" s="4">
        <f>VLOOKUP(A486,[7]Sheet1!$A:$M,7,0)</f>
        <v>200</v>
      </c>
      <c r="U486" s="4">
        <f>VLOOKUP(A486,[7]Sheet1!$A:$M,8,0)</f>
        <v>200</v>
      </c>
      <c r="V486" s="4">
        <f>VLOOKUP(A486,[7]Sheet1!$A:$M,9,0)</f>
        <v>400</v>
      </c>
      <c r="W486" s="4">
        <f>VLOOKUP(A486,[7]Sheet1!$A:$M,10,0)</f>
        <v>500</v>
      </c>
      <c r="X486" s="4">
        <f>VLOOKUP(A486,[7]Sheet1!$A:$M,11,0)</f>
        <v>600</v>
      </c>
      <c r="Y486" s="4">
        <f>VLOOKUP(A486,[7]Sheet1!$A:$M,12,0)</f>
        <v>500</v>
      </c>
      <c r="Z486" s="4">
        <f>VLOOKUP(A486,[7]Sheet1!$A:$M,13,0)</f>
        <v>400</v>
      </c>
      <c r="AA486" s="4">
        <f t="shared" si="118"/>
        <v>3460</v>
      </c>
      <c r="AB486" s="7">
        <f t="shared" si="125"/>
        <v>288</v>
      </c>
      <c r="AC486" s="15">
        <f t="shared" si="119"/>
        <v>288.33333333333331</v>
      </c>
      <c r="AD486" s="16">
        <f t="shared" si="120"/>
        <v>23597.200000000001</v>
      </c>
      <c r="AE486" s="16">
        <f t="shared" si="121"/>
        <v>1966.4333333333334</v>
      </c>
      <c r="AF486" s="21">
        <v>3.24</v>
      </c>
      <c r="AG486" s="21">
        <v>6.82</v>
      </c>
      <c r="AH486" s="15">
        <f t="shared" si="134"/>
        <v>-0.10080000000000006</v>
      </c>
      <c r="AI486" s="15">
        <f t="shared" si="135"/>
        <v>-0.35280000000000011</v>
      </c>
      <c r="AJ486" s="10">
        <v>0.5</v>
      </c>
      <c r="AK486" s="10">
        <v>0.5</v>
      </c>
      <c r="AL486" s="21">
        <v>3.24</v>
      </c>
      <c r="AM486" s="9">
        <f t="shared" si="126"/>
        <v>1.0229999999999999</v>
      </c>
      <c r="AN486" s="9">
        <f t="shared" si="127"/>
        <v>0.2046</v>
      </c>
      <c r="AO486" s="9">
        <f t="shared" si="128"/>
        <v>1.3640000000000001</v>
      </c>
      <c r="AP486" s="9">
        <f t="shared" si="129"/>
        <v>0.13640000000000002</v>
      </c>
      <c r="AQ486" s="9">
        <f t="shared" si="130"/>
        <v>1.3640000000000001</v>
      </c>
      <c r="AR486" s="9">
        <f t="shared" si="131"/>
        <v>1.7050000000000001</v>
      </c>
      <c r="AS486" s="11">
        <f t="shared" si="132"/>
        <v>-1.0080000000000005</v>
      </c>
      <c r="AT486" s="12">
        <f t="shared" si="133"/>
        <v>-1.2353333333333338</v>
      </c>
    </row>
    <row r="487" spans="1:46" ht="16.5" x14ac:dyDescent="0.4">
      <c r="A487" s="4" t="s">
        <v>2197</v>
      </c>
      <c r="B487" s="4" t="s">
        <v>2236</v>
      </c>
      <c r="C487" s="4" t="s">
        <v>2236</v>
      </c>
      <c r="D487" s="4" t="s">
        <v>2257</v>
      </c>
      <c r="E487" s="4" t="s">
        <v>2258</v>
      </c>
      <c r="F487" s="4" t="s">
        <v>2259</v>
      </c>
      <c r="G487" s="7" t="str">
        <f>VLOOKUP(A487,[1]done!$A:$I,9,0)</f>
        <v>Rodent</v>
      </c>
      <c r="H487" s="7" t="str" cm="1">
        <f t="array" ref="H487">_xlfn.IFS(
OR(ISNUMBER(SEARCH("mouse",E487)),ISNUMBER(SEARCH("rat",E487)),ISNUMBER(SEARCH("mice",E487)),ISNUMBER(SEARCH("rodent",E487))),"Rodent Control",
OR(ISNUMBER(SEARCH("fly",E487)),ISNUMBER(SEARCH("gnat",E487)),ISNUMBER(SEARCH("insect",E487)),ISNUMBER(SEARCH("mosquito",E487))),"Flying Insect Control",
OR(ISNUMBER(SEARCH("roach",E487)),ISNUMBER(SEARCH("ant",E487)),ISNUMBER(SEARCH("spider",E487)),ISNUMBER(SEARCH("cricket",E487)),ISNUMBER(SEARCH("scorpion",E487)),ISNUMBER(SEARCH("centipede",E487)),ISNUMBER(SEARCH("beetle",E487))),"Crawling Insect Control",
OR(ISNUMBER(SEARCH("tree",E487)),ISNUMBER(SEARCH("lantern",E487)),ISNUMBER(SEARCH("garden",E487)),ISNUMBER(SEARCH("plant",E487))),"Garden Pest Control",
OR(ISNUMBER(SEARCH("grass seed",E487)),ISNUMBER(SEARCH("seed mix",E487))),"Grass Seed",
OR(ISNUMBER(SEARCH("lawn food",E487)),ISNUMBER(SEARCH("fertilizer",E487))),"Lawn Fertilizer",
OR(ISNUMBER(SEARCH("patch",E487)),ISNUMBER(SEARCH("repair",E487)),ISNUMBER(SEARCH("thick'r",E487)),ISNUMBER(SEARCH("thick'r lawn",E487)),ISNUMBER(SEARCH("rapid grass",E487))),"Lawn Repair",
OR(ISNUMBER(SEARCH("weed",E487)),ISNUMBER(SEARCH("crabgrass",E487))),"Weed Control",
OR(ISNUMBER(SEARCH("fungicide",E487)),ISNUMBER(SEARCH("moss",E487))),"Disease &amp; Moss Control",
OR(ISNUMBER(SEARCH("plant food",E487)),ISNUMBER(SEARCH("miracid",E487))),"Plant Nutrition",
OR(ISNUMBER(SEARCH("perlite",E487))),"Soil Amendment",
OR(ISNUMBER(SEARCH("spreader",E487)),ISNUMBER(SEARCH("sprayer",E487)),ISNUMBER(SEARCH("mower",E487)),ISNUMBER(SEARCH("sweeper",E487)),ISNUMBER(SEARCH("pruner",E487)),ISNUMBER(SEARCH("trimmer",E487)),ISNUMBER(SEARCH("pole saw",E487))),"Garden Equipment",
TRUE,"Other"
)</f>
        <v>Rodent Control</v>
      </c>
      <c r="I487" s="7" t="str" cm="1">
        <f t="array" ref="I487">_xlfn.IFS(
OR(ISNUMBER(SEARCH("glue trap",E487)),ISNUMBER(SEARCH("glue board",E487))),"Glue Traps",
OR(ISNUMBER(SEARCH("snap trap",E487)),ISNUMBER(SEARCH("power-kill",E487)),ISNUMBER(SEARCH("wide pedal",E487)),ISNUMBER(SEARCH("metal pedal",E487))),"Snap Traps",
OR(ISNUMBER(SEARCH("electronic",E487)),ISNUMBER(SEARCH("zapper",E487))),"Electronic Traps",
OR(ISNUMBER(SEARCH("live catch",E487)),ISNUMBER(SEARCH("multi-catch",E487)),ISNUMBER(SEARCH("catch &amp; hold",E487)),ISNUMBER(SEARCH("tin cat",E487))),"Live Catch Traps",
OR(ISNUMBER(SEARCH("bait",E487)),ISNUMBER(SEARCH("poison",E487))),"Bait &amp; Poison",
ISNUMBER(SEARCH("repellent",E487)),"Repellents",
OR(ISNUMBER(SEARCH("fly trap",E487)),ISNUMBER(SEARCH("fly ribbon",E487)),ISNUMBER(SEARCH("fly stick",E487)),ISNUMBER(SEARCH("window fly",E487)),ISNUMBER(SEARCH("fly magnet",E487))),"Fly Traps",
OR(ISNUMBER(SEARCH("uv",E487)),ISNUMBER(SEARCH("fly light",E487)),ISNUMBER(SEARCH("plug-in",E487))),"UV Fly Traps",
ISNUMBER(SEARCH("roach",E487)),"Roach Traps",
ISNUMBER(SEARCH("ant",E487)),"Ant Traps",
ISNUMBER(SEARCH("spider",E487)),"Spider Traps",
ISNUMBER(SEARCH("mosquito",E487)),"Mosquito Traps",
ISNUMBER(SEARCH("beetle",E487)),"Beetle Traps",
ISNUMBER(SEARCH("lantern",E487)),"Lanternfly Control",
OR(ISNUMBER(SEARCH("tree shield",E487)),ISNUMBER(SEARCH("tree banding",E487)),ISNUMBER(SEARCH("insect barrier",E487))),"Tree Barriers",
OR(ISNUMBER(SEARCH("sun &amp; shade",E487)),ISNUMBER(SEARCH("sun and shade",E487))),"Sun &amp; Shade Mix",
ISNUMBER(SEARCH("tall fescue",E487)),"Tall Fescue",
ISNUMBER(SEARCH("bermudagrass",E487)),"Bermudagrass",
ISNUMBER(SEARCH("kentucky",E487)),"Kentucky Bluegrass",
ISNUMBER(SEARCH("zoysia",E487)),"Zoysia",
ISNUMBER(SEARCH("ryegrass",E487)),"Perennial Ryegrass",
ISNUMBER(SEARCH("centipede",E487)),"Centipede Grass",
ISNUMBER(SEARCH("dense shade",E487)),"Dense Shade Mix",
ISNUMBER(SEARCH("southern gold",E487)),"Southern Gold Mix",
ISNUMBER(SEARCH("heat-tolerant blue",E487)),"Heat-Tolerant Blue Mix",
ISNUMBER(SEARCH("high traffic",E487)),"High Traffic Mix",
ISNUMBER(SEARCH("quick fix",E487)),"Quick Fix Mix",
ISNUMBER(SEARCH("starter",E487)),"Starter Fertilizer",
ISNUMBER(SEARCH("weed &amp; feed",E487)),"Weed &amp; Feed",
ISNUMBER(SEARCH("lawn food",E487)),"Lawn Food",
ISNUMBER(SEARCH("triple action",E487)),"Triple Action Fertilizer",
ISNUMBER(SEARCH("green max",E487)),"Green Max Lawn Food",
ISNUMBER(SEARCH("patchmaster",E487)),"PatchMaster Repair",
ISNUMBER(SEARCH("ez seed",E487)),"EZ Seed Repair",
ISNUMBER(SEARCH("rapid grass",E487)),"Rapid Grass",
ISNUMBER(SEARCH("thick'r lawn",E487)),"Thick'R Lawn",
ISNUMBER(SEARCH("fungicide",E487)),"Fungicide",
ISNUMBER(SEARCH("moss",E487)),"Moss Control",
ISNUMBER(SEARCH("perlite",E487)),"Perlite",
ISNUMBER(SEARCH("plant food",E487)),"Plant Food",
ISNUMBER(SEARCH("spreader",E487)),"Spreader",
ISNUMBER(SEARCH("sprayer",E487)),"Sprayer",
ISNUMBER(SEARCH("mower",E487)),"Lawn Mower",
ISNUMBER(SEARCH("sweeper",E487)),"Lawn Sweeper",
OR(ISNUMBER(SEARCH("pruner",E487)),ISNUMBER(SEARCH("trimmer",E487)),ISNUMBER(SEARCH("pole saw",E487))),"Pruning Tools",
TRUE,"Other"
)</f>
        <v>Glue Traps</v>
      </c>
      <c r="J487" s="7" t="str">
        <f t="shared" si="124"/>
        <v>Rodent Control - Glue Traps</v>
      </c>
      <c r="K487" s="4">
        <v>500</v>
      </c>
      <c r="L487" s="4">
        <v>4.5</v>
      </c>
      <c r="M487" s="4">
        <v>908</v>
      </c>
      <c r="N487" s="4">
        <v>0</v>
      </c>
      <c r="O487" s="4">
        <f>VLOOKUP(A487,[7]Sheet1!$A:$M,2,0)</f>
        <v>400</v>
      </c>
      <c r="P487" s="4">
        <f>VLOOKUP(A487,[7]Sheet1!$A:$M,3,0)</f>
        <v>300</v>
      </c>
      <c r="Q487" s="4">
        <f>VLOOKUP(A487,[7]Sheet1!$A:$M,4,0)</f>
        <v>400</v>
      </c>
      <c r="R487" s="4">
        <f>VLOOKUP(A487,[7]Sheet1!$A:$M,5,0)</f>
        <v>400</v>
      </c>
      <c r="S487" s="4">
        <f>VLOOKUP(A487,[7]Sheet1!$A:$M,6,0)</f>
        <v>400</v>
      </c>
      <c r="T487" s="4">
        <f>VLOOKUP(A487,[7]Sheet1!$A:$M,7,0)</f>
        <v>400</v>
      </c>
      <c r="U487" s="4">
        <f>VLOOKUP(A487,[7]Sheet1!$A:$M,8,0)</f>
        <v>300</v>
      </c>
      <c r="V487" s="4">
        <f>VLOOKUP(A487,[7]Sheet1!$A:$M,9,0)</f>
        <v>400</v>
      </c>
      <c r="W487" s="4">
        <f>VLOOKUP(A487,[7]Sheet1!$A:$M,10,0)</f>
        <v>500</v>
      </c>
      <c r="X487" s="4">
        <f>VLOOKUP(A487,[7]Sheet1!$A:$M,11,0)</f>
        <v>500</v>
      </c>
      <c r="Y487" s="4">
        <f>VLOOKUP(A487,[7]Sheet1!$A:$M,12,0)</f>
        <v>400</v>
      </c>
      <c r="Z487" s="4">
        <f>VLOOKUP(A487,[7]Sheet1!$A:$M,13,0)</f>
        <v>200</v>
      </c>
      <c r="AA487" s="4">
        <f t="shared" si="118"/>
        <v>4600</v>
      </c>
      <c r="AB487" s="7">
        <f t="shared" si="125"/>
        <v>383</v>
      </c>
      <c r="AC487" s="15">
        <f t="shared" si="119"/>
        <v>383.33333333333331</v>
      </c>
      <c r="AD487" s="16">
        <f t="shared" si="120"/>
        <v>41400</v>
      </c>
      <c r="AE487" s="16">
        <f t="shared" si="121"/>
        <v>3450</v>
      </c>
      <c r="AF487" s="21">
        <v>3.5</v>
      </c>
      <c r="AG487" s="21">
        <v>9</v>
      </c>
      <c r="AH487" s="15">
        <f t="shared" si="134"/>
        <v>-6.0000000000000046E-2</v>
      </c>
      <c r="AI487" s="15">
        <f t="shared" si="135"/>
        <v>-0.21000000000000013</v>
      </c>
      <c r="AJ487" s="10">
        <v>0.5</v>
      </c>
      <c r="AK487" s="10">
        <v>0.5</v>
      </c>
      <c r="AL487" s="21">
        <v>3.5</v>
      </c>
      <c r="AM487" s="9">
        <f t="shared" si="126"/>
        <v>1.3499999999999999</v>
      </c>
      <c r="AN487" s="9">
        <f t="shared" si="127"/>
        <v>0.27</v>
      </c>
      <c r="AO487" s="9">
        <f t="shared" si="128"/>
        <v>1.8</v>
      </c>
      <c r="AP487" s="9">
        <f t="shared" si="129"/>
        <v>0.18</v>
      </c>
      <c r="AQ487" s="9">
        <f t="shared" si="130"/>
        <v>1.8</v>
      </c>
      <c r="AR487" s="9">
        <f t="shared" si="131"/>
        <v>2.25</v>
      </c>
      <c r="AS487" s="11">
        <f t="shared" si="132"/>
        <v>-0.60000000000000042</v>
      </c>
      <c r="AT487" s="12">
        <f t="shared" si="133"/>
        <v>-0.90000000000000036</v>
      </c>
    </row>
    <row r="488" spans="1:46" ht="16.5" x14ac:dyDescent="0.4">
      <c r="A488" s="4" t="s">
        <v>2198</v>
      </c>
      <c r="B488" s="4" t="s">
        <v>2236</v>
      </c>
      <c r="C488" s="4" t="s">
        <v>2236</v>
      </c>
      <c r="D488" s="4" t="s">
        <v>2260</v>
      </c>
      <c r="E488" s="4" t="s">
        <v>2261</v>
      </c>
      <c r="F488" s="4" t="s">
        <v>2262</v>
      </c>
      <c r="G488" s="7" t="str">
        <f>VLOOKUP(A488,[1]done!$A:$I,9,0)</f>
        <v>Other crawling insects</v>
      </c>
      <c r="H488" s="7" t="str" cm="1">
        <f t="array" ref="H488">_xlfn.IFS(
OR(ISNUMBER(SEARCH("mouse",E488)),ISNUMBER(SEARCH("rat",E488)),ISNUMBER(SEARCH("mice",E488)),ISNUMBER(SEARCH("rodent",E488))),"Rodent Control",
OR(ISNUMBER(SEARCH("fly",E488)),ISNUMBER(SEARCH("gnat",E488)),ISNUMBER(SEARCH("insect",E488)),ISNUMBER(SEARCH("mosquito",E488))),"Flying Insect Control",
OR(ISNUMBER(SEARCH("roach",E488)),ISNUMBER(SEARCH("ant",E488)),ISNUMBER(SEARCH("spider",E488)),ISNUMBER(SEARCH("cricket",E488)),ISNUMBER(SEARCH("scorpion",E488)),ISNUMBER(SEARCH("centipede",E488)),ISNUMBER(SEARCH("beetle",E488))),"Crawling Insect Control",
OR(ISNUMBER(SEARCH("tree",E488)),ISNUMBER(SEARCH("lantern",E488)),ISNUMBER(SEARCH("garden",E488)),ISNUMBER(SEARCH("plant",E488))),"Garden Pest Control",
OR(ISNUMBER(SEARCH("grass seed",E488)),ISNUMBER(SEARCH("seed mix",E488))),"Grass Seed",
OR(ISNUMBER(SEARCH("lawn food",E488)),ISNUMBER(SEARCH("fertilizer",E488))),"Lawn Fertilizer",
OR(ISNUMBER(SEARCH("patch",E488)),ISNUMBER(SEARCH("repair",E488)),ISNUMBER(SEARCH("thick'r",E488)),ISNUMBER(SEARCH("thick'r lawn",E488)),ISNUMBER(SEARCH("rapid grass",E488))),"Lawn Repair",
OR(ISNUMBER(SEARCH("weed",E488)),ISNUMBER(SEARCH("crabgrass",E488))),"Weed Control",
OR(ISNUMBER(SEARCH("fungicide",E488)),ISNUMBER(SEARCH("moss",E488))),"Disease &amp; Moss Control",
OR(ISNUMBER(SEARCH("plant food",E488)),ISNUMBER(SEARCH("miracid",E488))),"Plant Nutrition",
OR(ISNUMBER(SEARCH("perlite",E488))),"Soil Amendment",
OR(ISNUMBER(SEARCH("spreader",E488)),ISNUMBER(SEARCH("sprayer",E488)),ISNUMBER(SEARCH("mower",E488)),ISNUMBER(SEARCH("sweeper",E488)),ISNUMBER(SEARCH("pruner",E488)),ISNUMBER(SEARCH("trimmer",E488)),ISNUMBER(SEARCH("pole saw",E488))),"Garden Equipment",
TRUE,"Other"
)</f>
        <v>Crawling Insect Control</v>
      </c>
      <c r="I488" s="7" t="str" cm="1">
        <f t="array" ref="I488">_xlfn.IFS(
OR(ISNUMBER(SEARCH("glue trap",E488)),ISNUMBER(SEARCH("glue board",E488))),"Glue Traps",
OR(ISNUMBER(SEARCH("snap trap",E488)),ISNUMBER(SEARCH("power-kill",E488)),ISNUMBER(SEARCH("wide pedal",E488)),ISNUMBER(SEARCH("metal pedal",E488))),"Snap Traps",
OR(ISNUMBER(SEARCH("electronic",E488)),ISNUMBER(SEARCH("zapper",E488))),"Electronic Traps",
OR(ISNUMBER(SEARCH("live catch",E488)),ISNUMBER(SEARCH("multi-catch",E488)),ISNUMBER(SEARCH("catch &amp; hold",E488)),ISNUMBER(SEARCH("tin cat",E488))),"Live Catch Traps",
OR(ISNUMBER(SEARCH("bait",E488)),ISNUMBER(SEARCH("poison",E488))),"Bait &amp; Poison",
ISNUMBER(SEARCH("repellent",E488)),"Repellents",
OR(ISNUMBER(SEARCH("fly trap",E488)),ISNUMBER(SEARCH("fly ribbon",E488)),ISNUMBER(SEARCH("fly stick",E488)),ISNUMBER(SEARCH("window fly",E488)),ISNUMBER(SEARCH("fly magnet",E488))),"Fly Traps",
OR(ISNUMBER(SEARCH("uv",E488)),ISNUMBER(SEARCH("fly light",E488)),ISNUMBER(SEARCH("plug-in",E488))),"UV Fly Traps",
ISNUMBER(SEARCH("roach",E488)),"Roach Traps",
ISNUMBER(SEARCH("ant",E488)),"Ant Traps",
ISNUMBER(SEARCH("spider",E488)),"Spider Traps",
ISNUMBER(SEARCH("mosquito",E488)),"Mosquito Traps",
ISNUMBER(SEARCH("beetle",E488)),"Beetle Traps",
ISNUMBER(SEARCH("lantern",E488)),"Lanternfly Control",
OR(ISNUMBER(SEARCH("tree shield",E488)),ISNUMBER(SEARCH("tree banding",E488)),ISNUMBER(SEARCH("insect barrier",E488))),"Tree Barriers",
OR(ISNUMBER(SEARCH("sun &amp; shade",E488)),ISNUMBER(SEARCH("sun and shade",E488))),"Sun &amp; Shade Mix",
ISNUMBER(SEARCH("tall fescue",E488)),"Tall Fescue",
ISNUMBER(SEARCH("bermudagrass",E488)),"Bermudagrass",
ISNUMBER(SEARCH("kentucky",E488)),"Kentucky Bluegrass",
ISNUMBER(SEARCH("zoysia",E488)),"Zoysia",
ISNUMBER(SEARCH("ryegrass",E488)),"Perennial Ryegrass",
ISNUMBER(SEARCH("centipede",E488)),"Centipede Grass",
ISNUMBER(SEARCH("dense shade",E488)),"Dense Shade Mix",
ISNUMBER(SEARCH("southern gold",E488)),"Southern Gold Mix",
ISNUMBER(SEARCH("heat-tolerant blue",E488)),"Heat-Tolerant Blue Mix",
ISNUMBER(SEARCH("high traffic",E488)),"High Traffic Mix",
ISNUMBER(SEARCH("quick fix",E488)),"Quick Fix Mix",
ISNUMBER(SEARCH("starter",E488)),"Starter Fertilizer",
ISNUMBER(SEARCH("weed &amp; feed",E488)),"Weed &amp; Feed",
ISNUMBER(SEARCH("lawn food",E488)),"Lawn Food",
ISNUMBER(SEARCH("triple action",E488)),"Triple Action Fertilizer",
ISNUMBER(SEARCH("green max",E488)),"Green Max Lawn Food",
ISNUMBER(SEARCH("patchmaster",E488)),"PatchMaster Repair",
ISNUMBER(SEARCH("ez seed",E488)),"EZ Seed Repair",
ISNUMBER(SEARCH("rapid grass",E488)),"Rapid Grass",
ISNUMBER(SEARCH("thick'r lawn",E488)),"Thick'R Lawn",
ISNUMBER(SEARCH("fungicide",E488)),"Fungicide",
ISNUMBER(SEARCH("moss",E488)),"Moss Control",
ISNUMBER(SEARCH("perlite",E488)),"Perlite",
ISNUMBER(SEARCH("plant food",E488)),"Plant Food",
ISNUMBER(SEARCH("spreader",E488)),"Spreader",
ISNUMBER(SEARCH("sprayer",E488)),"Sprayer",
ISNUMBER(SEARCH("mower",E488)),"Lawn Mower",
ISNUMBER(SEARCH("sweeper",E488)),"Lawn Sweeper",
OR(ISNUMBER(SEARCH("pruner",E488)),ISNUMBER(SEARCH("trimmer",E488)),ISNUMBER(SEARCH("pole saw",E488))),"Pruning Tools",
TRUE,"Other"
)</f>
        <v>Glue Traps</v>
      </c>
      <c r="J488" s="7" t="str">
        <f t="shared" si="124"/>
        <v>Crawling Insect Control - Glue Traps</v>
      </c>
      <c r="K488" s="4">
        <v>500</v>
      </c>
      <c r="L488" s="4">
        <v>4.7</v>
      </c>
      <c r="M488" s="4">
        <v>826</v>
      </c>
      <c r="N488" s="4">
        <v>0</v>
      </c>
      <c r="O488" s="4">
        <f>VLOOKUP(A488,[7]Sheet1!$A:$M,2,0)</f>
        <v>100</v>
      </c>
      <c r="P488" s="4">
        <f>VLOOKUP(A488,[7]Sheet1!$A:$M,3,0)</f>
        <v>60</v>
      </c>
      <c r="Q488" s="4">
        <f>VLOOKUP(A488,[7]Sheet1!$A:$M,4,0)</f>
        <v>100</v>
      </c>
      <c r="R488" s="4">
        <f>VLOOKUP(A488,[7]Sheet1!$A:$M,5,0)</f>
        <v>100</v>
      </c>
      <c r="S488" s="4">
        <f>VLOOKUP(A488,[7]Sheet1!$A:$M,6,0)</f>
        <v>200</v>
      </c>
      <c r="T488" s="4">
        <f>VLOOKUP(A488,[7]Sheet1!$A:$M,7,0)</f>
        <v>200</v>
      </c>
      <c r="U488" s="4">
        <f>VLOOKUP(A488,[7]Sheet1!$A:$M,8,0)</f>
        <v>200</v>
      </c>
      <c r="V488" s="4">
        <f>VLOOKUP(A488,[7]Sheet1!$A:$M,9,0)</f>
        <v>200</v>
      </c>
      <c r="W488" s="4">
        <f>VLOOKUP(A488,[7]Sheet1!$A:$M,10,0)</f>
        <v>500</v>
      </c>
      <c r="X488" s="4">
        <f>VLOOKUP(A488,[7]Sheet1!$A:$M,11,0)</f>
        <v>500</v>
      </c>
      <c r="Y488" s="4">
        <f>VLOOKUP(A488,[7]Sheet1!$A:$M,12,0)</f>
        <v>400</v>
      </c>
      <c r="Z488" s="4">
        <f>VLOOKUP(A488,[7]Sheet1!$A:$M,13,0)</f>
        <v>300</v>
      </c>
      <c r="AA488" s="4">
        <f t="shared" si="118"/>
        <v>2860</v>
      </c>
      <c r="AB488" s="7">
        <f t="shared" si="125"/>
        <v>238</v>
      </c>
      <c r="AC488" s="15">
        <f t="shared" si="119"/>
        <v>238.33333333333334</v>
      </c>
      <c r="AD488" s="16">
        <f t="shared" si="120"/>
        <v>71585.8</v>
      </c>
      <c r="AE488" s="16">
        <f t="shared" si="121"/>
        <v>5965.4833333333336</v>
      </c>
      <c r="AF488" s="21">
        <v>7.3</v>
      </c>
      <c r="AG488" s="21">
        <v>25.03</v>
      </c>
      <c r="AH488" s="15">
        <f t="shared" si="134"/>
        <v>0.11413333333333338</v>
      </c>
      <c r="AI488" s="15">
        <f t="shared" si="135"/>
        <v>0.3994666666666668</v>
      </c>
      <c r="AJ488" s="10">
        <v>0.5</v>
      </c>
      <c r="AK488" s="10">
        <v>0.5</v>
      </c>
      <c r="AL488" s="21">
        <v>7.3</v>
      </c>
      <c r="AM488" s="9">
        <f t="shared" si="126"/>
        <v>3.7545000000000002</v>
      </c>
      <c r="AN488" s="9">
        <f t="shared" si="127"/>
        <v>0.75090000000000001</v>
      </c>
      <c r="AO488" s="9">
        <f t="shared" si="128"/>
        <v>5.0060000000000002</v>
      </c>
      <c r="AP488" s="9">
        <f t="shared" si="129"/>
        <v>0.50060000000000004</v>
      </c>
      <c r="AQ488" s="9">
        <f t="shared" si="130"/>
        <v>5.0060000000000002</v>
      </c>
      <c r="AR488" s="9">
        <f t="shared" si="131"/>
        <v>6.2575000000000003</v>
      </c>
      <c r="AS488" s="11">
        <f t="shared" si="132"/>
        <v>1.1413333333333338</v>
      </c>
      <c r="AT488" s="12">
        <f t="shared" si="133"/>
        <v>0.30700000000000038</v>
      </c>
    </row>
    <row r="489" spans="1:46" ht="16.5" x14ac:dyDescent="0.4">
      <c r="A489" s="4" t="s">
        <v>2199</v>
      </c>
      <c r="B489" s="4" t="s">
        <v>2236</v>
      </c>
      <c r="C489" s="4" t="s">
        <v>2263</v>
      </c>
      <c r="D489" s="4" t="s">
        <v>2264</v>
      </c>
      <c r="E489" s="4" t="s">
        <v>2265</v>
      </c>
      <c r="F489" s="4" t="s">
        <v>2266</v>
      </c>
      <c r="G489" s="7" t="str">
        <f>VLOOKUP(A489,[1]done!$A:$I,9,0)</f>
        <v>Rodent</v>
      </c>
      <c r="H489" s="7" t="str" cm="1">
        <f t="array" ref="H489">_xlfn.IFS(
OR(ISNUMBER(SEARCH("mouse",E489)),ISNUMBER(SEARCH("rat",E489)),ISNUMBER(SEARCH("mice",E489)),ISNUMBER(SEARCH("rodent",E489))),"Rodent Control",
OR(ISNUMBER(SEARCH("fly",E489)),ISNUMBER(SEARCH("gnat",E489)),ISNUMBER(SEARCH("insect",E489)),ISNUMBER(SEARCH("mosquito",E489))),"Flying Insect Control",
OR(ISNUMBER(SEARCH("roach",E489)),ISNUMBER(SEARCH("ant",E489)),ISNUMBER(SEARCH("spider",E489)),ISNUMBER(SEARCH("cricket",E489)),ISNUMBER(SEARCH("scorpion",E489)),ISNUMBER(SEARCH("centipede",E489)),ISNUMBER(SEARCH("beetle",E489))),"Crawling Insect Control",
OR(ISNUMBER(SEARCH("tree",E489)),ISNUMBER(SEARCH("lantern",E489)),ISNUMBER(SEARCH("garden",E489)),ISNUMBER(SEARCH("plant",E489))),"Garden Pest Control",
OR(ISNUMBER(SEARCH("grass seed",E489)),ISNUMBER(SEARCH("seed mix",E489))),"Grass Seed",
OR(ISNUMBER(SEARCH("lawn food",E489)),ISNUMBER(SEARCH("fertilizer",E489))),"Lawn Fertilizer",
OR(ISNUMBER(SEARCH("patch",E489)),ISNUMBER(SEARCH("repair",E489)),ISNUMBER(SEARCH("thick'r",E489)),ISNUMBER(SEARCH("thick'r lawn",E489)),ISNUMBER(SEARCH("rapid grass",E489))),"Lawn Repair",
OR(ISNUMBER(SEARCH("weed",E489)),ISNUMBER(SEARCH("crabgrass",E489))),"Weed Control",
OR(ISNUMBER(SEARCH("fungicide",E489)),ISNUMBER(SEARCH("moss",E489))),"Disease &amp; Moss Control",
OR(ISNUMBER(SEARCH("plant food",E489)),ISNUMBER(SEARCH("miracid",E489))),"Plant Nutrition",
OR(ISNUMBER(SEARCH("perlite",E489))),"Soil Amendment",
OR(ISNUMBER(SEARCH("spreader",E489)),ISNUMBER(SEARCH("sprayer",E489)),ISNUMBER(SEARCH("mower",E489)),ISNUMBER(SEARCH("sweeper",E489)),ISNUMBER(SEARCH("pruner",E489)),ISNUMBER(SEARCH("trimmer",E489)),ISNUMBER(SEARCH("pole saw",E489))),"Garden Equipment",
TRUE,"Other"
)</f>
        <v>Rodent Control</v>
      </c>
      <c r="I489" s="7" t="str" cm="1">
        <f t="array" ref="I489">_xlfn.IFS(
OR(ISNUMBER(SEARCH("glue trap",E489)),ISNUMBER(SEARCH("glue board",E489))),"Glue Traps",
OR(ISNUMBER(SEARCH("snap trap",E489)),ISNUMBER(SEARCH("power-kill",E489)),ISNUMBER(SEARCH("wide pedal",E489)),ISNUMBER(SEARCH("metal pedal",E489))),"Snap Traps",
OR(ISNUMBER(SEARCH("electronic",E489)),ISNUMBER(SEARCH("zapper",E489))),"Electronic Traps",
OR(ISNUMBER(SEARCH("live catch",E489)),ISNUMBER(SEARCH("multi-catch",E489)),ISNUMBER(SEARCH("catch &amp; hold",E489)),ISNUMBER(SEARCH("tin cat",E489))),"Live Catch Traps",
OR(ISNUMBER(SEARCH("bait",E489)),ISNUMBER(SEARCH("poison",E489))),"Bait &amp; Poison",
ISNUMBER(SEARCH("repellent",E489)),"Repellents",
OR(ISNUMBER(SEARCH("fly trap",E489)),ISNUMBER(SEARCH("fly ribbon",E489)),ISNUMBER(SEARCH("fly stick",E489)),ISNUMBER(SEARCH("window fly",E489)),ISNUMBER(SEARCH("fly magnet",E489))),"Fly Traps",
OR(ISNUMBER(SEARCH("uv",E489)),ISNUMBER(SEARCH("fly light",E489)),ISNUMBER(SEARCH("plug-in",E489))),"UV Fly Traps",
ISNUMBER(SEARCH("roach",E489)),"Roach Traps",
ISNUMBER(SEARCH("ant",E489)),"Ant Traps",
ISNUMBER(SEARCH("spider",E489)),"Spider Traps",
ISNUMBER(SEARCH("mosquito",E489)),"Mosquito Traps",
ISNUMBER(SEARCH("beetle",E489)),"Beetle Traps",
ISNUMBER(SEARCH("lantern",E489)),"Lanternfly Control",
OR(ISNUMBER(SEARCH("tree shield",E489)),ISNUMBER(SEARCH("tree banding",E489)),ISNUMBER(SEARCH("insect barrier",E489))),"Tree Barriers",
OR(ISNUMBER(SEARCH("sun &amp; shade",E489)),ISNUMBER(SEARCH("sun and shade",E489))),"Sun &amp; Shade Mix",
ISNUMBER(SEARCH("tall fescue",E489)),"Tall Fescue",
ISNUMBER(SEARCH("bermudagrass",E489)),"Bermudagrass",
ISNUMBER(SEARCH("kentucky",E489)),"Kentucky Bluegrass",
ISNUMBER(SEARCH("zoysia",E489)),"Zoysia",
ISNUMBER(SEARCH("ryegrass",E489)),"Perennial Ryegrass",
ISNUMBER(SEARCH("centipede",E489)),"Centipede Grass",
ISNUMBER(SEARCH("dense shade",E489)),"Dense Shade Mix",
ISNUMBER(SEARCH("southern gold",E489)),"Southern Gold Mix",
ISNUMBER(SEARCH("heat-tolerant blue",E489)),"Heat-Tolerant Blue Mix",
ISNUMBER(SEARCH("high traffic",E489)),"High Traffic Mix",
ISNUMBER(SEARCH("quick fix",E489)),"Quick Fix Mix",
ISNUMBER(SEARCH("starter",E489)),"Starter Fertilizer",
ISNUMBER(SEARCH("weed &amp; feed",E489)),"Weed &amp; Feed",
ISNUMBER(SEARCH("lawn food",E489)),"Lawn Food",
ISNUMBER(SEARCH("triple action",E489)),"Triple Action Fertilizer",
ISNUMBER(SEARCH("green max",E489)),"Green Max Lawn Food",
ISNUMBER(SEARCH("patchmaster",E489)),"PatchMaster Repair",
ISNUMBER(SEARCH("ez seed",E489)),"EZ Seed Repair",
ISNUMBER(SEARCH("rapid grass",E489)),"Rapid Grass",
ISNUMBER(SEARCH("thick'r lawn",E489)),"Thick'R Lawn",
ISNUMBER(SEARCH("fungicide",E489)),"Fungicide",
ISNUMBER(SEARCH("moss",E489)),"Moss Control",
ISNUMBER(SEARCH("perlite",E489)),"Perlite",
ISNUMBER(SEARCH("plant food",E489)),"Plant Food",
ISNUMBER(SEARCH("spreader",E489)),"Spreader",
ISNUMBER(SEARCH("sprayer",E489)),"Sprayer",
ISNUMBER(SEARCH("mower",E489)),"Lawn Mower",
ISNUMBER(SEARCH("sweeper",E489)),"Lawn Sweeper",
OR(ISNUMBER(SEARCH("pruner",E489)),ISNUMBER(SEARCH("trimmer",E489)),ISNUMBER(SEARCH("pole saw",E489))),"Pruning Tools",
TRUE,"Other"
)</f>
        <v>Bait &amp; Poison</v>
      </c>
      <c r="J489" s="7" t="str">
        <f t="shared" si="124"/>
        <v>Rodent Control - Bait &amp; Poison</v>
      </c>
      <c r="K489" s="4">
        <v>400</v>
      </c>
      <c r="L489" s="4">
        <v>4.4000000000000004</v>
      </c>
      <c r="M489" s="4">
        <v>8422</v>
      </c>
      <c r="N489" s="4" t="s">
        <v>2377</v>
      </c>
      <c r="O489" s="4">
        <f>VLOOKUP(A489,[7]Sheet1!$A:$M,2,0)</f>
        <v>1000</v>
      </c>
      <c r="P489" s="4">
        <f>VLOOKUP(A489,[7]Sheet1!$A:$M,3,0)</f>
        <v>1000</v>
      </c>
      <c r="Q489" s="4">
        <f>VLOOKUP(A489,[7]Sheet1!$A:$M,4,0)</f>
        <v>700</v>
      </c>
      <c r="R489" s="4">
        <f>VLOOKUP(A489,[7]Sheet1!$A:$M,5,0)</f>
        <v>800</v>
      </c>
      <c r="S489" s="4">
        <f>VLOOKUP(A489,[7]Sheet1!$A:$M,6,0)</f>
        <v>800</v>
      </c>
      <c r="T489" s="4">
        <f>VLOOKUP(A489,[7]Sheet1!$A:$M,7,0)</f>
        <v>1000</v>
      </c>
      <c r="U489" s="4">
        <f>VLOOKUP(A489,[7]Sheet1!$A:$M,8,0)</f>
        <v>1000</v>
      </c>
      <c r="V489" s="4">
        <f>VLOOKUP(A489,[7]Sheet1!$A:$M,9,0)</f>
        <v>1000</v>
      </c>
      <c r="W489" s="4">
        <f>VLOOKUP(A489,[7]Sheet1!$A:$M,10,0)</f>
        <v>1000</v>
      </c>
      <c r="X489" s="4">
        <f>VLOOKUP(A489,[7]Sheet1!$A:$M,11,0)</f>
        <v>2000</v>
      </c>
      <c r="Y489" s="4">
        <f>VLOOKUP(A489,[7]Sheet1!$A:$M,12,0)</f>
        <v>1000</v>
      </c>
      <c r="Z489" s="4">
        <f>VLOOKUP(A489,[7]Sheet1!$A:$M,13,0)</f>
        <v>1000</v>
      </c>
      <c r="AA489" s="4">
        <f t="shared" si="118"/>
        <v>12300</v>
      </c>
      <c r="AB489" s="7">
        <f t="shared" si="125"/>
        <v>1025</v>
      </c>
      <c r="AC489" s="15">
        <f t="shared" si="119"/>
        <v>1025</v>
      </c>
      <c r="AD489" s="16">
        <f t="shared" si="120"/>
        <v>507621.00000000006</v>
      </c>
      <c r="AE489" s="16">
        <f t="shared" si="121"/>
        <v>42301.75</v>
      </c>
      <c r="AF489" s="21">
        <v>13.03</v>
      </c>
      <c r="AG489" s="21">
        <v>41.27</v>
      </c>
      <c r="AH489" s="15">
        <f t="shared" si="134"/>
        <v>0.16520000000000001</v>
      </c>
      <c r="AI489" s="15">
        <f t="shared" si="135"/>
        <v>0.57819999999999994</v>
      </c>
      <c r="AJ489" s="10">
        <v>0.5</v>
      </c>
      <c r="AK489" s="10">
        <v>0.5</v>
      </c>
      <c r="AL489" s="21">
        <v>13.03</v>
      </c>
      <c r="AM489" s="9">
        <f t="shared" si="126"/>
        <v>6.1905000000000001</v>
      </c>
      <c r="AN489" s="9">
        <f t="shared" si="127"/>
        <v>1.2381</v>
      </c>
      <c r="AO489" s="9">
        <f t="shared" si="128"/>
        <v>8.2540000000000013</v>
      </c>
      <c r="AP489" s="9">
        <f t="shared" si="129"/>
        <v>0.82540000000000013</v>
      </c>
      <c r="AQ489" s="9">
        <f t="shared" si="130"/>
        <v>8.2540000000000013</v>
      </c>
      <c r="AR489" s="9">
        <f t="shared" si="131"/>
        <v>10.317500000000001</v>
      </c>
      <c r="AS489" s="11">
        <f t="shared" si="132"/>
        <v>1.6519999999999999</v>
      </c>
      <c r="AT489" s="12">
        <f t="shared" si="133"/>
        <v>0.27633333333333354</v>
      </c>
    </row>
    <row r="490" spans="1:46" ht="16.5" x14ac:dyDescent="0.4">
      <c r="A490" s="4" t="s">
        <v>2200</v>
      </c>
      <c r="B490" s="4" t="s">
        <v>2236</v>
      </c>
      <c r="C490" s="4" t="s">
        <v>2236</v>
      </c>
      <c r="D490" s="4" t="s">
        <v>2267</v>
      </c>
      <c r="E490" s="4" t="s">
        <v>2268</v>
      </c>
      <c r="F490" s="4" t="s">
        <v>2269</v>
      </c>
      <c r="G490" s="7" t="str">
        <f>VLOOKUP(A490,[1]done!$A:$I,9,0)</f>
        <v>Mosquito/Fly</v>
      </c>
      <c r="H490" s="7" t="str" cm="1">
        <f t="array" ref="H490">_xlfn.IFS(
OR(ISNUMBER(SEARCH("mouse",E490)),ISNUMBER(SEARCH("rat",E490)),ISNUMBER(SEARCH("mice",E490)),ISNUMBER(SEARCH("rodent",E490))),"Rodent Control",
OR(ISNUMBER(SEARCH("fly",E490)),ISNUMBER(SEARCH("gnat",E490)),ISNUMBER(SEARCH("insect",E490)),ISNUMBER(SEARCH("mosquito",E490))),"Flying Insect Control",
OR(ISNUMBER(SEARCH("roach",E490)),ISNUMBER(SEARCH("ant",E490)),ISNUMBER(SEARCH("spider",E490)),ISNUMBER(SEARCH("cricket",E490)),ISNUMBER(SEARCH("scorpion",E490)),ISNUMBER(SEARCH("centipede",E490)),ISNUMBER(SEARCH("beetle",E490))),"Crawling Insect Control",
OR(ISNUMBER(SEARCH("tree",E490)),ISNUMBER(SEARCH("lantern",E490)),ISNUMBER(SEARCH("garden",E490)),ISNUMBER(SEARCH("plant",E490))),"Garden Pest Control",
OR(ISNUMBER(SEARCH("grass seed",E490)),ISNUMBER(SEARCH("seed mix",E490))),"Grass Seed",
OR(ISNUMBER(SEARCH("lawn food",E490)),ISNUMBER(SEARCH("fertilizer",E490))),"Lawn Fertilizer",
OR(ISNUMBER(SEARCH("patch",E490)),ISNUMBER(SEARCH("repair",E490)),ISNUMBER(SEARCH("thick'r",E490)),ISNUMBER(SEARCH("thick'r lawn",E490)),ISNUMBER(SEARCH("rapid grass",E490))),"Lawn Repair",
OR(ISNUMBER(SEARCH("weed",E490)),ISNUMBER(SEARCH("crabgrass",E490))),"Weed Control",
OR(ISNUMBER(SEARCH("fungicide",E490)),ISNUMBER(SEARCH("moss",E490))),"Disease &amp; Moss Control",
OR(ISNUMBER(SEARCH("plant food",E490)),ISNUMBER(SEARCH("miracid",E490))),"Plant Nutrition",
OR(ISNUMBER(SEARCH("perlite",E490))),"Soil Amendment",
OR(ISNUMBER(SEARCH("spreader",E490)),ISNUMBER(SEARCH("sprayer",E490)),ISNUMBER(SEARCH("mower",E490)),ISNUMBER(SEARCH("sweeper",E490)),ISNUMBER(SEARCH("pruner",E490)),ISNUMBER(SEARCH("trimmer",E490)),ISNUMBER(SEARCH("pole saw",E490))),"Garden Equipment",
TRUE,"Other"
)</f>
        <v>Rodent Control</v>
      </c>
      <c r="I490" s="7" t="str" cm="1">
        <f t="array" ref="I490">_xlfn.IFS(
OR(ISNUMBER(SEARCH("glue trap",E490)),ISNUMBER(SEARCH("glue board",E490))),"Glue Traps",
OR(ISNUMBER(SEARCH("snap trap",E490)),ISNUMBER(SEARCH("power-kill",E490)),ISNUMBER(SEARCH("wide pedal",E490)),ISNUMBER(SEARCH("metal pedal",E490))),"Snap Traps",
OR(ISNUMBER(SEARCH("electronic",E490)),ISNUMBER(SEARCH("zapper",E490))),"Electronic Traps",
OR(ISNUMBER(SEARCH("live catch",E490)),ISNUMBER(SEARCH("multi-catch",E490)),ISNUMBER(SEARCH("catch &amp; hold",E490)),ISNUMBER(SEARCH("tin cat",E490))),"Live Catch Traps",
OR(ISNUMBER(SEARCH("bait",E490)),ISNUMBER(SEARCH("poison",E490))),"Bait &amp; Poison",
ISNUMBER(SEARCH("repellent",E490)),"Repellents",
OR(ISNUMBER(SEARCH("fly trap",E490)),ISNUMBER(SEARCH("fly ribbon",E490)),ISNUMBER(SEARCH("fly stick",E490)),ISNUMBER(SEARCH("window fly",E490)),ISNUMBER(SEARCH("fly magnet",E490))),"Fly Traps",
OR(ISNUMBER(SEARCH("uv",E490)),ISNUMBER(SEARCH("fly light",E490)),ISNUMBER(SEARCH("plug-in",E490))),"UV Fly Traps",
ISNUMBER(SEARCH("roach",E490)),"Roach Traps",
ISNUMBER(SEARCH("ant",E490)),"Ant Traps",
ISNUMBER(SEARCH("spider",E490)),"Spider Traps",
ISNUMBER(SEARCH("mosquito",E490)),"Mosquito Traps",
ISNUMBER(SEARCH("beetle",E490)),"Beetle Traps",
ISNUMBER(SEARCH("lantern",E490)),"Lanternfly Control",
OR(ISNUMBER(SEARCH("tree shield",E490)),ISNUMBER(SEARCH("tree banding",E490)),ISNUMBER(SEARCH("insect barrier",E490))),"Tree Barriers",
OR(ISNUMBER(SEARCH("sun &amp; shade",E490)),ISNUMBER(SEARCH("sun and shade",E490))),"Sun &amp; Shade Mix",
ISNUMBER(SEARCH("tall fescue",E490)),"Tall Fescue",
ISNUMBER(SEARCH("bermudagrass",E490)),"Bermudagrass",
ISNUMBER(SEARCH("kentucky",E490)),"Kentucky Bluegrass",
ISNUMBER(SEARCH("zoysia",E490)),"Zoysia",
ISNUMBER(SEARCH("ryegrass",E490)),"Perennial Ryegrass",
ISNUMBER(SEARCH("centipede",E490)),"Centipede Grass",
ISNUMBER(SEARCH("dense shade",E490)),"Dense Shade Mix",
ISNUMBER(SEARCH("southern gold",E490)),"Southern Gold Mix",
ISNUMBER(SEARCH("heat-tolerant blue",E490)),"Heat-Tolerant Blue Mix",
ISNUMBER(SEARCH("high traffic",E490)),"High Traffic Mix",
ISNUMBER(SEARCH("quick fix",E490)),"Quick Fix Mix",
ISNUMBER(SEARCH("starter",E490)),"Starter Fertilizer",
ISNUMBER(SEARCH("weed &amp; feed",E490)),"Weed &amp; Feed",
ISNUMBER(SEARCH("lawn food",E490)),"Lawn Food",
ISNUMBER(SEARCH("triple action",E490)),"Triple Action Fertilizer",
ISNUMBER(SEARCH("green max",E490)),"Green Max Lawn Food",
ISNUMBER(SEARCH("patchmaster",E490)),"PatchMaster Repair",
ISNUMBER(SEARCH("ez seed",E490)),"EZ Seed Repair",
ISNUMBER(SEARCH("rapid grass",E490)),"Rapid Grass",
ISNUMBER(SEARCH("thick'r lawn",E490)),"Thick'R Lawn",
ISNUMBER(SEARCH("fungicide",E490)),"Fungicide",
ISNUMBER(SEARCH("moss",E490)),"Moss Control",
ISNUMBER(SEARCH("perlite",E490)),"Perlite",
ISNUMBER(SEARCH("plant food",E490)),"Plant Food",
ISNUMBER(SEARCH("spreader",E490)),"Spreader",
ISNUMBER(SEARCH("sprayer",E490)),"Sprayer",
ISNUMBER(SEARCH("mower",E490)),"Lawn Mower",
ISNUMBER(SEARCH("sweeper",E490)),"Lawn Sweeper",
OR(ISNUMBER(SEARCH("pruner",E490)),ISNUMBER(SEARCH("trimmer",E490)),ISNUMBER(SEARCH("pole saw",E490))),"Pruning Tools",
TRUE,"Other"
)</f>
        <v>Fly Traps</v>
      </c>
      <c r="J490" s="7" t="str">
        <f t="shared" si="124"/>
        <v>Rodent Control - Fly Traps</v>
      </c>
      <c r="K490" s="4">
        <v>400</v>
      </c>
      <c r="L490" s="4">
        <v>3.8</v>
      </c>
      <c r="M490" s="4">
        <v>47</v>
      </c>
      <c r="N490" s="4" t="s">
        <v>1400</v>
      </c>
      <c r="O490" s="4">
        <f>VLOOKUP(A490,[7]Sheet1!$A:$M,2,0)</f>
        <v>0</v>
      </c>
      <c r="P490" s="4">
        <f>VLOOKUP(A490,[7]Sheet1!$A:$M,3,0)</f>
        <v>0</v>
      </c>
      <c r="Q490" s="4">
        <f>VLOOKUP(A490,[7]Sheet1!$A:$M,4,0)</f>
        <v>0</v>
      </c>
      <c r="R490" s="4">
        <f>VLOOKUP(A490,[7]Sheet1!$A:$M,5,0)</f>
        <v>0</v>
      </c>
      <c r="S490" s="4">
        <f>VLOOKUP(A490,[7]Sheet1!$A:$M,6,0)</f>
        <v>50</v>
      </c>
      <c r="T490" s="4">
        <f>VLOOKUP(A490,[7]Sheet1!$A:$M,7,0)</f>
        <v>100</v>
      </c>
      <c r="U490" s="4">
        <f>VLOOKUP(A490,[7]Sheet1!$A:$M,8,0)</f>
        <v>100</v>
      </c>
      <c r="V490" s="4">
        <f>VLOOKUP(A490,[7]Sheet1!$A:$M,9,0)</f>
        <v>200</v>
      </c>
      <c r="W490" s="4">
        <f>VLOOKUP(A490,[7]Sheet1!$A:$M,10,0)</f>
        <v>200</v>
      </c>
      <c r="X490" s="4">
        <f>VLOOKUP(A490,[7]Sheet1!$A:$M,11,0)</f>
        <v>0</v>
      </c>
      <c r="Y490" s="4">
        <f>VLOOKUP(A490,[7]Sheet1!$A:$M,12,0)</f>
        <v>0</v>
      </c>
      <c r="Z490" s="4">
        <f>VLOOKUP(A490,[7]Sheet1!$A:$M,13,0)</f>
        <v>0</v>
      </c>
      <c r="AA490" s="4">
        <f t="shared" si="118"/>
        <v>650</v>
      </c>
      <c r="AB490" s="7">
        <f t="shared" si="125"/>
        <v>54</v>
      </c>
      <c r="AC490" s="15">
        <f t="shared" si="119"/>
        <v>54.166666666666664</v>
      </c>
      <c r="AD490" s="16">
        <f t="shared" si="120"/>
        <v>6019</v>
      </c>
      <c r="AE490" s="16">
        <f t="shared" si="121"/>
        <v>501.58333333333331</v>
      </c>
      <c r="AF490" s="21">
        <v>3.5</v>
      </c>
      <c r="AG490" s="21">
        <v>9.26</v>
      </c>
      <c r="AH490" s="15">
        <f t="shared" si="134"/>
        <v>-5.3066666666666679E-2</v>
      </c>
      <c r="AI490" s="15">
        <f t="shared" si="135"/>
        <v>-0.18573333333333333</v>
      </c>
      <c r="AJ490" s="10">
        <v>0.5</v>
      </c>
      <c r="AK490" s="10">
        <v>0.5</v>
      </c>
      <c r="AL490" s="21">
        <v>3.5</v>
      </c>
      <c r="AM490" s="9">
        <f t="shared" si="126"/>
        <v>1.389</v>
      </c>
      <c r="AN490" s="9">
        <f t="shared" si="127"/>
        <v>0.27779999999999999</v>
      </c>
      <c r="AO490" s="9">
        <f t="shared" si="128"/>
        <v>1.8520000000000001</v>
      </c>
      <c r="AP490" s="9">
        <f t="shared" si="129"/>
        <v>0.1852</v>
      </c>
      <c r="AQ490" s="9">
        <f t="shared" si="130"/>
        <v>1.8520000000000001</v>
      </c>
      <c r="AR490" s="9">
        <f t="shared" si="131"/>
        <v>2.3149999999999999</v>
      </c>
      <c r="AS490" s="11">
        <f t="shared" si="132"/>
        <v>-0.53066666666666673</v>
      </c>
      <c r="AT490" s="12">
        <f t="shared" si="133"/>
        <v>-0.83933333333333326</v>
      </c>
    </row>
    <row r="491" spans="1:46" ht="16.5" x14ac:dyDescent="0.4">
      <c r="A491" s="4" t="s">
        <v>2201</v>
      </c>
      <c r="B491" s="4" t="s">
        <v>2236</v>
      </c>
      <c r="C491" s="4" t="s">
        <v>2247</v>
      </c>
      <c r="D491" s="4" t="s">
        <v>2270</v>
      </c>
      <c r="E491" s="4" t="s">
        <v>2271</v>
      </c>
      <c r="F491" s="4" t="s">
        <v>2272</v>
      </c>
      <c r="G491" s="7" t="str">
        <f>VLOOKUP(A491,[1]done!$A:$I,9,0)</f>
        <v>Rodent</v>
      </c>
      <c r="H491" s="7" t="str" cm="1">
        <f t="array" ref="H491">_xlfn.IFS(
OR(ISNUMBER(SEARCH("mouse",E491)),ISNUMBER(SEARCH("rat",E491)),ISNUMBER(SEARCH("mice",E491)),ISNUMBER(SEARCH("rodent",E491))),"Rodent Control",
OR(ISNUMBER(SEARCH("fly",E491)),ISNUMBER(SEARCH("gnat",E491)),ISNUMBER(SEARCH("insect",E491)),ISNUMBER(SEARCH("mosquito",E491))),"Flying Insect Control",
OR(ISNUMBER(SEARCH("roach",E491)),ISNUMBER(SEARCH("ant",E491)),ISNUMBER(SEARCH("spider",E491)),ISNUMBER(SEARCH("cricket",E491)),ISNUMBER(SEARCH("scorpion",E491)),ISNUMBER(SEARCH("centipede",E491)),ISNUMBER(SEARCH("beetle",E491))),"Crawling Insect Control",
OR(ISNUMBER(SEARCH("tree",E491)),ISNUMBER(SEARCH("lantern",E491)),ISNUMBER(SEARCH("garden",E491)),ISNUMBER(SEARCH("plant",E491))),"Garden Pest Control",
OR(ISNUMBER(SEARCH("grass seed",E491)),ISNUMBER(SEARCH("seed mix",E491))),"Grass Seed",
OR(ISNUMBER(SEARCH("lawn food",E491)),ISNUMBER(SEARCH("fertilizer",E491))),"Lawn Fertilizer",
OR(ISNUMBER(SEARCH("patch",E491)),ISNUMBER(SEARCH("repair",E491)),ISNUMBER(SEARCH("thick'r",E491)),ISNUMBER(SEARCH("thick'r lawn",E491)),ISNUMBER(SEARCH("rapid grass",E491))),"Lawn Repair",
OR(ISNUMBER(SEARCH("weed",E491)),ISNUMBER(SEARCH("crabgrass",E491))),"Weed Control",
OR(ISNUMBER(SEARCH("fungicide",E491)),ISNUMBER(SEARCH("moss",E491))),"Disease &amp; Moss Control",
OR(ISNUMBER(SEARCH("plant food",E491)),ISNUMBER(SEARCH("miracid",E491))),"Plant Nutrition",
OR(ISNUMBER(SEARCH("perlite",E491))),"Soil Amendment",
OR(ISNUMBER(SEARCH("spreader",E491)),ISNUMBER(SEARCH("sprayer",E491)),ISNUMBER(SEARCH("mower",E491)),ISNUMBER(SEARCH("sweeper",E491)),ISNUMBER(SEARCH("pruner",E491)),ISNUMBER(SEARCH("trimmer",E491)),ISNUMBER(SEARCH("pole saw",E491))),"Garden Equipment",
TRUE,"Other"
)</f>
        <v>Rodent Control</v>
      </c>
      <c r="I491" s="7" t="str" cm="1">
        <f t="array" ref="I491">_xlfn.IFS(
OR(ISNUMBER(SEARCH("glue trap",E491)),ISNUMBER(SEARCH("glue board",E491))),"Glue Traps",
OR(ISNUMBER(SEARCH("snap trap",E491)),ISNUMBER(SEARCH("power-kill",E491)),ISNUMBER(SEARCH("wide pedal",E491)),ISNUMBER(SEARCH("metal pedal",E491))),"Snap Traps",
OR(ISNUMBER(SEARCH("electronic",E491)),ISNUMBER(SEARCH("zapper",E491))),"Electronic Traps",
OR(ISNUMBER(SEARCH("live catch",E491)),ISNUMBER(SEARCH("multi-catch",E491)),ISNUMBER(SEARCH("catch &amp; hold",E491)),ISNUMBER(SEARCH("tin cat",E491))),"Live Catch Traps",
OR(ISNUMBER(SEARCH("bait",E491)),ISNUMBER(SEARCH("poison",E491))),"Bait &amp; Poison",
ISNUMBER(SEARCH("repellent",E491)),"Repellents",
OR(ISNUMBER(SEARCH("fly trap",E491)),ISNUMBER(SEARCH("fly ribbon",E491)),ISNUMBER(SEARCH("fly stick",E491)),ISNUMBER(SEARCH("window fly",E491)),ISNUMBER(SEARCH("fly magnet",E491))),"Fly Traps",
OR(ISNUMBER(SEARCH("uv",E491)),ISNUMBER(SEARCH("fly light",E491)),ISNUMBER(SEARCH("plug-in",E491))),"UV Fly Traps",
ISNUMBER(SEARCH("roach",E491)),"Roach Traps",
ISNUMBER(SEARCH("ant",E491)),"Ant Traps",
ISNUMBER(SEARCH("spider",E491)),"Spider Traps",
ISNUMBER(SEARCH("mosquito",E491)),"Mosquito Traps",
ISNUMBER(SEARCH("beetle",E491)),"Beetle Traps",
ISNUMBER(SEARCH("lantern",E491)),"Lanternfly Control",
OR(ISNUMBER(SEARCH("tree shield",E491)),ISNUMBER(SEARCH("tree banding",E491)),ISNUMBER(SEARCH("insect barrier",E491))),"Tree Barriers",
OR(ISNUMBER(SEARCH("sun &amp; shade",E491)),ISNUMBER(SEARCH("sun and shade",E491))),"Sun &amp; Shade Mix",
ISNUMBER(SEARCH("tall fescue",E491)),"Tall Fescue",
ISNUMBER(SEARCH("bermudagrass",E491)),"Bermudagrass",
ISNUMBER(SEARCH("kentucky",E491)),"Kentucky Bluegrass",
ISNUMBER(SEARCH("zoysia",E491)),"Zoysia",
ISNUMBER(SEARCH("ryegrass",E491)),"Perennial Ryegrass",
ISNUMBER(SEARCH("centipede",E491)),"Centipede Grass",
ISNUMBER(SEARCH("dense shade",E491)),"Dense Shade Mix",
ISNUMBER(SEARCH("southern gold",E491)),"Southern Gold Mix",
ISNUMBER(SEARCH("heat-tolerant blue",E491)),"Heat-Tolerant Blue Mix",
ISNUMBER(SEARCH("high traffic",E491)),"High Traffic Mix",
ISNUMBER(SEARCH("quick fix",E491)),"Quick Fix Mix",
ISNUMBER(SEARCH("starter",E491)),"Starter Fertilizer",
ISNUMBER(SEARCH("weed &amp; feed",E491)),"Weed &amp; Feed",
ISNUMBER(SEARCH("lawn food",E491)),"Lawn Food",
ISNUMBER(SEARCH("triple action",E491)),"Triple Action Fertilizer",
ISNUMBER(SEARCH("green max",E491)),"Green Max Lawn Food",
ISNUMBER(SEARCH("patchmaster",E491)),"PatchMaster Repair",
ISNUMBER(SEARCH("ez seed",E491)),"EZ Seed Repair",
ISNUMBER(SEARCH("rapid grass",E491)),"Rapid Grass",
ISNUMBER(SEARCH("thick'r lawn",E491)),"Thick'R Lawn",
ISNUMBER(SEARCH("fungicide",E491)),"Fungicide",
ISNUMBER(SEARCH("moss",E491)),"Moss Control",
ISNUMBER(SEARCH("perlite",E491)),"Perlite",
ISNUMBER(SEARCH("plant food",E491)),"Plant Food",
ISNUMBER(SEARCH("spreader",E491)),"Spreader",
ISNUMBER(SEARCH("sprayer",E491)),"Sprayer",
ISNUMBER(SEARCH("mower",E491)),"Lawn Mower",
ISNUMBER(SEARCH("sweeper",E491)),"Lawn Sweeper",
OR(ISNUMBER(SEARCH("pruner",E491)),ISNUMBER(SEARCH("trimmer",E491)),ISNUMBER(SEARCH("pole saw",E491))),"Pruning Tools",
TRUE,"Other"
)</f>
        <v>Bait &amp; Poison</v>
      </c>
      <c r="J491" s="7" t="str">
        <f t="shared" si="124"/>
        <v>Rodent Control - Bait &amp; Poison</v>
      </c>
      <c r="K491" s="4">
        <v>300</v>
      </c>
      <c r="L491" s="4">
        <v>4.8</v>
      </c>
      <c r="M491" s="4">
        <v>302</v>
      </c>
      <c r="N491" s="4" t="s">
        <v>2378</v>
      </c>
      <c r="O491" s="4">
        <f>VLOOKUP(A491,[7]Sheet1!$A:$M,2,0)</f>
        <v>50</v>
      </c>
      <c r="P491" s="4">
        <f>VLOOKUP(A491,[7]Sheet1!$A:$M,3,0)</f>
        <v>50</v>
      </c>
      <c r="Q491" s="4">
        <f>VLOOKUP(A491,[7]Sheet1!$A:$M,4,0)</f>
        <v>100</v>
      </c>
      <c r="R491" s="4">
        <f>VLOOKUP(A491,[7]Sheet1!$A:$M,5,0)</f>
        <v>100</v>
      </c>
      <c r="S491" s="4">
        <f>VLOOKUP(A491,[7]Sheet1!$A:$M,6,0)</f>
        <v>100</v>
      </c>
      <c r="T491" s="4">
        <f>VLOOKUP(A491,[7]Sheet1!$A:$M,7,0)</f>
        <v>100</v>
      </c>
      <c r="U491" s="4">
        <f>VLOOKUP(A491,[7]Sheet1!$A:$M,8,0)</f>
        <v>100</v>
      </c>
      <c r="V491" s="4">
        <f>VLOOKUP(A491,[7]Sheet1!$A:$M,9,0)</f>
        <v>200</v>
      </c>
      <c r="W491" s="4">
        <f>VLOOKUP(A491,[7]Sheet1!$A:$M,10,0)</f>
        <v>200</v>
      </c>
      <c r="X491" s="4">
        <f>VLOOKUP(A491,[7]Sheet1!$A:$M,11,0)</f>
        <v>100</v>
      </c>
      <c r="Y491" s="4">
        <f>VLOOKUP(A491,[7]Sheet1!$A:$M,12,0)</f>
        <v>300</v>
      </c>
      <c r="Z491" s="4">
        <f>VLOOKUP(A491,[7]Sheet1!$A:$M,13,0)</f>
        <v>100</v>
      </c>
      <c r="AA491" s="4">
        <f t="shared" ref="AA491:AA544" si="136">SUM(O491:Z491)</f>
        <v>1500</v>
      </c>
      <c r="AB491" s="7">
        <f t="shared" si="125"/>
        <v>125</v>
      </c>
      <c r="AC491" s="15">
        <f t="shared" ref="AC491:AC525" si="137">AVERAGE(O491:Z491)</f>
        <v>125</v>
      </c>
      <c r="AD491" s="16">
        <f t="shared" ref="AD491:AD525" si="138">AG491*AA491</f>
        <v>134985</v>
      </c>
      <c r="AE491" s="16">
        <f t="shared" ref="AE491:AE525" si="139">AG491*AC491</f>
        <v>11248.75</v>
      </c>
      <c r="AF491" s="21">
        <v>18.28</v>
      </c>
      <c r="AG491" s="21">
        <v>89.99</v>
      </c>
      <c r="AH491" s="15">
        <f t="shared" si="134"/>
        <v>1.1143999999999994</v>
      </c>
      <c r="AI491" s="15">
        <f t="shared" si="135"/>
        <v>3.9003999999999972</v>
      </c>
      <c r="AJ491" s="10">
        <v>0.5</v>
      </c>
      <c r="AK491" s="10">
        <v>0.5</v>
      </c>
      <c r="AL491" s="21">
        <v>18.28</v>
      </c>
      <c r="AM491" s="9">
        <f t="shared" si="126"/>
        <v>13.498499999999998</v>
      </c>
      <c r="AN491" s="9">
        <f t="shared" si="127"/>
        <v>2.6996999999999995</v>
      </c>
      <c r="AO491" s="9">
        <f t="shared" si="128"/>
        <v>17.998000000000001</v>
      </c>
      <c r="AP491" s="9">
        <f t="shared" si="129"/>
        <v>1.7997999999999998</v>
      </c>
      <c r="AQ491" s="9">
        <f t="shared" si="130"/>
        <v>17.998000000000001</v>
      </c>
      <c r="AR491" s="9">
        <f t="shared" si="131"/>
        <v>22.497499999999999</v>
      </c>
      <c r="AS491" s="11">
        <f t="shared" si="132"/>
        <v>11.143999999999993</v>
      </c>
      <c r="AT491" s="12">
        <f t="shared" si="133"/>
        <v>8.1443333333333285</v>
      </c>
    </row>
    <row r="492" spans="1:46" ht="16.5" x14ac:dyDescent="0.4">
      <c r="A492" s="4" t="s">
        <v>2202</v>
      </c>
      <c r="B492" s="4" t="s">
        <v>2236</v>
      </c>
      <c r="C492" s="4" t="s">
        <v>2236</v>
      </c>
      <c r="D492" s="4" t="s">
        <v>2273</v>
      </c>
      <c r="E492" s="4" t="s">
        <v>2274</v>
      </c>
      <c r="F492" s="4" t="s">
        <v>2275</v>
      </c>
      <c r="G492" s="7" t="str">
        <f>VLOOKUP(A492,[1]done!$A:$I,9,0)</f>
        <v>Rodent</v>
      </c>
      <c r="H492" s="7" t="str" cm="1">
        <f t="array" ref="H492">_xlfn.IFS(
OR(ISNUMBER(SEARCH("mouse",E492)),ISNUMBER(SEARCH("rat",E492)),ISNUMBER(SEARCH("mice",E492)),ISNUMBER(SEARCH("rodent",E492))),"Rodent Control",
OR(ISNUMBER(SEARCH("fly",E492)),ISNUMBER(SEARCH("gnat",E492)),ISNUMBER(SEARCH("insect",E492)),ISNUMBER(SEARCH("mosquito",E492))),"Flying Insect Control",
OR(ISNUMBER(SEARCH("roach",E492)),ISNUMBER(SEARCH("ant",E492)),ISNUMBER(SEARCH("spider",E492)),ISNUMBER(SEARCH("cricket",E492)),ISNUMBER(SEARCH("scorpion",E492)),ISNUMBER(SEARCH("centipede",E492)),ISNUMBER(SEARCH("beetle",E492))),"Crawling Insect Control",
OR(ISNUMBER(SEARCH("tree",E492)),ISNUMBER(SEARCH("lantern",E492)),ISNUMBER(SEARCH("garden",E492)),ISNUMBER(SEARCH("plant",E492))),"Garden Pest Control",
OR(ISNUMBER(SEARCH("grass seed",E492)),ISNUMBER(SEARCH("seed mix",E492))),"Grass Seed",
OR(ISNUMBER(SEARCH("lawn food",E492)),ISNUMBER(SEARCH("fertilizer",E492))),"Lawn Fertilizer",
OR(ISNUMBER(SEARCH("patch",E492)),ISNUMBER(SEARCH("repair",E492)),ISNUMBER(SEARCH("thick'r",E492)),ISNUMBER(SEARCH("thick'r lawn",E492)),ISNUMBER(SEARCH("rapid grass",E492))),"Lawn Repair",
OR(ISNUMBER(SEARCH("weed",E492)),ISNUMBER(SEARCH("crabgrass",E492))),"Weed Control",
OR(ISNUMBER(SEARCH("fungicide",E492)),ISNUMBER(SEARCH("moss",E492))),"Disease &amp; Moss Control",
OR(ISNUMBER(SEARCH("plant food",E492)),ISNUMBER(SEARCH("miracid",E492))),"Plant Nutrition",
OR(ISNUMBER(SEARCH("perlite",E492))),"Soil Amendment",
OR(ISNUMBER(SEARCH("spreader",E492)),ISNUMBER(SEARCH("sprayer",E492)),ISNUMBER(SEARCH("mower",E492)),ISNUMBER(SEARCH("sweeper",E492)),ISNUMBER(SEARCH("pruner",E492)),ISNUMBER(SEARCH("trimmer",E492)),ISNUMBER(SEARCH("pole saw",E492))),"Garden Equipment",
TRUE,"Other"
)</f>
        <v>Rodent Control</v>
      </c>
      <c r="I492" s="7" t="str" cm="1">
        <f t="array" ref="I492">_xlfn.IFS(
OR(ISNUMBER(SEARCH("glue trap",E492)),ISNUMBER(SEARCH("glue board",E492))),"Glue Traps",
OR(ISNUMBER(SEARCH("snap trap",E492)),ISNUMBER(SEARCH("power-kill",E492)),ISNUMBER(SEARCH("wide pedal",E492)),ISNUMBER(SEARCH("metal pedal",E492))),"Snap Traps",
OR(ISNUMBER(SEARCH("electronic",E492)),ISNUMBER(SEARCH("zapper",E492))),"Electronic Traps",
OR(ISNUMBER(SEARCH("live catch",E492)),ISNUMBER(SEARCH("multi-catch",E492)),ISNUMBER(SEARCH("catch &amp; hold",E492)),ISNUMBER(SEARCH("tin cat",E492))),"Live Catch Traps",
OR(ISNUMBER(SEARCH("bait",E492)),ISNUMBER(SEARCH("poison",E492))),"Bait &amp; Poison",
ISNUMBER(SEARCH("repellent",E492)),"Repellents",
OR(ISNUMBER(SEARCH("fly trap",E492)),ISNUMBER(SEARCH("fly ribbon",E492)),ISNUMBER(SEARCH("fly stick",E492)),ISNUMBER(SEARCH("window fly",E492)),ISNUMBER(SEARCH("fly magnet",E492))),"Fly Traps",
OR(ISNUMBER(SEARCH("uv",E492)),ISNUMBER(SEARCH("fly light",E492)),ISNUMBER(SEARCH("plug-in",E492))),"UV Fly Traps",
ISNUMBER(SEARCH("roach",E492)),"Roach Traps",
ISNUMBER(SEARCH("ant",E492)),"Ant Traps",
ISNUMBER(SEARCH("spider",E492)),"Spider Traps",
ISNUMBER(SEARCH("mosquito",E492)),"Mosquito Traps",
ISNUMBER(SEARCH("beetle",E492)),"Beetle Traps",
ISNUMBER(SEARCH("lantern",E492)),"Lanternfly Control",
OR(ISNUMBER(SEARCH("tree shield",E492)),ISNUMBER(SEARCH("tree banding",E492)),ISNUMBER(SEARCH("insect barrier",E492))),"Tree Barriers",
OR(ISNUMBER(SEARCH("sun &amp; shade",E492)),ISNUMBER(SEARCH("sun and shade",E492))),"Sun &amp; Shade Mix",
ISNUMBER(SEARCH("tall fescue",E492)),"Tall Fescue",
ISNUMBER(SEARCH("bermudagrass",E492)),"Bermudagrass",
ISNUMBER(SEARCH("kentucky",E492)),"Kentucky Bluegrass",
ISNUMBER(SEARCH("zoysia",E492)),"Zoysia",
ISNUMBER(SEARCH("ryegrass",E492)),"Perennial Ryegrass",
ISNUMBER(SEARCH("centipede",E492)),"Centipede Grass",
ISNUMBER(SEARCH("dense shade",E492)),"Dense Shade Mix",
ISNUMBER(SEARCH("southern gold",E492)),"Southern Gold Mix",
ISNUMBER(SEARCH("heat-tolerant blue",E492)),"Heat-Tolerant Blue Mix",
ISNUMBER(SEARCH("high traffic",E492)),"High Traffic Mix",
ISNUMBER(SEARCH("quick fix",E492)),"Quick Fix Mix",
ISNUMBER(SEARCH("starter",E492)),"Starter Fertilizer",
ISNUMBER(SEARCH("weed &amp; feed",E492)),"Weed &amp; Feed",
ISNUMBER(SEARCH("lawn food",E492)),"Lawn Food",
ISNUMBER(SEARCH("triple action",E492)),"Triple Action Fertilizer",
ISNUMBER(SEARCH("green max",E492)),"Green Max Lawn Food",
ISNUMBER(SEARCH("patchmaster",E492)),"PatchMaster Repair",
ISNUMBER(SEARCH("ez seed",E492)),"EZ Seed Repair",
ISNUMBER(SEARCH("rapid grass",E492)),"Rapid Grass",
ISNUMBER(SEARCH("thick'r lawn",E492)),"Thick'R Lawn",
ISNUMBER(SEARCH("fungicide",E492)),"Fungicide",
ISNUMBER(SEARCH("moss",E492)),"Moss Control",
ISNUMBER(SEARCH("perlite",E492)),"Perlite",
ISNUMBER(SEARCH("plant food",E492)),"Plant Food",
ISNUMBER(SEARCH("spreader",E492)),"Spreader",
ISNUMBER(SEARCH("sprayer",E492)),"Sprayer",
ISNUMBER(SEARCH("mower",E492)),"Lawn Mower",
ISNUMBER(SEARCH("sweeper",E492)),"Lawn Sweeper",
OR(ISNUMBER(SEARCH("pruner",E492)),ISNUMBER(SEARCH("trimmer",E492)),ISNUMBER(SEARCH("pole saw",E492))),"Pruning Tools",
TRUE,"Other"
)</f>
        <v>Other</v>
      </c>
      <c r="J492" s="7" t="str">
        <f t="shared" si="124"/>
        <v>Rodent Control - Other</v>
      </c>
      <c r="K492" s="4">
        <v>200</v>
      </c>
      <c r="L492" s="4">
        <v>4.5999999999999996</v>
      </c>
      <c r="M492" s="4">
        <v>379</v>
      </c>
      <c r="N492" s="4">
        <v>0</v>
      </c>
      <c r="O492" s="4">
        <f>VLOOKUP(A492,[7]Sheet1!$A:$M,2,0)</f>
        <v>100</v>
      </c>
      <c r="P492" s="4">
        <f>VLOOKUP(A492,[7]Sheet1!$A:$M,3,0)</f>
        <v>100</v>
      </c>
      <c r="Q492" s="4">
        <f>VLOOKUP(A492,[7]Sheet1!$A:$M,4,0)</f>
        <v>100</v>
      </c>
      <c r="R492" s="4">
        <f>VLOOKUP(A492,[7]Sheet1!$A:$M,5,0)</f>
        <v>100</v>
      </c>
      <c r="S492" s="4">
        <f>VLOOKUP(A492,[7]Sheet1!$A:$M,6,0)</f>
        <v>50</v>
      </c>
      <c r="T492" s="4">
        <f>VLOOKUP(A492,[7]Sheet1!$A:$M,7,0)</f>
        <v>50</v>
      </c>
      <c r="U492" s="4">
        <f>VLOOKUP(A492,[7]Sheet1!$A:$M,8,0)</f>
        <v>100</v>
      </c>
      <c r="V492" s="4">
        <f>VLOOKUP(A492,[7]Sheet1!$A:$M,9,0)</f>
        <v>200</v>
      </c>
      <c r="W492" s="4">
        <f>VLOOKUP(A492,[7]Sheet1!$A:$M,10,0)</f>
        <v>300</v>
      </c>
      <c r="X492" s="4">
        <f>VLOOKUP(A492,[7]Sheet1!$A:$M,11,0)</f>
        <v>100</v>
      </c>
      <c r="Y492" s="4">
        <f>VLOOKUP(A492,[7]Sheet1!$A:$M,12,0)</f>
        <v>300</v>
      </c>
      <c r="Z492" s="4">
        <f>VLOOKUP(A492,[7]Sheet1!$A:$M,13,0)</f>
        <v>300</v>
      </c>
      <c r="AA492" s="4">
        <f t="shared" si="136"/>
        <v>1800</v>
      </c>
      <c r="AB492" s="7">
        <f t="shared" si="125"/>
        <v>150</v>
      </c>
      <c r="AC492" s="15">
        <f t="shared" si="137"/>
        <v>150</v>
      </c>
      <c r="AD492" s="16">
        <f t="shared" si="138"/>
        <v>25632</v>
      </c>
      <c r="AE492" s="16">
        <f t="shared" si="139"/>
        <v>2136</v>
      </c>
      <c r="AF492" s="21">
        <v>4.76</v>
      </c>
      <c r="AG492" s="21">
        <v>14.24</v>
      </c>
      <c r="AH492" s="15">
        <f t="shared" si="134"/>
        <v>-4.2666666666666409E-3</v>
      </c>
      <c r="AI492" s="15">
        <f t="shared" si="135"/>
        <v>-1.4933333333333241E-2</v>
      </c>
      <c r="AJ492" s="10">
        <v>0.5</v>
      </c>
      <c r="AK492" s="10">
        <v>0.5</v>
      </c>
      <c r="AL492" s="21">
        <v>4.76</v>
      </c>
      <c r="AM492" s="9">
        <f t="shared" si="126"/>
        <v>2.1360000000000001</v>
      </c>
      <c r="AN492" s="9">
        <f t="shared" si="127"/>
        <v>0.42719999999999997</v>
      </c>
      <c r="AO492" s="9">
        <f t="shared" si="128"/>
        <v>2.8480000000000003</v>
      </c>
      <c r="AP492" s="9">
        <f t="shared" si="129"/>
        <v>0.2848</v>
      </c>
      <c r="AQ492" s="9">
        <f t="shared" si="130"/>
        <v>2.8480000000000003</v>
      </c>
      <c r="AR492" s="9">
        <f t="shared" si="131"/>
        <v>3.56</v>
      </c>
      <c r="AS492" s="11">
        <f t="shared" si="132"/>
        <v>-4.2666666666666409E-2</v>
      </c>
      <c r="AT492" s="12">
        <f t="shared" si="133"/>
        <v>-0.51733333333333287</v>
      </c>
    </row>
    <row r="493" spans="1:46" ht="16.5" x14ac:dyDescent="0.4">
      <c r="A493" s="4" t="s">
        <v>2203</v>
      </c>
      <c r="B493" s="4" t="s">
        <v>2236</v>
      </c>
      <c r="C493" s="4" t="s">
        <v>2236</v>
      </c>
      <c r="D493" s="4" t="s">
        <v>2276</v>
      </c>
      <c r="E493" s="4" t="s">
        <v>2277</v>
      </c>
      <c r="F493" s="4" t="s">
        <v>2278</v>
      </c>
      <c r="G493" s="7" t="str">
        <f>VLOOKUP(A493,[1]done!$A:$I,9,0)</f>
        <v>Rodent</v>
      </c>
      <c r="H493" s="7" t="str" cm="1">
        <f t="array" ref="H493">_xlfn.IFS(
OR(ISNUMBER(SEARCH("mouse",E493)),ISNUMBER(SEARCH("rat",E493)),ISNUMBER(SEARCH("mice",E493)),ISNUMBER(SEARCH("rodent",E493))),"Rodent Control",
OR(ISNUMBER(SEARCH("fly",E493)),ISNUMBER(SEARCH("gnat",E493)),ISNUMBER(SEARCH("insect",E493)),ISNUMBER(SEARCH("mosquito",E493))),"Flying Insect Control",
OR(ISNUMBER(SEARCH("roach",E493)),ISNUMBER(SEARCH("ant",E493)),ISNUMBER(SEARCH("spider",E493)),ISNUMBER(SEARCH("cricket",E493)),ISNUMBER(SEARCH("scorpion",E493)),ISNUMBER(SEARCH("centipede",E493)),ISNUMBER(SEARCH("beetle",E493))),"Crawling Insect Control",
OR(ISNUMBER(SEARCH("tree",E493)),ISNUMBER(SEARCH("lantern",E493)),ISNUMBER(SEARCH("garden",E493)),ISNUMBER(SEARCH("plant",E493))),"Garden Pest Control",
OR(ISNUMBER(SEARCH("grass seed",E493)),ISNUMBER(SEARCH("seed mix",E493))),"Grass Seed",
OR(ISNUMBER(SEARCH("lawn food",E493)),ISNUMBER(SEARCH("fertilizer",E493))),"Lawn Fertilizer",
OR(ISNUMBER(SEARCH("patch",E493)),ISNUMBER(SEARCH("repair",E493)),ISNUMBER(SEARCH("thick'r",E493)),ISNUMBER(SEARCH("thick'r lawn",E493)),ISNUMBER(SEARCH("rapid grass",E493))),"Lawn Repair",
OR(ISNUMBER(SEARCH("weed",E493)),ISNUMBER(SEARCH("crabgrass",E493))),"Weed Control",
OR(ISNUMBER(SEARCH("fungicide",E493)),ISNUMBER(SEARCH("moss",E493))),"Disease &amp; Moss Control",
OR(ISNUMBER(SEARCH("plant food",E493)),ISNUMBER(SEARCH("miracid",E493))),"Plant Nutrition",
OR(ISNUMBER(SEARCH("perlite",E493))),"Soil Amendment",
OR(ISNUMBER(SEARCH("spreader",E493)),ISNUMBER(SEARCH("sprayer",E493)),ISNUMBER(SEARCH("mower",E493)),ISNUMBER(SEARCH("sweeper",E493)),ISNUMBER(SEARCH("pruner",E493)),ISNUMBER(SEARCH("trimmer",E493)),ISNUMBER(SEARCH("pole saw",E493))),"Garden Equipment",
TRUE,"Other"
)</f>
        <v>Rodent Control</v>
      </c>
      <c r="I493" s="7" t="str" cm="1">
        <f t="array" ref="I493">_xlfn.IFS(
OR(ISNUMBER(SEARCH("glue trap",E493)),ISNUMBER(SEARCH("glue board",E493))),"Glue Traps",
OR(ISNUMBER(SEARCH("snap trap",E493)),ISNUMBER(SEARCH("power-kill",E493)),ISNUMBER(SEARCH("wide pedal",E493)),ISNUMBER(SEARCH("metal pedal",E493))),"Snap Traps",
OR(ISNUMBER(SEARCH("electronic",E493)),ISNUMBER(SEARCH("zapper",E493))),"Electronic Traps",
OR(ISNUMBER(SEARCH("live catch",E493)),ISNUMBER(SEARCH("multi-catch",E493)),ISNUMBER(SEARCH("catch &amp; hold",E493)),ISNUMBER(SEARCH("tin cat",E493))),"Live Catch Traps",
OR(ISNUMBER(SEARCH("bait",E493)),ISNUMBER(SEARCH("poison",E493))),"Bait &amp; Poison",
ISNUMBER(SEARCH("repellent",E493)),"Repellents",
OR(ISNUMBER(SEARCH("fly trap",E493)),ISNUMBER(SEARCH("fly ribbon",E493)),ISNUMBER(SEARCH("fly stick",E493)),ISNUMBER(SEARCH("window fly",E493)),ISNUMBER(SEARCH("fly magnet",E493))),"Fly Traps",
OR(ISNUMBER(SEARCH("uv",E493)),ISNUMBER(SEARCH("fly light",E493)),ISNUMBER(SEARCH("plug-in",E493))),"UV Fly Traps",
ISNUMBER(SEARCH("roach",E493)),"Roach Traps",
ISNUMBER(SEARCH("ant",E493)),"Ant Traps",
ISNUMBER(SEARCH("spider",E493)),"Spider Traps",
ISNUMBER(SEARCH("mosquito",E493)),"Mosquito Traps",
ISNUMBER(SEARCH("beetle",E493)),"Beetle Traps",
ISNUMBER(SEARCH("lantern",E493)),"Lanternfly Control",
OR(ISNUMBER(SEARCH("tree shield",E493)),ISNUMBER(SEARCH("tree banding",E493)),ISNUMBER(SEARCH("insect barrier",E493))),"Tree Barriers",
OR(ISNUMBER(SEARCH("sun &amp; shade",E493)),ISNUMBER(SEARCH("sun and shade",E493))),"Sun &amp; Shade Mix",
ISNUMBER(SEARCH("tall fescue",E493)),"Tall Fescue",
ISNUMBER(SEARCH("bermudagrass",E493)),"Bermudagrass",
ISNUMBER(SEARCH("kentucky",E493)),"Kentucky Bluegrass",
ISNUMBER(SEARCH("zoysia",E493)),"Zoysia",
ISNUMBER(SEARCH("ryegrass",E493)),"Perennial Ryegrass",
ISNUMBER(SEARCH("centipede",E493)),"Centipede Grass",
ISNUMBER(SEARCH("dense shade",E493)),"Dense Shade Mix",
ISNUMBER(SEARCH("southern gold",E493)),"Southern Gold Mix",
ISNUMBER(SEARCH("heat-tolerant blue",E493)),"Heat-Tolerant Blue Mix",
ISNUMBER(SEARCH("high traffic",E493)),"High Traffic Mix",
ISNUMBER(SEARCH("quick fix",E493)),"Quick Fix Mix",
ISNUMBER(SEARCH("starter",E493)),"Starter Fertilizer",
ISNUMBER(SEARCH("weed &amp; feed",E493)),"Weed &amp; Feed",
ISNUMBER(SEARCH("lawn food",E493)),"Lawn Food",
ISNUMBER(SEARCH("triple action",E493)),"Triple Action Fertilizer",
ISNUMBER(SEARCH("green max",E493)),"Green Max Lawn Food",
ISNUMBER(SEARCH("patchmaster",E493)),"PatchMaster Repair",
ISNUMBER(SEARCH("ez seed",E493)),"EZ Seed Repair",
ISNUMBER(SEARCH("rapid grass",E493)),"Rapid Grass",
ISNUMBER(SEARCH("thick'r lawn",E493)),"Thick'R Lawn",
ISNUMBER(SEARCH("fungicide",E493)),"Fungicide",
ISNUMBER(SEARCH("moss",E493)),"Moss Control",
ISNUMBER(SEARCH("perlite",E493)),"Perlite",
ISNUMBER(SEARCH("plant food",E493)),"Plant Food",
ISNUMBER(SEARCH("spreader",E493)),"Spreader",
ISNUMBER(SEARCH("sprayer",E493)),"Sprayer",
ISNUMBER(SEARCH("mower",E493)),"Lawn Mower",
ISNUMBER(SEARCH("sweeper",E493)),"Lawn Sweeper",
OR(ISNUMBER(SEARCH("pruner",E493)),ISNUMBER(SEARCH("trimmer",E493)),ISNUMBER(SEARCH("pole saw",E493))),"Pruning Tools",
TRUE,"Other"
)</f>
        <v>Other</v>
      </c>
      <c r="J493" s="7" t="str">
        <f t="shared" si="124"/>
        <v>Rodent Control - Other</v>
      </c>
      <c r="K493" s="4">
        <v>100</v>
      </c>
      <c r="L493" s="4">
        <v>4.2</v>
      </c>
      <c r="M493" s="4">
        <v>235</v>
      </c>
      <c r="N493" s="4" t="s">
        <v>1545</v>
      </c>
      <c r="O493" s="4">
        <f>VLOOKUP(A493,[7]Sheet1!$A:$M,2,0)</f>
        <v>300</v>
      </c>
      <c r="P493" s="4">
        <f>VLOOKUP(A493,[7]Sheet1!$A:$M,3,0)</f>
        <v>200</v>
      </c>
      <c r="Q493" s="4">
        <f>VLOOKUP(A493,[7]Sheet1!$A:$M,4,0)</f>
        <v>400</v>
      </c>
      <c r="R493" s="4">
        <f>VLOOKUP(A493,[7]Sheet1!$A:$M,5,0)</f>
        <v>300</v>
      </c>
      <c r="S493" s="4">
        <f>VLOOKUP(A493,[7]Sheet1!$A:$M,6,0)</f>
        <v>300</v>
      </c>
      <c r="T493" s="4">
        <f>VLOOKUP(A493,[7]Sheet1!$A:$M,7,0)</f>
        <v>200</v>
      </c>
      <c r="U493" s="4">
        <f>VLOOKUP(A493,[7]Sheet1!$A:$M,8,0)</f>
        <v>100</v>
      </c>
      <c r="V493" s="4">
        <f>VLOOKUP(A493,[7]Sheet1!$A:$M,9,0)</f>
        <v>60</v>
      </c>
      <c r="W493" s="4">
        <f>VLOOKUP(A493,[7]Sheet1!$A:$M,10,0)</f>
        <v>100</v>
      </c>
      <c r="X493" s="4">
        <f>VLOOKUP(A493,[7]Sheet1!$A:$M,11,0)</f>
        <v>300</v>
      </c>
      <c r="Y493" s="4">
        <f>VLOOKUP(A493,[7]Sheet1!$A:$M,12,0)</f>
        <v>200</v>
      </c>
      <c r="Z493" s="4">
        <f>VLOOKUP(A493,[7]Sheet1!$A:$M,13,0)</f>
        <v>400</v>
      </c>
      <c r="AA493" s="4">
        <f t="shared" si="136"/>
        <v>2860</v>
      </c>
      <c r="AB493" s="7">
        <f t="shared" si="125"/>
        <v>238</v>
      </c>
      <c r="AC493" s="15">
        <f t="shared" si="137"/>
        <v>238.33333333333334</v>
      </c>
      <c r="AD493" s="16">
        <f t="shared" si="138"/>
        <v>17131.400000000001</v>
      </c>
      <c r="AE493" s="16">
        <f t="shared" si="139"/>
        <v>1427.6166666666668</v>
      </c>
      <c r="AF493" s="21">
        <v>3.24</v>
      </c>
      <c r="AG493" s="21">
        <v>5.99</v>
      </c>
      <c r="AH493" s="15">
        <f t="shared" si="134"/>
        <v>-0.12293333333333337</v>
      </c>
      <c r="AI493" s="15">
        <f t="shared" si="135"/>
        <v>-0.43026666666666674</v>
      </c>
      <c r="AJ493" s="10">
        <v>0.5</v>
      </c>
      <c r="AK493" s="10">
        <v>0.5</v>
      </c>
      <c r="AL493" s="21">
        <v>3.24</v>
      </c>
      <c r="AM493" s="9">
        <f t="shared" si="126"/>
        <v>0.89849999999999997</v>
      </c>
      <c r="AN493" s="9">
        <f t="shared" si="127"/>
        <v>0.1797</v>
      </c>
      <c r="AO493" s="9">
        <f t="shared" si="128"/>
        <v>1.1980000000000002</v>
      </c>
      <c r="AP493" s="9">
        <f t="shared" si="129"/>
        <v>0.1198</v>
      </c>
      <c r="AQ493" s="9">
        <f t="shared" si="130"/>
        <v>1.1980000000000002</v>
      </c>
      <c r="AR493" s="9">
        <f t="shared" si="131"/>
        <v>1.4975000000000001</v>
      </c>
      <c r="AS493" s="11">
        <f t="shared" si="132"/>
        <v>-1.2293333333333336</v>
      </c>
      <c r="AT493" s="12">
        <f t="shared" si="133"/>
        <v>-1.4290000000000003</v>
      </c>
    </row>
    <row r="494" spans="1:46" ht="16.5" x14ac:dyDescent="0.4">
      <c r="A494" s="4" t="s">
        <v>2204</v>
      </c>
      <c r="B494" s="4" t="s">
        <v>2236</v>
      </c>
      <c r="C494" s="4" t="s">
        <v>2236</v>
      </c>
      <c r="D494" s="4" t="s">
        <v>2279</v>
      </c>
      <c r="E494" s="4" t="s">
        <v>2280</v>
      </c>
      <c r="F494" s="4" t="s">
        <v>2281</v>
      </c>
      <c r="G494" s="7" t="str">
        <f>VLOOKUP(A494,[1]done!$A:$I,9,0)</f>
        <v>Other crawling insects</v>
      </c>
      <c r="H494" s="7" t="str" cm="1">
        <f t="array" ref="H494">_xlfn.IFS(
OR(ISNUMBER(SEARCH("mouse",E494)),ISNUMBER(SEARCH("rat",E494)),ISNUMBER(SEARCH("mice",E494)),ISNUMBER(SEARCH("rodent",E494))),"Rodent Control",
OR(ISNUMBER(SEARCH("fly",E494)),ISNUMBER(SEARCH("gnat",E494)),ISNUMBER(SEARCH("insect",E494)),ISNUMBER(SEARCH("mosquito",E494))),"Flying Insect Control",
OR(ISNUMBER(SEARCH("roach",E494)),ISNUMBER(SEARCH("ant",E494)),ISNUMBER(SEARCH("spider",E494)),ISNUMBER(SEARCH("cricket",E494)),ISNUMBER(SEARCH("scorpion",E494)),ISNUMBER(SEARCH("centipede",E494)),ISNUMBER(SEARCH("beetle",E494))),"Crawling Insect Control",
OR(ISNUMBER(SEARCH("tree",E494)),ISNUMBER(SEARCH("lantern",E494)),ISNUMBER(SEARCH("garden",E494)),ISNUMBER(SEARCH("plant",E494))),"Garden Pest Control",
OR(ISNUMBER(SEARCH("grass seed",E494)),ISNUMBER(SEARCH("seed mix",E494))),"Grass Seed",
OR(ISNUMBER(SEARCH("lawn food",E494)),ISNUMBER(SEARCH("fertilizer",E494))),"Lawn Fertilizer",
OR(ISNUMBER(SEARCH("patch",E494)),ISNUMBER(SEARCH("repair",E494)),ISNUMBER(SEARCH("thick'r",E494)),ISNUMBER(SEARCH("thick'r lawn",E494)),ISNUMBER(SEARCH("rapid grass",E494))),"Lawn Repair",
OR(ISNUMBER(SEARCH("weed",E494)),ISNUMBER(SEARCH("crabgrass",E494))),"Weed Control",
OR(ISNUMBER(SEARCH("fungicide",E494)),ISNUMBER(SEARCH("moss",E494))),"Disease &amp; Moss Control",
OR(ISNUMBER(SEARCH("plant food",E494)),ISNUMBER(SEARCH("miracid",E494))),"Plant Nutrition",
OR(ISNUMBER(SEARCH("perlite",E494))),"Soil Amendment",
OR(ISNUMBER(SEARCH("spreader",E494)),ISNUMBER(SEARCH("sprayer",E494)),ISNUMBER(SEARCH("mower",E494)),ISNUMBER(SEARCH("sweeper",E494)),ISNUMBER(SEARCH("pruner",E494)),ISNUMBER(SEARCH("trimmer",E494)),ISNUMBER(SEARCH("pole saw",E494))),"Garden Equipment",
TRUE,"Other"
)</f>
        <v>Flying Insect Control</v>
      </c>
      <c r="I494" s="7" t="str" cm="1">
        <f t="array" ref="I494">_xlfn.IFS(
OR(ISNUMBER(SEARCH("glue trap",E494)),ISNUMBER(SEARCH("glue board",E494))),"Glue Traps",
OR(ISNUMBER(SEARCH("snap trap",E494)),ISNUMBER(SEARCH("power-kill",E494)),ISNUMBER(SEARCH("wide pedal",E494)),ISNUMBER(SEARCH("metal pedal",E494))),"Snap Traps",
OR(ISNUMBER(SEARCH("electronic",E494)),ISNUMBER(SEARCH("zapper",E494))),"Electronic Traps",
OR(ISNUMBER(SEARCH("live catch",E494)),ISNUMBER(SEARCH("multi-catch",E494)),ISNUMBER(SEARCH("catch &amp; hold",E494)),ISNUMBER(SEARCH("tin cat",E494))),"Live Catch Traps",
OR(ISNUMBER(SEARCH("bait",E494)),ISNUMBER(SEARCH("poison",E494))),"Bait &amp; Poison",
ISNUMBER(SEARCH("repellent",E494)),"Repellents",
OR(ISNUMBER(SEARCH("fly trap",E494)),ISNUMBER(SEARCH("fly ribbon",E494)),ISNUMBER(SEARCH("fly stick",E494)),ISNUMBER(SEARCH("window fly",E494)),ISNUMBER(SEARCH("fly magnet",E494))),"Fly Traps",
OR(ISNUMBER(SEARCH("uv",E494)),ISNUMBER(SEARCH("fly light",E494)),ISNUMBER(SEARCH("plug-in",E494))),"UV Fly Traps",
ISNUMBER(SEARCH("roach",E494)),"Roach Traps",
ISNUMBER(SEARCH("ant",E494)),"Ant Traps",
ISNUMBER(SEARCH("spider",E494)),"Spider Traps",
ISNUMBER(SEARCH("mosquito",E494)),"Mosquito Traps",
ISNUMBER(SEARCH("beetle",E494)),"Beetle Traps",
ISNUMBER(SEARCH("lantern",E494)),"Lanternfly Control",
OR(ISNUMBER(SEARCH("tree shield",E494)),ISNUMBER(SEARCH("tree banding",E494)),ISNUMBER(SEARCH("insect barrier",E494))),"Tree Barriers",
OR(ISNUMBER(SEARCH("sun &amp; shade",E494)),ISNUMBER(SEARCH("sun and shade",E494))),"Sun &amp; Shade Mix",
ISNUMBER(SEARCH("tall fescue",E494)),"Tall Fescue",
ISNUMBER(SEARCH("bermudagrass",E494)),"Bermudagrass",
ISNUMBER(SEARCH("kentucky",E494)),"Kentucky Bluegrass",
ISNUMBER(SEARCH("zoysia",E494)),"Zoysia",
ISNUMBER(SEARCH("ryegrass",E494)),"Perennial Ryegrass",
ISNUMBER(SEARCH("centipede",E494)),"Centipede Grass",
ISNUMBER(SEARCH("dense shade",E494)),"Dense Shade Mix",
ISNUMBER(SEARCH("southern gold",E494)),"Southern Gold Mix",
ISNUMBER(SEARCH("heat-tolerant blue",E494)),"Heat-Tolerant Blue Mix",
ISNUMBER(SEARCH("high traffic",E494)),"High Traffic Mix",
ISNUMBER(SEARCH("quick fix",E494)),"Quick Fix Mix",
ISNUMBER(SEARCH("starter",E494)),"Starter Fertilizer",
ISNUMBER(SEARCH("weed &amp; feed",E494)),"Weed &amp; Feed",
ISNUMBER(SEARCH("lawn food",E494)),"Lawn Food",
ISNUMBER(SEARCH("triple action",E494)),"Triple Action Fertilizer",
ISNUMBER(SEARCH("green max",E494)),"Green Max Lawn Food",
ISNUMBER(SEARCH("patchmaster",E494)),"PatchMaster Repair",
ISNUMBER(SEARCH("ez seed",E494)),"EZ Seed Repair",
ISNUMBER(SEARCH("rapid grass",E494)),"Rapid Grass",
ISNUMBER(SEARCH("thick'r lawn",E494)),"Thick'R Lawn",
ISNUMBER(SEARCH("fungicide",E494)),"Fungicide",
ISNUMBER(SEARCH("moss",E494)),"Moss Control",
ISNUMBER(SEARCH("perlite",E494)),"Perlite",
ISNUMBER(SEARCH("plant food",E494)),"Plant Food",
ISNUMBER(SEARCH("spreader",E494)),"Spreader",
ISNUMBER(SEARCH("sprayer",E494)),"Sprayer",
ISNUMBER(SEARCH("mower",E494)),"Lawn Mower",
ISNUMBER(SEARCH("sweeper",E494)),"Lawn Sweeper",
OR(ISNUMBER(SEARCH("pruner",E494)),ISNUMBER(SEARCH("trimmer",E494)),ISNUMBER(SEARCH("pole saw",E494))),"Pruning Tools",
TRUE,"Other"
)</f>
        <v>Other</v>
      </c>
      <c r="J494" s="7" t="str">
        <f t="shared" si="124"/>
        <v>Flying Insect Control - Other</v>
      </c>
      <c r="K494" s="4">
        <v>100</v>
      </c>
      <c r="L494" s="4">
        <v>4.4000000000000004</v>
      </c>
      <c r="M494" s="4">
        <v>2200</v>
      </c>
      <c r="N494" s="4" t="s">
        <v>2379</v>
      </c>
      <c r="O494" s="4">
        <f>VLOOKUP(A494,[7]Sheet1!$A:$M,2,0)</f>
        <v>800</v>
      </c>
      <c r="P494" s="4">
        <f>VLOOKUP(A494,[7]Sheet1!$A:$M,3,0)</f>
        <v>600</v>
      </c>
      <c r="Q494" s="4">
        <f>VLOOKUP(A494,[7]Sheet1!$A:$M,4,0)</f>
        <v>700</v>
      </c>
      <c r="R494" s="4">
        <f>VLOOKUP(A494,[7]Sheet1!$A:$M,5,0)</f>
        <v>1000</v>
      </c>
      <c r="S494" s="4">
        <f>VLOOKUP(A494,[7]Sheet1!$A:$M,6,0)</f>
        <v>1000</v>
      </c>
      <c r="T494" s="4">
        <f>VLOOKUP(A494,[7]Sheet1!$A:$M,7,0)</f>
        <v>1000</v>
      </c>
      <c r="U494" s="4">
        <f>VLOOKUP(A494,[7]Sheet1!$A:$M,8,0)</f>
        <v>1000</v>
      </c>
      <c r="V494" s="4">
        <f>VLOOKUP(A494,[7]Sheet1!$A:$M,9,0)</f>
        <v>100</v>
      </c>
      <c r="W494" s="4">
        <f>VLOOKUP(A494,[7]Sheet1!$A:$M,10,0)</f>
        <v>100</v>
      </c>
      <c r="X494" s="4">
        <f>VLOOKUP(A494,[7]Sheet1!$A:$M,11,0)</f>
        <v>1000</v>
      </c>
      <c r="Y494" s="4">
        <f>VLOOKUP(A494,[7]Sheet1!$A:$M,12,0)</f>
        <v>1000</v>
      </c>
      <c r="Z494" s="4">
        <f>VLOOKUP(A494,[7]Sheet1!$A:$M,13,0)</f>
        <v>800</v>
      </c>
      <c r="AA494" s="4">
        <f t="shared" si="136"/>
        <v>9100</v>
      </c>
      <c r="AB494" s="7">
        <f t="shared" si="125"/>
        <v>758</v>
      </c>
      <c r="AC494" s="15">
        <f t="shared" si="137"/>
        <v>758.33333333333337</v>
      </c>
      <c r="AD494" s="16">
        <f t="shared" si="138"/>
        <v>87360</v>
      </c>
      <c r="AE494" s="16">
        <f t="shared" si="139"/>
        <v>7280</v>
      </c>
      <c r="AF494" s="21">
        <v>4.37</v>
      </c>
      <c r="AG494" s="21">
        <v>9.6</v>
      </c>
      <c r="AH494" s="15">
        <f t="shared" si="134"/>
        <v>-0.10200000000000004</v>
      </c>
      <c r="AI494" s="15">
        <f t="shared" si="135"/>
        <v>-0.35700000000000004</v>
      </c>
      <c r="AJ494" s="10">
        <v>0.5</v>
      </c>
      <c r="AK494" s="10">
        <v>0.5</v>
      </c>
      <c r="AL494" s="21">
        <v>4.37</v>
      </c>
      <c r="AM494" s="9">
        <f t="shared" si="126"/>
        <v>1.44</v>
      </c>
      <c r="AN494" s="9">
        <f t="shared" si="127"/>
        <v>0.28799999999999998</v>
      </c>
      <c r="AO494" s="9">
        <f t="shared" si="128"/>
        <v>1.92</v>
      </c>
      <c r="AP494" s="9">
        <f t="shared" si="129"/>
        <v>0.192</v>
      </c>
      <c r="AQ494" s="9">
        <f t="shared" si="130"/>
        <v>1.92</v>
      </c>
      <c r="AR494" s="9">
        <f t="shared" si="131"/>
        <v>2.4</v>
      </c>
      <c r="AS494" s="11">
        <f t="shared" si="132"/>
        <v>-1.0200000000000002</v>
      </c>
      <c r="AT494" s="12">
        <f t="shared" si="133"/>
        <v>-1.34</v>
      </c>
    </row>
    <row r="495" spans="1:46" ht="16.5" x14ac:dyDescent="0.4">
      <c r="A495" s="4" t="s">
        <v>2205</v>
      </c>
      <c r="B495" s="4" t="s">
        <v>2236</v>
      </c>
      <c r="C495" s="4" t="s">
        <v>2236</v>
      </c>
      <c r="D495" s="4" t="s">
        <v>2282</v>
      </c>
      <c r="E495" s="4" t="s">
        <v>2283</v>
      </c>
      <c r="F495" s="4" t="s">
        <v>2284</v>
      </c>
      <c r="G495" s="7" t="str">
        <f>VLOOKUP(A495,[1]done!$A:$I,9,0)</f>
        <v>Mosquito/Fly</v>
      </c>
      <c r="H495" s="7" t="str" cm="1">
        <f t="array" ref="H495">_xlfn.IFS(
OR(ISNUMBER(SEARCH("mouse",E495)),ISNUMBER(SEARCH("rat",E495)),ISNUMBER(SEARCH("mice",E495)),ISNUMBER(SEARCH("rodent",E495))),"Rodent Control",
OR(ISNUMBER(SEARCH("fly",E495)),ISNUMBER(SEARCH("gnat",E495)),ISNUMBER(SEARCH("insect",E495)),ISNUMBER(SEARCH("mosquito",E495))),"Flying Insect Control",
OR(ISNUMBER(SEARCH("roach",E495)),ISNUMBER(SEARCH("ant",E495)),ISNUMBER(SEARCH("spider",E495)),ISNUMBER(SEARCH("cricket",E495)),ISNUMBER(SEARCH("scorpion",E495)),ISNUMBER(SEARCH("centipede",E495)),ISNUMBER(SEARCH("beetle",E495))),"Crawling Insect Control",
OR(ISNUMBER(SEARCH("tree",E495)),ISNUMBER(SEARCH("lantern",E495)),ISNUMBER(SEARCH("garden",E495)),ISNUMBER(SEARCH("plant",E495))),"Garden Pest Control",
OR(ISNUMBER(SEARCH("grass seed",E495)),ISNUMBER(SEARCH("seed mix",E495))),"Grass Seed",
OR(ISNUMBER(SEARCH("lawn food",E495)),ISNUMBER(SEARCH("fertilizer",E495))),"Lawn Fertilizer",
OR(ISNUMBER(SEARCH("patch",E495)),ISNUMBER(SEARCH("repair",E495)),ISNUMBER(SEARCH("thick'r",E495)),ISNUMBER(SEARCH("thick'r lawn",E495)),ISNUMBER(SEARCH("rapid grass",E495))),"Lawn Repair",
OR(ISNUMBER(SEARCH("weed",E495)),ISNUMBER(SEARCH("crabgrass",E495))),"Weed Control",
OR(ISNUMBER(SEARCH("fungicide",E495)),ISNUMBER(SEARCH("moss",E495))),"Disease &amp; Moss Control",
OR(ISNUMBER(SEARCH("plant food",E495)),ISNUMBER(SEARCH("miracid",E495))),"Plant Nutrition",
OR(ISNUMBER(SEARCH("perlite",E495))),"Soil Amendment",
OR(ISNUMBER(SEARCH("spreader",E495)),ISNUMBER(SEARCH("sprayer",E495)),ISNUMBER(SEARCH("mower",E495)),ISNUMBER(SEARCH("sweeper",E495)),ISNUMBER(SEARCH("pruner",E495)),ISNUMBER(SEARCH("trimmer",E495)),ISNUMBER(SEARCH("pole saw",E495))),"Garden Equipment",
TRUE,"Other"
)</f>
        <v>Rodent Control</v>
      </c>
      <c r="I495" s="7" t="str" cm="1">
        <f t="array" ref="I495">_xlfn.IFS(
OR(ISNUMBER(SEARCH("glue trap",E495)),ISNUMBER(SEARCH("glue board",E495))),"Glue Traps",
OR(ISNUMBER(SEARCH("snap trap",E495)),ISNUMBER(SEARCH("power-kill",E495)),ISNUMBER(SEARCH("wide pedal",E495)),ISNUMBER(SEARCH("metal pedal",E495))),"Snap Traps",
OR(ISNUMBER(SEARCH("electronic",E495)),ISNUMBER(SEARCH("zapper",E495))),"Electronic Traps",
OR(ISNUMBER(SEARCH("live catch",E495)),ISNUMBER(SEARCH("multi-catch",E495)),ISNUMBER(SEARCH("catch &amp; hold",E495)),ISNUMBER(SEARCH("tin cat",E495))),"Live Catch Traps",
OR(ISNUMBER(SEARCH("bait",E495)),ISNUMBER(SEARCH("poison",E495))),"Bait &amp; Poison",
ISNUMBER(SEARCH("repellent",E495)),"Repellents",
OR(ISNUMBER(SEARCH("fly trap",E495)),ISNUMBER(SEARCH("fly ribbon",E495)),ISNUMBER(SEARCH("fly stick",E495)),ISNUMBER(SEARCH("window fly",E495)),ISNUMBER(SEARCH("fly magnet",E495))),"Fly Traps",
OR(ISNUMBER(SEARCH("uv",E495)),ISNUMBER(SEARCH("fly light",E495)),ISNUMBER(SEARCH("plug-in",E495))),"UV Fly Traps",
ISNUMBER(SEARCH("roach",E495)),"Roach Traps",
ISNUMBER(SEARCH("ant",E495)),"Ant Traps",
ISNUMBER(SEARCH("spider",E495)),"Spider Traps",
ISNUMBER(SEARCH("mosquito",E495)),"Mosquito Traps",
ISNUMBER(SEARCH("beetle",E495)),"Beetle Traps",
ISNUMBER(SEARCH("lantern",E495)),"Lanternfly Control",
OR(ISNUMBER(SEARCH("tree shield",E495)),ISNUMBER(SEARCH("tree banding",E495)),ISNUMBER(SEARCH("insect barrier",E495))),"Tree Barriers",
OR(ISNUMBER(SEARCH("sun &amp; shade",E495)),ISNUMBER(SEARCH("sun and shade",E495))),"Sun &amp; Shade Mix",
ISNUMBER(SEARCH("tall fescue",E495)),"Tall Fescue",
ISNUMBER(SEARCH("bermudagrass",E495)),"Bermudagrass",
ISNUMBER(SEARCH("kentucky",E495)),"Kentucky Bluegrass",
ISNUMBER(SEARCH("zoysia",E495)),"Zoysia",
ISNUMBER(SEARCH("ryegrass",E495)),"Perennial Ryegrass",
ISNUMBER(SEARCH("centipede",E495)),"Centipede Grass",
ISNUMBER(SEARCH("dense shade",E495)),"Dense Shade Mix",
ISNUMBER(SEARCH("southern gold",E495)),"Southern Gold Mix",
ISNUMBER(SEARCH("heat-tolerant blue",E495)),"Heat-Tolerant Blue Mix",
ISNUMBER(SEARCH("high traffic",E495)),"High Traffic Mix",
ISNUMBER(SEARCH("quick fix",E495)),"Quick Fix Mix",
ISNUMBER(SEARCH("starter",E495)),"Starter Fertilizer",
ISNUMBER(SEARCH("weed &amp; feed",E495)),"Weed &amp; Feed",
ISNUMBER(SEARCH("lawn food",E495)),"Lawn Food",
ISNUMBER(SEARCH("triple action",E495)),"Triple Action Fertilizer",
ISNUMBER(SEARCH("green max",E495)),"Green Max Lawn Food",
ISNUMBER(SEARCH("patchmaster",E495)),"PatchMaster Repair",
ISNUMBER(SEARCH("ez seed",E495)),"EZ Seed Repair",
ISNUMBER(SEARCH("rapid grass",E495)),"Rapid Grass",
ISNUMBER(SEARCH("thick'r lawn",E495)),"Thick'R Lawn",
ISNUMBER(SEARCH("fungicide",E495)),"Fungicide",
ISNUMBER(SEARCH("moss",E495)),"Moss Control",
ISNUMBER(SEARCH("perlite",E495)),"Perlite",
ISNUMBER(SEARCH("plant food",E495)),"Plant Food",
ISNUMBER(SEARCH("spreader",E495)),"Spreader",
ISNUMBER(SEARCH("sprayer",E495)),"Sprayer",
ISNUMBER(SEARCH("mower",E495)),"Lawn Mower",
ISNUMBER(SEARCH("sweeper",E495)),"Lawn Sweeper",
OR(ISNUMBER(SEARCH("pruner",E495)),ISNUMBER(SEARCH("trimmer",E495)),ISNUMBER(SEARCH("pole saw",E495))),"Pruning Tools",
TRUE,"Other"
)</f>
        <v>Fly Traps</v>
      </c>
      <c r="J495" s="7" t="str">
        <f t="shared" si="124"/>
        <v>Rodent Control - Fly Traps</v>
      </c>
      <c r="K495" s="4">
        <v>100</v>
      </c>
      <c r="L495" s="4">
        <v>3.7</v>
      </c>
      <c r="M495" s="4">
        <v>462</v>
      </c>
      <c r="N495" s="4" t="s">
        <v>579</v>
      </c>
      <c r="O495" s="4">
        <f>VLOOKUP(A495,[7]Sheet1!$A:$M,2,0)</f>
        <v>50</v>
      </c>
      <c r="P495" s="4">
        <f>VLOOKUP(A495,[7]Sheet1!$A:$M,3,0)</f>
        <v>50</v>
      </c>
      <c r="Q495" s="4">
        <f>VLOOKUP(A495,[7]Sheet1!$A:$M,4,0)</f>
        <v>50</v>
      </c>
      <c r="R495" s="4">
        <f>VLOOKUP(A495,[7]Sheet1!$A:$M,5,0)</f>
        <v>100</v>
      </c>
      <c r="S495" s="4">
        <f>VLOOKUP(A495,[7]Sheet1!$A:$M,6,0)</f>
        <v>100</v>
      </c>
      <c r="T495" s="4">
        <f>VLOOKUP(A495,[7]Sheet1!$A:$M,7,0)</f>
        <v>100</v>
      </c>
      <c r="U495" s="4">
        <f>VLOOKUP(A495,[7]Sheet1!$A:$M,8,0)</f>
        <v>50</v>
      </c>
      <c r="V495" s="4">
        <f>VLOOKUP(A495,[7]Sheet1!$A:$M,9,0)</f>
        <v>100</v>
      </c>
      <c r="W495" s="4">
        <f>VLOOKUP(A495,[7]Sheet1!$A:$M,10,0)</f>
        <v>100</v>
      </c>
      <c r="X495" s="4">
        <f>VLOOKUP(A495,[7]Sheet1!$A:$M,11,0)</f>
        <v>100</v>
      </c>
      <c r="Y495" s="4">
        <f>VLOOKUP(A495,[7]Sheet1!$A:$M,12,0)</f>
        <v>100</v>
      </c>
      <c r="Z495" s="4">
        <f>VLOOKUP(A495,[7]Sheet1!$A:$M,13,0)</f>
        <v>50</v>
      </c>
      <c r="AA495" s="4">
        <f t="shared" si="136"/>
        <v>950</v>
      </c>
      <c r="AB495" s="7">
        <f t="shared" si="125"/>
        <v>79</v>
      </c>
      <c r="AC495" s="15">
        <f t="shared" si="137"/>
        <v>79.166666666666671</v>
      </c>
      <c r="AD495" s="16">
        <f t="shared" si="138"/>
        <v>8797</v>
      </c>
      <c r="AE495" s="16">
        <f t="shared" si="139"/>
        <v>733.08333333333337</v>
      </c>
      <c r="AF495" s="21">
        <v>3.5</v>
      </c>
      <c r="AG495" s="21">
        <v>9.26</v>
      </c>
      <c r="AH495" s="15">
        <f t="shared" si="134"/>
        <v>-5.3066666666666679E-2</v>
      </c>
      <c r="AI495" s="15">
        <f t="shared" si="135"/>
        <v>-0.18573333333333333</v>
      </c>
      <c r="AJ495" s="10">
        <v>0.5</v>
      </c>
      <c r="AK495" s="10">
        <v>0.5</v>
      </c>
      <c r="AL495" s="21">
        <v>3.5</v>
      </c>
      <c r="AM495" s="9">
        <f t="shared" si="126"/>
        <v>1.389</v>
      </c>
      <c r="AN495" s="9">
        <f t="shared" si="127"/>
        <v>0.27779999999999999</v>
      </c>
      <c r="AO495" s="9">
        <f t="shared" si="128"/>
        <v>1.8520000000000001</v>
      </c>
      <c r="AP495" s="9">
        <f t="shared" si="129"/>
        <v>0.1852</v>
      </c>
      <c r="AQ495" s="9">
        <f t="shared" si="130"/>
        <v>1.8520000000000001</v>
      </c>
      <c r="AR495" s="9">
        <f t="shared" si="131"/>
        <v>2.3149999999999999</v>
      </c>
      <c r="AS495" s="11">
        <f t="shared" si="132"/>
        <v>-0.53066666666666673</v>
      </c>
      <c r="AT495" s="12">
        <f t="shared" si="133"/>
        <v>-0.83933333333333326</v>
      </c>
    </row>
    <row r="496" spans="1:46" ht="16.5" x14ac:dyDescent="0.4">
      <c r="A496" s="4" t="s">
        <v>2206</v>
      </c>
      <c r="B496" s="4" t="s">
        <v>2236</v>
      </c>
      <c r="C496" s="4" t="s">
        <v>2236</v>
      </c>
      <c r="D496" s="4" t="s">
        <v>2285</v>
      </c>
      <c r="E496" s="4" t="s">
        <v>2286</v>
      </c>
      <c r="F496" s="4" t="s">
        <v>2287</v>
      </c>
      <c r="G496" s="7" t="str">
        <f>VLOOKUP(A496,[1]done!$A:$I,9,0)</f>
        <v>Rodent</v>
      </c>
      <c r="H496" s="7" t="str" cm="1">
        <f t="array" ref="H496">_xlfn.IFS(
OR(ISNUMBER(SEARCH("mouse",E496)),ISNUMBER(SEARCH("rat",E496)),ISNUMBER(SEARCH("mice",E496)),ISNUMBER(SEARCH("rodent",E496))),"Rodent Control",
OR(ISNUMBER(SEARCH("fly",E496)),ISNUMBER(SEARCH("gnat",E496)),ISNUMBER(SEARCH("insect",E496)),ISNUMBER(SEARCH("mosquito",E496))),"Flying Insect Control",
OR(ISNUMBER(SEARCH("roach",E496)),ISNUMBER(SEARCH("ant",E496)),ISNUMBER(SEARCH("spider",E496)),ISNUMBER(SEARCH("cricket",E496)),ISNUMBER(SEARCH("scorpion",E496)),ISNUMBER(SEARCH("centipede",E496)),ISNUMBER(SEARCH("beetle",E496))),"Crawling Insect Control",
OR(ISNUMBER(SEARCH("tree",E496)),ISNUMBER(SEARCH("lantern",E496)),ISNUMBER(SEARCH("garden",E496)),ISNUMBER(SEARCH("plant",E496))),"Garden Pest Control",
OR(ISNUMBER(SEARCH("grass seed",E496)),ISNUMBER(SEARCH("seed mix",E496))),"Grass Seed",
OR(ISNUMBER(SEARCH("lawn food",E496)),ISNUMBER(SEARCH("fertilizer",E496))),"Lawn Fertilizer",
OR(ISNUMBER(SEARCH("patch",E496)),ISNUMBER(SEARCH("repair",E496)),ISNUMBER(SEARCH("thick'r",E496)),ISNUMBER(SEARCH("thick'r lawn",E496)),ISNUMBER(SEARCH("rapid grass",E496))),"Lawn Repair",
OR(ISNUMBER(SEARCH("weed",E496)),ISNUMBER(SEARCH("crabgrass",E496))),"Weed Control",
OR(ISNUMBER(SEARCH("fungicide",E496)),ISNUMBER(SEARCH("moss",E496))),"Disease &amp; Moss Control",
OR(ISNUMBER(SEARCH("plant food",E496)),ISNUMBER(SEARCH("miracid",E496))),"Plant Nutrition",
OR(ISNUMBER(SEARCH("perlite",E496))),"Soil Amendment",
OR(ISNUMBER(SEARCH("spreader",E496)),ISNUMBER(SEARCH("sprayer",E496)),ISNUMBER(SEARCH("mower",E496)),ISNUMBER(SEARCH("sweeper",E496)),ISNUMBER(SEARCH("pruner",E496)),ISNUMBER(SEARCH("trimmer",E496)),ISNUMBER(SEARCH("pole saw",E496))),"Garden Equipment",
TRUE,"Other"
)</f>
        <v>Rodent Control</v>
      </c>
      <c r="I496" s="7" t="str" cm="1">
        <f t="array" ref="I496">_xlfn.IFS(
OR(ISNUMBER(SEARCH("glue trap",E496)),ISNUMBER(SEARCH("glue board",E496))),"Glue Traps",
OR(ISNUMBER(SEARCH("snap trap",E496)),ISNUMBER(SEARCH("power-kill",E496)),ISNUMBER(SEARCH("wide pedal",E496)),ISNUMBER(SEARCH("metal pedal",E496))),"Snap Traps",
OR(ISNUMBER(SEARCH("electronic",E496)),ISNUMBER(SEARCH("zapper",E496))),"Electronic Traps",
OR(ISNUMBER(SEARCH("live catch",E496)),ISNUMBER(SEARCH("multi-catch",E496)),ISNUMBER(SEARCH("catch &amp; hold",E496)),ISNUMBER(SEARCH("tin cat",E496))),"Live Catch Traps",
OR(ISNUMBER(SEARCH("bait",E496)),ISNUMBER(SEARCH("poison",E496))),"Bait &amp; Poison",
ISNUMBER(SEARCH("repellent",E496)),"Repellents",
OR(ISNUMBER(SEARCH("fly trap",E496)),ISNUMBER(SEARCH("fly ribbon",E496)),ISNUMBER(SEARCH("fly stick",E496)),ISNUMBER(SEARCH("window fly",E496)),ISNUMBER(SEARCH("fly magnet",E496))),"Fly Traps",
OR(ISNUMBER(SEARCH("uv",E496)),ISNUMBER(SEARCH("fly light",E496)),ISNUMBER(SEARCH("plug-in",E496))),"UV Fly Traps",
ISNUMBER(SEARCH("roach",E496)),"Roach Traps",
ISNUMBER(SEARCH("ant",E496)),"Ant Traps",
ISNUMBER(SEARCH("spider",E496)),"Spider Traps",
ISNUMBER(SEARCH("mosquito",E496)),"Mosquito Traps",
ISNUMBER(SEARCH("beetle",E496)),"Beetle Traps",
ISNUMBER(SEARCH("lantern",E496)),"Lanternfly Control",
OR(ISNUMBER(SEARCH("tree shield",E496)),ISNUMBER(SEARCH("tree banding",E496)),ISNUMBER(SEARCH("insect barrier",E496))),"Tree Barriers",
OR(ISNUMBER(SEARCH("sun &amp; shade",E496)),ISNUMBER(SEARCH("sun and shade",E496))),"Sun &amp; Shade Mix",
ISNUMBER(SEARCH("tall fescue",E496)),"Tall Fescue",
ISNUMBER(SEARCH("bermudagrass",E496)),"Bermudagrass",
ISNUMBER(SEARCH("kentucky",E496)),"Kentucky Bluegrass",
ISNUMBER(SEARCH("zoysia",E496)),"Zoysia",
ISNUMBER(SEARCH("ryegrass",E496)),"Perennial Ryegrass",
ISNUMBER(SEARCH("centipede",E496)),"Centipede Grass",
ISNUMBER(SEARCH("dense shade",E496)),"Dense Shade Mix",
ISNUMBER(SEARCH("southern gold",E496)),"Southern Gold Mix",
ISNUMBER(SEARCH("heat-tolerant blue",E496)),"Heat-Tolerant Blue Mix",
ISNUMBER(SEARCH("high traffic",E496)),"High Traffic Mix",
ISNUMBER(SEARCH("quick fix",E496)),"Quick Fix Mix",
ISNUMBER(SEARCH("starter",E496)),"Starter Fertilizer",
ISNUMBER(SEARCH("weed &amp; feed",E496)),"Weed &amp; Feed",
ISNUMBER(SEARCH("lawn food",E496)),"Lawn Food",
ISNUMBER(SEARCH("triple action",E496)),"Triple Action Fertilizer",
ISNUMBER(SEARCH("green max",E496)),"Green Max Lawn Food",
ISNUMBER(SEARCH("patchmaster",E496)),"PatchMaster Repair",
ISNUMBER(SEARCH("ez seed",E496)),"EZ Seed Repair",
ISNUMBER(SEARCH("rapid grass",E496)),"Rapid Grass",
ISNUMBER(SEARCH("thick'r lawn",E496)),"Thick'R Lawn",
ISNUMBER(SEARCH("fungicide",E496)),"Fungicide",
ISNUMBER(SEARCH("moss",E496)),"Moss Control",
ISNUMBER(SEARCH("perlite",E496)),"Perlite",
ISNUMBER(SEARCH("plant food",E496)),"Plant Food",
ISNUMBER(SEARCH("spreader",E496)),"Spreader",
ISNUMBER(SEARCH("sprayer",E496)),"Sprayer",
ISNUMBER(SEARCH("mower",E496)),"Lawn Mower",
ISNUMBER(SEARCH("sweeper",E496)),"Lawn Sweeper",
OR(ISNUMBER(SEARCH("pruner",E496)),ISNUMBER(SEARCH("trimmer",E496)),ISNUMBER(SEARCH("pole saw",E496))),"Pruning Tools",
TRUE,"Other"
)</f>
        <v>Other</v>
      </c>
      <c r="J496" s="7" t="str">
        <f t="shared" si="124"/>
        <v>Rodent Control - Other</v>
      </c>
      <c r="K496" s="4">
        <v>100</v>
      </c>
      <c r="L496" s="4">
        <v>4.5</v>
      </c>
      <c r="M496" s="4">
        <v>454</v>
      </c>
      <c r="N496" s="4" t="s">
        <v>2053</v>
      </c>
      <c r="O496" s="4">
        <f>VLOOKUP(A496,[7]Sheet1!$A:$M,2,0)</f>
        <v>300</v>
      </c>
      <c r="P496" s="4">
        <f>VLOOKUP(A496,[7]Sheet1!$A:$M,3,0)</f>
        <v>200</v>
      </c>
      <c r="Q496" s="4">
        <f>VLOOKUP(A496,[7]Sheet1!$A:$M,4,0)</f>
        <v>300</v>
      </c>
      <c r="R496" s="4">
        <f>VLOOKUP(A496,[7]Sheet1!$A:$M,5,0)</f>
        <v>100</v>
      </c>
      <c r="S496" s="4">
        <f>VLOOKUP(A496,[7]Sheet1!$A:$M,6,0)</f>
        <v>100</v>
      </c>
      <c r="T496" s="4">
        <f>VLOOKUP(A496,[7]Sheet1!$A:$M,7,0)</f>
        <v>100</v>
      </c>
      <c r="U496" s="4">
        <f>VLOOKUP(A496,[7]Sheet1!$A:$M,8,0)</f>
        <v>100</v>
      </c>
      <c r="V496" s="4">
        <f>VLOOKUP(A496,[7]Sheet1!$A:$M,9,0)</f>
        <v>50</v>
      </c>
      <c r="W496" s="4">
        <f>VLOOKUP(A496,[7]Sheet1!$A:$M,10,0)</f>
        <v>100</v>
      </c>
      <c r="X496" s="4">
        <f>VLOOKUP(A496,[7]Sheet1!$A:$M,11,0)</f>
        <v>100</v>
      </c>
      <c r="Y496" s="4">
        <f>VLOOKUP(A496,[7]Sheet1!$A:$M,12,0)</f>
        <v>200</v>
      </c>
      <c r="Z496" s="4">
        <f>VLOOKUP(A496,[7]Sheet1!$A:$M,13,0)</f>
        <v>400</v>
      </c>
      <c r="AA496" s="4">
        <f t="shared" si="136"/>
        <v>2050</v>
      </c>
      <c r="AB496" s="7">
        <f t="shared" si="125"/>
        <v>171</v>
      </c>
      <c r="AC496" s="15">
        <f t="shared" si="137"/>
        <v>170.83333333333334</v>
      </c>
      <c r="AD496" s="16">
        <f t="shared" si="138"/>
        <v>45817.5</v>
      </c>
      <c r="AE496" s="16">
        <f t="shared" si="139"/>
        <v>3818.1250000000005</v>
      </c>
      <c r="AF496" s="21">
        <v>5.76</v>
      </c>
      <c r="AG496" s="21">
        <v>22.35</v>
      </c>
      <c r="AH496" s="15">
        <f t="shared" si="134"/>
        <v>0.14533333333333331</v>
      </c>
      <c r="AI496" s="15">
        <f t="shared" si="135"/>
        <v>0.5086666666666666</v>
      </c>
      <c r="AJ496" s="10">
        <v>0.5</v>
      </c>
      <c r="AK496" s="10">
        <v>0.5</v>
      </c>
      <c r="AL496" s="21">
        <v>5.76</v>
      </c>
      <c r="AM496" s="9">
        <f t="shared" si="126"/>
        <v>3.3525</v>
      </c>
      <c r="AN496" s="9">
        <f t="shared" si="127"/>
        <v>0.67049999999999998</v>
      </c>
      <c r="AO496" s="9">
        <f t="shared" si="128"/>
        <v>4.4700000000000006</v>
      </c>
      <c r="AP496" s="9">
        <f t="shared" si="129"/>
        <v>0.44700000000000006</v>
      </c>
      <c r="AQ496" s="9">
        <f t="shared" si="130"/>
        <v>4.4700000000000006</v>
      </c>
      <c r="AR496" s="9">
        <f t="shared" si="131"/>
        <v>5.5875000000000004</v>
      </c>
      <c r="AS496" s="11">
        <f t="shared" si="132"/>
        <v>1.4533333333333331</v>
      </c>
      <c r="AT496" s="12">
        <f t="shared" si="133"/>
        <v>0.70833333333333337</v>
      </c>
    </row>
    <row r="497" spans="1:46" ht="16.5" x14ac:dyDescent="0.4">
      <c r="A497" s="4" t="s">
        <v>2207</v>
      </c>
      <c r="B497" s="4" t="s">
        <v>2236</v>
      </c>
      <c r="C497" s="4" t="s">
        <v>2236</v>
      </c>
      <c r="D497" s="4" t="s">
        <v>2288</v>
      </c>
      <c r="E497" s="4" t="s">
        <v>2289</v>
      </c>
      <c r="F497" s="4" t="s">
        <v>2290</v>
      </c>
      <c r="G497" s="7" t="str">
        <f>VLOOKUP(A497,[1]done!$A:$I,9,0)</f>
        <v>Rodent</v>
      </c>
      <c r="H497" s="7" t="str" cm="1">
        <f t="array" ref="H497">_xlfn.IFS(
OR(ISNUMBER(SEARCH("mouse",E497)),ISNUMBER(SEARCH("rat",E497)),ISNUMBER(SEARCH("mice",E497)),ISNUMBER(SEARCH("rodent",E497))),"Rodent Control",
OR(ISNUMBER(SEARCH("fly",E497)),ISNUMBER(SEARCH("gnat",E497)),ISNUMBER(SEARCH("insect",E497)),ISNUMBER(SEARCH("mosquito",E497))),"Flying Insect Control",
OR(ISNUMBER(SEARCH("roach",E497)),ISNUMBER(SEARCH("ant",E497)),ISNUMBER(SEARCH("spider",E497)),ISNUMBER(SEARCH("cricket",E497)),ISNUMBER(SEARCH("scorpion",E497)),ISNUMBER(SEARCH("centipede",E497)),ISNUMBER(SEARCH("beetle",E497))),"Crawling Insect Control",
OR(ISNUMBER(SEARCH("tree",E497)),ISNUMBER(SEARCH("lantern",E497)),ISNUMBER(SEARCH("garden",E497)),ISNUMBER(SEARCH("plant",E497))),"Garden Pest Control",
OR(ISNUMBER(SEARCH("grass seed",E497)),ISNUMBER(SEARCH("seed mix",E497))),"Grass Seed",
OR(ISNUMBER(SEARCH("lawn food",E497)),ISNUMBER(SEARCH("fertilizer",E497))),"Lawn Fertilizer",
OR(ISNUMBER(SEARCH("patch",E497)),ISNUMBER(SEARCH("repair",E497)),ISNUMBER(SEARCH("thick'r",E497)),ISNUMBER(SEARCH("thick'r lawn",E497)),ISNUMBER(SEARCH("rapid grass",E497))),"Lawn Repair",
OR(ISNUMBER(SEARCH("weed",E497)),ISNUMBER(SEARCH("crabgrass",E497))),"Weed Control",
OR(ISNUMBER(SEARCH("fungicide",E497)),ISNUMBER(SEARCH("moss",E497))),"Disease &amp; Moss Control",
OR(ISNUMBER(SEARCH("plant food",E497)),ISNUMBER(SEARCH("miracid",E497))),"Plant Nutrition",
OR(ISNUMBER(SEARCH("perlite",E497))),"Soil Amendment",
OR(ISNUMBER(SEARCH("spreader",E497)),ISNUMBER(SEARCH("sprayer",E497)),ISNUMBER(SEARCH("mower",E497)),ISNUMBER(SEARCH("sweeper",E497)),ISNUMBER(SEARCH("pruner",E497)),ISNUMBER(SEARCH("trimmer",E497)),ISNUMBER(SEARCH("pole saw",E497))),"Garden Equipment",
TRUE,"Other"
)</f>
        <v>Rodent Control</v>
      </c>
      <c r="I497" s="7" t="str" cm="1">
        <f t="array" ref="I497">_xlfn.IFS(
OR(ISNUMBER(SEARCH("glue trap",E497)),ISNUMBER(SEARCH("glue board",E497))),"Glue Traps",
OR(ISNUMBER(SEARCH("snap trap",E497)),ISNUMBER(SEARCH("power-kill",E497)),ISNUMBER(SEARCH("wide pedal",E497)),ISNUMBER(SEARCH("metal pedal",E497))),"Snap Traps",
OR(ISNUMBER(SEARCH("electronic",E497)),ISNUMBER(SEARCH("zapper",E497))),"Electronic Traps",
OR(ISNUMBER(SEARCH("live catch",E497)),ISNUMBER(SEARCH("multi-catch",E497)),ISNUMBER(SEARCH("catch &amp; hold",E497)),ISNUMBER(SEARCH("tin cat",E497))),"Live Catch Traps",
OR(ISNUMBER(SEARCH("bait",E497)),ISNUMBER(SEARCH("poison",E497))),"Bait &amp; Poison",
ISNUMBER(SEARCH("repellent",E497)),"Repellents",
OR(ISNUMBER(SEARCH("fly trap",E497)),ISNUMBER(SEARCH("fly ribbon",E497)),ISNUMBER(SEARCH("fly stick",E497)),ISNUMBER(SEARCH("window fly",E497)),ISNUMBER(SEARCH("fly magnet",E497))),"Fly Traps",
OR(ISNUMBER(SEARCH("uv",E497)),ISNUMBER(SEARCH("fly light",E497)),ISNUMBER(SEARCH("plug-in",E497))),"UV Fly Traps",
ISNUMBER(SEARCH("roach",E497)),"Roach Traps",
ISNUMBER(SEARCH("ant",E497)),"Ant Traps",
ISNUMBER(SEARCH("spider",E497)),"Spider Traps",
ISNUMBER(SEARCH("mosquito",E497)),"Mosquito Traps",
ISNUMBER(SEARCH("beetle",E497)),"Beetle Traps",
ISNUMBER(SEARCH("lantern",E497)),"Lanternfly Control",
OR(ISNUMBER(SEARCH("tree shield",E497)),ISNUMBER(SEARCH("tree banding",E497)),ISNUMBER(SEARCH("insect barrier",E497))),"Tree Barriers",
OR(ISNUMBER(SEARCH("sun &amp; shade",E497)),ISNUMBER(SEARCH("sun and shade",E497))),"Sun &amp; Shade Mix",
ISNUMBER(SEARCH("tall fescue",E497)),"Tall Fescue",
ISNUMBER(SEARCH("bermudagrass",E497)),"Bermudagrass",
ISNUMBER(SEARCH("kentucky",E497)),"Kentucky Bluegrass",
ISNUMBER(SEARCH("zoysia",E497)),"Zoysia",
ISNUMBER(SEARCH("ryegrass",E497)),"Perennial Ryegrass",
ISNUMBER(SEARCH("centipede",E497)),"Centipede Grass",
ISNUMBER(SEARCH("dense shade",E497)),"Dense Shade Mix",
ISNUMBER(SEARCH("southern gold",E497)),"Southern Gold Mix",
ISNUMBER(SEARCH("heat-tolerant blue",E497)),"Heat-Tolerant Blue Mix",
ISNUMBER(SEARCH("high traffic",E497)),"High Traffic Mix",
ISNUMBER(SEARCH("quick fix",E497)),"Quick Fix Mix",
ISNUMBER(SEARCH("starter",E497)),"Starter Fertilizer",
ISNUMBER(SEARCH("weed &amp; feed",E497)),"Weed &amp; Feed",
ISNUMBER(SEARCH("lawn food",E497)),"Lawn Food",
ISNUMBER(SEARCH("triple action",E497)),"Triple Action Fertilizer",
ISNUMBER(SEARCH("green max",E497)),"Green Max Lawn Food",
ISNUMBER(SEARCH("patchmaster",E497)),"PatchMaster Repair",
ISNUMBER(SEARCH("ez seed",E497)),"EZ Seed Repair",
ISNUMBER(SEARCH("rapid grass",E497)),"Rapid Grass",
ISNUMBER(SEARCH("thick'r lawn",E497)),"Thick'R Lawn",
ISNUMBER(SEARCH("fungicide",E497)),"Fungicide",
ISNUMBER(SEARCH("moss",E497)),"Moss Control",
ISNUMBER(SEARCH("perlite",E497)),"Perlite",
ISNUMBER(SEARCH("plant food",E497)),"Plant Food",
ISNUMBER(SEARCH("spreader",E497)),"Spreader",
ISNUMBER(SEARCH("sprayer",E497)),"Sprayer",
ISNUMBER(SEARCH("mower",E497)),"Lawn Mower",
ISNUMBER(SEARCH("sweeper",E497)),"Lawn Sweeper",
OR(ISNUMBER(SEARCH("pruner",E497)),ISNUMBER(SEARCH("trimmer",E497)),ISNUMBER(SEARCH("pole saw",E497))),"Pruning Tools",
TRUE,"Other"
)</f>
        <v>Other</v>
      </c>
      <c r="J497" s="7" t="str">
        <f t="shared" si="124"/>
        <v>Rodent Control - Other</v>
      </c>
      <c r="K497" s="4">
        <v>100</v>
      </c>
      <c r="L497" s="4">
        <v>4.5</v>
      </c>
      <c r="M497" s="4">
        <v>232</v>
      </c>
      <c r="N497" s="4" t="s">
        <v>1094</v>
      </c>
      <c r="O497" s="4">
        <f>VLOOKUP(A497,[7]Sheet1!$A:$M,2,0)</f>
        <v>0</v>
      </c>
      <c r="P497" s="4">
        <f>VLOOKUP(A497,[7]Sheet1!$A:$M,3,0)</f>
        <v>0</v>
      </c>
      <c r="Q497" s="4">
        <f>VLOOKUP(A497,[7]Sheet1!$A:$M,4,0)</f>
        <v>0</v>
      </c>
      <c r="R497" s="4">
        <f>VLOOKUP(A497,[7]Sheet1!$A:$M,5,0)</f>
        <v>50</v>
      </c>
      <c r="S497" s="4">
        <f>VLOOKUP(A497,[7]Sheet1!$A:$M,6,0)</f>
        <v>50</v>
      </c>
      <c r="T497" s="4">
        <f>VLOOKUP(A497,[7]Sheet1!$A:$M,7,0)</f>
        <v>100</v>
      </c>
      <c r="U497" s="4">
        <f>VLOOKUP(A497,[7]Sheet1!$A:$M,8,0)</f>
        <v>100</v>
      </c>
      <c r="V497" s="4">
        <f>VLOOKUP(A497,[7]Sheet1!$A:$M,9,0)</f>
        <v>100</v>
      </c>
      <c r="W497" s="4">
        <f>VLOOKUP(A497,[7]Sheet1!$A:$M,10,0)</f>
        <v>100</v>
      </c>
      <c r="X497" s="4">
        <f>VLOOKUP(A497,[7]Sheet1!$A:$M,11,0)</f>
        <v>0</v>
      </c>
      <c r="Y497" s="4">
        <f>VLOOKUP(A497,[7]Sheet1!$A:$M,12,0)</f>
        <v>0</v>
      </c>
      <c r="Z497" s="4">
        <f>VLOOKUP(A497,[7]Sheet1!$A:$M,13,0)</f>
        <v>0</v>
      </c>
      <c r="AA497" s="4">
        <f t="shared" si="136"/>
        <v>500</v>
      </c>
      <c r="AB497" s="7">
        <f t="shared" si="125"/>
        <v>42</v>
      </c>
      <c r="AC497" s="15">
        <f t="shared" si="137"/>
        <v>41.666666666666664</v>
      </c>
      <c r="AD497" s="16">
        <f t="shared" si="138"/>
        <v>2745</v>
      </c>
      <c r="AE497" s="16">
        <f t="shared" si="139"/>
        <v>228.75</v>
      </c>
      <c r="AF497" s="21">
        <v>3.91</v>
      </c>
      <c r="AG497" s="21">
        <v>5.49</v>
      </c>
      <c r="AH497" s="15">
        <f t="shared" si="134"/>
        <v>-0.18093333333333339</v>
      </c>
      <c r="AI497" s="15">
        <f t="shared" si="135"/>
        <v>-0.63326666666666676</v>
      </c>
      <c r="AJ497" s="10">
        <v>0.5</v>
      </c>
      <c r="AK497" s="10">
        <v>0.5</v>
      </c>
      <c r="AL497" s="21">
        <v>3.91</v>
      </c>
      <c r="AM497" s="9">
        <f t="shared" si="126"/>
        <v>0.82350000000000001</v>
      </c>
      <c r="AN497" s="9">
        <f t="shared" si="127"/>
        <v>0.16470000000000001</v>
      </c>
      <c r="AO497" s="9">
        <f t="shared" si="128"/>
        <v>1.0980000000000001</v>
      </c>
      <c r="AP497" s="9">
        <f t="shared" si="129"/>
        <v>0.10980000000000001</v>
      </c>
      <c r="AQ497" s="9">
        <f t="shared" si="130"/>
        <v>1.0980000000000001</v>
      </c>
      <c r="AR497" s="9">
        <f t="shared" si="131"/>
        <v>1.3725000000000001</v>
      </c>
      <c r="AS497" s="11">
        <f t="shared" si="132"/>
        <v>-1.8093333333333337</v>
      </c>
      <c r="AT497" s="12">
        <f t="shared" si="133"/>
        <v>-1.9923333333333335</v>
      </c>
    </row>
    <row r="498" spans="1:46" ht="16.5" x14ac:dyDescent="0.4">
      <c r="A498" s="4" t="s">
        <v>2208</v>
      </c>
      <c r="B498" s="4" t="s">
        <v>2236</v>
      </c>
      <c r="C498" s="4" t="s">
        <v>2236</v>
      </c>
      <c r="D498" s="4" t="s">
        <v>2291</v>
      </c>
      <c r="E498" s="4" t="s">
        <v>2292</v>
      </c>
      <c r="F498" s="4" t="s">
        <v>2293</v>
      </c>
      <c r="G498" s="7" t="str">
        <f>VLOOKUP(A498,[1]done!$A:$I,9,0)</f>
        <v>Rodent</v>
      </c>
      <c r="H498" s="7" t="str" cm="1">
        <f t="array" ref="H498">_xlfn.IFS(
OR(ISNUMBER(SEARCH("mouse",E498)),ISNUMBER(SEARCH("rat",E498)),ISNUMBER(SEARCH("mice",E498)),ISNUMBER(SEARCH("rodent",E498))),"Rodent Control",
OR(ISNUMBER(SEARCH("fly",E498)),ISNUMBER(SEARCH("gnat",E498)),ISNUMBER(SEARCH("insect",E498)),ISNUMBER(SEARCH("mosquito",E498))),"Flying Insect Control",
OR(ISNUMBER(SEARCH("roach",E498)),ISNUMBER(SEARCH("ant",E498)),ISNUMBER(SEARCH("spider",E498)),ISNUMBER(SEARCH("cricket",E498)),ISNUMBER(SEARCH("scorpion",E498)),ISNUMBER(SEARCH("centipede",E498)),ISNUMBER(SEARCH("beetle",E498))),"Crawling Insect Control",
OR(ISNUMBER(SEARCH("tree",E498)),ISNUMBER(SEARCH("lantern",E498)),ISNUMBER(SEARCH("garden",E498)),ISNUMBER(SEARCH("plant",E498))),"Garden Pest Control",
OR(ISNUMBER(SEARCH("grass seed",E498)),ISNUMBER(SEARCH("seed mix",E498))),"Grass Seed",
OR(ISNUMBER(SEARCH("lawn food",E498)),ISNUMBER(SEARCH("fertilizer",E498))),"Lawn Fertilizer",
OR(ISNUMBER(SEARCH("patch",E498)),ISNUMBER(SEARCH("repair",E498)),ISNUMBER(SEARCH("thick'r",E498)),ISNUMBER(SEARCH("thick'r lawn",E498)),ISNUMBER(SEARCH("rapid grass",E498))),"Lawn Repair",
OR(ISNUMBER(SEARCH("weed",E498)),ISNUMBER(SEARCH("crabgrass",E498))),"Weed Control",
OR(ISNUMBER(SEARCH("fungicide",E498)),ISNUMBER(SEARCH("moss",E498))),"Disease &amp; Moss Control",
OR(ISNUMBER(SEARCH("plant food",E498)),ISNUMBER(SEARCH("miracid",E498))),"Plant Nutrition",
OR(ISNUMBER(SEARCH("perlite",E498))),"Soil Amendment",
OR(ISNUMBER(SEARCH("spreader",E498)),ISNUMBER(SEARCH("sprayer",E498)),ISNUMBER(SEARCH("mower",E498)),ISNUMBER(SEARCH("sweeper",E498)),ISNUMBER(SEARCH("pruner",E498)),ISNUMBER(SEARCH("trimmer",E498)),ISNUMBER(SEARCH("pole saw",E498))),"Garden Equipment",
TRUE,"Other"
)</f>
        <v>Rodent Control</v>
      </c>
      <c r="I498" s="7" t="str" cm="1">
        <f t="array" ref="I498">_xlfn.IFS(
OR(ISNUMBER(SEARCH("glue trap",E498)),ISNUMBER(SEARCH("glue board",E498))),"Glue Traps",
OR(ISNUMBER(SEARCH("snap trap",E498)),ISNUMBER(SEARCH("power-kill",E498)),ISNUMBER(SEARCH("wide pedal",E498)),ISNUMBER(SEARCH("metal pedal",E498))),"Snap Traps",
OR(ISNUMBER(SEARCH("electronic",E498)),ISNUMBER(SEARCH("zapper",E498))),"Electronic Traps",
OR(ISNUMBER(SEARCH("live catch",E498)),ISNUMBER(SEARCH("multi-catch",E498)),ISNUMBER(SEARCH("catch &amp; hold",E498)),ISNUMBER(SEARCH("tin cat",E498))),"Live Catch Traps",
OR(ISNUMBER(SEARCH("bait",E498)),ISNUMBER(SEARCH("poison",E498))),"Bait &amp; Poison",
ISNUMBER(SEARCH("repellent",E498)),"Repellents",
OR(ISNUMBER(SEARCH("fly trap",E498)),ISNUMBER(SEARCH("fly ribbon",E498)),ISNUMBER(SEARCH("fly stick",E498)),ISNUMBER(SEARCH("window fly",E498)),ISNUMBER(SEARCH("fly magnet",E498))),"Fly Traps",
OR(ISNUMBER(SEARCH("uv",E498)),ISNUMBER(SEARCH("fly light",E498)),ISNUMBER(SEARCH("plug-in",E498))),"UV Fly Traps",
ISNUMBER(SEARCH("roach",E498)),"Roach Traps",
ISNUMBER(SEARCH("ant",E498)),"Ant Traps",
ISNUMBER(SEARCH("spider",E498)),"Spider Traps",
ISNUMBER(SEARCH("mosquito",E498)),"Mosquito Traps",
ISNUMBER(SEARCH("beetle",E498)),"Beetle Traps",
ISNUMBER(SEARCH("lantern",E498)),"Lanternfly Control",
OR(ISNUMBER(SEARCH("tree shield",E498)),ISNUMBER(SEARCH("tree banding",E498)),ISNUMBER(SEARCH("insect barrier",E498))),"Tree Barriers",
OR(ISNUMBER(SEARCH("sun &amp; shade",E498)),ISNUMBER(SEARCH("sun and shade",E498))),"Sun &amp; Shade Mix",
ISNUMBER(SEARCH("tall fescue",E498)),"Tall Fescue",
ISNUMBER(SEARCH("bermudagrass",E498)),"Bermudagrass",
ISNUMBER(SEARCH("kentucky",E498)),"Kentucky Bluegrass",
ISNUMBER(SEARCH("zoysia",E498)),"Zoysia",
ISNUMBER(SEARCH("ryegrass",E498)),"Perennial Ryegrass",
ISNUMBER(SEARCH("centipede",E498)),"Centipede Grass",
ISNUMBER(SEARCH("dense shade",E498)),"Dense Shade Mix",
ISNUMBER(SEARCH("southern gold",E498)),"Southern Gold Mix",
ISNUMBER(SEARCH("heat-tolerant blue",E498)),"Heat-Tolerant Blue Mix",
ISNUMBER(SEARCH("high traffic",E498)),"High Traffic Mix",
ISNUMBER(SEARCH("quick fix",E498)),"Quick Fix Mix",
ISNUMBER(SEARCH("starter",E498)),"Starter Fertilizer",
ISNUMBER(SEARCH("weed &amp; feed",E498)),"Weed &amp; Feed",
ISNUMBER(SEARCH("lawn food",E498)),"Lawn Food",
ISNUMBER(SEARCH("triple action",E498)),"Triple Action Fertilizer",
ISNUMBER(SEARCH("green max",E498)),"Green Max Lawn Food",
ISNUMBER(SEARCH("patchmaster",E498)),"PatchMaster Repair",
ISNUMBER(SEARCH("ez seed",E498)),"EZ Seed Repair",
ISNUMBER(SEARCH("rapid grass",E498)),"Rapid Grass",
ISNUMBER(SEARCH("thick'r lawn",E498)),"Thick'R Lawn",
ISNUMBER(SEARCH("fungicide",E498)),"Fungicide",
ISNUMBER(SEARCH("moss",E498)),"Moss Control",
ISNUMBER(SEARCH("perlite",E498)),"Perlite",
ISNUMBER(SEARCH("plant food",E498)),"Plant Food",
ISNUMBER(SEARCH("spreader",E498)),"Spreader",
ISNUMBER(SEARCH("sprayer",E498)),"Sprayer",
ISNUMBER(SEARCH("mower",E498)),"Lawn Mower",
ISNUMBER(SEARCH("sweeper",E498)),"Lawn Sweeper",
OR(ISNUMBER(SEARCH("pruner",E498)),ISNUMBER(SEARCH("trimmer",E498)),ISNUMBER(SEARCH("pole saw",E498))),"Pruning Tools",
TRUE,"Other"
)</f>
        <v>Bait &amp; Poison</v>
      </c>
      <c r="J498" s="7" t="str">
        <f t="shared" si="124"/>
        <v>Rodent Control - Bait &amp; Poison</v>
      </c>
      <c r="K498" s="4">
        <v>100</v>
      </c>
      <c r="L498" s="4">
        <v>4.2</v>
      </c>
      <c r="M498" s="4">
        <v>1176</v>
      </c>
      <c r="N498" s="4" t="s">
        <v>1555</v>
      </c>
      <c r="O498" s="4">
        <f>VLOOKUP(A498,[7]Sheet1!$A:$M,2,0)</f>
        <v>50</v>
      </c>
      <c r="P498" s="4">
        <f>VLOOKUP(A498,[7]Sheet1!$A:$M,3,0)</f>
        <v>50</v>
      </c>
      <c r="Q498" s="4">
        <f>VLOOKUP(A498,[7]Sheet1!$A:$M,4,0)</f>
        <v>50</v>
      </c>
      <c r="R498" s="4">
        <f>VLOOKUP(A498,[7]Sheet1!$A:$M,5,0)</f>
        <v>50</v>
      </c>
      <c r="S498" s="4">
        <f>VLOOKUP(A498,[7]Sheet1!$A:$M,6,0)</f>
        <v>100</v>
      </c>
      <c r="T498" s="4">
        <f>VLOOKUP(A498,[7]Sheet1!$A:$M,7,0)</f>
        <v>100</v>
      </c>
      <c r="U498" s="4">
        <f>VLOOKUP(A498,[7]Sheet1!$A:$M,8,0)</f>
        <v>50</v>
      </c>
      <c r="V498" s="4">
        <f>VLOOKUP(A498,[7]Sheet1!$A:$M,9,0)</f>
        <v>100</v>
      </c>
      <c r="W498" s="4">
        <f>VLOOKUP(A498,[7]Sheet1!$A:$M,10,0)</f>
        <v>100</v>
      </c>
      <c r="X498" s="4">
        <f>VLOOKUP(A498,[7]Sheet1!$A:$M,11,0)</f>
        <v>50</v>
      </c>
      <c r="Y498" s="4">
        <f>VLOOKUP(A498,[7]Sheet1!$A:$M,12,0)</f>
        <v>50</v>
      </c>
      <c r="Z498" s="4">
        <f>VLOOKUP(A498,[7]Sheet1!$A:$M,13,0)</f>
        <v>50</v>
      </c>
      <c r="AA498" s="4">
        <f t="shared" si="136"/>
        <v>800</v>
      </c>
      <c r="AB498" s="7">
        <f t="shared" si="125"/>
        <v>67</v>
      </c>
      <c r="AC498" s="15">
        <f t="shared" si="137"/>
        <v>66.666666666666671</v>
      </c>
      <c r="AD498" s="16">
        <f t="shared" si="138"/>
        <v>37072</v>
      </c>
      <c r="AE498" s="16">
        <f t="shared" si="139"/>
        <v>3089.3333333333339</v>
      </c>
      <c r="AF498" s="21">
        <v>7.71</v>
      </c>
      <c r="AG498" s="21">
        <v>46.34</v>
      </c>
      <c r="AH498" s="15">
        <f t="shared" si="134"/>
        <v>0.6550666666666668</v>
      </c>
      <c r="AI498" s="15">
        <f t="shared" si="135"/>
        <v>2.2927333333333335</v>
      </c>
      <c r="AJ498" s="10">
        <v>0.5</v>
      </c>
      <c r="AK498" s="10">
        <v>0.5</v>
      </c>
      <c r="AL498" s="21">
        <v>7.71</v>
      </c>
      <c r="AM498" s="9">
        <f t="shared" si="126"/>
        <v>6.9510000000000005</v>
      </c>
      <c r="AN498" s="9">
        <f t="shared" si="127"/>
        <v>1.3902000000000001</v>
      </c>
      <c r="AO498" s="9">
        <f t="shared" si="128"/>
        <v>9.2680000000000007</v>
      </c>
      <c r="AP498" s="9">
        <f t="shared" si="129"/>
        <v>0.92680000000000007</v>
      </c>
      <c r="AQ498" s="9">
        <f t="shared" si="130"/>
        <v>9.2680000000000007</v>
      </c>
      <c r="AR498" s="9">
        <f t="shared" si="131"/>
        <v>11.585000000000001</v>
      </c>
      <c r="AS498" s="11">
        <f t="shared" si="132"/>
        <v>6.5506666666666673</v>
      </c>
      <c r="AT498" s="12">
        <f t="shared" si="133"/>
        <v>5.0060000000000002</v>
      </c>
    </row>
    <row r="499" spans="1:46" ht="16.5" x14ac:dyDescent="0.4">
      <c r="A499" s="4" t="s">
        <v>2209</v>
      </c>
      <c r="B499" s="4" t="s">
        <v>2236</v>
      </c>
      <c r="C499" s="4" t="s">
        <v>2236</v>
      </c>
      <c r="D499" s="4" t="s">
        <v>2251</v>
      </c>
      <c r="E499" s="4" t="s">
        <v>2294</v>
      </c>
      <c r="F499" s="4" t="s">
        <v>2295</v>
      </c>
      <c r="G499" s="7" t="str">
        <f>VLOOKUP(A499,[1]done!$A:$I,9,0)</f>
        <v>Rodent</v>
      </c>
      <c r="H499" s="7" t="str" cm="1">
        <f t="array" ref="H499">_xlfn.IFS(
OR(ISNUMBER(SEARCH("mouse",E499)),ISNUMBER(SEARCH("rat",E499)),ISNUMBER(SEARCH("mice",E499)),ISNUMBER(SEARCH("rodent",E499))),"Rodent Control",
OR(ISNUMBER(SEARCH("fly",E499)),ISNUMBER(SEARCH("gnat",E499)),ISNUMBER(SEARCH("insect",E499)),ISNUMBER(SEARCH("mosquito",E499))),"Flying Insect Control",
OR(ISNUMBER(SEARCH("roach",E499)),ISNUMBER(SEARCH("ant",E499)),ISNUMBER(SEARCH("spider",E499)),ISNUMBER(SEARCH("cricket",E499)),ISNUMBER(SEARCH("scorpion",E499)),ISNUMBER(SEARCH("centipede",E499)),ISNUMBER(SEARCH("beetle",E499))),"Crawling Insect Control",
OR(ISNUMBER(SEARCH("tree",E499)),ISNUMBER(SEARCH("lantern",E499)),ISNUMBER(SEARCH("garden",E499)),ISNUMBER(SEARCH("plant",E499))),"Garden Pest Control",
OR(ISNUMBER(SEARCH("grass seed",E499)),ISNUMBER(SEARCH("seed mix",E499))),"Grass Seed",
OR(ISNUMBER(SEARCH("lawn food",E499)),ISNUMBER(SEARCH("fertilizer",E499))),"Lawn Fertilizer",
OR(ISNUMBER(SEARCH("patch",E499)),ISNUMBER(SEARCH("repair",E499)),ISNUMBER(SEARCH("thick'r",E499)),ISNUMBER(SEARCH("thick'r lawn",E499)),ISNUMBER(SEARCH("rapid grass",E499))),"Lawn Repair",
OR(ISNUMBER(SEARCH("weed",E499)),ISNUMBER(SEARCH("crabgrass",E499))),"Weed Control",
OR(ISNUMBER(SEARCH("fungicide",E499)),ISNUMBER(SEARCH("moss",E499))),"Disease &amp; Moss Control",
OR(ISNUMBER(SEARCH("plant food",E499)),ISNUMBER(SEARCH("miracid",E499))),"Plant Nutrition",
OR(ISNUMBER(SEARCH("perlite",E499))),"Soil Amendment",
OR(ISNUMBER(SEARCH("spreader",E499)),ISNUMBER(SEARCH("sprayer",E499)),ISNUMBER(SEARCH("mower",E499)),ISNUMBER(SEARCH("sweeper",E499)),ISNUMBER(SEARCH("pruner",E499)),ISNUMBER(SEARCH("trimmer",E499)),ISNUMBER(SEARCH("pole saw",E499))),"Garden Equipment",
TRUE,"Other"
)</f>
        <v>Rodent Control</v>
      </c>
      <c r="I499" s="7" t="str" cm="1">
        <f t="array" ref="I499">_xlfn.IFS(
OR(ISNUMBER(SEARCH("glue trap",E499)),ISNUMBER(SEARCH("glue board",E499))),"Glue Traps",
OR(ISNUMBER(SEARCH("snap trap",E499)),ISNUMBER(SEARCH("power-kill",E499)),ISNUMBER(SEARCH("wide pedal",E499)),ISNUMBER(SEARCH("metal pedal",E499))),"Snap Traps",
OR(ISNUMBER(SEARCH("electronic",E499)),ISNUMBER(SEARCH("zapper",E499))),"Electronic Traps",
OR(ISNUMBER(SEARCH("live catch",E499)),ISNUMBER(SEARCH("multi-catch",E499)),ISNUMBER(SEARCH("catch &amp; hold",E499)),ISNUMBER(SEARCH("tin cat",E499))),"Live Catch Traps",
OR(ISNUMBER(SEARCH("bait",E499)),ISNUMBER(SEARCH("poison",E499))),"Bait &amp; Poison",
ISNUMBER(SEARCH("repellent",E499)),"Repellents",
OR(ISNUMBER(SEARCH("fly trap",E499)),ISNUMBER(SEARCH("fly ribbon",E499)),ISNUMBER(SEARCH("fly stick",E499)),ISNUMBER(SEARCH("window fly",E499)),ISNUMBER(SEARCH("fly magnet",E499))),"Fly Traps",
OR(ISNUMBER(SEARCH("uv",E499)),ISNUMBER(SEARCH("fly light",E499)),ISNUMBER(SEARCH("plug-in",E499))),"UV Fly Traps",
ISNUMBER(SEARCH("roach",E499)),"Roach Traps",
ISNUMBER(SEARCH("ant",E499)),"Ant Traps",
ISNUMBER(SEARCH("spider",E499)),"Spider Traps",
ISNUMBER(SEARCH("mosquito",E499)),"Mosquito Traps",
ISNUMBER(SEARCH("beetle",E499)),"Beetle Traps",
ISNUMBER(SEARCH("lantern",E499)),"Lanternfly Control",
OR(ISNUMBER(SEARCH("tree shield",E499)),ISNUMBER(SEARCH("tree banding",E499)),ISNUMBER(SEARCH("insect barrier",E499))),"Tree Barriers",
OR(ISNUMBER(SEARCH("sun &amp; shade",E499)),ISNUMBER(SEARCH("sun and shade",E499))),"Sun &amp; Shade Mix",
ISNUMBER(SEARCH("tall fescue",E499)),"Tall Fescue",
ISNUMBER(SEARCH("bermudagrass",E499)),"Bermudagrass",
ISNUMBER(SEARCH("kentucky",E499)),"Kentucky Bluegrass",
ISNUMBER(SEARCH("zoysia",E499)),"Zoysia",
ISNUMBER(SEARCH("ryegrass",E499)),"Perennial Ryegrass",
ISNUMBER(SEARCH("centipede",E499)),"Centipede Grass",
ISNUMBER(SEARCH("dense shade",E499)),"Dense Shade Mix",
ISNUMBER(SEARCH("southern gold",E499)),"Southern Gold Mix",
ISNUMBER(SEARCH("heat-tolerant blue",E499)),"Heat-Tolerant Blue Mix",
ISNUMBER(SEARCH("high traffic",E499)),"High Traffic Mix",
ISNUMBER(SEARCH("quick fix",E499)),"Quick Fix Mix",
ISNUMBER(SEARCH("starter",E499)),"Starter Fertilizer",
ISNUMBER(SEARCH("weed &amp; feed",E499)),"Weed &amp; Feed",
ISNUMBER(SEARCH("lawn food",E499)),"Lawn Food",
ISNUMBER(SEARCH("triple action",E499)),"Triple Action Fertilizer",
ISNUMBER(SEARCH("green max",E499)),"Green Max Lawn Food",
ISNUMBER(SEARCH("patchmaster",E499)),"PatchMaster Repair",
ISNUMBER(SEARCH("ez seed",E499)),"EZ Seed Repair",
ISNUMBER(SEARCH("rapid grass",E499)),"Rapid Grass",
ISNUMBER(SEARCH("thick'r lawn",E499)),"Thick'R Lawn",
ISNUMBER(SEARCH("fungicide",E499)),"Fungicide",
ISNUMBER(SEARCH("moss",E499)),"Moss Control",
ISNUMBER(SEARCH("perlite",E499)),"Perlite",
ISNUMBER(SEARCH("plant food",E499)),"Plant Food",
ISNUMBER(SEARCH("spreader",E499)),"Spreader",
ISNUMBER(SEARCH("sprayer",E499)),"Sprayer",
ISNUMBER(SEARCH("mower",E499)),"Lawn Mower",
ISNUMBER(SEARCH("sweeper",E499)),"Lawn Sweeper",
OR(ISNUMBER(SEARCH("pruner",E499)),ISNUMBER(SEARCH("trimmer",E499)),ISNUMBER(SEARCH("pole saw",E499))),"Pruning Tools",
TRUE,"Other"
)</f>
        <v>Bait &amp; Poison</v>
      </c>
      <c r="J499" s="7" t="str">
        <f t="shared" si="124"/>
        <v>Rodent Control - Bait &amp; Poison</v>
      </c>
      <c r="K499" s="4">
        <v>100</v>
      </c>
      <c r="L499" s="4">
        <v>4.5999999999999996</v>
      </c>
      <c r="M499" s="4">
        <v>1322</v>
      </c>
      <c r="N499" s="4">
        <v>0</v>
      </c>
      <c r="O499" s="4">
        <f>VLOOKUP(A499,[7]Sheet1!$A:$M,2,0)</f>
        <v>600</v>
      </c>
      <c r="P499" s="4">
        <f>VLOOKUP(A499,[7]Sheet1!$A:$M,3,0)</f>
        <v>400</v>
      </c>
      <c r="Q499" s="4">
        <f>VLOOKUP(A499,[7]Sheet1!$A:$M,4,0)</f>
        <v>300</v>
      </c>
      <c r="R499" s="4">
        <f>VLOOKUP(A499,[7]Sheet1!$A:$M,5,0)</f>
        <v>100</v>
      </c>
      <c r="S499" s="4">
        <f>VLOOKUP(A499,[7]Sheet1!$A:$M,6,0)</f>
        <v>100</v>
      </c>
      <c r="T499" s="4">
        <f>VLOOKUP(A499,[7]Sheet1!$A:$M,7,0)</f>
        <v>200</v>
      </c>
      <c r="U499" s="4">
        <f>VLOOKUP(A499,[7]Sheet1!$A:$M,8,0)</f>
        <v>100</v>
      </c>
      <c r="V499" s="4">
        <f>VLOOKUP(A499,[7]Sheet1!$A:$M,9,0)</f>
        <v>60</v>
      </c>
      <c r="W499" s="4">
        <f>VLOOKUP(A499,[7]Sheet1!$A:$M,10,0)</f>
        <v>100</v>
      </c>
      <c r="X499" s="4">
        <f>VLOOKUP(A499,[7]Sheet1!$A:$M,11,0)</f>
        <v>300</v>
      </c>
      <c r="Y499" s="4">
        <f>VLOOKUP(A499,[7]Sheet1!$A:$M,12,0)</f>
        <v>800</v>
      </c>
      <c r="Z499" s="4">
        <f>VLOOKUP(A499,[7]Sheet1!$A:$M,13,0)</f>
        <v>600</v>
      </c>
      <c r="AA499" s="4">
        <f t="shared" si="136"/>
        <v>3660</v>
      </c>
      <c r="AB499" s="7">
        <f t="shared" si="125"/>
        <v>305</v>
      </c>
      <c r="AC499" s="15">
        <f t="shared" si="137"/>
        <v>305</v>
      </c>
      <c r="AD499" s="16">
        <f t="shared" si="138"/>
        <v>126672.59999999999</v>
      </c>
      <c r="AE499" s="16">
        <f t="shared" si="139"/>
        <v>10556.05</v>
      </c>
      <c r="AF499" s="21">
        <v>7.15</v>
      </c>
      <c r="AG499" s="21">
        <v>34.61</v>
      </c>
      <c r="AH499" s="15">
        <f t="shared" si="134"/>
        <v>0.37959999999999983</v>
      </c>
      <c r="AI499" s="15">
        <f t="shared" si="135"/>
        <v>1.3285999999999993</v>
      </c>
      <c r="AJ499" s="10">
        <v>0.5</v>
      </c>
      <c r="AK499" s="10">
        <v>0.5</v>
      </c>
      <c r="AL499" s="21">
        <v>7.15</v>
      </c>
      <c r="AM499" s="9">
        <f t="shared" si="126"/>
        <v>5.1914999999999996</v>
      </c>
      <c r="AN499" s="9">
        <f t="shared" si="127"/>
        <v>1.0383</v>
      </c>
      <c r="AO499" s="9">
        <f t="shared" si="128"/>
        <v>6.9220000000000006</v>
      </c>
      <c r="AP499" s="9">
        <f t="shared" si="129"/>
        <v>0.69220000000000004</v>
      </c>
      <c r="AQ499" s="9">
        <f t="shared" si="130"/>
        <v>6.9220000000000006</v>
      </c>
      <c r="AR499" s="9">
        <f t="shared" si="131"/>
        <v>8.6524999999999999</v>
      </c>
      <c r="AS499" s="11">
        <f t="shared" si="132"/>
        <v>3.795999999999998</v>
      </c>
      <c r="AT499" s="12">
        <f t="shared" si="133"/>
        <v>2.6423333333333319</v>
      </c>
    </row>
    <row r="500" spans="1:46" ht="16.5" x14ac:dyDescent="0.4">
      <c r="A500" s="4" t="s">
        <v>2210</v>
      </c>
      <c r="B500" s="4" t="s">
        <v>2236</v>
      </c>
      <c r="C500" s="4" t="s">
        <v>2236</v>
      </c>
      <c r="D500" s="4" t="s">
        <v>2296</v>
      </c>
      <c r="E500" s="4" t="s">
        <v>2297</v>
      </c>
      <c r="F500" s="4" t="s">
        <v>2298</v>
      </c>
      <c r="G500" s="7" t="str">
        <f>VLOOKUP(A500,[1]done!$A:$I,9,0)</f>
        <v>Rodent</v>
      </c>
      <c r="H500" s="7" t="str" cm="1">
        <f t="array" ref="H500">_xlfn.IFS(
OR(ISNUMBER(SEARCH("mouse",E500)),ISNUMBER(SEARCH("rat",E500)),ISNUMBER(SEARCH("mice",E500)),ISNUMBER(SEARCH("rodent",E500))),"Rodent Control",
OR(ISNUMBER(SEARCH("fly",E500)),ISNUMBER(SEARCH("gnat",E500)),ISNUMBER(SEARCH("insect",E500)),ISNUMBER(SEARCH("mosquito",E500))),"Flying Insect Control",
OR(ISNUMBER(SEARCH("roach",E500)),ISNUMBER(SEARCH("ant",E500)),ISNUMBER(SEARCH("spider",E500)),ISNUMBER(SEARCH("cricket",E500)),ISNUMBER(SEARCH("scorpion",E500)),ISNUMBER(SEARCH("centipede",E500)),ISNUMBER(SEARCH("beetle",E500))),"Crawling Insect Control",
OR(ISNUMBER(SEARCH("tree",E500)),ISNUMBER(SEARCH("lantern",E500)),ISNUMBER(SEARCH("garden",E500)),ISNUMBER(SEARCH("plant",E500))),"Garden Pest Control",
OR(ISNUMBER(SEARCH("grass seed",E500)),ISNUMBER(SEARCH("seed mix",E500))),"Grass Seed",
OR(ISNUMBER(SEARCH("lawn food",E500)),ISNUMBER(SEARCH("fertilizer",E500))),"Lawn Fertilizer",
OR(ISNUMBER(SEARCH("patch",E500)),ISNUMBER(SEARCH("repair",E500)),ISNUMBER(SEARCH("thick'r",E500)),ISNUMBER(SEARCH("thick'r lawn",E500)),ISNUMBER(SEARCH("rapid grass",E500))),"Lawn Repair",
OR(ISNUMBER(SEARCH("weed",E500)),ISNUMBER(SEARCH("crabgrass",E500))),"Weed Control",
OR(ISNUMBER(SEARCH("fungicide",E500)),ISNUMBER(SEARCH("moss",E500))),"Disease &amp; Moss Control",
OR(ISNUMBER(SEARCH("plant food",E500)),ISNUMBER(SEARCH("miracid",E500))),"Plant Nutrition",
OR(ISNUMBER(SEARCH("perlite",E500))),"Soil Amendment",
OR(ISNUMBER(SEARCH("spreader",E500)),ISNUMBER(SEARCH("sprayer",E500)),ISNUMBER(SEARCH("mower",E500)),ISNUMBER(SEARCH("sweeper",E500)),ISNUMBER(SEARCH("pruner",E500)),ISNUMBER(SEARCH("trimmer",E500)),ISNUMBER(SEARCH("pole saw",E500))),"Garden Equipment",
TRUE,"Other"
)</f>
        <v>Rodent Control</v>
      </c>
      <c r="I500" s="7" t="str" cm="1">
        <f t="array" ref="I500">_xlfn.IFS(
OR(ISNUMBER(SEARCH("glue trap",E500)),ISNUMBER(SEARCH("glue board",E500))),"Glue Traps",
OR(ISNUMBER(SEARCH("snap trap",E500)),ISNUMBER(SEARCH("power-kill",E500)),ISNUMBER(SEARCH("wide pedal",E500)),ISNUMBER(SEARCH("metal pedal",E500))),"Snap Traps",
OR(ISNUMBER(SEARCH("electronic",E500)),ISNUMBER(SEARCH("zapper",E500))),"Electronic Traps",
OR(ISNUMBER(SEARCH("live catch",E500)),ISNUMBER(SEARCH("multi-catch",E500)),ISNUMBER(SEARCH("catch &amp; hold",E500)),ISNUMBER(SEARCH("tin cat",E500))),"Live Catch Traps",
OR(ISNUMBER(SEARCH("bait",E500)),ISNUMBER(SEARCH("poison",E500))),"Bait &amp; Poison",
ISNUMBER(SEARCH("repellent",E500)),"Repellents",
OR(ISNUMBER(SEARCH("fly trap",E500)),ISNUMBER(SEARCH("fly ribbon",E500)),ISNUMBER(SEARCH("fly stick",E500)),ISNUMBER(SEARCH("window fly",E500)),ISNUMBER(SEARCH("fly magnet",E500))),"Fly Traps",
OR(ISNUMBER(SEARCH("uv",E500)),ISNUMBER(SEARCH("fly light",E500)),ISNUMBER(SEARCH("plug-in",E500))),"UV Fly Traps",
ISNUMBER(SEARCH("roach",E500)),"Roach Traps",
ISNUMBER(SEARCH("ant",E500)),"Ant Traps",
ISNUMBER(SEARCH("spider",E500)),"Spider Traps",
ISNUMBER(SEARCH("mosquito",E500)),"Mosquito Traps",
ISNUMBER(SEARCH("beetle",E500)),"Beetle Traps",
ISNUMBER(SEARCH("lantern",E500)),"Lanternfly Control",
OR(ISNUMBER(SEARCH("tree shield",E500)),ISNUMBER(SEARCH("tree banding",E500)),ISNUMBER(SEARCH("insect barrier",E500))),"Tree Barriers",
OR(ISNUMBER(SEARCH("sun &amp; shade",E500)),ISNUMBER(SEARCH("sun and shade",E500))),"Sun &amp; Shade Mix",
ISNUMBER(SEARCH("tall fescue",E500)),"Tall Fescue",
ISNUMBER(SEARCH("bermudagrass",E500)),"Bermudagrass",
ISNUMBER(SEARCH("kentucky",E500)),"Kentucky Bluegrass",
ISNUMBER(SEARCH("zoysia",E500)),"Zoysia",
ISNUMBER(SEARCH("ryegrass",E500)),"Perennial Ryegrass",
ISNUMBER(SEARCH("centipede",E500)),"Centipede Grass",
ISNUMBER(SEARCH("dense shade",E500)),"Dense Shade Mix",
ISNUMBER(SEARCH("southern gold",E500)),"Southern Gold Mix",
ISNUMBER(SEARCH("heat-tolerant blue",E500)),"Heat-Tolerant Blue Mix",
ISNUMBER(SEARCH("high traffic",E500)),"High Traffic Mix",
ISNUMBER(SEARCH("quick fix",E500)),"Quick Fix Mix",
ISNUMBER(SEARCH("starter",E500)),"Starter Fertilizer",
ISNUMBER(SEARCH("weed &amp; feed",E500)),"Weed &amp; Feed",
ISNUMBER(SEARCH("lawn food",E500)),"Lawn Food",
ISNUMBER(SEARCH("triple action",E500)),"Triple Action Fertilizer",
ISNUMBER(SEARCH("green max",E500)),"Green Max Lawn Food",
ISNUMBER(SEARCH("patchmaster",E500)),"PatchMaster Repair",
ISNUMBER(SEARCH("ez seed",E500)),"EZ Seed Repair",
ISNUMBER(SEARCH("rapid grass",E500)),"Rapid Grass",
ISNUMBER(SEARCH("thick'r lawn",E500)),"Thick'R Lawn",
ISNUMBER(SEARCH("fungicide",E500)),"Fungicide",
ISNUMBER(SEARCH("moss",E500)),"Moss Control",
ISNUMBER(SEARCH("perlite",E500)),"Perlite",
ISNUMBER(SEARCH("plant food",E500)),"Plant Food",
ISNUMBER(SEARCH("spreader",E500)),"Spreader",
ISNUMBER(SEARCH("sprayer",E500)),"Sprayer",
ISNUMBER(SEARCH("mower",E500)),"Lawn Mower",
ISNUMBER(SEARCH("sweeper",E500)),"Lawn Sweeper",
OR(ISNUMBER(SEARCH("pruner",E500)),ISNUMBER(SEARCH("trimmer",E500)),ISNUMBER(SEARCH("pole saw",E500))),"Pruning Tools",
TRUE,"Other"
)</f>
        <v>Glue Traps</v>
      </c>
      <c r="J500" s="7" t="str">
        <f t="shared" si="124"/>
        <v>Rodent Control - Glue Traps</v>
      </c>
      <c r="K500" s="4">
        <v>100</v>
      </c>
      <c r="L500" s="4">
        <v>4.5</v>
      </c>
      <c r="M500" s="4">
        <v>132</v>
      </c>
      <c r="N500" s="4" t="s">
        <v>2380</v>
      </c>
      <c r="O500" s="4">
        <f>VLOOKUP(A500,[7]Sheet1!$A:$M,2,0)</f>
        <v>50</v>
      </c>
      <c r="P500" s="4">
        <f>VLOOKUP(A500,[7]Sheet1!$A:$M,3,0)</f>
        <v>50</v>
      </c>
      <c r="Q500" s="4">
        <f>VLOOKUP(A500,[7]Sheet1!$A:$M,4,0)</f>
        <v>50</v>
      </c>
      <c r="R500" s="4">
        <f>VLOOKUP(A500,[7]Sheet1!$A:$M,5,0)</f>
        <v>50</v>
      </c>
      <c r="S500" s="4">
        <f>VLOOKUP(A500,[7]Sheet1!$A:$M,6,0)</f>
        <v>50</v>
      </c>
      <c r="T500" s="4">
        <f>VLOOKUP(A500,[7]Sheet1!$A:$M,7,0)</f>
        <v>100</v>
      </c>
      <c r="U500" s="4">
        <f>VLOOKUP(A500,[7]Sheet1!$A:$M,8,0)</f>
        <v>100</v>
      </c>
      <c r="V500" s="4">
        <f>VLOOKUP(A500,[7]Sheet1!$A:$M,9,0)</f>
        <v>100</v>
      </c>
      <c r="W500" s="4">
        <f>VLOOKUP(A500,[7]Sheet1!$A:$M,10,0)</f>
        <v>100</v>
      </c>
      <c r="X500" s="4">
        <f>VLOOKUP(A500,[7]Sheet1!$A:$M,11,0)</f>
        <v>50</v>
      </c>
      <c r="Y500" s="4">
        <f>VLOOKUP(A500,[7]Sheet1!$A:$M,12,0)</f>
        <v>50</v>
      </c>
      <c r="Z500" s="4">
        <f>VLOOKUP(A500,[7]Sheet1!$A:$M,13,0)</f>
        <v>50</v>
      </c>
      <c r="AA500" s="4">
        <f t="shared" si="136"/>
        <v>800</v>
      </c>
      <c r="AB500" s="7">
        <f t="shared" si="125"/>
        <v>67</v>
      </c>
      <c r="AC500" s="15">
        <f t="shared" si="137"/>
        <v>66.666666666666671</v>
      </c>
      <c r="AD500" s="16">
        <f t="shared" si="138"/>
        <v>5000</v>
      </c>
      <c r="AE500" s="16">
        <f t="shared" si="139"/>
        <v>416.66666666666669</v>
      </c>
      <c r="AF500" s="21">
        <v>3.24</v>
      </c>
      <c r="AG500" s="21">
        <v>6.25</v>
      </c>
      <c r="AH500" s="15">
        <f t="shared" si="134"/>
        <v>-0.11600000000000002</v>
      </c>
      <c r="AI500" s="15">
        <f t="shared" si="135"/>
        <v>-0.40600000000000003</v>
      </c>
      <c r="AJ500" s="10">
        <v>0.5</v>
      </c>
      <c r="AK500" s="10">
        <v>0.5</v>
      </c>
      <c r="AL500" s="21">
        <v>3.24</v>
      </c>
      <c r="AM500" s="9">
        <f t="shared" si="126"/>
        <v>0.9375</v>
      </c>
      <c r="AN500" s="9">
        <f t="shared" si="127"/>
        <v>0.1875</v>
      </c>
      <c r="AO500" s="9">
        <f t="shared" si="128"/>
        <v>1.25</v>
      </c>
      <c r="AP500" s="9">
        <f t="shared" si="129"/>
        <v>0.125</v>
      </c>
      <c r="AQ500" s="9">
        <f t="shared" si="130"/>
        <v>1.25</v>
      </c>
      <c r="AR500" s="9">
        <f t="shared" si="131"/>
        <v>1.5625</v>
      </c>
      <c r="AS500" s="11">
        <f t="shared" si="132"/>
        <v>-1.1600000000000001</v>
      </c>
      <c r="AT500" s="12">
        <f t="shared" si="133"/>
        <v>-1.3683333333333334</v>
      </c>
    </row>
    <row r="501" spans="1:46" ht="16.5" x14ac:dyDescent="0.4">
      <c r="A501" s="4" t="s">
        <v>2211</v>
      </c>
      <c r="B501" s="4" t="s">
        <v>2236</v>
      </c>
      <c r="C501" s="4" t="s">
        <v>2247</v>
      </c>
      <c r="D501" s="4" t="s">
        <v>2299</v>
      </c>
      <c r="E501" s="4" t="s">
        <v>2300</v>
      </c>
      <c r="F501" s="4" t="s">
        <v>2301</v>
      </c>
      <c r="G501" s="7" t="str">
        <f>VLOOKUP(A501,[1]done!$A:$I,9,0)</f>
        <v>Mosquito/Fly</v>
      </c>
      <c r="H501" s="7" t="str" cm="1">
        <f t="array" ref="H501">_xlfn.IFS(
OR(ISNUMBER(SEARCH("mouse",E501)),ISNUMBER(SEARCH("rat",E501)),ISNUMBER(SEARCH("mice",E501)),ISNUMBER(SEARCH("rodent",E501))),"Rodent Control",
OR(ISNUMBER(SEARCH("fly",E501)),ISNUMBER(SEARCH("gnat",E501)),ISNUMBER(SEARCH("insect",E501)),ISNUMBER(SEARCH("mosquito",E501))),"Flying Insect Control",
OR(ISNUMBER(SEARCH("roach",E501)),ISNUMBER(SEARCH("ant",E501)),ISNUMBER(SEARCH("spider",E501)),ISNUMBER(SEARCH("cricket",E501)),ISNUMBER(SEARCH("scorpion",E501)),ISNUMBER(SEARCH("centipede",E501)),ISNUMBER(SEARCH("beetle",E501))),"Crawling Insect Control",
OR(ISNUMBER(SEARCH("tree",E501)),ISNUMBER(SEARCH("lantern",E501)),ISNUMBER(SEARCH("garden",E501)),ISNUMBER(SEARCH("plant",E501))),"Garden Pest Control",
OR(ISNUMBER(SEARCH("grass seed",E501)),ISNUMBER(SEARCH("seed mix",E501))),"Grass Seed",
OR(ISNUMBER(SEARCH("lawn food",E501)),ISNUMBER(SEARCH("fertilizer",E501))),"Lawn Fertilizer",
OR(ISNUMBER(SEARCH("patch",E501)),ISNUMBER(SEARCH("repair",E501)),ISNUMBER(SEARCH("thick'r",E501)),ISNUMBER(SEARCH("thick'r lawn",E501)),ISNUMBER(SEARCH("rapid grass",E501))),"Lawn Repair",
OR(ISNUMBER(SEARCH("weed",E501)),ISNUMBER(SEARCH("crabgrass",E501))),"Weed Control",
OR(ISNUMBER(SEARCH("fungicide",E501)),ISNUMBER(SEARCH("moss",E501))),"Disease &amp; Moss Control",
OR(ISNUMBER(SEARCH("plant food",E501)),ISNUMBER(SEARCH("miracid",E501))),"Plant Nutrition",
OR(ISNUMBER(SEARCH("perlite",E501))),"Soil Amendment",
OR(ISNUMBER(SEARCH("spreader",E501)),ISNUMBER(SEARCH("sprayer",E501)),ISNUMBER(SEARCH("mower",E501)),ISNUMBER(SEARCH("sweeper",E501)),ISNUMBER(SEARCH("pruner",E501)),ISNUMBER(SEARCH("trimmer",E501)),ISNUMBER(SEARCH("pole saw",E501))),"Garden Equipment",
TRUE,"Other"
)</f>
        <v>Flying Insect Control</v>
      </c>
      <c r="I501" s="7" t="str" cm="1">
        <f t="array" ref="I501">_xlfn.IFS(
OR(ISNUMBER(SEARCH("glue trap",E501)),ISNUMBER(SEARCH("glue board",E501))),"Glue Traps",
OR(ISNUMBER(SEARCH("snap trap",E501)),ISNUMBER(SEARCH("power-kill",E501)),ISNUMBER(SEARCH("wide pedal",E501)),ISNUMBER(SEARCH("metal pedal",E501))),"Snap Traps",
OR(ISNUMBER(SEARCH("electronic",E501)),ISNUMBER(SEARCH("zapper",E501))),"Electronic Traps",
OR(ISNUMBER(SEARCH("live catch",E501)),ISNUMBER(SEARCH("multi-catch",E501)),ISNUMBER(SEARCH("catch &amp; hold",E501)),ISNUMBER(SEARCH("tin cat",E501))),"Live Catch Traps",
OR(ISNUMBER(SEARCH("bait",E501)),ISNUMBER(SEARCH("poison",E501))),"Bait &amp; Poison",
ISNUMBER(SEARCH("repellent",E501)),"Repellents",
OR(ISNUMBER(SEARCH("fly trap",E501)),ISNUMBER(SEARCH("fly ribbon",E501)),ISNUMBER(SEARCH("fly stick",E501)),ISNUMBER(SEARCH("window fly",E501)),ISNUMBER(SEARCH("fly magnet",E501))),"Fly Traps",
OR(ISNUMBER(SEARCH("uv",E501)),ISNUMBER(SEARCH("fly light",E501)),ISNUMBER(SEARCH("plug-in",E501))),"UV Fly Traps",
ISNUMBER(SEARCH("roach",E501)),"Roach Traps",
ISNUMBER(SEARCH("ant",E501)),"Ant Traps",
ISNUMBER(SEARCH("spider",E501)),"Spider Traps",
ISNUMBER(SEARCH("mosquito",E501)),"Mosquito Traps",
ISNUMBER(SEARCH("beetle",E501)),"Beetle Traps",
ISNUMBER(SEARCH("lantern",E501)),"Lanternfly Control",
OR(ISNUMBER(SEARCH("tree shield",E501)),ISNUMBER(SEARCH("tree banding",E501)),ISNUMBER(SEARCH("insect barrier",E501))),"Tree Barriers",
OR(ISNUMBER(SEARCH("sun &amp; shade",E501)),ISNUMBER(SEARCH("sun and shade",E501))),"Sun &amp; Shade Mix",
ISNUMBER(SEARCH("tall fescue",E501)),"Tall Fescue",
ISNUMBER(SEARCH("bermudagrass",E501)),"Bermudagrass",
ISNUMBER(SEARCH("kentucky",E501)),"Kentucky Bluegrass",
ISNUMBER(SEARCH("zoysia",E501)),"Zoysia",
ISNUMBER(SEARCH("ryegrass",E501)),"Perennial Ryegrass",
ISNUMBER(SEARCH("centipede",E501)),"Centipede Grass",
ISNUMBER(SEARCH("dense shade",E501)),"Dense Shade Mix",
ISNUMBER(SEARCH("southern gold",E501)),"Southern Gold Mix",
ISNUMBER(SEARCH("heat-tolerant blue",E501)),"Heat-Tolerant Blue Mix",
ISNUMBER(SEARCH("high traffic",E501)),"High Traffic Mix",
ISNUMBER(SEARCH("quick fix",E501)),"Quick Fix Mix",
ISNUMBER(SEARCH("starter",E501)),"Starter Fertilizer",
ISNUMBER(SEARCH("weed &amp; feed",E501)),"Weed &amp; Feed",
ISNUMBER(SEARCH("lawn food",E501)),"Lawn Food",
ISNUMBER(SEARCH("triple action",E501)),"Triple Action Fertilizer",
ISNUMBER(SEARCH("green max",E501)),"Green Max Lawn Food",
ISNUMBER(SEARCH("patchmaster",E501)),"PatchMaster Repair",
ISNUMBER(SEARCH("ez seed",E501)),"EZ Seed Repair",
ISNUMBER(SEARCH("rapid grass",E501)),"Rapid Grass",
ISNUMBER(SEARCH("thick'r lawn",E501)),"Thick'R Lawn",
ISNUMBER(SEARCH("fungicide",E501)),"Fungicide",
ISNUMBER(SEARCH("moss",E501)),"Moss Control",
ISNUMBER(SEARCH("perlite",E501)),"Perlite",
ISNUMBER(SEARCH("plant food",E501)),"Plant Food",
ISNUMBER(SEARCH("spreader",E501)),"Spreader",
ISNUMBER(SEARCH("sprayer",E501)),"Sprayer",
ISNUMBER(SEARCH("mower",E501)),"Lawn Mower",
ISNUMBER(SEARCH("sweeper",E501)),"Lawn Sweeper",
OR(ISNUMBER(SEARCH("pruner",E501)),ISNUMBER(SEARCH("trimmer",E501)),ISNUMBER(SEARCH("pole saw",E501))),"Pruning Tools",
TRUE,"Other"
)</f>
        <v>Fly Traps</v>
      </c>
      <c r="J501" s="7" t="str">
        <f t="shared" si="124"/>
        <v>Flying Insect Control - Fly Traps</v>
      </c>
      <c r="K501" s="4">
        <v>100</v>
      </c>
      <c r="L501" s="4">
        <v>4.5999999999999996</v>
      </c>
      <c r="M501" s="4">
        <v>188</v>
      </c>
      <c r="N501" s="4">
        <v>0</v>
      </c>
      <c r="O501" s="4">
        <f>VLOOKUP(A501,[7]Sheet1!$A:$M,2,0)</f>
        <v>0</v>
      </c>
      <c r="P501" s="4">
        <f>VLOOKUP(A501,[7]Sheet1!$A:$M,3,0)</f>
        <v>0</v>
      </c>
      <c r="Q501" s="4">
        <f>VLOOKUP(A501,[7]Sheet1!$A:$M,4,0)</f>
        <v>50</v>
      </c>
      <c r="R501" s="4">
        <f>VLOOKUP(A501,[7]Sheet1!$A:$M,5,0)</f>
        <v>0</v>
      </c>
      <c r="S501" s="4">
        <f>VLOOKUP(A501,[7]Sheet1!$A:$M,6,0)</f>
        <v>0</v>
      </c>
      <c r="T501" s="4">
        <f>VLOOKUP(A501,[7]Sheet1!$A:$M,7,0)</f>
        <v>50</v>
      </c>
      <c r="U501" s="4">
        <f>VLOOKUP(A501,[7]Sheet1!$A:$M,8,0)</f>
        <v>100</v>
      </c>
      <c r="V501" s="4">
        <f>VLOOKUP(A501,[7]Sheet1!$A:$M,9,0)</f>
        <v>100</v>
      </c>
      <c r="W501" s="4">
        <f>VLOOKUP(A501,[7]Sheet1!$A:$M,10,0)</f>
        <v>100</v>
      </c>
      <c r="X501" s="4">
        <f>VLOOKUP(A501,[7]Sheet1!$A:$M,11,0)</f>
        <v>100</v>
      </c>
      <c r="Y501" s="4">
        <f>VLOOKUP(A501,[7]Sheet1!$A:$M,12,0)</f>
        <v>50</v>
      </c>
      <c r="Z501" s="4">
        <f>VLOOKUP(A501,[7]Sheet1!$A:$M,13,0)</f>
        <v>0</v>
      </c>
      <c r="AA501" s="4">
        <f t="shared" si="136"/>
        <v>550</v>
      </c>
      <c r="AB501" s="7">
        <f t="shared" si="125"/>
        <v>46</v>
      </c>
      <c r="AC501" s="15">
        <f t="shared" si="137"/>
        <v>45.833333333333336</v>
      </c>
      <c r="AD501" s="16">
        <f t="shared" si="138"/>
        <v>2524.5</v>
      </c>
      <c r="AE501" s="16">
        <f t="shared" si="139"/>
        <v>210.375</v>
      </c>
      <c r="AF501" s="21">
        <v>2.52</v>
      </c>
      <c r="AG501" s="21">
        <v>4.59</v>
      </c>
      <c r="AH501" s="15">
        <f t="shared" si="134"/>
        <v>-0.11226666666666668</v>
      </c>
      <c r="AI501" s="15">
        <f t="shared" si="135"/>
        <v>-0.3929333333333333</v>
      </c>
      <c r="AJ501" s="10">
        <v>0.5</v>
      </c>
      <c r="AK501" s="10">
        <v>0.5</v>
      </c>
      <c r="AL501" s="21">
        <v>2.52</v>
      </c>
      <c r="AM501" s="9">
        <f t="shared" si="126"/>
        <v>0.6885</v>
      </c>
      <c r="AN501" s="9">
        <f t="shared" si="127"/>
        <v>0.13769999999999999</v>
      </c>
      <c r="AO501" s="9">
        <f t="shared" si="128"/>
        <v>0.91800000000000004</v>
      </c>
      <c r="AP501" s="9">
        <f t="shared" si="129"/>
        <v>9.1799999999999993E-2</v>
      </c>
      <c r="AQ501" s="9">
        <f t="shared" si="130"/>
        <v>0.91800000000000004</v>
      </c>
      <c r="AR501" s="9">
        <f t="shared" si="131"/>
        <v>1.1475</v>
      </c>
      <c r="AS501" s="11">
        <f t="shared" si="132"/>
        <v>-1.1226666666666667</v>
      </c>
      <c r="AT501" s="12">
        <f t="shared" si="133"/>
        <v>-1.2756666666666667</v>
      </c>
    </row>
    <row r="502" spans="1:46" ht="16.5" x14ac:dyDescent="0.4">
      <c r="A502" s="4" t="s">
        <v>2212</v>
      </c>
      <c r="B502" s="4" t="s">
        <v>2236</v>
      </c>
      <c r="C502" s="4" t="s">
        <v>2236</v>
      </c>
      <c r="D502" s="4" t="s">
        <v>2302</v>
      </c>
      <c r="E502" s="4" t="s">
        <v>2303</v>
      </c>
      <c r="F502" s="4" t="s">
        <v>2304</v>
      </c>
      <c r="G502" s="7" t="str">
        <f>VLOOKUP(A502,[1]done!$A:$I,9,0)</f>
        <v>Rodent</v>
      </c>
      <c r="H502" s="7" t="str" cm="1">
        <f t="array" ref="H502">_xlfn.IFS(
OR(ISNUMBER(SEARCH("mouse",E502)),ISNUMBER(SEARCH("rat",E502)),ISNUMBER(SEARCH("mice",E502)),ISNUMBER(SEARCH("rodent",E502))),"Rodent Control",
OR(ISNUMBER(SEARCH("fly",E502)),ISNUMBER(SEARCH("gnat",E502)),ISNUMBER(SEARCH("insect",E502)),ISNUMBER(SEARCH("mosquito",E502))),"Flying Insect Control",
OR(ISNUMBER(SEARCH("roach",E502)),ISNUMBER(SEARCH("ant",E502)),ISNUMBER(SEARCH("spider",E502)),ISNUMBER(SEARCH("cricket",E502)),ISNUMBER(SEARCH("scorpion",E502)),ISNUMBER(SEARCH("centipede",E502)),ISNUMBER(SEARCH("beetle",E502))),"Crawling Insect Control",
OR(ISNUMBER(SEARCH("tree",E502)),ISNUMBER(SEARCH("lantern",E502)),ISNUMBER(SEARCH("garden",E502)),ISNUMBER(SEARCH("plant",E502))),"Garden Pest Control",
OR(ISNUMBER(SEARCH("grass seed",E502)),ISNUMBER(SEARCH("seed mix",E502))),"Grass Seed",
OR(ISNUMBER(SEARCH("lawn food",E502)),ISNUMBER(SEARCH("fertilizer",E502))),"Lawn Fertilizer",
OR(ISNUMBER(SEARCH("patch",E502)),ISNUMBER(SEARCH("repair",E502)),ISNUMBER(SEARCH("thick'r",E502)),ISNUMBER(SEARCH("thick'r lawn",E502)),ISNUMBER(SEARCH("rapid grass",E502))),"Lawn Repair",
OR(ISNUMBER(SEARCH("weed",E502)),ISNUMBER(SEARCH("crabgrass",E502))),"Weed Control",
OR(ISNUMBER(SEARCH("fungicide",E502)),ISNUMBER(SEARCH("moss",E502))),"Disease &amp; Moss Control",
OR(ISNUMBER(SEARCH("plant food",E502)),ISNUMBER(SEARCH("miracid",E502))),"Plant Nutrition",
OR(ISNUMBER(SEARCH("perlite",E502))),"Soil Amendment",
OR(ISNUMBER(SEARCH("spreader",E502)),ISNUMBER(SEARCH("sprayer",E502)),ISNUMBER(SEARCH("mower",E502)),ISNUMBER(SEARCH("sweeper",E502)),ISNUMBER(SEARCH("pruner",E502)),ISNUMBER(SEARCH("trimmer",E502)),ISNUMBER(SEARCH("pole saw",E502))),"Garden Equipment",
TRUE,"Other"
)</f>
        <v>Rodent Control</v>
      </c>
      <c r="I502" s="7" t="str" cm="1">
        <f t="array" ref="I502">_xlfn.IFS(
OR(ISNUMBER(SEARCH("glue trap",E502)),ISNUMBER(SEARCH("glue board",E502))),"Glue Traps",
OR(ISNUMBER(SEARCH("snap trap",E502)),ISNUMBER(SEARCH("power-kill",E502)),ISNUMBER(SEARCH("wide pedal",E502)),ISNUMBER(SEARCH("metal pedal",E502))),"Snap Traps",
OR(ISNUMBER(SEARCH("electronic",E502)),ISNUMBER(SEARCH("zapper",E502))),"Electronic Traps",
OR(ISNUMBER(SEARCH("live catch",E502)),ISNUMBER(SEARCH("multi-catch",E502)),ISNUMBER(SEARCH("catch &amp; hold",E502)),ISNUMBER(SEARCH("tin cat",E502))),"Live Catch Traps",
OR(ISNUMBER(SEARCH("bait",E502)),ISNUMBER(SEARCH("poison",E502))),"Bait &amp; Poison",
ISNUMBER(SEARCH("repellent",E502)),"Repellents",
OR(ISNUMBER(SEARCH("fly trap",E502)),ISNUMBER(SEARCH("fly ribbon",E502)),ISNUMBER(SEARCH("fly stick",E502)),ISNUMBER(SEARCH("window fly",E502)),ISNUMBER(SEARCH("fly magnet",E502))),"Fly Traps",
OR(ISNUMBER(SEARCH("uv",E502)),ISNUMBER(SEARCH("fly light",E502)),ISNUMBER(SEARCH("plug-in",E502))),"UV Fly Traps",
ISNUMBER(SEARCH("roach",E502)),"Roach Traps",
ISNUMBER(SEARCH("ant",E502)),"Ant Traps",
ISNUMBER(SEARCH("spider",E502)),"Spider Traps",
ISNUMBER(SEARCH("mosquito",E502)),"Mosquito Traps",
ISNUMBER(SEARCH("beetle",E502)),"Beetle Traps",
ISNUMBER(SEARCH("lantern",E502)),"Lanternfly Control",
OR(ISNUMBER(SEARCH("tree shield",E502)),ISNUMBER(SEARCH("tree banding",E502)),ISNUMBER(SEARCH("insect barrier",E502))),"Tree Barriers",
OR(ISNUMBER(SEARCH("sun &amp; shade",E502)),ISNUMBER(SEARCH("sun and shade",E502))),"Sun &amp; Shade Mix",
ISNUMBER(SEARCH("tall fescue",E502)),"Tall Fescue",
ISNUMBER(SEARCH("bermudagrass",E502)),"Bermudagrass",
ISNUMBER(SEARCH("kentucky",E502)),"Kentucky Bluegrass",
ISNUMBER(SEARCH("zoysia",E502)),"Zoysia",
ISNUMBER(SEARCH("ryegrass",E502)),"Perennial Ryegrass",
ISNUMBER(SEARCH("centipede",E502)),"Centipede Grass",
ISNUMBER(SEARCH("dense shade",E502)),"Dense Shade Mix",
ISNUMBER(SEARCH("southern gold",E502)),"Southern Gold Mix",
ISNUMBER(SEARCH("heat-tolerant blue",E502)),"Heat-Tolerant Blue Mix",
ISNUMBER(SEARCH("high traffic",E502)),"High Traffic Mix",
ISNUMBER(SEARCH("quick fix",E502)),"Quick Fix Mix",
ISNUMBER(SEARCH("starter",E502)),"Starter Fertilizer",
ISNUMBER(SEARCH("weed &amp; feed",E502)),"Weed &amp; Feed",
ISNUMBER(SEARCH("lawn food",E502)),"Lawn Food",
ISNUMBER(SEARCH("triple action",E502)),"Triple Action Fertilizer",
ISNUMBER(SEARCH("green max",E502)),"Green Max Lawn Food",
ISNUMBER(SEARCH("patchmaster",E502)),"PatchMaster Repair",
ISNUMBER(SEARCH("ez seed",E502)),"EZ Seed Repair",
ISNUMBER(SEARCH("rapid grass",E502)),"Rapid Grass",
ISNUMBER(SEARCH("thick'r lawn",E502)),"Thick'R Lawn",
ISNUMBER(SEARCH("fungicide",E502)),"Fungicide",
ISNUMBER(SEARCH("moss",E502)),"Moss Control",
ISNUMBER(SEARCH("perlite",E502)),"Perlite",
ISNUMBER(SEARCH("plant food",E502)),"Plant Food",
ISNUMBER(SEARCH("spreader",E502)),"Spreader",
ISNUMBER(SEARCH("sprayer",E502)),"Sprayer",
ISNUMBER(SEARCH("mower",E502)),"Lawn Mower",
ISNUMBER(SEARCH("sweeper",E502)),"Lawn Sweeper",
OR(ISNUMBER(SEARCH("pruner",E502)),ISNUMBER(SEARCH("trimmer",E502)),ISNUMBER(SEARCH("pole saw",E502))),"Pruning Tools",
TRUE,"Other"
)</f>
        <v>Other</v>
      </c>
      <c r="J502" s="7" t="str">
        <f t="shared" si="124"/>
        <v>Rodent Control - Other</v>
      </c>
      <c r="K502" s="4">
        <v>100</v>
      </c>
      <c r="L502" s="4">
        <v>4.0999999999999996</v>
      </c>
      <c r="M502" s="4">
        <v>201</v>
      </c>
      <c r="N502" s="4">
        <v>0</v>
      </c>
      <c r="O502" s="4">
        <f>VLOOKUP(A502,[7]Sheet1!$A:$M,2,0)</f>
        <v>0</v>
      </c>
      <c r="P502" s="4">
        <f>VLOOKUP(A502,[7]Sheet1!$A:$M,3,0)</f>
        <v>0</v>
      </c>
      <c r="Q502" s="4">
        <f>VLOOKUP(A502,[7]Sheet1!$A:$M,4,0)</f>
        <v>0</v>
      </c>
      <c r="R502" s="4">
        <f>VLOOKUP(A502,[7]Sheet1!$A:$M,5,0)</f>
        <v>0</v>
      </c>
      <c r="S502" s="4">
        <f>VLOOKUP(A502,[7]Sheet1!$A:$M,6,0)</f>
        <v>0</v>
      </c>
      <c r="T502" s="4">
        <f>VLOOKUP(A502,[7]Sheet1!$A:$M,7,0)</f>
        <v>0</v>
      </c>
      <c r="U502" s="4">
        <f>VLOOKUP(A502,[7]Sheet1!$A:$M,8,0)</f>
        <v>50</v>
      </c>
      <c r="V502" s="4">
        <f>VLOOKUP(A502,[7]Sheet1!$A:$M,9,0)</f>
        <v>50</v>
      </c>
      <c r="W502" s="4">
        <f>VLOOKUP(A502,[7]Sheet1!$A:$M,10,0)</f>
        <v>50</v>
      </c>
      <c r="X502" s="4">
        <f>VLOOKUP(A502,[7]Sheet1!$A:$M,11,0)</f>
        <v>50</v>
      </c>
      <c r="Y502" s="4">
        <f>VLOOKUP(A502,[7]Sheet1!$A:$M,12,0)</f>
        <v>50</v>
      </c>
      <c r="Z502" s="4">
        <f>VLOOKUP(A502,[7]Sheet1!$A:$M,13,0)</f>
        <v>50</v>
      </c>
      <c r="AA502" s="4">
        <f t="shared" si="136"/>
        <v>300</v>
      </c>
      <c r="AB502" s="7">
        <f t="shared" si="125"/>
        <v>25</v>
      </c>
      <c r="AC502" s="15">
        <f t="shared" si="137"/>
        <v>25</v>
      </c>
      <c r="AD502" s="16">
        <f t="shared" si="138"/>
        <v>4845</v>
      </c>
      <c r="AE502" s="16">
        <f t="shared" si="139"/>
        <v>403.74999999999994</v>
      </c>
      <c r="AF502" s="21">
        <v>6.18</v>
      </c>
      <c r="AG502" s="21">
        <v>16.149999999999999</v>
      </c>
      <c r="AH502" s="15">
        <f t="shared" si="134"/>
        <v>-4.8000000000000015E-2</v>
      </c>
      <c r="AI502" s="15">
        <f t="shared" si="135"/>
        <v>-0.16800000000000004</v>
      </c>
      <c r="AJ502" s="10">
        <v>0.5</v>
      </c>
      <c r="AK502" s="10">
        <v>0.5</v>
      </c>
      <c r="AL502" s="21">
        <v>6.18</v>
      </c>
      <c r="AM502" s="9">
        <f t="shared" si="126"/>
        <v>2.4224999999999999</v>
      </c>
      <c r="AN502" s="9">
        <f t="shared" si="127"/>
        <v>0.48449999999999993</v>
      </c>
      <c r="AO502" s="9">
        <f t="shared" si="128"/>
        <v>3.23</v>
      </c>
      <c r="AP502" s="9">
        <f t="shared" si="129"/>
        <v>0.32299999999999995</v>
      </c>
      <c r="AQ502" s="9">
        <f t="shared" si="130"/>
        <v>3.23</v>
      </c>
      <c r="AR502" s="9">
        <f t="shared" si="131"/>
        <v>4.0374999999999996</v>
      </c>
      <c r="AS502" s="11">
        <f t="shared" si="132"/>
        <v>-0.48000000000000015</v>
      </c>
      <c r="AT502" s="12">
        <f t="shared" si="133"/>
        <v>-1.0183333333333333</v>
      </c>
    </row>
    <row r="503" spans="1:46" ht="16.5" x14ac:dyDescent="0.4">
      <c r="A503" s="4" t="s">
        <v>2213</v>
      </c>
      <c r="B503" s="4" t="s">
        <v>2236</v>
      </c>
      <c r="C503" s="4" t="s">
        <v>2236</v>
      </c>
      <c r="D503" s="4" t="s">
        <v>2305</v>
      </c>
      <c r="E503" s="4" t="s">
        <v>2306</v>
      </c>
      <c r="F503" s="4" t="s">
        <v>2307</v>
      </c>
      <c r="G503" s="7" t="str">
        <f>VLOOKUP(A503,[1]done!$A:$I,9,0)</f>
        <v>Other crawling insects</v>
      </c>
      <c r="H503" s="7" t="str" cm="1">
        <f t="array" ref="H503">_xlfn.IFS(
OR(ISNUMBER(SEARCH("mouse",E503)),ISNUMBER(SEARCH("rat",E503)),ISNUMBER(SEARCH("mice",E503)),ISNUMBER(SEARCH("rodent",E503))),"Rodent Control",
OR(ISNUMBER(SEARCH("fly",E503)),ISNUMBER(SEARCH("gnat",E503)),ISNUMBER(SEARCH("insect",E503)),ISNUMBER(SEARCH("mosquito",E503))),"Flying Insect Control",
OR(ISNUMBER(SEARCH("roach",E503)),ISNUMBER(SEARCH("ant",E503)),ISNUMBER(SEARCH("spider",E503)),ISNUMBER(SEARCH("cricket",E503)),ISNUMBER(SEARCH("scorpion",E503)),ISNUMBER(SEARCH("centipede",E503)),ISNUMBER(SEARCH("beetle",E503))),"Crawling Insect Control",
OR(ISNUMBER(SEARCH("tree",E503)),ISNUMBER(SEARCH("lantern",E503)),ISNUMBER(SEARCH("garden",E503)),ISNUMBER(SEARCH("plant",E503))),"Garden Pest Control",
OR(ISNUMBER(SEARCH("grass seed",E503)),ISNUMBER(SEARCH("seed mix",E503))),"Grass Seed",
OR(ISNUMBER(SEARCH("lawn food",E503)),ISNUMBER(SEARCH("fertilizer",E503))),"Lawn Fertilizer",
OR(ISNUMBER(SEARCH("patch",E503)),ISNUMBER(SEARCH("repair",E503)),ISNUMBER(SEARCH("thick'r",E503)),ISNUMBER(SEARCH("thick'r lawn",E503)),ISNUMBER(SEARCH("rapid grass",E503))),"Lawn Repair",
OR(ISNUMBER(SEARCH("weed",E503)),ISNUMBER(SEARCH("crabgrass",E503))),"Weed Control",
OR(ISNUMBER(SEARCH("fungicide",E503)),ISNUMBER(SEARCH("moss",E503))),"Disease &amp; Moss Control",
OR(ISNUMBER(SEARCH("plant food",E503)),ISNUMBER(SEARCH("miracid",E503))),"Plant Nutrition",
OR(ISNUMBER(SEARCH("perlite",E503))),"Soil Amendment",
OR(ISNUMBER(SEARCH("spreader",E503)),ISNUMBER(SEARCH("sprayer",E503)),ISNUMBER(SEARCH("mower",E503)),ISNUMBER(SEARCH("sweeper",E503)),ISNUMBER(SEARCH("pruner",E503)),ISNUMBER(SEARCH("trimmer",E503)),ISNUMBER(SEARCH("pole saw",E503))),"Garden Equipment",
TRUE,"Other"
)</f>
        <v>Crawling Insect Control</v>
      </c>
      <c r="I503" s="7" t="str" cm="1">
        <f t="array" ref="I503">_xlfn.IFS(
OR(ISNUMBER(SEARCH("glue trap",E503)),ISNUMBER(SEARCH("glue board",E503))),"Glue Traps",
OR(ISNUMBER(SEARCH("snap trap",E503)),ISNUMBER(SEARCH("power-kill",E503)),ISNUMBER(SEARCH("wide pedal",E503)),ISNUMBER(SEARCH("metal pedal",E503))),"Snap Traps",
OR(ISNUMBER(SEARCH("electronic",E503)),ISNUMBER(SEARCH("zapper",E503))),"Electronic Traps",
OR(ISNUMBER(SEARCH("live catch",E503)),ISNUMBER(SEARCH("multi-catch",E503)),ISNUMBER(SEARCH("catch &amp; hold",E503)),ISNUMBER(SEARCH("tin cat",E503))),"Live Catch Traps",
OR(ISNUMBER(SEARCH("bait",E503)),ISNUMBER(SEARCH("poison",E503))),"Bait &amp; Poison",
ISNUMBER(SEARCH("repellent",E503)),"Repellents",
OR(ISNUMBER(SEARCH("fly trap",E503)),ISNUMBER(SEARCH("fly ribbon",E503)),ISNUMBER(SEARCH("fly stick",E503)),ISNUMBER(SEARCH("window fly",E503)),ISNUMBER(SEARCH("fly magnet",E503))),"Fly Traps",
OR(ISNUMBER(SEARCH("uv",E503)),ISNUMBER(SEARCH("fly light",E503)),ISNUMBER(SEARCH("plug-in",E503))),"UV Fly Traps",
ISNUMBER(SEARCH("roach",E503)),"Roach Traps",
ISNUMBER(SEARCH("ant",E503)),"Ant Traps",
ISNUMBER(SEARCH("spider",E503)),"Spider Traps",
ISNUMBER(SEARCH("mosquito",E503)),"Mosquito Traps",
ISNUMBER(SEARCH("beetle",E503)),"Beetle Traps",
ISNUMBER(SEARCH("lantern",E503)),"Lanternfly Control",
OR(ISNUMBER(SEARCH("tree shield",E503)),ISNUMBER(SEARCH("tree banding",E503)),ISNUMBER(SEARCH("insect barrier",E503))),"Tree Barriers",
OR(ISNUMBER(SEARCH("sun &amp; shade",E503)),ISNUMBER(SEARCH("sun and shade",E503))),"Sun &amp; Shade Mix",
ISNUMBER(SEARCH("tall fescue",E503)),"Tall Fescue",
ISNUMBER(SEARCH("bermudagrass",E503)),"Bermudagrass",
ISNUMBER(SEARCH("kentucky",E503)),"Kentucky Bluegrass",
ISNUMBER(SEARCH("zoysia",E503)),"Zoysia",
ISNUMBER(SEARCH("ryegrass",E503)),"Perennial Ryegrass",
ISNUMBER(SEARCH("centipede",E503)),"Centipede Grass",
ISNUMBER(SEARCH("dense shade",E503)),"Dense Shade Mix",
ISNUMBER(SEARCH("southern gold",E503)),"Southern Gold Mix",
ISNUMBER(SEARCH("heat-tolerant blue",E503)),"Heat-Tolerant Blue Mix",
ISNUMBER(SEARCH("high traffic",E503)),"High Traffic Mix",
ISNUMBER(SEARCH("quick fix",E503)),"Quick Fix Mix",
ISNUMBER(SEARCH("starter",E503)),"Starter Fertilizer",
ISNUMBER(SEARCH("weed &amp; feed",E503)),"Weed &amp; Feed",
ISNUMBER(SEARCH("lawn food",E503)),"Lawn Food",
ISNUMBER(SEARCH("triple action",E503)),"Triple Action Fertilizer",
ISNUMBER(SEARCH("green max",E503)),"Green Max Lawn Food",
ISNUMBER(SEARCH("patchmaster",E503)),"PatchMaster Repair",
ISNUMBER(SEARCH("ez seed",E503)),"EZ Seed Repair",
ISNUMBER(SEARCH("rapid grass",E503)),"Rapid Grass",
ISNUMBER(SEARCH("thick'r lawn",E503)),"Thick'R Lawn",
ISNUMBER(SEARCH("fungicide",E503)),"Fungicide",
ISNUMBER(SEARCH("moss",E503)),"Moss Control",
ISNUMBER(SEARCH("perlite",E503)),"Perlite",
ISNUMBER(SEARCH("plant food",E503)),"Plant Food",
ISNUMBER(SEARCH("spreader",E503)),"Spreader",
ISNUMBER(SEARCH("sprayer",E503)),"Sprayer",
ISNUMBER(SEARCH("mower",E503)),"Lawn Mower",
ISNUMBER(SEARCH("sweeper",E503)),"Lawn Sweeper",
OR(ISNUMBER(SEARCH("pruner",E503)),ISNUMBER(SEARCH("trimmer",E503)),ISNUMBER(SEARCH("pole saw",E503))),"Pruning Tools",
TRUE,"Other"
)</f>
        <v>Bait &amp; Poison</v>
      </c>
      <c r="J503" s="7" t="str">
        <f t="shared" si="124"/>
        <v>Crawling Insect Control - Bait &amp; Poison</v>
      </c>
      <c r="K503" s="4">
        <v>100</v>
      </c>
      <c r="L503" s="4">
        <v>3.8</v>
      </c>
      <c r="M503" s="4">
        <v>301</v>
      </c>
      <c r="N503" s="4" t="s">
        <v>2381</v>
      </c>
      <c r="O503" s="4">
        <f>VLOOKUP(A503,[7]Sheet1!$A:$M,2,0)</f>
        <v>0</v>
      </c>
      <c r="P503" s="4">
        <f>VLOOKUP(A503,[7]Sheet1!$A:$M,3,0)</f>
        <v>0</v>
      </c>
      <c r="Q503" s="4">
        <f>VLOOKUP(A503,[7]Sheet1!$A:$M,4,0)</f>
        <v>0</v>
      </c>
      <c r="R503" s="4">
        <f>VLOOKUP(A503,[7]Sheet1!$A:$M,5,0)</f>
        <v>50</v>
      </c>
      <c r="S503" s="4">
        <f>VLOOKUP(A503,[7]Sheet1!$A:$M,6,0)</f>
        <v>50</v>
      </c>
      <c r="T503" s="4">
        <f>VLOOKUP(A503,[7]Sheet1!$A:$M,7,0)</f>
        <v>200</v>
      </c>
      <c r="U503" s="4">
        <f>VLOOKUP(A503,[7]Sheet1!$A:$M,8,0)</f>
        <v>50</v>
      </c>
      <c r="V503" s="4">
        <f>VLOOKUP(A503,[7]Sheet1!$A:$M,9,0)</f>
        <v>50</v>
      </c>
      <c r="W503" s="4">
        <f>VLOOKUP(A503,[7]Sheet1!$A:$M,10,0)</f>
        <v>100</v>
      </c>
      <c r="X503" s="4">
        <f>VLOOKUP(A503,[7]Sheet1!$A:$M,11,0)</f>
        <v>50</v>
      </c>
      <c r="Y503" s="4">
        <f>VLOOKUP(A503,[7]Sheet1!$A:$M,12,0)</f>
        <v>50</v>
      </c>
      <c r="Z503" s="4">
        <f>VLOOKUP(A503,[7]Sheet1!$A:$M,13,0)</f>
        <v>0</v>
      </c>
      <c r="AA503" s="4">
        <f t="shared" si="136"/>
        <v>600</v>
      </c>
      <c r="AB503" s="7">
        <f t="shared" si="125"/>
        <v>50</v>
      </c>
      <c r="AC503" s="15">
        <f t="shared" si="137"/>
        <v>50</v>
      </c>
      <c r="AD503" s="16">
        <f t="shared" si="138"/>
        <v>4794</v>
      </c>
      <c r="AE503" s="16">
        <f t="shared" si="139"/>
        <v>399.5</v>
      </c>
      <c r="AF503" s="21">
        <v>4.37</v>
      </c>
      <c r="AG503" s="21">
        <v>7.99</v>
      </c>
      <c r="AH503" s="15">
        <f t="shared" si="134"/>
        <v>-0.14493333333333336</v>
      </c>
      <c r="AI503" s="15">
        <f t="shared" si="135"/>
        <v>-0.50726666666666675</v>
      </c>
      <c r="AJ503" s="10">
        <v>0.5</v>
      </c>
      <c r="AK503" s="10">
        <v>0.5</v>
      </c>
      <c r="AL503" s="21">
        <v>4.37</v>
      </c>
      <c r="AM503" s="9">
        <f t="shared" si="126"/>
        <v>1.1984999999999999</v>
      </c>
      <c r="AN503" s="9">
        <f t="shared" si="127"/>
        <v>0.2397</v>
      </c>
      <c r="AO503" s="9">
        <f t="shared" si="128"/>
        <v>1.5980000000000001</v>
      </c>
      <c r="AP503" s="9">
        <f t="shared" si="129"/>
        <v>0.1598</v>
      </c>
      <c r="AQ503" s="9">
        <f t="shared" si="130"/>
        <v>1.5980000000000001</v>
      </c>
      <c r="AR503" s="9">
        <f t="shared" si="131"/>
        <v>1.9975000000000001</v>
      </c>
      <c r="AS503" s="11">
        <f t="shared" si="132"/>
        <v>-1.4493333333333336</v>
      </c>
      <c r="AT503" s="12">
        <f t="shared" si="133"/>
        <v>-1.7156666666666671</v>
      </c>
    </row>
    <row r="504" spans="1:46" ht="16.5" x14ac:dyDescent="0.4">
      <c r="A504" s="4" t="s">
        <v>2214</v>
      </c>
      <c r="B504" s="4" t="s">
        <v>2236</v>
      </c>
      <c r="C504" s="4" t="s">
        <v>2236</v>
      </c>
      <c r="D504" s="4" t="s">
        <v>2308</v>
      </c>
      <c r="E504" s="4" t="s">
        <v>2309</v>
      </c>
      <c r="F504" s="4" t="s">
        <v>2310</v>
      </c>
      <c r="G504" s="7" t="str">
        <f>VLOOKUP(A504,[1]done!$A:$I,9,0)</f>
        <v>Rodent</v>
      </c>
      <c r="H504" s="7" t="str" cm="1">
        <f t="array" ref="H504">_xlfn.IFS(
OR(ISNUMBER(SEARCH("mouse",E504)),ISNUMBER(SEARCH("rat",E504)),ISNUMBER(SEARCH("mice",E504)),ISNUMBER(SEARCH("rodent",E504))),"Rodent Control",
OR(ISNUMBER(SEARCH("fly",E504)),ISNUMBER(SEARCH("gnat",E504)),ISNUMBER(SEARCH("insect",E504)),ISNUMBER(SEARCH("mosquito",E504))),"Flying Insect Control",
OR(ISNUMBER(SEARCH("roach",E504)),ISNUMBER(SEARCH("ant",E504)),ISNUMBER(SEARCH("spider",E504)),ISNUMBER(SEARCH("cricket",E504)),ISNUMBER(SEARCH("scorpion",E504)),ISNUMBER(SEARCH("centipede",E504)),ISNUMBER(SEARCH("beetle",E504))),"Crawling Insect Control",
OR(ISNUMBER(SEARCH("tree",E504)),ISNUMBER(SEARCH("lantern",E504)),ISNUMBER(SEARCH("garden",E504)),ISNUMBER(SEARCH("plant",E504))),"Garden Pest Control",
OR(ISNUMBER(SEARCH("grass seed",E504)),ISNUMBER(SEARCH("seed mix",E504))),"Grass Seed",
OR(ISNUMBER(SEARCH("lawn food",E504)),ISNUMBER(SEARCH("fertilizer",E504))),"Lawn Fertilizer",
OR(ISNUMBER(SEARCH("patch",E504)),ISNUMBER(SEARCH("repair",E504)),ISNUMBER(SEARCH("thick'r",E504)),ISNUMBER(SEARCH("thick'r lawn",E504)),ISNUMBER(SEARCH("rapid grass",E504))),"Lawn Repair",
OR(ISNUMBER(SEARCH("weed",E504)),ISNUMBER(SEARCH("crabgrass",E504))),"Weed Control",
OR(ISNUMBER(SEARCH("fungicide",E504)),ISNUMBER(SEARCH("moss",E504))),"Disease &amp; Moss Control",
OR(ISNUMBER(SEARCH("plant food",E504)),ISNUMBER(SEARCH("miracid",E504))),"Plant Nutrition",
OR(ISNUMBER(SEARCH("perlite",E504))),"Soil Amendment",
OR(ISNUMBER(SEARCH("spreader",E504)),ISNUMBER(SEARCH("sprayer",E504)),ISNUMBER(SEARCH("mower",E504)),ISNUMBER(SEARCH("sweeper",E504)),ISNUMBER(SEARCH("pruner",E504)),ISNUMBER(SEARCH("trimmer",E504)),ISNUMBER(SEARCH("pole saw",E504))),"Garden Equipment",
TRUE,"Other"
)</f>
        <v>Rodent Control</v>
      </c>
      <c r="I504" s="7" t="str" cm="1">
        <f t="array" ref="I504">_xlfn.IFS(
OR(ISNUMBER(SEARCH("glue trap",E504)),ISNUMBER(SEARCH("glue board",E504))),"Glue Traps",
OR(ISNUMBER(SEARCH("snap trap",E504)),ISNUMBER(SEARCH("power-kill",E504)),ISNUMBER(SEARCH("wide pedal",E504)),ISNUMBER(SEARCH("metal pedal",E504))),"Snap Traps",
OR(ISNUMBER(SEARCH("electronic",E504)),ISNUMBER(SEARCH("zapper",E504))),"Electronic Traps",
OR(ISNUMBER(SEARCH("live catch",E504)),ISNUMBER(SEARCH("multi-catch",E504)),ISNUMBER(SEARCH("catch &amp; hold",E504)),ISNUMBER(SEARCH("tin cat",E504))),"Live Catch Traps",
OR(ISNUMBER(SEARCH("bait",E504)),ISNUMBER(SEARCH("poison",E504))),"Bait &amp; Poison",
ISNUMBER(SEARCH("repellent",E504)),"Repellents",
OR(ISNUMBER(SEARCH("fly trap",E504)),ISNUMBER(SEARCH("fly ribbon",E504)),ISNUMBER(SEARCH("fly stick",E504)),ISNUMBER(SEARCH("window fly",E504)),ISNUMBER(SEARCH("fly magnet",E504))),"Fly Traps",
OR(ISNUMBER(SEARCH("uv",E504)),ISNUMBER(SEARCH("fly light",E504)),ISNUMBER(SEARCH("plug-in",E504))),"UV Fly Traps",
ISNUMBER(SEARCH("roach",E504)),"Roach Traps",
ISNUMBER(SEARCH("ant",E504)),"Ant Traps",
ISNUMBER(SEARCH("spider",E504)),"Spider Traps",
ISNUMBER(SEARCH("mosquito",E504)),"Mosquito Traps",
ISNUMBER(SEARCH("beetle",E504)),"Beetle Traps",
ISNUMBER(SEARCH("lantern",E504)),"Lanternfly Control",
OR(ISNUMBER(SEARCH("tree shield",E504)),ISNUMBER(SEARCH("tree banding",E504)),ISNUMBER(SEARCH("insect barrier",E504))),"Tree Barriers",
OR(ISNUMBER(SEARCH("sun &amp; shade",E504)),ISNUMBER(SEARCH("sun and shade",E504))),"Sun &amp; Shade Mix",
ISNUMBER(SEARCH("tall fescue",E504)),"Tall Fescue",
ISNUMBER(SEARCH("bermudagrass",E504)),"Bermudagrass",
ISNUMBER(SEARCH("kentucky",E504)),"Kentucky Bluegrass",
ISNUMBER(SEARCH("zoysia",E504)),"Zoysia",
ISNUMBER(SEARCH("ryegrass",E504)),"Perennial Ryegrass",
ISNUMBER(SEARCH("centipede",E504)),"Centipede Grass",
ISNUMBER(SEARCH("dense shade",E504)),"Dense Shade Mix",
ISNUMBER(SEARCH("southern gold",E504)),"Southern Gold Mix",
ISNUMBER(SEARCH("heat-tolerant blue",E504)),"Heat-Tolerant Blue Mix",
ISNUMBER(SEARCH("high traffic",E504)),"High Traffic Mix",
ISNUMBER(SEARCH("quick fix",E504)),"Quick Fix Mix",
ISNUMBER(SEARCH("starter",E504)),"Starter Fertilizer",
ISNUMBER(SEARCH("weed &amp; feed",E504)),"Weed &amp; Feed",
ISNUMBER(SEARCH("lawn food",E504)),"Lawn Food",
ISNUMBER(SEARCH("triple action",E504)),"Triple Action Fertilizer",
ISNUMBER(SEARCH("green max",E504)),"Green Max Lawn Food",
ISNUMBER(SEARCH("patchmaster",E504)),"PatchMaster Repair",
ISNUMBER(SEARCH("ez seed",E504)),"EZ Seed Repair",
ISNUMBER(SEARCH("rapid grass",E504)),"Rapid Grass",
ISNUMBER(SEARCH("thick'r lawn",E504)),"Thick'R Lawn",
ISNUMBER(SEARCH("fungicide",E504)),"Fungicide",
ISNUMBER(SEARCH("moss",E504)),"Moss Control",
ISNUMBER(SEARCH("perlite",E504)),"Perlite",
ISNUMBER(SEARCH("plant food",E504)),"Plant Food",
ISNUMBER(SEARCH("spreader",E504)),"Spreader",
ISNUMBER(SEARCH("sprayer",E504)),"Sprayer",
ISNUMBER(SEARCH("mower",E504)),"Lawn Mower",
ISNUMBER(SEARCH("sweeper",E504)),"Lawn Sweeper",
OR(ISNUMBER(SEARCH("pruner",E504)),ISNUMBER(SEARCH("trimmer",E504)),ISNUMBER(SEARCH("pole saw",E504))),"Pruning Tools",
TRUE,"Other"
)</f>
        <v>Glue Traps</v>
      </c>
      <c r="J504" s="7" t="str">
        <f t="shared" si="124"/>
        <v>Rodent Control - Glue Traps</v>
      </c>
      <c r="K504" s="4">
        <v>100</v>
      </c>
      <c r="L504" s="4">
        <v>4.3</v>
      </c>
      <c r="M504" s="4">
        <v>193</v>
      </c>
      <c r="N504" s="4" t="s">
        <v>2382</v>
      </c>
      <c r="O504" s="4">
        <f>VLOOKUP(A504,[7]Sheet1!$A:$M,2,0)</f>
        <v>0</v>
      </c>
      <c r="P504" s="4">
        <f>VLOOKUP(A504,[7]Sheet1!$A:$M,3,0)</f>
        <v>0</v>
      </c>
      <c r="Q504" s="4">
        <f>VLOOKUP(A504,[7]Sheet1!$A:$M,4,0)</f>
        <v>0</v>
      </c>
      <c r="R504" s="4">
        <f>VLOOKUP(A504,[7]Sheet1!$A:$M,5,0)</f>
        <v>50</v>
      </c>
      <c r="S504" s="4">
        <f>VLOOKUP(A504,[7]Sheet1!$A:$M,6,0)</f>
        <v>50</v>
      </c>
      <c r="T504" s="4">
        <f>VLOOKUP(A504,[7]Sheet1!$A:$M,7,0)</f>
        <v>50</v>
      </c>
      <c r="U504" s="4">
        <f>VLOOKUP(A504,[7]Sheet1!$A:$M,8,0)</f>
        <v>50</v>
      </c>
      <c r="V504" s="4">
        <f>VLOOKUP(A504,[7]Sheet1!$A:$M,9,0)</f>
        <v>100</v>
      </c>
      <c r="W504" s="4">
        <f>VLOOKUP(A504,[7]Sheet1!$A:$M,10,0)</f>
        <v>100</v>
      </c>
      <c r="X504" s="4">
        <f>VLOOKUP(A504,[7]Sheet1!$A:$M,11,0)</f>
        <v>0</v>
      </c>
      <c r="Y504" s="4">
        <f>VLOOKUP(A504,[7]Sheet1!$A:$M,12,0)</f>
        <v>0</v>
      </c>
      <c r="Z504" s="4">
        <f>VLOOKUP(A504,[7]Sheet1!$A:$M,13,0)</f>
        <v>0</v>
      </c>
      <c r="AA504" s="4">
        <f t="shared" si="136"/>
        <v>400</v>
      </c>
      <c r="AB504" s="7">
        <f t="shared" si="125"/>
        <v>33</v>
      </c>
      <c r="AC504" s="15">
        <f t="shared" si="137"/>
        <v>33.333333333333336</v>
      </c>
      <c r="AD504" s="16">
        <f t="shared" si="138"/>
        <v>1396</v>
      </c>
      <c r="AE504" s="16">
        <f t="shared" si="139"/>
        <v>116.33333333333334</v>
      </c>
      <c r="AF504" s="21">
        <v>2.58</v>
      </c>
      <c r="AG504" s="21">
        <v>3.49</v>
      </c>
      <c r="AH504" s="15">
        <f t="shared" si="134"/>
        <v>-0.14560000000000003</v>
      </c>
      <c r="AI504" s="15">
        <f t="shared" si="135"/>
        <v>-0.50960000000000005</v>
      </c>
      <c r="AJ504" s="10">
        <v>0.5</v>
      </c>
      <c r="AK504" s="10">
        <v>0.5</v>
      </c>
      <c r="AL504" s="21">
        <v>2.58</v>
      </c>
      <c r="AM504" s="9">
        <f t="shared" si="126"/>
        <v>0.52349999999999997</v>
      </c>
      <c r="AN504" s="9">
        <f t="shared" si="127"/>
        <v>0.1047</v>
      </c>
      <c r="AO504" s="9">
        <f t="shared" si="128"/>
        <v>0.69800000000000006</v>
      </c>
      <c r="AP504" s="9">
        <f t="shared" si="129"/>
        <v>6.9800000000000001E-2</v>
      </c>
      <c r="AQ504" s="9">
        <f t="shared" si="130"/>
        <v>0.69800000000000006</v>
      </c>
      <c r="AR504" s="9">
        <f t="shared" si="131"/>
        <v>0.87250000000000005</v>
      </c>
      <c r="AS504" s="11">
        <f t="shared" si="132"/>
        <v>-1.4560000000000002</v>
      </c>
      <c r="AT504" s="12">
        <f t="shared" si="133"/>
        <v>-1.5723333333333336</v>
      </c>
    </row>
    <row r="505" spans="1:46" ht="16.5" x14ac:dyDescent="0.4">
      <c r="A505" s="4" t="s">
        <v>2215</v>
      </c>
      <c r="B505" s="4" t="s">
        <v>2236</v>
      </c>
      <c r="C505" s="4" t="s">
        <v>2236</v>
      </c>
      <c r="D505" s="4" t="s">
        <v>2311</v>
      </c>
      <c r="E505" s="4" t="s">
        <v>2312</v>
      </c>
      <c r="F505" s="4" t="s">
        <v>2313</v>
      </c>
      <c r="G505" s="7" t="str">
        <f>VLOOKUP(A505,[1]done!$A:$I,9,0)</f>
        <v>All Other products</v>
      </c>
      <c r="H505" s="7" t="str" cm="1">
        <f t="array" ref="H505">_xlfn.IFS(
OR(ISNUMBER(SEARCH("mouse",E505)),ISNUMBER(SEARCH("rat",E505)),ISNUMBER(SEARCH("mice",E505)),ISNUMBER(SEARCH("rodent",E505))),"Rodent Control",
OR(ISNUMBER(SEARCH("fly",E505)),ISNUMBER(SEARCH("gnat",E505)),ISNUMBER(SEARCH("insect",E505)),ISNUMBER(SEARCH("mosquito",E505))),"Flying Insect Control",
OR(ISNUMBER(SEARCH("roach",E505)),ISNUMBER(SEARCH("ant",E505)),ISNUMBER(SEARCH("spider",E505)),ISNUMBER(SEARCH("cricket",E505)),ISNUMBER(SEARCH("scorpion",E505)),ISNUMBER(SEARCH("centipede",E505)),ISNUMBER(SEARCH("beetle",E505))),"Crawling Insect Control",
OR(ISNUMBER(SEARCH("tree",E505)),ISNUMBER(SEARCH("lantern",E505)),ISNUMBER(SEARCH("garden",E505)),ISNUMBER(SEARCH("plant",E505))),"Garden Pest Control",
OR(ISNUMBER(SEARCH("grass seed",E505)),ISNUMBER(SEARCH("seed mix",E505))),"Grass Seed",
OR(ISNUMBER(SEARCH("lawn food",E505)),ISNUMBER(SEARCH("fertilizer",E505))),"Lawn Fertilizer",
OR(ISNUMBER(SEARCH("patch",E505)),ISNUMBER(SEARCH("repair",E505)),ISNUMBER(SEARCH("thick'r",E505)),ISNUMBER(SEARCH("thick'r lawn",E505)),ISNUMBER(SEARCH("rapid grass",E505))),"Lawn Repair",
OR(ISNUMBER(SEARCH("weed",E505)),ISNUMBER(SEARCH("crabgrass",E505))),"Weed Control",
OR(ISNUMBER(SEARCH("fungicide",E505)),ISNUMBER(SEARCH("moss",E505))),"Disease &amp; Moss Control",
OR(ISNUMBER(SEARCH("plant food",E505)),ISNUMBER(SEARCH("miracid",E505))),"Plant Nutrition",
OR(ISNUMBER(SEARCH("perlite",E505))),"Soil Amendment",
OR(ISNUMBER(SEARCH("spreader",E505)),ISNUMBER(SEARCH("sprayer",E505)),ISNUMBER(SEARCH("mower",E505)),ISNUMBER(SEARCH("sweeper",E505)),ISNUMBER(SEARCH("pruner",E505)),ISNUMBER(SEARCH("trimmer",E505)),ISNUMBER(SEARCH("pole saw",E505))),"Garden Equipment",
TRUE,"Other"
)</f>
        <v>Other</v>
      </c>
      <c r="I505" s="7" t="str" cm="1">
        <f t="array" ref="I505">_xlfn.IFS(
OR(ISNUMBER(SEARCH("glue trap",E505)),ISNUMBER(SEARCH("glue board",E505))),"Glue Traps",
OR(ISNUMBER(SEARCH("snap trap",E505)),ISNUMBER(SEARCH("power-kill",E505)),ISNUMBER(SEARCH("wide pedal",E505)),ISNUMBER(SEARCH("metal pedal",E505))),"Snap Traps",
OR(ISNUMBER(SEARCH("electronic",E505)),ISNUMBER(SEARCH("zapper",E505))),"Electronic Traps",
OR(ISNUMBER(SEARCH("live catch",E505)),ISNUMBER(SEARCH("multi-catch",E505)),ISNUMBER(SEARCH("catch &amp; hold",E505)),ISNUMBER(SEARCH("tin cat",E505))),"Live Catch Traps",
OR(ISNUMBER(SEARCH("bait",E505)),ISNUMBER(SEARCH("poison",E505))),"Bait &amp; Poison",
ISNUMBER(SEARCH("repellent",E505)),"Repellents",
OR(ISNUMBER(SEARCH("fly trap",E505)),ISNUMBER(SEARCH("fly ribbon",E505)),ISNUMBER(SEARCH("fly stick",E505)),ISNUMBER(SEARCH("window fly",E505)),ISNUMBER(SEARCH("fly magnet",E505))),"Fly Traps",
OR(ISNUMBER(SEARCH("uv",E505)),ISNUMBER(SEARCH("fly light",E505)),ISNUMBER(SEARCH("plug-in",E505))),"UV Fly Traps",
ISNUMBER(SEARCH("roach",E505)),"Roach Traps",
ISNUMBER(SEARCH("ant",E505)),"Ant Traps",
ISNUMBER(SEARCH("spider",E505)),"Spider Traps",
ISNUMBER(SEARCH("mosquito",E505)),"Mosquito Traps",
ISNUMBER(SEARCH("beetle",E505)),"Beetle Traps",
ISNUMBER(SEARCH("lantern",E505)),"Lanternfly Control",
OR(ISNUMBER(SEARCH("tree shield",E505)),ISNUMBER(SEARCH("tree banding",E505)),ISNUMBER(SEARCH("insect barrier",E505))),"Tree Barriers",
OR(ISNUMBER(SEARCH("sun &amp; shade",E505)),ISNUMBER(SEARCH("sun and shade",E505))),"Sun &amp; Shade Mix",
ISNUMBER(SEARCH("tall fescue",E505)),"Tall Fescue",
ISNUMBER(SEARCH("bermudagrass",E505)),"Bermudagrass",
ISNUMBER(SEARCH("kentucky",E505)),"Kentucky Bluegrass",
ISNUMBER(SEARCH("zoysia",E505)),"Zoysia",
ISNUMBER(SEARCH("ryegrass",E505)),"Perennial Ryegrass",
ISNUMBER(SEARCH("centipede",E505)),"Centipede Grass",
ISNUMBER(SEARCH("dense shade",E505)),"Dense Shade Mix",
ISNUMBER(SEARCH("southern gold",E505)),"Southern Gold Mix",
ISNUMBER(SEARCH("heat-tolerant blue",E505)),"Heat-Tolerant Blue Mix",
ISNUMBER(SEARCH("high traffic",E505)),"High Traffic Mix",
ISNUMBER(SEARCH("quick fix",E505)),"Quick Fix Mix",
ISNUMBER(SEARCH("starter",E505)),"Starter Fertilizer",
ISNUMBER(SEARCH("weed &amp; feed",E505)),"Weed &amp; Feed",
ISNUMBER(SEARCH("lawn food",E505)),"Lawn Food",
ISNUMBER(SEARCH("triple action",E505)),"Triple Action Fertilizer",
ISNUMBER(SEARCH("green max",E505)),"Green Max Lawn Food",
ISNUMBER(SEARCH("patchmaster",E505)),"PatchMaster Repair",
ISNUMBER(SEARCH("ez seed",E505)),"EZ Seed Repair",
ISNUMBER(SEARCH("rapid grass",E505)),"Rapid Grass",
ISNUMBER(SEARCH("thick'r lawn",E505)),"Thick'R Lawn",
ISNUMBER(SEARCH("fungicide",E505)),"Fungicide",
ISNUMBER(SEARCH("moss",E505)),"Moss Control",
ISNUMBER(SEARCH("perlite",E505)),"Perlite",
ISNUMBER(SEARCH("plant food",E505)),"Plant Food",
ISNUMBER(SEARCH("spreader",E505)),"Spreader",
ISNUMBER(SEARCH("sprayer",E505)),"Sprayer",
ISNUMBER(SEARCH("mower",E505)),"Lawn Mower",
ISNUMBER(SEARCH("sweeper",E505)),"Lawn Sweeper",
OR(ISNUMBER(SEARCH("pruner",E505)),ISNUMBER(SEARCH("trimmer",E505)),ISNUMBER(SEARCH("pole saw",E505))),"Pruning Tools",
TRUE,"Other"
)</f>
        <v>Bait &amp; Poison</v>
      </c>
      <c r="J505" s="7" t="str">
        <f t="shared" si="124"/>
        <v>Other - Bait &amp; Poison</v>
      </c>
      <c r="K505" s="4">
        <v>100</v>
      </c>
      <c r="L505" s="4">
        <v>4.4000000000000004</v>
      </c>
      <c r="M505" s="4">
        <v>220</v>
      </c>
      <c r="N505" s="4">
        <v>0</v>
      </c>
      <c r="O505" s="4">
        <f>VLOOKUP(A505,[7]Sheet1!$A:$M,2,0)</f>
        <v>50</v>
      </c>
      <c r="P505" s="4">
        <f>VLOOKUP(A505,[7]Sheet1!$A:$M,3,0)</f>
        <v>50</v>
      </c>
      <c r="Q505" s="4">
        <f>VLOOKUP(A505,[7]Sheet1!$A:$M,4,0)</f>
        <v>50</v>
      </c>
      <c r="R505" s="4">
        <f>VLOOKUP(A505,[7]Sheet1!$A:$M,5,0)</f>
        <v>50</v>
      </c>
      <c r="S505" s="4">
        <f>VLOOKUP(A505,[7]Sheet1!$A:$M,6,0)</f>
        <v>50</v>
      </c>
      <c r="T505" s="4">
        <f>VLOOKUP(A505,[7]Sheet1!$A:$M,7,0)</f>
        <v>50</v>
      </c>
      <c r="U505" s="4">
        <f>VLOOKUP(A505,[7]Sheet1!$A:$M,8,0)</f>
        <v>50</v>
      </c>
      <c r="V505" s="4">
        <f>VLOOKUP(A505,[7]Sheet1!$A:$M,9,0)</f>
        <v>100</v>
      </c>
      <c r="W505" s="4">
        <f>VLOOKUP(A505,[7]Sheet1!$A:$M,10,0)</f>
        <v>100</v>
      </c>
      <c r="X505" s="4">
        <f>VLOOKUP(A505,[7]Sheet1!$A:$M,11,0)</f>
        <v>100</v>
      </c>
      <c r="Y505" s="4">
        <f>VLOOKUP(A505,[7]Sheet1!$A:$M,12,0)</f>
        <v>100</v>
      </c>
      <c r="Z505" s="4">
        <f>VLOOKUP(A505,[7]Sheet1!$A:$M,13,0)</f>
        <v>50</v>
      </c>
      <c r="AA505" s="4">
        <f t="shared" si="136"/>
        <v>800</v>
      </c>
      <c r="AB505" s="7">
        <f t="shared" si="125"/>
        <v>67</v>
      </c>
      <c r="AC505" s="15">
        <f t="shared" si="137"/>
        <v>66.666666666666671</v>
      </c>
      <c r="AD505" s="16">
        <f t="shared" si="138"/>
        <v>29960.000000000004</v>
      </c>
      <c r="AE505" s="16">
        <f t="shared" si="139"/>
        <v>2496.666666666667</v>
      </c>
      <c r="AF505" s="21">
        <v>16.71</v>
      </c>
      <c r="AG505" s="21">
        <v>37.450000000000003</v>
      </c>
      <c r="AH505" s="15">
        <f t="shared" si="134"/>
        <v>-0.18199999999999997</v>
      </c>
      <c r="AI505" s="15">
        <f t="shared" si="135"/>
        <v>-0.63699999999999979</v>
      </c>
      <c r="AJ505" s="10">
        <v>0.5</v>
      </c>
      <c r="AK505" s="10">
        <v>0.5</v>
      </c>
      <c r="AL505" s="21">
        <v>16.71</v>
      </c>
      <c r="AM505" s="9">
        <f t="shared" si="126"/>
        <v>5.6175000000000006</v>
      </c>
      <c r="AN505" s="9">
        <f t="shared" si="127"/>
        <v>1.1234999999999999</v>
      </c>
      <c r="AO505" s="9">
        <f t="shared" si="128"/>
        <v>7.4900000000000011</v>
      </c>
      <c r="AP505" s="9">
        <f t="shared" si="129"/>
        <v>0.74900000000000011</v>
      </c>
      <c r="AQ505" s="9">
        <f t="shared" si="130"/>
        <v>7.4900000000000011</v>
      </c>
      <c r="AR505" s="9">
        <f t="shared" si="131"/>
        <v>9.3625000000000007</v>
      </c>
      <c r="AS505" s="11">
        <f t="shared" si="132"/>
        <v>-1.8199999999999996</v>
      </c>
      <c r="AT505" s="12">
        <f t="shared" si="133"/>
        <v>-3.0683333333333329</v>
      </c>
    </row>
    <row r="506" spans="1:46" ht="16.5" x14ac:dyDescent="0.4">
      <c r="A506" s="4" t="s">
        <v>2216</v>
      </c>
      <c r="B506" s="4" t="s">
        <v>2236</v>
      </c>
      <c r="C506" s="4" t="s">
        <v>2314</v>
      </c>
      <c r="D506" s="4" t="s">
        <v>2315</v>
      </c>
      <c r="E506" s="4" t="s">
        <v>2316</v>
      </c>
      <c r="F506" s="4" t="s">
        <v>2317</v>
      </c>
      <c r="G506" s="7" t="str">
        <f>VLOOKUP(A506,[1]done!$A:$I,9,0)</f>
        <v>Other crawling insects</v>
      </c>
      <c r="H506" s="7" t="str" cm="1">
        <f t="array" ref="H506">_xlfn.IFS(
OR(ISNUMBER(SEARCH("mouse",E506)),ISNUMBER(SEARCH("rat",E506)),ISNUMBER(SEARCH("mice",E506)),ISNUMBER(SEARCH("rodent",E506))),"Rodent Control",
OR(ISNUMBER(SEARCH("fly",E506)),ISNUMBER(SEARCH("gnat",E506)),ISNUMBER(SEARCH("insect",E506)),ISNUMBER(SEARCH("mosquito",E506))),"Flying Insect Control",
OR(ISNUMBER(SEARCH("roach",E506)),ISNUMBER(SEARCH("ant",E506)),ISNUMBER(SEARCH("spider",E506)),ISNUMBER(SEARCH("cricket",E506)),ISNUMBER(SEARCH("scorpion",E506)),ISNUMBER(SEARCH("centipede",E506)),ISNUMBER(SEARCH("beetle",E506))),"Crawling Insect Control",
OR(ISNUMBER(SEARCH("tree",E506)),ISNUMBER(SEARCH("lantern",E506)),ISNUMBER(SEARCH("garden",E506)),ISNUMBER(SEARCH("plant",E506))),"Garden Pest Control",
OR(ISNUMBER(SEARCH("grass seed",E506)),ISNUMBER(SEARCH("seed mix",E506))),"Grass Seed",
OR(ISNUMBER(SEARCH("lawn food",E506)),ISNUMBER(SEARCH("fertilizer",E506))),"Lawn Fertilizer",
OR(ISNUMBER(SEARCH("patch",E506)),ISNUMBER(SEARCH("repair",E506)),ISNUMBER(SEARCH("thick'r",E506)),ISNUMBER(SEARCH("thick'r lawn",E506)),ISNUMBER(SEARCH("rapid grass",E506))),"Lawn Repair",
OR(ISNUMBER(SEARCH("weed",E506)),ISNUMBER(SEARCH("crabgrass",E506))),"Weed Control",
OR(ISNUMBER(SEARCH("fungicide",E506)),ISNUMBER(SEARCH("moss",E506))),"Disease &amp; Moss Control",
OR(ISNUMBER(SEARCH("plant food",E506)),ISNUMBER(SEARCH("miracid",E506))),"Plant Nutrition",
OR(ISNUMBER(SEARCH("perlite",E506))),"Soil Amendment",
OR(ISNUMBER(SEARCH("spreader",E506)),ISNUMBER(SEARCH("sprayer",E506)),ISNUMBER(SEARCH("mower",E506)),ISNUMBER(SEARCH("sweeper",E506)),ISNUMBER(SEARCH("pruner",E506)),ISNUMBER(SEARCH("trimmer",E506)),ISNUMBER(SEARCH("pole saw",E506))),"Garden Equipment",
TRUE,"Other"
)</f>
        <v>Crawling Insect Control</v>
      </c>
      <c r="I506" s="7" t="str" cm="1">
        <f t="array" ref="I506">_xlfn.IFS(
OR(ISNUMBER(SEARCH("glue trap",E506)),ISNUMBER(SEARCH("glue board",E506))),"Glue Traps",
OR(ISNUMBER(SEARCH("snap trap",E506)),ISNUMBER(SEARCH("power-kill",E506)),ISNUMBER(SEARCH("wide pedal",E506)),ISNUMBER(SEARCH("metal pedal",E506))),"Snap Traps",
OR(ISNUMBER(SEARCH("electronic",E506)),ISNUMBER(SEARCH("zapper",E506))),"Electronic Traps",
OR(ISNUMBER(SEARCH("live catch",E506)),ISNUMBER(SEARCH("multi-catch",E506)),ISNUMBER(SEARCH("catch &amp; hold",E506)),ISNUMBER(SEARCH("tin cat",E506))),"Live Catch Traps",
OR(ISNUMBER(SEARCH("bait",E506)),ISNUMBER(SEARCH("poison",E506))),"Bait &amp; Poison",
ISNUMBER(SEARCH("repellent",E506)),"Repellents",
OR(ISNUMBER(SEARCH("fly trap",E506)),ISNUMBER(SEARCH("fly ribbon",E506)),ISNUMBER(SEARCH("fly stick",E506)),ISNUMBER(SEARCH("window fly",E506)),ISNUMBER(SEARCH("fly magnet",E506))),"Fly Traps",
OR(ISNUMBER(SEARCH("uv",E506)),ISNUMBER(SEARCH("fly light",E506)),ISNUMBER(SEARCH("plug-in",E506))),"UV Fly Traps",
ISNUMBER(SEARCH("roach",E506)),"Roach Traps",
ISNUMBER(SEARCH("ant",E506)),"Ant Traps",
ISNUMBER(SEARCH("spider",E506)),"Spider Traps",
ISNUMBER(SEARCH("mosquito",E506)),"Mosquito Traps",
ISNUMBER(SEARCH("beetle",E506)),"Beetle Traps",
ISNUMBER(SEARCH("lantern",E506)),"Lanternfly Control",
OR(ISNUMBER(SEARCH("tree shield",E506)),ISNUMBER(SEARCH("tree banding",E506)),ISNUMBER(SEARCH("insect barrier",E506))),"Tree Barriers",
OR(ISNUMBER(SEARCH("sun &amp; shade",E506)),ISNUMBER(SEARCH("sun and shade",E506))),"Sun &amp; Shade Mix",
ISNUMBER(SEARCH("tall fescue",E506)),"Tall Fescue",
ISNUMBER(SEARCH("bermudagrass",E506)),"Bermudagrass",
ISNUMBER(SEARCH("kentucky",E506)),"Kentucky Bluegrass",
ISNUMBER(SEARCH("zoysia",E506)),"Zoysia",
ISNUMBER(SEARCH("ryegrass",E506)),"Perennial Ryegrass",
ISNUMBER(SEARCH("centipede",E506)),"Centipede Grass",
ISNUMBER(SEARCH("dense shade",E506)),"Dense Shade Mix",
ISNUMBER(SEARCH("southern gold",E506)),"Southern Gold Mix",
ISNUMBER(SEARCH("heat-tolerant blue",E506)),"Heat-Tolerant Blue Mix",
ISNUMBER(SEARCH("high traffic",E506)),"High Traffic Mix",
ISNUMBER(SEARCH("quick fix",E506)),"Quick Fix Mix",
ISNUMBER(SEARCH("starter",E506)),"Starter Fertilizer",
ISNUMBER(SEARCH("weed &amp; feed",E506)),"Weed &amp; Feed",
ISNUMBER(SEARCH("lawn food",E506)),"Lawn Food",
ISNUMBER(SEARCH("triple action",E506)),"Triple Action Fertilizer",
ISNUMBER(SEARCH("green max",E506)),"Green Max Lawn Food",
ISNUMBER(SEARCH("patchmaster",E506)),"PatchMaster Repair",
ISNUMBER(SEARCH("ez seed",E506)),"EZ Seed Repair",
ISNUMBER(SEARCH("rapid grass",E506)),"Rapid Grass",
ISNUMBER(SEARCH("thick'r lawn",E506)),"Thick'R Lawn",
ISNUMBER(SEARCH("fungicide",E506)),"Fungicide",
ISNUMBER(SEARCH("moss",E506)),"Moss Control",
ISNUMBER(SEARCH("perlite",E506)),"Perlite",
ISNUMBER(SEARCH("plant food",E506)),"Plant Food",
ISNUMBER(SEARCH("spreader",E506)),"Spreader",
ISNUMBER(SEARCH("sprayer",E506)),"Sprayer",
ISNUMBER(SEARCH("mower",E506)),"Lawn Mower",
ISNUMBER(SEARCH("sweeper",E506)),"Lawn Sweeper",
OR(ISNUMBER(SEARCH("pruner",E506)),ISNUMBER(SEARCH("trimmer",E506)),ISNUMBER(SEARCH("pole saw",E506))),"Pruning Tools",
TRUE,"Other"
)</f>
        <v>Glue Traps</v>
      </c>
      <c r="J506" s="7" t="str">
        <f t="shared" si="124"/>
        <v>Crawling Insect Control - Glue Traps</v>
      </c>
      <c r="K506" s="4">
        <v>100</v>
      </c>
      <c r="L506" s="4">
        <v>4.5</v>
      </c>
      <c r="M506" s="4">
        <v>594</v>
      </c>
      <c r="N506" s="4">
        <v>0</v>
      </c>
      <c r="O506" s="4">
        <f>VLOOKUP(A506,[7]Sheet1!$A:$M,2,0)</f>
        <v>0</v>
      </c>
      <c r="P506" s="4">
        <f>VLOOKUP(A506,[7]Sheet1!$A:$M,3,0)</f>
        <v>0</v>
      </c>
      <c r="Q506" s="4">
        <f>VLOOKUP(A506,[7]Sheet1!$A:$M,4,0)</f>
        <v>0</v>
      </c>
      <c r="R506" s="4">
        <f>VLOOKUP(A506,[7]Sheet1!$A:$M,5,0)</f>
        <v>0</v>
      </c>
      <c r="S506" s="4">
        <f>VLOOKUP(A506,[7]Sheet1!$A:$M,6,0)</f>
        <v>50</v>
      </c>
      <c r="T506" s="4">
        <f>VLOOKUP(A506,[7]Sheet1!$A:$M,7,0)</f>
        <v>50</v>
      </c>
      <c r="U506" s="4">
        <f>VLOOKUP(A506,[7]Sheet1!$A:$M,8,0)</f>
        <v>50</v>
      </c>
      <c r="V506" s="4">
        <f>VLOOKUP(A506,[7]Sheet1!$A:$M,9,0)</f>
        <v>50</v>
      </c>
      <c r="W506" s="4">
        <f>VLOOKUP(A506,[7]Sheet1!$A:$M,10,0)</f>
        <v>100</v>
      </c>
      <c r="X506" s="4">
        <f>VLOOKUP(A506,[7]Sheet1!$A:$M,11,0)</f>
        <v>100</v>
      </c>
      <c r="Y506" s="4">
        <f>VLOOKUP(A506,[7]Sheet1!$A:$M,12,0)</f>
        <v>50</v>
      </c>
      <c r="Z506" s="4">
        <f>VLOOKUP(A506,[7]Sheet1!$A:$M,13,0)</f>
        <v>50</v>
      </c>
      <c r="AA506" s="4">
        <f t="shared" si="136"/>
        <v>500</v>
      </c>
      <c r="AB506" s="7">
        <f t="shared" si="125"/>
        <v>42</v>
      </c>
      <c r="AC506" s="15">
        <f t="shared" si="137"/>
        <v>41.666666666666664</v>
      </c>
      <c r="AD506" s="16">
        <f t="shared" si="138"/>
        <v>7375</v>
      </c>
      <c r="AE506" s="16">
        <f t="shared" si="139"/>
        <v>614.58333333333326</v>
      </c>
      <c r="AF506" s="21">
        <v>5.22</v>
      </c>
      <c r="AG506" s="21">
        <v>14.75</v>
      </c>
      <c r="AH506" s="15">
        <f t="shared" si="134"/>
        <v>-2.1333333333333353E-2</v>
      </c>
      <c r="AI506" s="15">
        <f t="shared" si="135"/>
        <v>-7.4666666666666728E-2</v>
      </c>
      <c r="AJ506" s="10">
        <v>0.5</v>
      </c>
      <c r="AK506" s="10">
        <v>0.5</v>
      </c>
      <c r="AL506" s="21">
        <v>5.22</v>
      </c>
      <c r="AM506" s="9">
        <f t="shared" si="126"/>
        <v>2.2124999999999999</v>
      </c>
      <c r="AN506" s="9">
        <f t="shared" si="127"/>
        <v>0.4425</v>
      </c>
      <c r="AO506" s="9">
        <f t="shared" si="128"/>
        <v>2.95</v>
      </c>
      <c r="AP506" s="9">
        <f t="shared" si="129"/>
        <v>0.29499999999999998</v>
      </c>
      <c r="AQ506" s="9">
        <f t="shared" si="130"/>
        <v>2.95</v>
      </c>
      <c r="AR506" s="9">
        <f t="shared" si="131"/>
        <v>3.6875</v>
      </c>
      <c r="AS506" s="11">
        <f t="shared" si="132"/>
        <v>-0.21333333333333351</v>
      </c>
      <c r="AT506" s="12">
        <f t="shared" si="133"/>
        <v>-0.70500000000000007</v>
      </c>
    </row>
    <row r="507" spans="1:46" ht="16.5" x14ac:dyDescent="0.4">
      <c r="A507" s="4" t="s">
        <v>2217</v>
      </c>
      <c r="B507" s="4" t="s">
        <v>2236</v>
      </c>
      <c r="C507" s="4" t="s">
        <v>2236</v>
      </c>
      <c r="D507" s="4" t="s">
        <v>2318</v>
      </c>
      <c r="E507" s="4" t="s">
        <v>2319</v>
      </c>
      <c r="F507" s="4" t="s">
        <v>2320</v>
      </c>
      <c r="G507" s="7" t="str">
        <f>VLOOKUP(A507,[1]done!$A:$I,9,0)</f>
        <v>Other Glue boards for insect or rodent</v>
      </c>
      <c r="H507" s="7" t="str" cm="1">
        <f t="array" ref="H507">_xlfn.IFS(
OR(ISNUMBER(SEARCH("mouse",E507)),ISNUMBER(SEARCH("rat",E507)),ISNUMBER(SEARCH("mice",E507)),ISNUMBER(SEARCH("rodent",E507))),"Rodent Control",
OR(ISNUMBER(SEARCH("fly",E507)),ISNUMBER(SEARCH("gnat",E507)),ISNUMBER(SEARCH("insect",E507)),ISNUMBER(SEARCH("mosquito",E507))),"Flying Insect Control",
OR(ISNUMBER(SEARCH("roach",E507)),ISNUMBER(SEARCH("ant",E507)),ISNUMBER(SEARCH("spider",E507)),ISNUMBER(SEARCH("cricket",E507)),ISNUMBER(SEARCH("scorpion",E507)),ISNUMBER(SEARCH("centipede",E507)),ISNUMBER(SEARCH("beetle",E507))),"Crawling Insect Control",
OR(ISNUMBER(SEARCH("tree",E507)),ISNUMBER(SEARCH("lantern",E507)),ISNUMBER(SEARCH("garden",E507)),ISNUMBER(SEARCH("plant",E507))),"Garden Pest Control",
OR(ISNUMBER(SEARCH("grass seed",E507)),ISNUMBER(SEARCH("seed mix",E507))),"Grass Seed",
OR(ISNUMBER(SEARCH("lawn food",E507)),ISNUMBER(SEARCH("fertilizer",E507))),"Lawn Fertilizer",
OR(ISNUMBER(SEARCH("patch",E507)),ISNUMBER(SEARCH("repair",E507)),ISNUMBER(SEARCH("thick'r",E507)),ISNUMBER(SEARCH("thick'r lawn",E507)),ISNUMBER(SEARCH("rapid grass",E507))),"Lawn Repair",
OR(ISNUMBER(SEARCH("weed",E507)),ISNUMBER(SEARCH("crabgrass",E507))),"Weed Control",
OR(ISNUMBER(SEARCH("fungicide",E507)),ISNUMBER(SEARCH("moss",E507))),"Disease &amp; Moss Control",
OR(ISNUMBER(SEARCH("plant food",E507)),ISNUMBER(SEARCH("miracid",E507))),"Plant Nutrition",
OR(ISNUMBER(SEARCH("perlite",E507))),"Soil Amendment",
OR(ISNUMBER(SEARCH("spreader",E507)),ISNUMBER(SEARCH("sprayer",E507)),ISNUMBER(SEARCH("mower",E507)),ISNUMBER(SEARCH("sweeper",E507)),ISNUMBER(SEARCH("pruner",E507)),ISNUMBER(SEARCH("trimmer",E507)),ISNUMBER(SEARCH("pole saw",E507))),"Garden Equipment",
TRUE,"Other"
)</f>
        <v>Crawling Insect Control</v>
      </c>
      <c r="I507" s="7" t="str" cm="1">
        <f t="array" ref="I507">_xlfn.IFS(
OR(ISNUMBER(SEARCH("glue trap",E507)),ISNUMBER(SEARCH("glue board",E507))),"Glue Traps",
OR(ISNUMBER(SEARCH("snap trap",E507)),ISNUMBER(SEARCH("power-kill",E507)),ISNUMBER(SEARCH("wide pedal",E507)),ISNUMBER(SEARCH("metal pedal",E507))),"Snap Traps",
OR(ISNUMBER(SEARCH("electronic",E507)),ISNUMBER(SEARCH("zapper",E507))),"Electronic Traps",
OR(ISNUMBER(SEARCH("live catch",E507)),ISNUMBER(SEARCH("multi-catch",E507)),ISNUMBER(SEARCH("catch &amp; hold",E507)),ISNUMBER(SEARCH("tin cat",E507))),"Live Catch Traps",
OR(ISNUMBER(SEARCH("bait",E507)),ISNUMBER(SEARCH("poison",E507))),"Bait &amp; Poison",
ISNUMBER(SEARCH("repellent",E507)),"Repellents",
OR(ISNUMBER(SEARCH("fly trap",E507)),ISNUMBER(SEARCH("fly ribbon",E507)),ISNUMBER(SEARCH("fly stick",E507)),ISNUMBER(SEARCH("window fly",E507)),ISNUMBER(SEARCH("fly magnet",E507))),"Fly Traps",
OR(ISNUMBER(SEARCH("uv",E507)),ISNUMBER(SEARCH("fly light",E507)),ISNUMBER(SEARCH("plug-in",E507))),"UV Fly Traps",
ISNUMBER(SEARCH("roach",E507)),"Roach Traps",
ISNUMBER(SEARCH("ant",E507)),"Ant Traps",
ISNUMBER(SEARCH("spider",E507)),"Spider Traps",
ISNUMBER(SEARCH("mosquito",E507)),"Mosquito Traps",
ISNUMBER(SEARCH("beetle",E507)),"Beetle Traps",
ISNUMBER(SEARCH("lantern",E507)),"Lanternfly Control",
OR(ISNUMBER(SEARCH("tree shield",E507)),ISNUMBER(SEARCH("tree banding",E507)),ISNUMBER(SEARCH("insect barrier",E507))),"Tree Barriers",
OR(ISNUMBER(SEARCH("sun &amp; shade",E507)),ISNUMBER(SEARCH("sun and shade",E507))),"Sun &amp; Shade Mix",
ISNUMBER(SEARCH("tall fescue",E507)),"Tall Fescue",
ISNUMBER(SEARCH("bermudagrass",E507)),"Bermudagrass",
ISNUMBER(SEARCH("kentucky",E507)),"Kentucky Bluegrass",
ISNUMBER(SEARCH("zoysia",E507)),"Zoysia",
ISNUMBER(SEARCH("ryegrass",E507)),"Perennial Ryegrass",
ISNUMBER(SEARCH("centipede",E507)),"Centipede Grass",
ISNUMBER(SEARCH("dense shade",E507)),"Dense Shade Mix",
ISNUMBER(SEARCH("southern gold",E507)),"Southern Gold Mix",
ISNUMBER(SEARCH("heat-tolerant blue",E507)),"Heat-Tolerant Blue Mix",
ISNUMBER(SEARCH("high traffic",E507)),"High Traffic Mix",
ISNUMBER(SEARCH("quick fix",E507)),"Quick Fix Mix",
ISNUMBER(SEARCH("starter",E507)),"Starter Fertilizer",
ISNUMBER(SEARCH("weed &amp; feed",E507)),"Weed &amp; Feed",
ISNUMBER(SEARCH("lawn food",E507)),"Lawn Food",
ISNUMBER(SEARCH("triple action",E507)),"Triple Action Fertilizer",
ISNUMBER(SEARCH("green max",E507)),"Green Max Lawn Food",
ISNUMBER(SEARCH("patchmaster",E507)),"PatchMaster Repair",
ISNUMBER(SEARCH("ez seed",E507)),"EZ Seed Repair",
ISNUMBER(SEARCH("rapid grass",E507)),"Rapid Grass",
ISNUMBER(SEARCH("thick'r lawn",E507)),"Thick'R Lawn",
ISNUMBER(SEARCH("fungicide",E507)),"Fungicide",
ISNUMBER(SEARCH("moss",E507)),"Moss Control",
ISNUMBER(SEARCH("perlite",E507)),"Perlite",
ISNUMBER(SEARCH("plant food",E507)),"Plant Food",
ISNUMBER(SEARCH("spreader",E507)),"Spreader",
ISNUMBER(SEARCH("sprayer",E507)),"Sprayer",
ISNUMBER(SEARCH("mower",E507)),"Lawn Mower",
ISNUMBER(SEARCH("sweeper",E507)),"Lawn Sweeper",
OR(ISNUMBER(SEARCH("pruner",E507)),ISNUMBER(SEARCH("trimmer",E507)),ISNUMBER(SEARCH("pole saw",E507))),"Pruning Tools",
TRUE,"Other"
)</f>
        <v>Glue Traps</v>
      </c>
      <c r="J507" s="7" t="str">
        <f t="shared" si="124"/>
        <v>Crawling Insect Control - Glue Traps</v>
      </c>
      <c r="K507" s="4">
        <v>100</v>
      </c>
      <c r="L507" s="4">
        <v>4.4000000000000004</v>
      </c>
      <c r="M507" s="4">
        <v>496</v>
      </c>
      <c r="N507" s="4" t="s">
        <v>1400</v>
      </c>
      <c r="O507" s="4">
        <f>VLOOKUP(A507,[7]Sheet1!$A:$M,2,0)</f>
        <v>0</v>
      </c>
      <c r="P507" s="4">
        <f>VLOOKUP(A507,[7]Sheet1!$A:$M,3,0)</f>
        <v>0</v>
      </c>
      <c r="Q507" s="4">
        <f>VLOOKUP(A507,[7]Sheet1!$A:$M,4,0)</f>
        <v>0</v>
      </c>
      <c r="R507" s="4">
        <f>VLOOKUP(A507,[7]Sheet1!$A:$M,5,0)</f>
        <v>100</v>
      </c>
      <c r="S507" s="4">
        <f>VLOOKUP(A507,[7]Sheet1!$A:$M,6,0)</f>
        <v>50</v>
      </c>
      <c r="T507" s="4">
        <f>VLOOKUP(A507,[7]Sheet1!$A:$M,7,0)</f>
        <v>50</v>
      </c>
      <c r="U507" s="4">
        <f>VLOOKUP(A507,[7]Sheet1!$A:$M,8,0)</f>
        <v>50</v>
      </c>
      <c r="V507" s="4">
        <f>VLOOKUP(A507,[7]Sheet1!$A:$M,9,0)</f>
        <v>50</v>
      </c>
      <c r="W507" s="4">
        <f>VLOOKUP(A507,[7]Sheet1!$A:$M,10,0)</f>
        <v>100</v>
      </c>
      <c r="X507" s="4">
        <f>VLOOKUP(A507,[7]Sheet1!$A:$M,11,0)</f>
        <v>50</v>
      </c>
      <c r="Y507" s="4">
        <f>VLOOKUP(A507,[7]Sheet1!$A:$M,12,0)</f>
        <v>50</v>
      </c>
      <c r="Z507" s="4">
        <f>VLOOKUP(A507,[7]Sheet1!$A:$M,13,0)</f>
        <v>50</v>
      </c>
      <c r="AA507" s="4">
        <f t="shared" si="136"/>
        <v>550</v>
      </c>
      <c r="AB507" s="7">
        <f t="shared" si="125"/>
        <v>46</v>
      </c>
      <c r="AC507" s="15">
        <f t="shared" si="137"/>
        <v>45.833333333333336</v>
      </c>
      <c r="AD507" s="16">
        <f t="shared" si="138"/>
        <v>7859.4999999999991</v>
      </c>
      <c r="AE507" s="16">
        <f t="shared" si="139"/>
        <v>654.95833333333337</v>
      </c>
      <c r="AF507" s="21">
        <v>4.3499999999999996</v>
      </c>
      <c r="AG507" s="21">
        <v>14.29</v>
      </c>
      <c r="AH507" s="15">
        <f t="shared" si="134"/>
        <v>2.4400000000000008E-2</v>
      </c>
      <c r="AI507" s="15">
        <f t="shared" si="135"/>
        <v>8.5400000000000018E-2</v>
      </c>
      <c r="AJ507" s="10">
        <v>0.5</v>
      </c>
      <c r="AK507" s="10">
        <v>0.5</v>
      </c>
      <c r="AL507" s="21">
        <v>4.3499999999999996</v>
      </c>
      <c r="AM507" s="9">
        <f t="shared" si="126"/>
        <v>2.1435</v>
      </c>
      <c r="AN507" s="9">
        <f t="shared" si="127"/>
        <v>0.42869999999999997</v>
      </c>
      <c r="AO507" s="9">
        <f t="shared" si="128"/>
        <v>2.8580000000000001</v>
      </c>
      <c r="AP507" s="9">
        <f t="shared" si="129"/>
        <v>0.2858</v>
      </c>
      <c r="AQ507" s="9">
        <f t="shared" si="130"/>
        <v>2.8580000000000001</v>
      </c>
      <c r="AR507" s="9">
        <f t="shared" si="131"/>
        <v>3.5724999999999998</v>
      </c>
      <c r="AS507" s="11">
        <f t="shared" si="132"/>
        <v>0.24400000000000008</v>
      </c>
      <c r="AT507" s="12">
        <f t="shared" si="133"/>
        <v>-0.23233333333333306</v>
      </c>
    </row>
    <row r="508" spans="1:46" ht="16.5" x14ac:dyDescent="0.4">
      <c r="A508" s="4" t="s">
        <v>2218</v>
      </c>
      <c r="B508" s="4" t="s">
        <v>2236</v>
      </c>
      <c r="C508" s="4" t="s">
        <v>2236</v>
      </c>
      <c r="D508" s="4" t="s">
        <v>2321</v>
      </c>
      <c r="E508" s="4" t="s">
        <v>2322</v>
      </c>
      <c r="F508" s="4" t="s">
        <v>2323</v>
      </c>
      <c r="G508" s="7" t="str">
        <f>VLOOKUP(A508,[1]done!$A:$I,9,0)</f>
        <v>Mosquito/Fly</v>
      </c>
      <c r="H508" s="7" t="str" cm="1">
        <f t="array" ref="H508">_xlfn.IFS(
OR(ISNUMBER(SEARCH("mouse",E508)),ISNUMBER(SEARCH("rat",E508)),ISNUMBER(SEARCH("mice",E508)),ISNUMBER(SEARCH("rodent",E508))),"Rodent Control",
OR(ISNUMBER(SEARCH("fly",E508)),ISNUMBER(SEARCH("gnat",E508)),ISNUMBER(SEARCH("insect",E508)),ISNUMBER(SEARCH("mosquito",E508))),"Flying Insect Control",
OR(ISNUMBER(SEARCH("roach",E508)),ISNUMBER(SEARCH("ant",E508)),ISNUMBER(SEARCH("spider",E508)),ISNUMBER(SEARCH("cricket",E508)),ISNUMBER(SEARCH("scorpion",E508)),ISNUMBER(SEARCH("centipede",E508)),ISNUMBER(SEARCH("beetle",E508))),"Crawling Insect Control",
OR(ISNUMBER(SEARCH("tree",E508)),ISNUMBER(SEARCH("lantern",E508)),ISNUMBER(SEARCH("garden",E508)),ISNUMBER(SEARCH("plant",E508))),"Garden Pest Control",
OR(ISNUMBER(SEARCH("grass seed",E508)),ISNUMBER(SEARCH("seed mix",E508))),"Grass Seed",
OR(ISNUMBER(SEARCH("lawn food",E508)),ISNUMBER(SEARCH("fertilizer",E508))),"Lawn Fertilizer",
OR(ISNUMBER(SEARCH("patch",E508)),ISNUMBER(SEARCH("repair",E508)),ISNUMBER(SEARCH("thick'r",E508)),ISNUMBER(SEARCH("thick'r lawn",E508)),ISNUMBER(SEARCH("rapid grass",E508))),"Lawn Repair",
OR(ISNUMBER(SEARCH("weed",E508)),ISNUMBER(SEARCH("crabgrass",E508))),"Weed Control",
OR(ISNUMBER(SEARCH("fungicide",E508)),ISNUMBER(SEARCH("moss",E508))),"Disease &amp; Moss Control",
OR(ISNUMBER(SEARCH("plant food",E508)),ISNUMBER(SEARCH("miracid",E508))),"Plant Nutrition",
OR(ISNUMBER(SEARCH("perlite",E508))),"Soil Amendment",
OR(ISNUMBER(SEARCH("spreader",E508)),ISNUMBER(SEARCH("sprayer",E508)),ISNUMBER(SEARCH("mower",E508)),ISNUMBER(SEARCH("sweeper",E508)),ISNUMBER(SEARCH("pruner",E508)),ISNUMBER(SEARCH("trimmer",E508)),ISNUMBER(SEARCH("pole saw",E508))),"Garden Equipment",
TRUE,"Other"
)</f>
        <v>Flying Insect Control</v>
      </c>
      <c r="I508" s="7" t="str" cm="1">
        <f t="array" ref="I508">_xlfn.IFS(
OR(ISNUMBER(SEARCH("glue trap",E508)),ISNUMBER(SEARCH("glue board",E508))),"Glue Traps",
OR(ISNUMBER(SEARCH("snap trap",E508)),ISNUMBER(SEARCH("power-kill",E508)),ISNUMBER(SEARCH("wide pedal",E508)),ISNUMBER(SEARCH("metal pedal",E508))),"Snap Traps",
OR(ISNUMBER(SEARCH("electronic",E508)),ISNUMBER(SEARCH("zapper",E508))),"Electronic Traps",
OR(ISNUMBER(SEARCH("live catch",E508)),ISNUMBER(SEARCH("multi-catch",E508)),ISNUMBER(SEARCH("catch &amp; hold",E508)),ISNUMBER(SEARCH("tin cat",E508))),"Live Catch Traps",
OR(ISNUMBER(SEARCH("bait",E508)),ISNUMBER(SEARCH("poison",E508))),"Bait &amp; Poison",
ISNUMBER(SEARCH("repellent",E508)),"Repellents",
OR(ISNUMBER(SEARCH("fly trap",E508)),ISNUMBER(SEARCH("fly ribbon",E508)),ISNUMBER(SEARCH("fly stick",E508)),ISNUMBER(SEARCH("window fly",E508)),ISNUMBER(SEARCH("fly magnet",E508))),"Fly Traps",
OR(ISNUMBER(SEARCH("uv",E508)),ISNUMBER(SEARCH("fly light",E508)),ISNUMBER(SEARCH("plug-in",E508))),"UV Fly Traps",
ISNUMBER(SEARCH("roach",E508)),"Roach Traps",
ISNUMBER(SEARCH("ant",E508)),"Ant Traps",
ISNUMBER(SEARCH("spider",E508)),"Spider Traps",
ISNUMBER(SEARCH("mosquito",E508)),"Mosquito Traps",
ISNUMBER(SEARCH("beetle",E508)),"Beetle Traps",
ISNUMBER(SEARCH("lantern",E508)),"Lanternfly Control",
OR(ISNUMBER(SEARCH("tree shield",E508)),ISNUMBER(SEARCH("tree banding",E508)),ISNUMBER(SEARCH("insect barrier",E508))),"Tree Barriers",
OR(ISNUMBER(SEARCH("sun &amp; shade",E508)),ISNUMBER(SEARCH("sun and shade",E508))),"Sun &amp; Shade Mix",
ISNUMBER(SEARCH("tall fescue",E508)),"Tall Fescue",
ISNUMBER(SEARCH("bermudagrass",E508)),"Bermudagrass",
ISNUMBER(SEARCH("kentucky",E508)),"Kentucky Bluegrass",
ISNUMBER(SEARCH("zoysia",E508)),"Zoysia",
ISNUMBER(SEARCH("ryegrass",E508)),"Perennial Ryegrass",
ISNUMBER(SEARCH("centipede",E508)),"Centipede Grass",
ISNUMBER(SEARCH("dense shade",E508)),"Dense Shade Mix",
ISNUMBER(SEARCH("southern gold",E508)),"Southern Gold Mix",
ISNUMBER(SEARCH("heat-tolerant blue",E508)),"Heat-Tolerant Blue Mix",
ISNUMBER(SEARCH("high traffic",E508)),"High Traffic Mix",
ISNUMBER(SEARCH("quick fix",E508)),"Quick Fix Mix",
ISNUMBER(SEARCH("starter",E508)),"Starter Fertilizer",
ISNUMBER(SEARCH("weed &amp; feed",E508)),"Weed &amp; Feed",
ISNUMBER(SEARCH("lawn food",E508)),"Lawn Food",
ISNUMBER(SEARCH("triple action",E508)),"Triple Action Fertilizer",
ISNUMBER(SEARCH("green max",E508)),"Green Max Lawn Food",
ISNUMBER(SEARCH("patchmaster",E508)),"PatchMaster Repair",
ISNUMBER(SEARCH("ez seed",E508)),"EZ Seed Repair",
ISNUMBER(SEARCH("rapid grass",E508)),"Rapid Grass",
ISNUMBER(SEARCH("thick'r lawn",E508)),"Thick'R Lawn",
ISNUMBER(SEARCH("fungicide",E508)),"Fungicide",
ISNUMBER(SEARCH("moss",E508)),"Moss Control",
ISNUMBER(SEARCH("perlite",E508)),"Perlite",
ISNUMBER(SEARCH("plant food",E508)),"Plant Food",
ISNUMBER(SEARCH("spreader",E508)),"Spreader",
ISNUMBER(SEARCH("sprayer",E508)),"Sprayer",
ISNUMBER(SEARCH("mower",E508)),"Lawn Mower",
ISNUMBER(SEARCH("sweeper",E508)),"Lawn Sweeper",
OR(ISNUMBER(SEARCH("pruner",E508)),ISNUMBER(SEARCH("trimmer",E508)),ISNUMBER(SEARCH("pole saw",E508))),"Pruning Tools",
TRUE,"Other"
)</f>
        <v>Fly Traps</v>
      </c>
      <c r="J508" s="7" t="str">
        <f t="shared" si="124"/>
        <v>Flying Insect Control - Fly Traps</v>
      </c>
      <c r="K508" s="4">
        <v>50</v>
      </c>
      <c r="L508" s="4">
        <v>3.7</v>
      </c>
      <c r="M508" s="4">
        <v>462</v>
      </c>
      <c r="N508" s="4" t="s">
        <v>579</v>
      </c>
      <c r="O508" s="4">
        <f>VLOOKUP(A508,[7]Sheet1!$A:$M,2,0)</f>
        <v>0</v>
      </c>
      <c r="P508" s="4">
        <f>VLOOKUP(A508,[7]Sheet1!$A:$M,3,0)</f>
        <v>0</v>
      </c>
      <c r="Q508" s="4">
        <f>VLOOKUP(A508,[7]Sheet1!$A:$M,4,0)</f>
        <v>0</v>
      </c>
      <c r="R508" s="4">
        <f>VLOOKUP(A508,[7]Sheet1!$A:$M,5,0)</f>
        <v>50</v>
      </c>
      <c r="S508" s="4">
        <f>VLOOKUP(A508,[7]Sheet1!$A:$M,6,0)</f>
        <v>50</v>
      </c>
      <c r="T508" s="4">
        <f>VLOOKUP(A508,[7]Sheet1!$A:$M,7,0)</f>
        <v>0</v>
      </c>
      <c r="U508" s="4">
        <f>VLOOKUP(A508,[7]Sheet1!$A:$M,8,0)</f>
        <v>0</v>
      </c>
      <c r="V508" s="4">
        <f>VLOOKUP(A508,[7]Sheet1!$A:$M,9,0)</f>
        <v>50</v>
      </c>
      <c r="W508" s="4">
        <f>VLOOKUP(A508,[7]Sheet1!$A:$M,10,0)</f>
        <v>50</v>
      </c>
      <c r="X508" s="4">
        <f>VLOOKUP(A508,[7]Sheet1!$A:$M,11,0)</f>
        <v>300</v>
      </c>
      <c r="Y508" s="4">
        <f>VLOOKUP(A508,[7]Sheet1!$A:$M,12,0)</f>
        <v>200</v>
      </c>
      <c r="Z508" s="4">
        <f>VLOOKUP(A508,[7]Sheet1!$A:$M,13,0)</f>
        <v>50</v>
      </c>
      <c r="AA508" s="4">
        <f t="shared" si="136"/>
        <v>750</v>
      </c>
      <c r="AB508" s="7">
        <f t="shared" si="125"/>
        <v>63</v>
      </c>
      <c r="AC508" s="15">
        <f t="shared" si="137"/>
        <v>62.5</v>
      </c>
      <c r="AD508" s="16">
        <f t="shared" si="138"/>
        <v>6742.5</v>
      </c>
      <c r="AE508" s="16">
        <f t="shared" si="139"/>
        <v>561.875</v>
      </c>
      <c r="AF508" s="21">
        <v>4.76</v>
      </c>
      <c r="AG508" s="21">
        <v>8.99</v>
      </c>
      <c r="AH508" s="15">
        <f t="shared" si="134"/>
        <v>-0.14426666666666665</v>
      </c>
      <c r="AI508" s="15">
        <f t="shared" si="135"/>
        <v>-0.50493333333333323</v>
      </c>
      <c r="AJ508" s="10">
        <v>0.5</v>
      </c>
      <c r="AK508" s="10">
        <v>0.5</v>
      </c>
      <c r="AL508" s="21">
        <v>4.76</v>
      </c>
      <c r="AM508" s="9">
        <f t="shared" si="126"/>
        <v>1.3485</v>
      </c>
      <c r="AN508" s="9">
        <f t="shared" si="127"/>
        <v>0.2697</v>
      </c>
      <c r="AO508" s="9">
        <f t="shared" si="128"/>
        <v>1.798</v>
      </c>
      <c r="AP508" s="9">
        <f t="shared" si="129"/>
        <v>0.17980000000000002</v>
      </c>
      <c r="AQ508" s="9">
        <f t="shared" si="130"/>
        <v>1.798</v>
      </c>
      <c r="AR508" s="9">
        <f t="shared" si="131"/>
        <v>2.2475000000000001</v>
      </c>
      <c r="AS508" s="11">
        <f t="shared" si="132"/>
        <v>-1.4426666666666665</v>
      </c>
      <c r="AT508" s="12">
        <f t="shared" si="133"/>
        <v>-1.7423333333333331</v>
      </c>
    </row>
    <row r="509" spans="1:46" ht="16.5" x14ac:dyDescent="0.4">
      <c r="A509" s="4" t="s">
        <v>2219</v>
      </c>
      <c r="B509" s="4" t="s">
        <v>2236</v>
      </c>
      <c r="C509" s="4" t="s">
        <v>2236</v>
      </c>
      <c r="D509" s="4" t="s">
        <v>2273</v>
      </c>
      <c r="E509" s="4" t="s">
        <v>2324</v>
      </c>
      <c r="F509" s="4" t="s">
        <v>2325</v>
      </c>
      <c r="G509" s="7" t="str">
        <f>VLOOKUP(A509,[1]done!$A:$I,9,0)</f>
        <v>Rodent</v>
      </c>
      <c r="H509" s="7" t="str" cm="1">
        <f t="array" ref="H509">_xlfn.IFS(
OR(ISNUMBER(SEARCH("mouse",E509)),ISNUMBER(SEARCH("rat",E509)),ISNUMBER(SEARCH("mice",E509)),ISNUMBER(SEARCH("rodent",E509))),"Rodent Control",
OR(ISNUMBER(SEARCH("fly",E509)),ISNUMBER(SEARCH("gnat",E509)),ISNUMBER(SEARCH("insect",E509)),ISNUMBER(SEARCH("mosquito",E509))),"Flying Insect Control",
OR(ISNUMBER(SEARCH("roach",E509)),ISNUMBER(SEARCH("ant",E509)),ISNUMBER(SEARCH("spider",E509)),ISNUMBER(SEARCH("cricket",E509)),ISNUMBER(SEARCH("scorpion",E509)),ISNUMBER(SEARCH("centipede",E509)),ISNUMBER(SEARCH("beetle",E509))),"Crawling Insect Control",
OR(ISNUMBER(SEARCH("tree",E509)),ISNUMBER(SEARCH("lantern",E509)),ISNUMBER(SEARCH("garden",E509)),ISNUMBER(SEARCH("plant",E509))),"Garden Pest Control",
OR(ISNUMBER(SEARCH("grass seed",E509)),ISNUMBER(SEARCH("seed mix",E509))),"Grass Seed",
OR(ISNUMBER(SEARCH("lawn food",E509)),ISNUMBER(SEARCH("fertilizer",E509))),"Lawn Fertilizer",
OR(ISNUMBER(SEARCH("patch",E509)),ISNUMBER(SEARCH("repair",E509)),ISNUMBER(SEARCH("thick'r",E509)),ISNUMBER(SEARCH("thick'r lawn",E509)),ISNUMBER(SEARCH("rapid grass",E509))),"Lawn Repair",
OR(ISNUMBER(SEARCH("weed",E509)),ISNUMBER(SEARCH("crabgrass",E509))),"Weed Control",
OR(ISNUMBER(SEARCH("fungicide",E509)),ISNUMBER(SEARCH("moss",E509))),"Disease &amp; Moss Control",
OR(ISNUMBER(SEARCH("plant food",E509)),ISNUMBER(SEARCH("miracid",E509))),"Plant Nutrition",
OR(ISNUMBER(SEARCH("perlite",E509))),"Soil Amendment",
OR(ISNUMBER(SEARCH("spreader",E509)),ISNUMBER(SEARCH("sprayer",E509)),ISNUMBER(SEARCH("mower",E509)),ISNUMBER(SEARCH("sweeper",E509)),ISNUMBER(SEARCH("pruner",E509)),ISNUMBER(SEARCH("trimmer",E509)),ISNUMBER(SEARCH("pole saw",E509))),"Garden Equipment",
TRUE,"Other"
)</f>
        <v>Rodent Control</v>
      </c>
      <c r="I509" s="7" t="str" cm="1">
        <f t="array" ref="I509">_xlfn.IFS(
OR(ISNUMBER(SEARCH("glue trap",E509)),ISNUMBER(SEARCH("glue board",E509))),"Glue Traps",
OR(ISNUMBER(SEARCH("snap trap",E509)),ISNUMBER(SEARCH("power-kill",E509)),ISNUMBER(SEARCH("wide pedal",E509)),ISNUMBER(SEARCH("metal pedal",E509))),"Snap Traps",
OR(ISNUMBER(SEARCH("electronic",E509)),ISNUMBER(SEARCH("zapper",E509))),"Electronic Traps",
OR(ISNUMBER(SEARCH("live catch",E509)),ISNUMBER(SEARCH("multi-catch",E509)),ISNUMBER(SEARCH("catch &amp; hold",E509)),ISNUMBER(SEARCH("tin cat",E509))),"Live Catch Traps",
OR(ISNUMBER(SEARCH("bait",E509)),ISNUMBER(SEARCH("poison",E509))),"Bait &amp; Poison",
ISNUMBER(SEARCH("repellent",E509)),"Repellents",
OR(ISNUMBER(SEARCH("fly trap",E509)),ISNUMBER(SEARCH("fly ribbon",E509)),ISNUMBER(SEARCH("fly stick",E509)),ISNUMBER(SEARCH("window fly",E509)),ISNUMBER(SEARCH("fly magnet",E509))),"Fly Traps",
OR(ISNUMBER(SEARCH("uv",E509)),ISNUMBER(SEARCH("fly light",E509)),ISNUMBER(SEARCH("plug-in",E509))),"UV Fly Traps",
ISNUMBER(SEARCH("roach",E509)),"Roach Traps",
ISNUMBER(SEARCH("ant",E509)),"Ant Traps",
ISNUMBER(SEARCH("spider",E509)),"Spider Traps",
ISNUMBER(SEARCH("mosquito",E509)),"Mosquito Traps",
ISNUMBER(SEARCH("beetle",E509)),"Beetle Traps",
ISNUMBER(SEARCH("lantern",E509)),"Lanternfly Control",
OR(ISNUMBER(SEARCH("tree shield",E509)),ISNUMBER(SEARCH("tree banding",E509)),ISNUMBER(SEARCH("insect barrier",E509))),"Tree Barriers",
OR(ISNUMBER(SEARCH("sun &amp; shade",E509)),ISNUMBER(SEARCH("sun and shade",E509))),"Sun &amp; Shade Mix",
ISNUMBER(SEARCH("tall fescue",E509)),"Tall Fescue",
ISNUMBER(SEARCH("bermudagrass",E509)),"Bermudagrass",
ISNUMBER(SEARCH("kentucky",E509)),"Kentucky Bluegrass",
ISNUMBER(SEARCH("zoysia",E509)),"Zoysia",
ISNUMBER(SEARCH("ryegrass",E509)),"Perennial Ryegrass",
ISNUMBER(SEARCH("centipede",E509)),"Centipede Grass",
ISNUMBER(SEARCH("dense shade",E509)),"Dense Shade Mix",
ISNUMBER(SEARCH("southern gold",E509)),"Southern Gold Mix",
ISNUMBER(SEARCH("heat-tolerant blue",E509)),"Heat-Tolerant Blue Mix",
ISNUMBER(SEARCH("high traffic",E509)),"High Traffic Mix",
ISNUMBER(SEARCH("quick fix",E509)),"Quick Fix Mix",
ISNUMBER(SEARCH("starter",E509)),"Starter Fertilizer",
ISNUMBER(SEARCH("weed &amp; feed",E509)),"Weed &amp; Feed",
ISNUMBER(SEARCH("lawn food",E509)),"Lawn Food",
ISNUMBER(SEARCH("triple action",E509)),"Triple Action Fertilizer",
ISNUMBER(SEARCH("green max",E509)),"Green Max Lawn Food",
ISNUMBER(SEARCH("patchmaster",E509)),"PatchMaster Repair",
ISNUMBER(SEARCH("ez seed",E509)),"EZ Seed Repair",
ISNUMBER(SEARCH("rapid grass",E509)),"Rapid Grass",
ISNUMBER(SEARCH("thick'r lawn",E509)),"Thick'R Lawn",
ISNUMBER(SEARCH("fungicide",E509)),"Fungicide",
ISNUMBER(SEARCH("moss",E509)),"Moss Control",
ISNUMBER(SEARCH("perlite",E509)),"Perlite",
ISNUMBER(SEARCH("plant food",E509)),"Plant Food",
ISNUMBER(SEARCH("spreader",E509)),"Spreader",
ISNUMBER(SEARCH("sprayer",E509)),"Sprayer",
ISNUMBER(SEARCH("mower",E509)),"Lawn Mower",
ISNUMBER(SEARCH("sweeper",E509)),"Lawn Sweeper",
OR(ISNUMBER(SEARCH("pruner",E509)),ISNUMBER(SEARCH("trimmer",E509)),ISNUMBER(SEARCH("pole saw",E509))),"Pruning Tools",
TRUE,"Other"
)</f>
        <v>Other</v>
      </c>
      <c r="J509" s="7" t="str">
        <f t="shared" si="124"/>
        <v>Rodent Control - Other</v>
      </c>
      <c r="K509" s="4">
        <v>50</v>
      </c>
      <c r="L509" s="4">
        <v>4.5</v>
      </c>
      <c r="M509" s="4">
        <v>643</v>
      </c>
      <c r="N509" s="4" t="s">
        <v>2383</v>
      </c>
      <c r="O509" s="4">
        <f>VLOOKUP(A509,[7]Sheet1!$A:$M,2,0)</f>
        <v>200</v>
      </c>
      <c r="P509" s="4">
        <f>VLOOKUP(A509,[7]Sheet1!$A:$M,3,0)</f>
        <v>400</v>
      </c>
      <c r="Q509" s="4">
        <f>VLOOKUP(A509,[7]Sheet1!$A:$M,4,0)</f>
        <v>60</v>
      </c>
      <c r="R509" s="4">
        <f>VLOOKUP(A509,[7]Sheet1!$A:$M,5,0)</f>
        <v>60</v>
      </c>
      <c r="S509" s="4">
        <f>VLOOKUP(A509,[7]Sheet1!$A:$M,6,0)</f>
        <v>100</v>
      </c>
      <c r="T509" s="4">
        <f>VLOOKUP(A509,[7]Sheet1!$A:$M,7,0)</f>
        <v>300</v>
      </c>
      <c r="U509" s="4">
        <f>VLOOKUP(A509,[7]Sheet1!$A:$M,8,0)</f>
        <v>100</v>
      </c>
      <c r="V509" s="4">
        <f>VLOOKUP(A509,[7]Sheet1!$A:$M,9,0)</f>
        <v>100</v>
      </c>
      <c r="W509" s="4">
        <f>VLOOKUP(A509,[7]Sheet1!$A:$M,10,0)</f>
        <v>100</v>
      </c>
      <c r="X509" s="4">
        <f>VLOOKUP(A509,[7]Sheet1!$A:$M,11,0)</f>
        <v>200</v>
      </c>
      <c r="Y509" s="4">
        <f>VLOOKUP(A509,[7]Sheet1!$A:$M,12,0)</f>
        <v>300</v>
      </c>
      <c r="Z509" s="4">
        <f>VLOOKUP(A509,[7]Sheet1!$A:$M,13,0)</f>
        <v>200</v>
      </c>
      <c r="AA509" s="4">
        <f t="shared" si="136"/>
        <v>2120</v>
      </c>
      <c r="AB509" s="7">
        <f t="shared" si="125"/>
        <v>177</v>
      </c>
      <c r="AC509" s="15">
        <f t="shared" si="137"/>
        <v>176.66666666666666</v>
      </c>
      <c r="AD509" s="16">
        <f t="shared" si="138"/>
        <v>28620</v>
      </c>
      <c r="AE509" s="16">
        <f t="shared" si="139"/>
        <v>2385</v>
      </c>
      <c r="AF509" s="21">
        <v>4.76</v>
      </c>
      <c r="AG509" s="21">
        <v>13.5</v>
      </c>
      <c r="AH509" s="15">
        <f t="shared" si="134"/>
        <v>-2.4000000000000021E-2</v>
      </c>
      <c r="AI509" s="15">
        <f t="shared" si="135"/>
        <v>-8.4000000000000075E-2</v>
      </c>
      <c r="AJ509" s="10">
        <v>0.5</v>
      </c>
      <c r="AK509" s="10">
        <v>0.5</v>
      </c>
      <c r="AL509" s="21">
        <v>4.76</v>
      </c>
      <c r="AM509" s="9">
        <f t="shared" si="126"/>
        <v>2.0249999999999999</v>
      </c>
      <c r="AN509" s="9">
        <f t="shared" si="127"/>
        <v>0.40499999999999997</v>
      </c>
      <c r="AO509" s="9">
        <f t="shared" si="128"/>
        <v>2.7</v>
      </c>
      <c r="AP509" s="9">
        <f t="shared" si="129"/>
        <v>0.27</v>
      </c>
      <c r="AQ509" s="9">
        <f t="shared" si="130"/>
        <v>2.7</v>
      </c>
      <c r="AR509" s="9">
        <f t="shared" si="131"/>
        <v>3.375</v>
      </c>
      <c r="AS509" s="11">
        <f t="shared" si="132"/>
        <v>-0.24000000000000021</v>
      </c>
      <c r="AT509" s="12">
        <f t="shared" si="133"/>
        <v>-0.69000000000000006</v>
      </c>
    </row>
    <row r="510" spans="1:46" ht="16.5" x14ac:dyDescent="0.4">
      <c r="A510" s="4" t="s">
        <v>2220</v>
      </c>
      <c r="B510" s="4" t="s">
        <v>2236</v>
      </c>
      <c r="C510" s="4" t="s">
        <v>2236</v>
      </c>
      <c r="D510" s="4" t="s">
        <v>2326</v>
      </c>
      <c r="E510" s="4" t="s">
        <v>2327</v>
      </c>
      <c r="F510" s="4" t="s">
        <v>2328</v>
      </c>
      <c r="G510" s="7" t="str">
        <f>VLOOKUP(A510,[1]done!$A:$I,9,0)</f>
        <v>Rodent</v>
      </c>
      <c r="H510" s="7" t="str" cm="1">
        <f t="array" ref="H510">_xlfn.IFS(
OR(ISNUMBER(SEARCH("mouse",E510)),ISNUMBER(SEARCH("rat",E510)),ISNUMBER(SEARCH("mice",E510)),ISNUMBER(SEARCH("rodent",E510))),"Rodent Control",
OR(ISNUMBER(SEARCH("fly",E510)),ISNUMBER(SEARCH("gnat",E510)),ISNUMBER(SEARCH("insect",E510)),ISNUMBER(SEARCH("mosquito",E510))),"Flying Insect Control",
OR(ISNUMBER(SEARCH("roach",E510)),ISNUMBER(SEARCH("ant",E510)),ISNUMBER(SEARCH("spider",E510)),ISNUMBER(SEARCH("cricket",E510)),ISNUMBER(SEARCH("scorpion",E510)),ISNUMBER(SEARCH("centipede",E510)),ISNUMBER(SEARCH("beetle",E510))),"Crawling Insect Control",
OR(ISNUMBER(SEARCH("tree",E510)),ISNUMBER(SEARCH("lantern",E510)),ISNUMBER(SEARCH("garden",E510)),ISNUMBER(SEARCH("plant",E510))),"Garden Pest Control",
OR(ISNUMBER(SEARCH("grass seed",E510)),ISNUMBER(SEARCH("seed mix",E510))),"Grass Seed",
OR(ISNUMBER(SEARCH("lawn food",E510)),ISNUMBER(SEARCH("fertilizer",E510))),"Lawn Fertilizer",
OR(ISNUMBER(SEARCH("patch",E510)),ISNUMBER(SEARCH("repair",E510)),ISNUMBER(SEARCH("thick'r",E510)),ISNUMBER(SEARCH("thick'r lawn",E510)),ISNUMBER(SEARCH("rapid grass",E510))),"Lawn Repair",
OR(ISNUMBER(SEARCH("weed",E510)),ISNUMBER(SEARCH("crabgrass",E510))),"Weed Control",
OR(ISNUMBER(SEARCH("fungicide",E510)),ISNUMBER(SEARCH("moss",E510))),"Disease &amp; Moss Control",
OR(ISNUMBER(SEARCH("plant food",E510)),ISNUMBER(SEARCH("miracid",E510))),"Plant Nutrition",
OR(ISNUMBER(SEARCH("perlite",E510))),"Soil Amendment",
OR(ISNUMBER(SEARCH("spreader",E510)),ISNUMBER(SEARCH("sprayer",E510)),ISNUMBER(SEARCH("mower",E510)),ISNUMBER(SEARCH("sweeper",E510)),ISNUMBER(SEARCH("pruner",E510)),ISNUMBER(SEARCH("trimmer",E510)),ISNUMBER(SEARCH("pole saw",E510))),"Garden Equipment",
TRUE,"Other"
)</f>
        <v>Rodent Control</v>
      </c>
      <c r="I510" s="7" t="str" cm="1">
        <f t="array" ref="I510">_xlfn.IFS(
OR(ISNUMBER(SEARCH("glue trap",E510)),ISNUMBER(SEARCH("glue board",E510))),"Glue Traps",
OR(ISNUMBER(SEARCH("snap trap",E510)),ISNUMBER(SEARCH("power-kill",E510)),ISNUMBER(SEARCH("wide pedal",E510)),ISNUMBER(SEARCH("metal pedal",E510))),"Snap Traps",
OR(ISNUMBER(SEARCH("electronic",E510)),ISNUMBER(SEARCH("zapper",E510))),"Electronic Traps",
OR(ISNUMBER(SEARCH("live catch",E510)),ISNUMBER(SEARCH("multi-catch",E510)),ISNUMBER(SEARCH("catch &amp; hold",E510)),ISNUMBER(SEARCH("tin cat",E510))),"Live Catch Traps",
OR(ISNUMBER(SEARCH("bait",E510)),ISNUMBER(SEARCH("poison",E510))),"Bait &amp; Poison",
ISNUMBER(SEARCH("repellent",E510)),"Repellents",
OR(ISNUMBER(SEARCH("fly trap",E510)),ISNUMBER(SEARCH("fly ribbon",E510)),ISNUMBER(SEARCH("fly stick",E510)),ISNUMBER(SEARCH("window fly",E510)),ISNUMBER(SEARCH("fly magnet",E510))),"Fly Traps",
OR(ISNUMBER(SEARCH("uv",E510)),ISNUMBER(SEARCH("fly light",E510)),ISNUMBER(SEARCH("plug-in",E510))),"UV Fly Traps",
ISNUMBER(SEARCH("roach",E510)),"Roach Traps",
ISNUMBER(SEARCH("ant",E510)),"Ant Traps",
ISNUMBER(SEARCH("spider",E510)),"Spider Traps",
ISNUMBER(SEARCH("mosquito",E510)),"Mosquito Traps",
ISNUMBER(SEARCH("beetle",E510)),"Beetle Traps",
ISNUMBER(SEARCH("lantern",E510)),"Lanternfly Control",
OR(ISNUMBER(SEARCH("tree shield",E510)),ISNUMBER(SEARCH("tree banding",E510)),ISNUMBER(SEARCH("insect barrier",E510))),"Tree Barriers",
OR(ISNUMBER(SEARCH("sun &amp; shade",E510)),ISNUMBER(SEARCH("sun and shade",E510))),"Sun &amp; Shade Mix",
ISNUMBER(SEARCH("tall fescue",E510)),"Tall Fescue",
ISNUMBER(SEARCH("bermudagrass",E510)),"Bermudagrass",
ISNUMBER(SEARCH("kentucky",E510)),"Kentucky Bluegrass",
ISNUMBER(SEARCH("zoysia",E510)),"Zoysia",
ISNUMBER(SEARCH("ryegrass",E510)),"Perennial Ryegrass",
ISNUMBER(SEARCH("centipede",E510)),"Centipede Grass",
ISNUMBER(SEARCH("dense shade",E510)),"Dense Shade Mix",
ISNUMBER(SEARCH("southern gold",E510)),"Southern Gold Mix",
ISNUMBER(SEARCH("heat-tolerant blue",E510)),"Heat-Tolerant Blue Mix",
ISNUMBER(SEARCH("high traffic",E510)),"High Traffic Mix",
ISNUMBER(SEARCH("quick fix",E510)),"Quick Fix Mix",
ISNUMBER(SEARCH("starter",E510)),"Starter Fertilizer",
ISNUMBER(SEARCH("weed &amp; feed",E510)),"Weed &amp; Feed",
ISNUMBER(SEARCH("lawn food",E510)),"Lawn Food",
ISNUMBER(SEARCH("triple action",E510)),"Triple Action Fertilizer",
ISNUMBER(SEARCH("green max",E510)),"Green Max Lawn Food",
ISNUMBER(SEARCH("patchmaster",E510)),"PatchMaster Repair",
ISNUMBER(SEARCH("ez seed",E510)),"EZ Seed Repair",
ISNUMBER(SEARCH("rapid grass",E510)),"Rapid Grass",
ISNUMBER(SEARCH("thick'r lawn",E510)),"Thick'R Lawn",
ISNUMBER(SEARCH("fungicide",E510)),"Fungicide",
ISNUMBER(SEARCH("moss",E510)),"Moss Control",
ISNUMBER(SEARCH("perlite",E510)),"Perlite",
ISNUMBER(SEARCH("plant food",E510)),"Plant Food",
ISNUMBER(SEARCH("spreader",E510)),"Spreader",
ISNUMBER(SEARCH("sprayer",E510)),"Sprayer",
ISNUMBER(SEARCH("mower",E510)),"Lawn Mower",
ISNUMBER(SEARCH("sweeper",E510)),"Lawn Sweeper",
OR(ISNUMBER(SEARCH("pruner",E510)),ISNUMBER(SEARCH("trimmer",E510)),ISNUMBER(SEARCH("pole saw",E510))),"Pruning Tools",
TRUE,"Other"
)</f>
        <v>Other</v>
      </c>
      <c r="J510" s="7" t="str">
        <f t="shared" si="124"/>
        <v>Rodent Control - Other</v>
      </c>
      <c r="K510" s="4">
        <v>50</v>
      </c>
      <c r="L510" s="4">
        <v>4.0999999999999996</v>
      </c>
      <c r="M510" s="4">
        <v>232</v>
      </c>
      <c r="N510" s="4" t="s">
        <v>1545</v>
      </c>
      <c r="O510" s="4">
        <f>VLOOKUP(A510,[7]Sheet1!$A:$M,2,0)</f>
        <v>0</v>
      </c>
      <c r="P510" s="4">
        <f>VLOOKUP(A510,[7]Sheet1!$A:$M,3,0)</f>
        <v>0</v>
      </c>
      <c r="Q510" s="4">
        <f>VLOOKUP(A510,[7]Sheet1!$A:$M,4,0)</f>
        <v>0</v>
      </c>
      <c r="R510" s="4">
        <f>VLOOKUP(A510,[7]Sheet1!$A:$M,5,0)</f>
        <v>0</v>
      </c>
      <c r="S510" s="4">
        <f>VLOOKUP(A510,[7]Sheet1!$A:$M,6,0)</f>
        <v>0</v>
      </c>
      <c r="T510" s="4">
        <f>VLOOKUP(A510,[7]Sheet1!$A:$M,7,0)</f>
        <v>0</v>
      </c>
      <c r="U510" s="4">
        <f>VLOOKUP(A510,[7]Sheet1!$A:$M,8,0)</f>
        <v>50</v>
      </c>
      <c r="V510" s="4">
        <f>VLOOKUP(A510,[7]Sheet1!$A:$M,9,0)</f>
        <v>50</v>
      </c>
      <c r="W510" s="4">
        <f>VLOOKUP(A510,[7]Sheet1!$A:$M,10,0)</f>
        <v>50</v>
      </c>
      <c r="X510" s="4">
        <f>VLOOKUP(A510,[7]Sheet1!$A:$M,11,0)</f>
        <v>0</v>
      </c>
      <c r="Y510" s="4">
        <f>VLOOKUP(A510,[7]Sheet1!$A:$M,12,0)</f>
        <v>0</v>
      </c>
      <c r="Z510" s="4">
        <f>VLOOKUP(A510,[7]Sheet1!$A:$M,13,0)</f>
        <v>0</v>
      </c>
      <c r="AA510" s="4">
        <f t="shared" si="136"/>
        <v>150</v>
      </c>
      <c r="AB510" s="7">
        <f t="shared" si="125"/>
        <v>13</v>
      </c>
      <c r="AC510" s="15">
        <f t="shared" si="137"/>
        <v>12.5</v>
      </c>
      <c r="AD510" s="16">
        <f t="shared" si="138"/>
        <v>2068.5</v>
      </c>
      <c r="AE510" s="16">
        <f t="shared" si="139"/>
        <v>172.375</v>
      </c>
      <c r="AF510" s="21">
        <v>5.22</v>
      </c>
      <c r="AG510" s="21">
        <v>13.79</v>
      </c>
      <c r="AH510" s="15">
        <f t="shared" si="134"/>
        <v>-4.6933333333333382E-2</v>
      </c>
      <c r="AI510" s="15">
        <f t="shared" si="135"/>
        <v>-0.16426666666666681</v>
      </c>
      <c r="AJ510" s="10">
        <v>0.5</v>
      </c>
      <c r="AK510" s="10">
        <v>0.5</v>
      </c>
      <c r="AL510" s="21">
        <v>5.22</v>
      </c>
      <c r="AM510" s="9">
        <f t="shared" si="126"/>
        <v>2.0684999999999998</v>
      </c>
      <c r="AN510" s="9">
        <f t="shared" si="127"/>
        <v>0.41369999999999996</v>
      </c>
      <c r="AO510" s="9">
        <f t="shared" si="128"/>
        <v>2.758</v>
      </c>
      <c r="AP510" s="9">
        <f t="shared" si="129"/>
        <v>0.27579999999999999</v>
      </c>
      <c r="AQ510" s="9">
        <f t="shared" si="130"/>
        <v>2.758</v>
      </c>
      <c r="AR510" s="9">
        <f t="shared" si="131"/>
        <v>3.4474999999999998</v>
      </c>
      <c r="AS510" s="11">
        <f t="shared" si="132"/>
        <v>-0.46933333333333377</v>
      </c>
      <c r="AT510" s="12">
        <f t="shared" si="133"/>
        <v>-0.92900000000000027</v>
      </c>
    </row>
    <row r="511" spans="1:46" ht="16.5" x14ac:dyDescent="0.4">
      <c r="A511" s="4" t="s">
        <v>2221</v>
      </c>
      <c r="B511" s="4" t="s">
        <v>2236</v>
      </c>
      <c r="C511" s="4" t="s">
        <v>2236</v>
      </c>
      <c r="D511" s="4" t="s">
        <v>2329</v>
      </c>
      <c r="E511" s="4" t="s">
        <v>2330</v>
      </c>
      <c r="F511" s="4" t="s">
        <v>2331</v>
      </c>
      <c r="G511" s="7" t="str">
        <f>VLOOKUP(A511,[1]done!$A:$I,9,0)</f>
        <v>Bed Bug repellent</v>
      </c>
      <c r="H511" s="7" t="str" cm="1">
        <f t="array" ref="H511">_xlfn.IFS(
OR(ISNUMBER(SEARCH("mouse",E511)),ISNUMBER(SEARCH("rat",E511)),ISNUMBER(SEARCH("mice",E511)),ISNUMBER(SEARCH("rodent",E511))),"Rodent Control",
OR(ISNUMBER(SEARCH("fly",E511)),ISNUMBER(SEARCH("gnat",E511)),ISNUMBER(SEARCH("insect",E511)),ISNUMBER(SEARCH("mosquito",E511))),"Flying Insect Control",
OR(ISNUMBER(SEARCH("roach",E511)),ISNUMBER(SEARCH("ant",E511)),ISNUMBER(SEARCH("spider",E511)),ISNUMBER(SEARCH("cricket",E511)),ISNUMBER(SEARCH("scorpion",E511)),ISNUMBER(SEARCH("centipede",E511)),ISNUMBER(SEARCH("beetle",E511))),"Crawling Insect Control",
OR(ISNUMBER(SEARCH("tree",E511)),ISNUMBER(SEARCH("lantern",E511)),ISNUMBER(SEARCH("garden",E511)),ISNUMBER(SEARCH("plant",E511))),"Garden Pest Control",
OR(ISNUMBER(SEARCH("grass seed",E511)),ISNUMBER(SEARCH("seed mix",E511))),"Grass Seed",
OR(ISNUMBER(SEARCH("lawn food",E511)),ISNUMBER(SEARCH("fertilizer",E511))),"Lawn Fertilizer",
OR(ISNUMBER(SEARCH("patch",E511)),ISNUMBER(SEARCH("repair",E511)),ISNUMBER(SEARCH("thick'r",E511)),ISNUMBER(SEARCH("thick'r lawn",E511)),ISNUMBER(SEARCH("rapid grass",E511))),"Lawn Repair",
OR(ISNUMBER(SEARCH("weed",E511)),ISNUMBER(SEARCH("crabgrass",E511))),"Weed Control",
OR(ISNUMBER(SEARCH("fungicide",E511)),ISNUMBER(SEARCH("moss",E511))),"Disease &amp; Moss Control",
OR(ISNUMBER(SEARCH("plant food",E511)),ISNUMBER(SEARCH("miracid",E511))),"Plant Nutrition",
OR(ISNUMBER(SEARCH("perlite",E511))),"Soil Amendment",
OR(ISNUMBER(SEARCH("spreader",E511)),ISNUMBER(SEARCH("sprayer",E511)),ISNUMBER(SEARCH("mower",E511)),ISNUMBER(SEARCH("sweeper",E511)),ISNUMBER(SEARCH("pruner",E511)),ISNUMBER(SEARCH("trimmer",E511)),ISNUMBER(SEARCH("pole saw",E511))),"Garden Equipment",
TRUE,"Other"
)</f>
        <v>Garden Equipment</v>
      </c>
      <c r="I511" s="7" t="str" cm="1">
        <f t="array" ref="I511">_xlfn.IFS(
OR(ISNUMBER(SEARCH("glue trap",E511)),ISNUMBER(SEARCH("glue board",E511))),"Glue Traps",
OR(ISNUMBER(SEARCH("snap trap",E511)),ISNUMBER(SEARCH("power-kill",E511)),ISNUMBER(SEARCH("wide pedal",E511)),ISNUMBER(SEARCH("metal pedal",E511))),"Snap Traps",
OR(ISNUMBER(SEARCH("electronic",E511)),ISNUMBER(SEARCH("zapper",E511))),"Electronic Traps",
OR(ISNUMBER(SEARCH("live catch",E511)),ISNUMBER(SEARCH("multi-catch",E511)),ISNUMBER(SEARCH("catch &amp; hold",E511)),ISNUMBER(SEARCH("tin cat",E511))),"Live Catch Traps",
OR(ISNUMBER(SEARCH("bait",E511)),ISNUMBER(SEARCH("poison",E511))),"Bait &amp; Poison",
ISNUMBER(SEARCH("repellent",E511)),"Repellents",
OR(ISNUMBER(SEARCH("fly trap",E511)),ISNUMBER(SEARCH("fly ribbon",E511)),ISNUMBER(SEARCH("fly stick",E511)),ISNUMBER(SEARCH("window fly",E511)),ISNUMBER(SEARCH("fly magnet",E511))),"Fly Traps",
OR(ISNUMBER(SEARCH("uv",E511)),ISNUMBER(SEARCH("fly light",E511)),ISNUMBER(SEARCH("plug-in",E511))),"UV Fly Traps",
ISNUMBER(SEARCH("roach",E511)),"Roach Traps",
ISNUMBER(SEARCH("ant",E511)),"Ant Traps",
ISNUMBER(SEARCH("spider",E511)),"Spider Traps",
ISNUMBER(SEARCH("mosquito",E511)),"Mosquito Traps",
ISNUMBER(SEARCH("beetle",E511)),"Beetle Traps",
ISNUMBER(SEARCH("lantern",E511)),"Lanternfly Control",
OR(ISNUMBER(SEARCH("tree shield",E511)),ISNUMBER(SEARCH("tree banding",E511)),ISNUMBER(SEARCH("insect barrier",E511))),"Tree Barriers",
OR(ISNUMBER(SEARCH("sun &amp; shade",E511)),ISNUMBER(SEARCH("sun and shade",E511))),"Sun &amp; Shade Mix",
ISNUMBER(SEARCH("tall fescue",E511)),"Tall Fescue",
ISNUMBER(SEARCH("bermudagrass",E511)),"Bermudagrass",
ISNUMBER(SEARCH("kentucky",E511)),"Kentucky Bluegrass",
ISNUMBER(SEARCH("zoysia",E511)),"Zoysia",
ISNUMBER(SEARCH("ryegrass",E511)),"Perennial Ryegrass",
ISNUMBER(SEARCH("centipede",E511)),"Centipede Grass",
ISNUMBER(SEARCH("dense shade",E511)),"Dense Shade Mix",
ISNUMBER(SEARCH("southern gold",E511)),"Southern Gold Mix",
ISNUMBER(SEARCH("heat-tolerant blue",E511)),"Heat-Tolerant Blue Mix",
ISNUMBER(SEARCH("high traffic",E511)),"High Traffic Mix",
ISNUMBER(SEARCH("quick fix",E511)),"Quick Fix Mix",
ISNUMBER(SEARCH("starter",E511)),"Starter Fertilizer",
ISNUMBER(SEARCH("weed &amp; feed",E511)),"Weed &amp; Feed",
ISNUMBER(SEARCH("lawn food",E511)),"Lawn Food",
ISNUMBER(SEARCH("triple action",E511)),"Triple Action Fertilizer",
ISNUMBER(SEARCH("green max",E511)),"Green Max Lawn Food",
ISNUMBER(SEARCH("patchmaster",E511)),"PatchMaster Repair",
ISNUMBER(SEARCH("ez seed",E511)),"EZ Seed Repair",
ISNUMBER(SEARCH("rapid grass",E511)),"Rapid Grass",
ISNUMBER(SEARCH("thick'r lawn",E511)),"Thick'R Lawn",
ISNUMBER(SEARCH("fungicide",E511)),"Fungicide",
ISNUMBER(SEARCH("moss",E511)),"Moss Control",
ISNUMBER(SEARCH("perlite",E511)),"Perlite",
ISNUMBER(SEARCH("plant food",E511)),"Plant Food",
ISNUMBER(SEARCH("spreader",E511)),"Spreader",
ISNUMBER(SEARCH("sprayer",E511)),"Sprayer",
ISNUMBER(SEARCH("mower",E511)),"Lawn Mower",
ISNUMBER(SEARCH("sweeper",E511)),"Lawn Sweeper",
OR(ISNUMBER(SEARCH("pruner",E511)),ISNUMBER(SEARCH("trimmer",E511)),ISNUMBER(SEARCH("pole saw",E511))),"Pruning Tools",
TRUE,"Other"
)</f>
        <v>Sprayer</v>
      </c>
      <c r="J511" s="7" t="str">
        <f t="shared" si="124"/>
        <v>Garden Equipment - Sprayer</v>
      </c>
      <c r="K511" s="4">
        <v>50</v>
      </c>
      <c r="L511" s="4">
        <v>4.5</v>
      </c>
      <c r="M511" s="4">
        <v>657</v>
      </c>
      <c r="N511" s="4" t="s">
        <v>2384</v>
      </c>
      <c r="O511" s="4">
        <f>VLOOKUP(A511,[7]Sheet1!$A:$M,2,0)</f>
        <v>0</v>
      </c>
      <c r="P511" s="4">
        <f>VLOOKUP(A511,[7]Sheet1!$A:$M,3,0)</f>
        <v>0</v>
      </c>
      <c r="Q511" s="4">
        <f>VLOOKUP(A511,[7]Sheet1!$A:$M,4,0)</f>
        <v>50</v>
      </c>
      <c r="R511" s="4">
        <f>VLOOKUP(A511,[7]Sheet1!$A:$M,5,0)</f>
        <v>50</v>
      </c>
      <c r="S511" s="4">
        <f>VLOOKUP(A511,[7]Sheet1!$A:$M,6,0)</f>
        <v>50</v>
      </c>
      <c r="T511" s="4">
        <f>VLOOKUP(A511,[7]Sheet1!$A:$M,7,0)</f>
        <v>0</v>
      </c>
      <c r="U511" s="4">
        <f>VLOOKUP(A511,[7]Sheet1!$A:$M,8,0)</f>
        <v>50</v>
      </c>
      <c r="V511" s="4">
        <f>VLOOKUP(A511,[7]Sheet1!$A:$M,9,0)</f>
        <v>50</v>
      </c>
      <c r="W511" s="4">
        <f>VLOOKUP(A511,[7]Sheet1!$A:$M,10,0)</f>
        <v>50</v>
      </c>
      <c r="X511" s="4">
        <f>VLOOKUP(A511,[7]Sheet1!$A:$M,11,0)</f>
        <v>50</v>
      </c>
      <c r="Y511" s="4">
        <f>VLOOKUP(A511,[7]Sheet1!$A:$M,12,0)</f>
        <v>50</v>
      </c>
      <c r="Z511" s="4">
        <f>VLOOKUP(A511,[7]Sheet1!$A:$M,13,0)</f>
        <v>0</v>
      </c>
      <c r="AA511" s="4">
        <f t="shared" si="136"/>
        <v>400</v>
      </c>
      <c r="AB511" s="7">
        <f t="shared" si="125"/>
        <v>33</v>
      </c>
      <c r="AC511" s="15">
        <f t="shared" si="137"/>
        <v>33.333333333333336</v>
      </c>
      <c r="AD511" s="16">
        <f t="shared" si="138"/>
        <v>16668</v>
      </c>
      <c r="AE511" s="16">
        <f t="shared" si="139"/>
        <v>1389.0000000000002</v>
      </c>
      <c r="AF511" s="21">
        <v>8.6999999999999993</v>
      </c>
      <c r="AG511" s="21">
        <v>41.67</v>
      </c>
      <c r="AH511" s="15">
        <f t="shared" si="134"/>
        <v>0.46453333333333324</v>
      </c>
      <c r="AI511" s="15">
        <f t="shared" si="135"/>
        <v>1.6258666666666663</v>
      </c>
      <c r="AJ511" s="10">
        <v>0.5</v>
      </c>
      <c r="AK511" s="10">
        <v>0.5</v>
      </c>
      <c r="AL511" s="21">
        <v>8.6999999999999993</v>
      </c>
      <c r="AM511" s="9">
        <f t="shared" si="126"/>
        <v>6.2504999999999997</v>
      </c>
      <c r="AN511" s="9">
        <f t="shared" si="127"/>
        <v>1.2501</v>
      </c>
      <c r="AO511" s="9">
        <f t="shared" si="128"/>
        <v>8.3340000000000014</v>
      </c>
      <c r="AP511" s="9">
        <f t="shared" si="129"/>
        <v>0.83340000000000003</v>
      </c>
      <c r="AQ511" s="9">
        <f t="shared" si="130"/>
        <v>8.3340000000000014</v>
      </c>
      <c r="AR511" s="9">
        <f t="shared" si="131"/>
        <v>10.4175</v>
      </c>
      <c r="AS511" s="11">
        <f t="shared" si="132"/>
        <v>4.6453333333333324</v>
      </c>
      <c r="AT511" s="12">
        <f t="shared" si="133"/>
        <v>3.2563333333333326</v>
      </c>
    </row>
    <row r="512" spans="1:46" ht="16.5" x14ac:dyDescent="0.4">
      <c r="A512" s="4" t="s">
        <v>2222</v>
      </c>
      <c r="B512" s="4" t="s">
        <v>2236</v>
      </c>
      <c r="C512" s="4" t="s">
        <v>2236</v>
      </c>
      <c r="D512" s="4" t="s">
        <v>2332</v>
      </c>
      <c r="E512" s="4" t="s">
        <v>2333</v>
      </c>
      <c r="F512" s="4" t="s">
        <v>2334</v>
      </c>
      <c r="G512" s="7" t="str">
        <f>VLOOKUP(A512,[1]done!$A:$I,9,0)</f>
        <v>Oil based pest repellent</v>
      </c>
      <c r="H512" s="7" t="str" cm="1">
        <f t="array" ref="H512">_xlfn.IFS(
OR(ISNUMBER(SEARCH("mouse",E512)),ISNUMBER(SEARCH("rat",E512)),ISNUMBER(SEARCH("mice",E512)),ISNUMBER(SEARCH("rodent",E512))),"Rodent Control",
OR(ISNUMBER(SEARCH("fly",E512)),ISNUMBER(SEARCH("gnat",E512)),ISNUMBER(SEARCH("insect",E512)),ISNUMBER(SEARCH("mosquito",E512))),"Flying Insect Control",
OR(ISNUMBER(SEARCH("roach",E512)),ISNUMBER(SEARCH("ant",E512)),ISNUMBER(SEARCH("spider",E512)),ISNUMBER(SEARCH("cricket",E512)),ISNUMBER(SEARCH("scorpion",E512)),ISNUMBER(SEARCH("centipede",E512)),ISNUMBER(SEARCH("beetle",E512))),"Crawling Insect Control",
OR(ISNUMBER(SEARCH("tree",E512)),ISNUMBER(SEARCH("lantern",E512)),ISNUMBER(SEARCH("garden",E512)),ISNUMBER(SEARCH("plant",E512))),"Garden Pest Control",
OR(ISNUMBER(SEARCH("grass seed",E512)),ISNUMBER(SEARCH("seed mix",E512))),"Grass Seed",
OR(ISNUMBER(SEARCH("lawn food",E512)),ISNUMBER(SEARCH("fertilizer",E512))),"Lawn Fertilizer",
OR(ISNUMBER(SEARCH("patch",E512)),ISNUMBER(SEARCH("repair",E512)),ISNUMBER(SEARCH("thick'r",E512)),ISNUMBER(SEARCH("thick'r lawn",E512)),ISNUMBER(SEARCH("rapid grass",E512))),"Lawn Repair",
OR(ISNUMBER(SEARCH("weed",E512)),ISNUMBER(SEARCH("crabgrass",E512))),"Weed Control",
OR(ISNUMBER(SEARCH("fungicide",E512)),ISNUMBER(SEARCH("moss",E512))),"Disease &amp; Moss Control",
OR(ISNUMBER(SEARCH("plant food",E512)),ISNUMBER(SEARCH("miracid",E512))),"Plant Nutrition",
OR(ISNUMBER(SEARCH("perlite",E512))),"Soil Amendment",
OR(ISNUMBER(SEARCH("spreader",E512)),ISNUMBER(SEARCH("sprayer",E512)),ISNUMBER(SEARCH("mower",E512)),ISNUMBER(SEARCH("sweeper",E512)),ISNUMBER(SEARCH("pruner",E512)),ISNUMBER(SEARCH("trimmer",E512)),ISNUMBER(SEARCH("pole saw",E512))),"Garden Equipment",
TRUE,"Other"
)</f>
        <v>Other</v>
      </c>
      <c r="I512" s="7" t="str" cm="1">
        <f t="array" ref="I512">_xlfn.IFS(
OR(ISNUMBER(SEARCH("glue trap",E512)),ISNUMBER(SEARCH("glue board",E512))),"Glue Traps",
OR(ISNUMBER(SEARCH("snap trap",E512)),ISNUMBER(SEARCH("power-kill",E512)),ISNUMBER(SEARCH("wide pedal",E512)),ISNUMBER(SEARCH("metal pedal",E512))),"Snap Traps",
OR(ISNUMBER(SEARCH("electronic",E512)),ISNUMBER(SEARCH("zapper",E512))),"Electronic Traps",
OR(ISNUMBER(SEARCH("live catch",E512)),ISNUMBER(SEARCH("multi-catch",E512)),ISNUMBER(SEARCH("catch &amp; hold",E512)),ISNUMBER(SEARCH("tin cat",E512))),"Live Catch Traps",
OR(ISNUMBER(SEARCH("bait",E512)),ISNUMBER(SEARCH("poison",E512))),"Bait &amp; Poison",
ISNUMBER(SEARCH("repellent",E512)),"Repellents",
OR(ISNUMBER(SEARCH("fly trap",E512)),ISNUMBER(SEARCH("fly ribbon",E512)),ISNUMBER(SEARCH("fly stick",E512)),ISNUMBER(SEARCH("window fly",E512)),ISNUMBER(SEARCH("fly magnet",E512))),"Fly Traps",
OR(ISNUMBER(SEARCH("uv",E512)),ISNUMBER(SEARCH("fly light",E512)),ISNUMBER(SEARCH("plug-in",E512))),"UV Fly Traps",
ISNUMBER(SEARCH("roach",E512)),"Roach Traps",
ISNUMBER(SEARCH("ant",E512)),"Ant Traps",
ISNUMBER(SEARCH("spider",E512)),"Spider Traps",
ISNUMBER(SEARCH("mosquito",E512)),"Mosquito Traps",
ISNUMBER(SEARCH("beetle",E512)),"Beetle Traps",
ISNUMBER(SEARCH("lantern",E512)),"Lanternfly Control",
OR(ISNUMBER(SEARCH("tree shield",E512)),ISNUMBER(SEARCH("tree banding",E512)),ISNUMBER(SEARCH("insect barrier",E512))),"Tree Barriers",
OR(ISNUMBER(SEARCH("sun &amp; shade",E512)),ISNUMBER(SEARCH("sun and shade",E512))),"Sun &amp; Shade Mix",
ISNUMBER(SEARCH("tall fescue",E512)),"Tall Fescue",
ISNUMBER(SEARCH("bermudagrass",E512)),"Bermudagrass",
ISNUMBER(SEARCH("kentucky",E512)),"Kentucky Bluegrass",
ISNUMBER(SEARCH("zoysia",E512)),"Zoysia",
ISNUMBER(SEARCH("ryegrass",E512)),"Perennial Ryegrass",
ISNUMBER(SEARCH("centipede",E512)),"Centipede Grass",
ISNUMBER(SEARCH("dense shade",E512)),"Dense Shade Mix",
ISNUMBER(SEARCH("southern gold",E512)),"Southern Gold Mix",
ISNUMBER(SEARCH("heat-tolerant blue",E512)),"Heat-Tolerant Blue Mix",
ISNUMBER(SEARCH("high traffic",E512)),"High Traffic Mix",
ISNUMBER(SEARCH("quick fix",E512)),"Quick Fix Mix",
ISNUMBER(SEARCH("starter",E512)),"Starter Fertilizer",
ISNUMBER(SEARCH("weed &amp; feed",E512)),"Weed &amp; Feed",
ISNUMBER(SEARCH("lawn food",E512)),"Lawn Food",
ISNUMBER(SEARCH("triple action",E512)),"Triple Action Fertilizer",
ISNUMBER(SEARCH("green max",E512)),"Green Max Lawn Food",
ISNUMBER(SEARCH("patchmaster",E512)),"PatchMaster Repair",
ISNUMBER(SEARCH("ez seed",E512)),"EZ Seed Repair",
ISNUMBER(SEARCH("rapid grass",E512)),"Rapid Grass",
ISNUMBER(SEARCH("thick'r lawn",E512)),"Thick'R Lawn",
ISNUMBER(SEARCH("fungicide",E512)),"Fungicide",
ISNUMBER(SEARCH("moss",E512)),"Moss Control",
ISNUMBER(SEARCH("perlite",E512)),"Perlite",
ISNUMBER(SEARCH("plant food",E512)),"Plant Food",
ISNUMBER(SEARCH("spreader",E512)),"Spreader",
ISNUMBER(SEARCH("sprayer",E512)),"Sprayer",
ISNUMBER(SEARCH("mower",E512)),"Lawn Mower",
ISNUMBER(SEARCH("sweeper",E512)),"Lawn Sweeper",
OR(ISNUMBER(SEARCH("pruner",E512)),ISNUMBER(SEARCH("trimmer",E512)),ISNUMBER(SEARCH("pole saw",E512))),"Pruning Tools",
TRUE,"Other"
)</f>
        <v>Other</v>
      </c>
      <c r="J512" s="7" t="str">
        <f t="shared" si="124"/>
        <v>Other - Other</v>
      </c>
      <c r="K512" s="4">
        <v>50</v>
      </c>
      <c r="L512" s="4">
        <v>4.5</v>
      </c>
      <c r="M512" s="4">
        <v>657</v>
      </c>
      <c r="N512" s="4" t="s">
        <v>2385</v>
      </c>
      <c r="O512" s="4">
        <f>VLOOKUP(A512,[7]Sheet1!$A:$M,2,0)</f>
        <v>0</v>
      </c>
      <c r="P512" s="4">
        <f>VLOOKUP(A512,[7]Sheet1!$A:$M,3,0)</f>
        <v>0</v>
      </c>
      <c r="Q512" s="4">
        <f>VLOOKUP(A512,[7]Sheet1!$A:$M,4,0)</f>
        <v>0</v>
      </c>
      <c r="R512" s="4">
        <f>VLOOKUP(A512,[7]Sheet1!$A:$M,5,0)</f>
        <v>0</v>
      </c>
      <c r="S512" s="4">
        <f>VLOOKUP(A512,[7]Sheet1!$A:$M,6,0)</f>
        <v>50</v>
      </c>
      <c r="T512" s="4">
        <f>VLOOKUP(A512,[7]Sheet1!$A:$M,7,0)</f>
        <v>50</v>
      </c>
      <c r="U512" s="4">
        <f>VLOOKUP(A512,[7]Sheet1!$A:$M,8,0)</f>
        <v>50</v>
      </c>
      <c r="V512" s="4">
        <f>VLOOKUP(A512,[7]Sheet1!$A:$M,9,0)</f>
        <v>50</v>
      </c>
      <c r="W512" s="4">
        <f>VLOOKUP(A512,[7]Sheet1!$A:$M,10,0)</f>
        <v>50</v>
      </c>
      <c r="X512" s="4">
        <f>VLOOKUP(A512,[7]Sheet1!$A:$M,11,0)</f>
        <v>50</v>
      </c>
      <c r="Y512" s="4">
        <f>VLOOKUP(A512,[7]Sheet1!$A:$M,12,0)</f>
        <v>50</v>
      </c>
      <c r="Z512" s="4">
        <f>VLOOKUP(A512,[7]Sheet1!$A:$M,13,0)</f>
        <v>50</v>
      </c>
      <c r="AA512" s="4">
        <f t="shared" si="136"/>
        <v>400</v>
      </c>
      <c r="AB512" s="7">
        <f t="shared" si="125"/>
        <v>33</v>
      </c>
      <c r="AC512" s="15">
        <f t="shared" si="137"/>
        <v>33.333333333333336</v>
      </c>
      <c r="AD512" s="16">
        <f t="shared" si="138"/>
        <v>7588</v>
      </c>
      <c r="AE512" s="16">
        <f t="shared" si="139"/>
        <v>632.33333333333337</v>
      </c>
      <c r="AF512" s="21">
        <v>6.02</v>
      </c>
      <c r="AG512" s="21">
        <v>18.97</v>
      </c>
      <c r="AH512" s="15">
        <f t="shared" si="134"/>
        <v>3.7866666666666673E-2</v>
      </c>
      <c r="AI512" s="15">
        <f t="shared" si="135"/>
        <v>0.13253333333333334</v>
      </c>
      <c r="AJ512" s="10">
        <v>0.5</v>
      </c>
      <c r="AK512" s="10">
        <v>0.5</v>
      </c>
      <c r="AL512" s="21">
        <v>6.02</v>
      </c>
      <c r="AM512" s="9">
        <f t="shared" si="126"/>
        <v>2.8454999999999999</v>
      </c>
      <c r="AN512" s="9">
        <f t="shared" si="127"/>
        <v>0.56909999999999994</v>
      </c>
      <c r="AO512" s="9">
        <f t="shared" si="128"/>
        <v>3.794</v>
      </c>
      <c r="AP512" s="9">
        <f t="shared" si="129"/>
        <v>0.37939999999999996</v>
      </c>
      <c r="AQ512" s="9">
        <f t="shared" si="130"/>
        <v>3.794</v>
      </c>
      <c r="AR512" s="9">
        <f t="shared" si="131"/>
        <v>4.7424999999999997</v>
      </c>
      <c r="AS512" s="11">
        <f t="shared" si="132"/>
        <v>0.37866666666666671</v>
      </c>
      <c r="AT512" s="12">
        <f t="shared" si="133"/>
        <v>-0.25366666666666643</v>
      </c>
    </row>
    <row r="513" spans="1:46" ht="16.5" x14ac:dyDescent="0.4">
      <c r="A513" s="4" t="s">
        <v>2223</v>
      </c>
      <c r="B513" s="4" t="s">
        <v>2236</v>
      </c>
      <c r="C513" s="4" t="s">
        <v>2335</v>
      </c>
      <c r="D513" s="4" t="s">
        <v>2336</v>
      </c>
      <c r="E513" s="4" t="s">
        <v>2337</v>
      </c>
      <c r="F513" s="4" t="s">
        <v>2338</v>
      </c>
      <c r="G513" s="7" t="str">
        <f>VLOOKUP(A513,[1]done!$A:$I,9,0)</f>
        <v>All Other products</v>
      </c>
      <c r="H513" s="7" t="str" cm="1">
        <f t="array" ref="H513">_xlfn.IFS(
OR(ISNUMBER(SEARCH("mouse",E513)),ISNUMBER(SEARCH("rat",E513)),ISNUMBER(SEARCH("mice",E513)),ISNUMBER(SEARCH("rodent",E513))),"Rodent Control",
OR(ISNUMBER(SEARCH("fly",E513)),ISNUMBER(SEARCH("gnat",E513)),ISNUMBER(SEARCH("insect",E513)),ISNUMBER(SEARCH("mosquito",E513))),"Flying Insect Control",
OR(ISNUMBER(SEARCH("roach",E513)),ISNUMBER(SEARCH("ant",E513)),ISNUMBER(SEARCH("spider",E513)),ISNUMBER(SEARCH("cricket",E513)),ISNUMBER(SEARCH("scorpion",E513)),ISNUMBER(SEARCH("centipede",E513)),ISNUMBER(SEARCH("beetle",E513))),"Crawling Insect Control",
OR(ISNUMBER(SEARCH("tree",E513)),ISNUMBER(SEARCH("lantern",E513)),ISNUMBER(SEARCH("garden",E513)),ISNUMBER(SEARCH("plant",E513))),"Garden Pest Control",
OR(ISNUMBER(SEARCH("grass seed",E513)),ISNUMBER(SEARCH("seed mix",E513))),"Grass Seed",
OR(ISNUMBER(SEARCH("lawn food",E513)),ISNUMBER(SEARCH("fertilizer",E513))),"Lawn Fertilizer",
OR(ISNUMBER(SEARCH("patch",E513)),ISNUMBER(SEARCH("repair",E513)),ISNUMBER(SEARCH("thick'r",E513)),ISNUMBER(SEARCH("thick'r lawn",E513)),ISNUMBER(SEARCH("rapid grass",E513))),"Lawn Repair",
OR(ISNUMBER(SEARCH("weed",E513)),ISNUMBER(SEARCH("crabgrass",E513))),"Weed Control",
OR(ISNUMBER(SEARCH("fungicide",E513)),ISNUMBER(SEARCH("moss",E513))),"Disease &amp; Moss Control",
OR(ISNUMBER(SEARCH("plant food",E513)),ISNUMBER(SEARCH("miracid",E513))),"Plant Nutrition",
OR(ISNUMBER(SEARCH("perlite",E513))),"Soil Amendment",
OR(ISNUMBER(SEARCH("spreader",E513)),ISNUMBER(SEARCH("sprayer",E513)),ISNUMBER(SEARCH("mower",E513)),ISNUMBER(SEARCH("sweeper",E513)),ISNUMBER(SEARCH("pruner",E513)),ISNUMBER(SEARCH("trimmer",E513)),ISNUMBER(SEARCH("pole saw",E513))),"Garden Equipment",
TRUE,"Other"
)</f>
        <v>Other</v>
      </c>
      <c r="I513" s="7" t="str" cm="1">
        <f t="array" ref="I513">_xlfn.IFS(
OR(ISNUMBER(SEARCH("glue trap",E513)),ISNUMBER(SEARCH("glue board",E513))),"Glue Traps",
OR(ISNUMBER(SEARCH("snap trap",E513)),ISNUMBER(SEARCH("power-kill",E513)),ISNUMBER(SEARCH("wide pedal",E513)),ISNUMBER(SEARCH("metal pedal",E513))),"Snap Traps",
OR(ISNUMBER(SEARCH("electronic",E513)),ISNUMBER(SEARCH("zapper",E513))),"Electronic Traps",
OR(ISNUMBER(SEARCH("live catch",E513)),ISNUMBER(SEARCH("multi-catch",E513)),ISNUMBER(SEARCH("catch &amp; hold",E513)),ISNUMBER(SEARCH("tin cat",E513))),"Live Catch Traps",
OR(ISNUMBER(SEARCH("bait",E513)),ISNUMBER(SEARCH("poison",E513))),"Bait &amp; Poison",
ISNUMBER(SEARCH("repellent",E513)),"Repellents",
OR(ISNUMBER(SEARCH("fly trap",E513)),ISNUMBER(SEARCH("fly ribbon",E513)),ISNUMBER(SEARCH("fly stick",E513)),ISNUMBER(SEARCH("window fly",E513)),ISNUMBER(SEARCH("fly magnet",E513))),"Fly Traps",
OR(ISNUMBER(SEARCH("uv",E513)),ISNUMBER(SEARCH("fly light",E513)),ISNUMBER(SEARCH("plug-in",E513))),"UV Fly Traps",
ISNUMBER(SEARCH("roach",E513)),"Roach Traps",
ISNUMBER(SEARCH("ant",E513)),"Ant Traps",
ISNUMBER(SEARCH("spider",E513)),"Spider Traps",
ISNUMBER(SEARCH("mosquito",E513)),"Mosquito Traps",
ISNUMBER(SEARCH("beetle",E513)),"Beetle Traps",
ISNUMBER(SEARCH("lantern",E513)),"Lanternfly Control",
OR(ISNUMBER(SEARCH("tree shield",E513)),ISNUMBER(SEARCH("tree banding",E513)),ISNUMBER(SEARCH("insect barrier",E513))),"Tree Barriers",
OR(ISNUMBER(SEARCH("sun &amp; shade",E513)),ISNUMBER(SEARCH("sun and shade",E513))),"Sun &amp; Shade Mix",
ISNUMBER(SEARCH("tall fescue",E513)),"Tall Fescue",
ISNUMBER(SEARCH("bermudagrass",E513)),"Bermudagrass",
ISNUMBER(SEARCH("kentucky",E513)),"Kentucky Bluegrass",
ISNUMBER(SEARCH("zoysia",E513)),"Zoysia",
ISNUMBER(SEARCH("ryegrass",E513)),"Perennial Ryegrass",
ISNUMBER(SEARCH("centipede",E513)),"Centipede Grass",
ISNUMBER(SEARCH("dense shade",E513)),"Dense Shade Mix",
ISNUMBER(SEARCH("southern gold",E513)),"Southern Gold Mix",
ISNUMBER(SEARCH("heat-tolerant blue",E513)),"Heat-Tolerant Blue Mix",
ISNUMBER(SEARCH("high traffic",E513)),"High Traffic Mix",
ISNUMBER(SEARCH("quick fix",E513)),"Quick Fix Mix",
ISNUMBER(SEARCH("starter",E513)),"Starter Fertilizer",
ISNUMBER(SEARCH("weed &amp; feed",E513)),"Weed &amp; Feed",
ISNUMBER(SEARCH("lawn food",E513)),"Lawn Food",
ISNUMBER(SEARCH("triple action",E513)),"Triple Action Fertilizer",
ISNUMBER(SEARCH("green max",E513)),"Green Max Lawn Food",
ISNUMBER(SEARCH("patchmaster",E513)),"PatchMaster Repair",
ISNUMBER(SEARCH("ez seed",E513)),"EZ Seed Repair",
ISNUMBER(SEARCH("rapid grass",E513)),"Rapid Grass",
ISNUMBER(SEARCH("thick'r lawn",E513)),"Thick'R Lawn",
ISNUMBER(SEARCH("fungicide",E513)),"Fungicide",
ISNUMBER(SEARCH("moss",E513)),"Moss Control",
ISNUMBER(SEARCH("perlite",E513)),"Perlite",
ISNUMBER(SEARCH("plant food",E513)),"Plant Food",
ISNUMBER(SEARCH("spreader",E513)),"Spreader",
ISNUMBER(SEARCH("sprayer",E513)),"Sprayer",
ISNUMBER(SEARCH("mower",E513)),"Lawn Mower",
ISNUMBER(SEARCH("sweeper",E513)),"Lawn Sweeper",
OR(ISNUMBER(SEARCH("pruner",E513)),ISNUMBER(SEARCH("trimmer",E513)),ISNUMBER(SEARCH("pole saw",E513))),"Pruning Tools",
TRUE,"Other"
)</f>
        <v>Live Catch Traps</v>
      </c>
      <c r="J513" s="7" t="str">
        <f t="shared" si="124"/>
        <v>Other - Live Catch Traps</v>
      </c>
      <c r="K513" s="4">
        <v>50</v>
      </c>
      <c r="L513" s="4">
        <v>4.0999999999999996</v>
      </c>
      <c r="M513" s="4">
        <v>368</v>
      </c>
      <c r="N513" s="4" t="s">
        <v>1400</v>
      </c>
      <c r="O513" s="4">
        <f>VLOOKUP(A513,[7]Sheet1!$A:$M,2,0)</f>
        <v>0</v>
      </c>
      <c r="P513" s="4">
        <f>VLOOKUP(A513,[7]Sheet1!$A:$M,3,0)</f>
        <v>0</v>
      </c>
      <c r="Q513" s="4">
        <f>VLOOKUP(A513,[7]Sheet1!$A:$M,4,0)</f>
        <v>50</v>
      </c>
      <c r="R513" s="4">
        <f>VLOOKUP(A513,[7]Sheet1!$A:$M,5,0)</f>
        <v>0</v>
      </c>
      <c r="S513" s="4">
        <f>VLOOKUP(A513,[7]Sheet1!$A:$M,6,0)</f>
        <v>0</v>
      </c>
      <c r="T513" s="4">
        <f>VLOOKUP(A513,[7]Sheet1!$A:$M,7,0)</f>
        <v>0</v>
      </c>
      <c r="U513" s="4">
        <f>VLOOKUP(A513,[7]Sheet1!$A:$M,8,0)</f>
        <v>0</v>
      </c>
      <c r="V513" s="4">
        <f>VLOOKUP(A513,[7]Sheet1!$A:$M,9,0)</f>
        <v>0</v>
      </c>
      <c r="W513" s="4">
        <f>VLOOKUP(A513,[7]Sheet1!$A:$M,10,0)</f>
        <v>50</v>
      </c>
      <c r="X513" s="4">
        <f>VLOOKUP(A513,[7]Sheet1!$A:$M,11,0)</f>
        <v>50</v>
      </c>
      <c r="Y513" s="4">
        <f>VLOOKUP(A513,[7]Sheet1!$A:$M,12,0)</f>
        <v>50</v>
      </c>
      <c r="Z513" s="4">
        <f>VLOOKUP(A513,[7]Sheet1!$A:$M,13,0)</f>
        <v>0</v>
      </c>
      <c r="AA513" s="4">
        <f t="shared" si="136"/>
        <v>200</v>
      </c>
      <c r="AB513" s="7">
        <f t="shared" si="125"/>
        <v>17</v>
      </c>
      <c r="AC513" s="15">
        <f t="shared" si="137"/>
        <v>16.666666666666668</v>
      </c>
      <c r="AD513" s="16">
        <f t="shared" si="138"/>
        <v>16944</v>
      </c>
      <c r="AE513" s="16">
        <f t="shared" si="139"/>
        <v>1412</v>
      </c>
      <c r="AF513" s="21">
        <v>14.11</v>
      </c>
      <c r="AG513" s="21">
        <v>84.72</v>
      </c>
      <c r="AH513" s="15">
        <f t="shared" si="134"/>
        <v>1.2518666666666669</v>
      </c>
      <c r="AI513" s="15">
        <f t="shared" si="135"/>
        <v>4.3815333333333335</v>
      </c>
      <c r="AJ513" s="10">
        <v>0.5</v>
      </c>
      <c r="AK513" s="10">
        <v>0.5</v>
      </c>
      <c r="AL513" s="21">
        <v>14.11</v>
      </c>
      <c r="AM513" s="9">
        <f t="shared" si="126"/>
        <v>12.708</v>
      </c>
      <c r="AN513" s="9">
        <f t="shared" si="127"/>
        <v>2.5415999999999999</v>
      </c>
      <c r="AO513" s="9">
        <f t="shared" si="128"/>
        <v>16.943999999999999</v>
      </c>
      <c r="AP513" s="9">
        <f t="shared" si="129"/>
        <v>1.6943999999999999</v>
      </c>
      <c r="AQ513" s="9">
        <f t="shared" si="130"/>
        <v>16.943999999999999</v>
      </c>
      <c r="AR513" s="9">
        <f t="shared" si="131"/>
        <v>21.18</v>
      </c>
      <c r="AS513" s="11">
        <f t="shared" si="132"/>
        <v>12.518666666666668</v>
      </c>
      <c r="AT513" s="12">
        <f t="shared" si="133"/>
        <v>9.6946666666666683</v>
      </c>
    </row>
    <row r="514" spans="1:46" ht="16.5" x14ac:dyDescent="0.4">
      <c r="A514" s="4" t="s">
        <v>2224</v>
      </c>
      <c r="B514" s="4" t="s">
        <v>2236</v>
      </c>
      <c r="C514" s="4" t="s">
        <v>2236</v>
      </c>
      <c r="D514" s="4" t="s">
        <v>2339</v>
      </c>
      <c r="E514" s="4" t="s">
        <v>2340</v>
      </c>
      <c r="F514" s="4" t="s">
        <v>2341</v>
      </c>
      <c r="G514" s="7" t="str">
        <f>VLOOKUP(A514,[1]done!$A:$I,9,0)</f>
        <v>Rodent</v>
      </c>
      <c r="H514" s="7" t="str" cm="1">
        <f t="array" ref="H514">_xlfn.IFS(
OR(ISNUMBER(SEARCH("mouse",E514)),ISNUMBER(SEARCH("rat",E514)),ISNUMBER(SEARCH("mice",E514)),ISNUMBER(SEARCH("rodent",E514))),"Rodent Control",
OR(ISNUMBER(SEARCH("fly",E514)),ISNUMBER(SEARCH("gnat",E514)),ISNUMBER(SEARCH("insect",E514)),ISNUMBER(SEARCH("mosquito",E514))),"Flying Insect Control",
OR(ISNUMBER(SEARCH("roach",E514)),ISNUMBER(SEARCH("ant",E514)),ISNUMBER(SEARCH("spider",E514)),ISNUMBER(SEARCH("cricket",E514)),ISNUMBER(SEARCH("scorpion",E514)),ISNUMBER(SEARCH("centipede",E514)),ISNUMBER(SEARCH("beetle",E514))),"Crawling Insect Control",
OR(ISNUMBER(SEARCH("tree",E514)),ISNUMBER(SEARCH("lantern",E514)),ISNUMBER(SEARCH("garden",E514)),ISNUMBER(SEARCH("plant",E514))),"Garden Pest Control",
OR(ISNUMBER(SEARCH("grass seed",E514)),ISNUMBER(SEARCH("seed mix",E514))),"Grass Seed",
OR(ISNUMBER(SEARCH("lawn food",E514)),ISNUMBER(SEARCH("fertilizer",E514))),"Lawn Fertilizer",
OR(ISNUMBER(SEARCH("patch",E514)),ISNUMBER(SEARCH("repair",E514)),ISNUMBER(SEARCH("thick'r",E514)),ISNUMBER(SEARCH("thick'r lawn",E514)),ISNUMBER(SEARCH("rapid grass",E514))),"Lawn Repair",
OR(ISNUMBER(SEARCH("weed",E514)),ISNUMBER(SEARCH("crabgrass",E514))),"Weed Control",
OR(ISNUMBER(SEARCH("fungicide",E514)),ISNUMBER(SEARCH("moss",E514))),"Disease &amp; Moss Control",
OR(ISNUMBER(SEARCH("plant food",E514)),ISNUMBER(SEARCH("miracid",E514))),"Plant Nutrition",
OR(ISNUMBER(SEARCH("perlite",E514))),"Soil Amendment",
OR(ISNUMBER(SEARCH("spreader",E514)),ISNUMBER(SEARCH("sprayer",E514)),ISNUMBER(SEARCH("mower",E514)),ISNUMBER(SEARCH("sweeper",E514)),ISNUMBER(SEARCH("pruner",E514)),ISNUMBER(SEARCH("trimmer",E514)),ISNUMBER(SEARCH("pole saw",E514))),"Garden Equipment",
TRUE,"Other"
)</f>
        <v>Rodent Control</v>
      </c>
      <c r="I514" s="7" t="str" cm="1">
        <f t="array" ref="I514">_xlfn.IFS(
OR(ISNUMBER(SEARCH("glue trap",E514)),ISNUMBER(SEARCH("glue board",E514))),"Glue Traps",
OR(ISNUMBER(SEARCH("snap trap",E514)),ISNUMBER(SEARCH("power-kill",E514)),ISNUMBER(SEARCH("wide pedal",E514)),ISNUMBER(SEARCH("metal pedal",E514))),"Snap Traps",
OR(ISNUMBER(SEARCH("electronic",E514)),ISNUMBER(SEARCH("zapper",E514))),"Electronic Traps",
OR(ISNUMBER(SEARCH("live catch",E514)),ISNUMBER(SEARCH("multi-catch",E514)),ISNUMBER(SEARCH("catch &amp; hold",E514)),ISNUMBER(SEARCH("tin cat",E514))),"Live Catch Traps",
OR(ISNUMBER(SEARCH("bait",E514)),ISNUMBER(SEARCH("poison",E514))),"Bait &amp; Poison",
ISNUMBER(SEARCH("repellent",E514)),"Repellents",
OR(ISNUMBER(SEARCH("fly trap",E514)),ISNUMBER(SEARCH("fly ribbon",E514)),ISNUMBER(SEARCH("fly stick",E514)),ISNUMBER(SEARCH("window fly",E514)),ISNUMBER(SEARCH("fly magnet",E514))),"Fly Traps",
OR(ISNUMBER(SEARCH("uv",E514)),ISNUMBER(SEARCH("fly light",E514)),ISNUMBER(SEARCH("plug-in",E514))),"UV Fly Traps",
ISNUMBER(SEARCH("roach",E514)),"Roach Traps",
ISNUMBER(SEARCH("ant",E514)),"Ant Traps",
ISNUMBER(SEARCH("spider",E514)),"Spider Traps",
ISNUMBER(SEARCH("mosquito",E514)),"Mosquito Traps",
ISNUMBER(SEARCH("beetle",E514)),"Beetle Traps",
ISNUMBER(SEARCH("lantern",E514)),"Lanternfly Control",
OR(ISNUMBER(SEARCH("tree shield",E514)),ISNUMBER(SEARCH("tree banding",E514)),ISNUMBER(SEARCH("insect barrier",E514))),"Tree Barriers",
OR(ISNUMBER(SEARCH("sun &amp; shade",E514)),ISNUMBER(SEARCH("sun and shade",E514))),"Sun &amp; Shade Mix",
ISNUMBER(SEARCH("tall fescue",E514)),"Tall Fescue",
ISNUMBER(SEARCH("bermudagrass",E514)),"Bermudagrass",
ISNUMBER(SEARCH("kentucky",E514)),"Kentucky Bluegrass",
ISNUMBER(SEARCH("zoysia",E514)),"Zoysia",
ISNUMBER(SEARCH("ryegrass",E514)),"Perennial Ryegrass",
ISNUMBER(SEARCH("centipede",E514)),"Centipede Grass",
ISNUMBER(SEARCH("dense shade",E514)),"Dense Shade Mix",
ISNUMBER(SEARCH("southern gold",E514)),"Southern Gold Mix",
ISNUMBER(SEARCH("heat-tolerant blue",E514)),"Heat-Tolerant Blue Mix",
ISNUMBER(SEARCH("high traffic",E514)),"High Traffic Mix",
ISNUMBER(SEARCH("quick fix",E514)),"Quick Fix Mix",
ISNUMBER(SEARCH("starter",E514)),"Starter Fertilizer",
ISNUMBER(SEARCH("weed &amp; feed",E514)),"Weed &amp; Feed",
ISNUMBER(SEARCH("lawn food",E514)),"Lawn Food",
ISNUMBER(SEARCH("triple action",E514)),"Triple Action Fertilizer",
ISNUMBER(SEARCH("green max",E514)),"Green Max Lawn Food",
ISNUMBER(SEARCH("patchmaster",E514)),"PatchMaster Repair",
ISNUMBER(SEARCH("ez seed",E514)),"EZ Seed Repair",
ISNUMBER(SEARCH("rapid grass",E514)),"Rapid Grass",
ISNUMBER(SEARCH("thick'r lawn",E514)),"Thick'R Lawn",
ISNUMBER(SEARCH("fungicide",E514)),"Fungicide",
ISNUMBER(SEARCH("moss",E514)),"Moss Control",
ISNUMBER(SEARCH("perlite",E514)),"Perlite",
ISNUMBER(SEARCH("plant food",E514)),"Plant Food",
ISNUMBER(SEARCH("spreader",E514)),"Spreader",
ISNUMBER(SEARCH("sprayer",E514)),"Sprayer",
ISNUMBER(SEARCH("mower",E514)),"Lawn Mower",
ISNUMBER(SEARCH("sweeper",E514)),"Lawn Sweeper",
OR(ISNUMBER(SEARCH("pruner",E514)),ISNUMBER(SEARCH("trimmer",E514)),ISNUMBER(SEARCH("pole saw",E514))),"Pruning Tools",
TRUE,"Other"
)</f>
        <v>Glue Traps</v>
      </c>
      <c r="J514" s="7" t="str">
        <f t="shared" si="124"/>
        <v>Rodent Control - Glue Traps</v>
      </c>
      <c r="K514" s="4">
        <v>50</v>
      </c>
      <c r="L514" s="4">
        <v>3.9</v>
      </c>
      <c r="M514" s="4">
        <v>397</v>
      </c>
      <c r="N514" s="4" t="s">
        <v>2386</v>
      </c>
      <c r="O514" s="4">
        <f>VLOOKUP(A514,[7]Sheet1!$A:$M,2,0)</f>
        <v>50</v>
      </c>
      <c r="P514" s="4">
        <f>VLOOKUP(A514,[7]Sheet1!$A:$M,3,0)</f>
        <v>0</v>
      </c>
      <c r="Q514" s="4">
        <f>VLOOKUP(A514,[7]Sheet1!$A:$M,4,0)</f>
        <v>0</v>
      </c>
      <c r="R514" s="4">
        <f>VLOOKUP(A514,[7]Sheet1!$A:$M,5,0)</f>
        <v>0</v>
      </c>
      <c r="S514" s="4">
        <f>VLOOKUP(A514,[7]Sheet1!$A:$M,6,0)</f>
        <v>0</v>
      </c>
      <c r="T514" s="4">
        <f>VLOOKUP(A514,[7]Sheet1!$A:$M,7,0)</f>
        <v>0</v>
      </c>
      <c r="U514" s="4">
        <f>VLOOKUP(A514,[7]Sheet1!$A:$M,8,0)</f>
        <v>0</v>
      </c>
      <c r="V514" s="4">
        <f>VLOOKUP(A514,[7]Sheet1!$A:$M,9,0)</f>
        <v>50</v>
      </c>
      <c r="W514" s="4">
        <f>VLOOKUP(A514,[7]Sheet1!$A:$M,10,0)</f>
        <v>50</v>
      </c>
      <c r="X514" s="4">
        <f>VLOOKUP(A514,[7]Sheet1!$A:$M,11,0)</f>
        <v>50</v>
      </c>
      <c r="Y514" s="4">
        <f>VLOOKUP(A514,[7]Sheet1!$A:$M,12,0)</f>
        <v>50</v>
      </c>
      <c r="Z514" s="4">
        <f>VLOOKUP(A514,[7]Sheet1!$A:$M,13,0)</f>
        <v>50</v>
      </c>
      <c r="AA514" s="4">
        <f t="shared" si="136"/>
        <v>300</v>
      </c>
      <c r="AB514" s="7">
        <f t="shared" si="125"/>
        <v>25</v>
      </c>
      <c r="AC514" s="15">
        <f t="shared" si="137"/>
        <v>25</v>
      </c>
      <c r="AD514" s="16">
        <f t="shared" si="138"/>
        <v>2547</v>
      </c>
      <c r="AE514" s="16">
        <f t="shared" si="139"/>
        <v>212.25</v>
      </c>
      <c r="AF514" s="21">
        <v>3.91</v>
      </c>
      <c r="AG514" s="21">
        <v>8.49</v>
      </c>
      <c r="AH514" s="15">
        <f t="shared" si="134"/>
        <v>-0.10093333333333335</v>
      </c>
      <c r="AI514" s="15">
        <f t="shared" si="135"/>
        <v>-0.35326666666666667</v>
      </c>
      <c r="AJ514" s="10">
        <v>0.5</v>
      </c>
      <c r="AK514" s="10">
        <v>0.5</v>
      </c>
      <c r="AL514" s="21">
        <v>3.91</v>
      </c>
      <c r="AM514" s="9">
        <f t="shared" si="126"/>
        <v>1.2735000000000001</v>
      </c>
      <c r="AN514" s="9">
        <f t="shared" si="127"/>
        <v>0.25469999999999998</v>
      </c>
      <c r="AO514" s="9">
        <f t="shared" si="128"/>
        <v>1.6980000000000002</v>
      </c>
      <c r="AP514" s="9">
        <f t="shared" si="129"/>
        <v>0.16980000000000001</v>
      </c>
      <c r="AQ514" s="9">
        <f t="shared" si="130"/>
        <v>1.6980000000000002</v>
      </c>
      <c r="AR514" s="9">
        <f t="shared" si="131"/>
        <v>2.1225000000000001</v>
      </c>
      <c r="AS514" s="11">
        <f t="shared" si="132"/>
        <v>-1.0093333333333334</v>
      </c>
      <c r="AT514" s="12">
        <f t="shared" si="133"/>
        <v>-1.2923333333333333</v>
      </c>
    </row>
    <row r="515" spans="1:46" ht="16.5" x14ac:dyDescent="0.4">
      <c r="A515" s="4" t="s">
        <v>2225</v>
      </c>
      <c r="B515" s="4" t="s">
        <v>2236</v>
      </c>
      <c r="C515" s="4" t="s">
        <v>2236</v>
      </c>
      <c r="D515" s="4" t="s">
        <v>2342</v>
      </c>
      <c r="E515" s="4" t="s">
        <v>2343</v>
      </c>
      <c r="F515" s="4" t="s">
        <v>2344</v>
      </c>
      <c r="G515" s="7" t="str">
        <f>VLOOKUP(A515,[1]done!$A:$I,9,0)</f>
        <v>Rodent</v>
      </c>
      <c r="H515" s="7" t="str" cm="1">
        <f t="array" ref="H515">_xlfn.IFS(
OR(ISNUMBER(SEARCH("mouse",E515)),ISNUMBER(SEARCH("rat",E515)),ISNUMBER(SEARCH("mice",E515)),ISNUMBER(SEARCH("rodent",E515))),"Rodent Control",
OR(ISNUMBER(SEARCH("fly",E515)),ISNUMBER(SEARCH("gnat",E515)),ISNUMBER(SEARCH("insect",E515)),ISNUMBER(SEARCH("mosquito",E515))),"Flying Insect Control",
OR(ISNUMBER(SEARCH("roach",E515)),ISNUMBER(SEARCH("ant",E515)),ISNUMBER(SEARCH("spider",E515)),ISNUMBER(SEARCH("cricket",E515)),ISNUMBER(SEARCH("scorpion",E515)),ISNUMBER(SEARCH("centipede",E515)),ISNUMBER(SEARCH("beetle",E515))),"Crawling Insect Control",
OR(ISNUMBER(SEARCH("tree",E515)),ISNUMBER(SEARCH("lantern",E515)),ISNUMBER(SEARCH("garden",E515)),ISNUMBER(SEARCH("plant",E515))),"Garden Pest Control",
OR(ISNUMBER(SEARCH("grass seed",E515)),ISNUMBER(SEARCH("seed mix",E515))),"Grass Seed",
OR(ISNUMBER(SEARCH("lawn food",E515)),ISNUMBER(SEARCH("fertilizer",E515))),"Lawn Fertilizer",
OR(ISNUMBER(SEARCH("patch",E515)),ISNUMBER(SEARCH("repair",E515)),ISNUMBER(SEARCH("thick'r",E515)),ISNUMBER(SEARCH("thick'r lawn",E515)),ISNUMBER(SEARCH("rapid grass",E515))),"Lawn Repair",
OR(ISNUMBER(SEARCH("weed",E515)),ISNUMBER(SEARCH("crabgrass",E515))),"Weed Control",
OR(ISNUMBER(SEARCH("fungicide",E515)),ISNUMBER(SEARCH("moss",E515))),"Disease &amp; Moss Control",
OR(ISNUMBER(SEARCH("plant food",E515)),ISNUMBER(SEARCH("miracid",E515))),"Plant Nutrition",
OR(ISNUMBER(SEARCH("perlite",E515))),"Soil Amendment",
OR(ISNUMBER(SEARCH("spreader",E515)),ISNUMBER(SEARCH("sprayer",E515)),ISNUMBER(SEARCH("mower",E515)),ISNUMBER(SEARCH("sweeper",E515)),ISNUMBER(SEARCH("pruner",E515)),ISNUMBER(SEARCH("trimmer",E515)),ISNUMBER(SEARCH("pole saw",E515))),"Garden Equipment",
TRUE,"Other"
)</f>
        <v>Rodent Control</v>
      </c>
      <c r="I515" s="7" t="str" cm="1">
        <f t="array" ref="I515">_xlfn.IFS(
OR(ISNUMBER(SEARCH("glue trap",E515)),ISNUMBER(SEARCH("glue board",E515))),"Glue Traps",
OR(ISNUMBER(SEARCH("snap trap",E515)),ISNUMBER(SEARCH("power-kill",E515)),ISNUMBER(SEARCH("wide pedal",E515)),ISNUMBER(SEARCH("metal pedal",E515))),"Snap Traps",
OR(ISNUMBER(SEARCH("electronic",E515)),ISNUMBER(SEARCH("zapper",E515))),"Electronic Traps",
OR(ISNUMBER(SEARCH("live catch",E515)),ISNUMBER(SEARCH("multi-catch",E515)),ISNUMBER(SEARCH("catch &amp; hold",E515)),ISNUMBER(SEARCH("tin cat",E515))),"Live Catch Traps",
OR(ISNUMBER(SEARCH("bait",E515)),ISNUMBER(SEARCH("poison",E515))),"Bait &amp; Poison",
ISNUMBER(SEARCH("repellent",E515)),"Repellents",
OR(ISNUMBER(SEARCH("fly trap",E515)),ISNUMBER(SEARCH("fly ribbon",E515)),ISNUMBER(SEARCH("fly stick",E515)),ISNUMBER(SEARCH("window fly",E515)),ISNUMBER(SEARCH("fly magnet",E515))),"Fly Traps",
OR(ISNUMBER(SEARCH("uv",E515)),ISNUMBER(SEARCH("fly light",E515)),ISNUMBER(SEARCH("plug-in",E515))),"UV Fly Traps",
ISNUMBER(SEARCH("roach",E515)),"Roach Traps",
ISNUMBER(SEARCH("ant",E515)),"Ant Traps",
ISNUMBER(SEARCH("spider",E515)),"Spider Traps",
ISNUMBER(SEARCH("mosquito",E515)),"Mosquito Traps",
ISNUMBER(SEARCH("beetle",E515)),"Beetle Traps",
ISNUMBER(SEARCH("lantern",E515)),"Lanternfly Control",
OR(ISNUMBER(SEARCH("tree shield",E515)),ISNUMBER(SEARCH("tree banding",E515)),ISNUMBER(SEARCH("insect barrier",E515))),"Tree Barriers",
OR(ISNUMBER(SEARCH("sun &amp; shade",E515)),ISNUMBER(SEARCH("sun and shade",E515))),"Sun &amp; Shade Mix",
ISNUMBER(SEARCH("tall fescue",E515)),"Tall Fescue",
ISNUMBER(SEARCH("bermudagrass",E515)),"Bermudagrass",
ISNUMBER(SEARCH("kentucky",E515)),"Kentucky Bluegrass",
ISNUMBER(SEARCH("zoysia",E515)),"Zoysia",
ISNUMBER(SEARCH("ryegrass",E515)),"Perennial Ryegrass",
ISNUMBER(SEARCH("centipede",E515)),"Centipede Grass",
ISNUMBER(SEARCH("dense shade",E515)),"Dense Shade Mix",
ISNUMBER(SEARCH("southern gold",E515)),"Southern Gold Mix",
ISNUMBER(SEARCH("heat-tolerant blue",E515)),"Heat-Tolerant Blue Mix",
ISNUMBER(SEARCH("high traffic",E515)),"High Traffic Mix",
ISNUMBER(SEARCH("quick fix",E515)),"Quick Fix Mix",
ISNUMBER(SEARCH("starter",E515)),"Starter Fertilizer",
ISNUMBER(SEARCH("weed &amp; feed",E515)),"Weed &amp; Feed",
ISNUMBER(SEARCH("lawn food",E515)),"Lawn Food",
ISNUMBER(SEARCH("triple action",E515)),"Triple Action Fertilizer",
ISNUMBER(SEARCH("green max",E515)),"Green Max Lawn Food",
ISNUMBER(SEARCH("patchmaster",E515)),"PatchMaster Repair",
ISNUMBER(SEARCH("ez seed",E515)),"EZ Seed Repair",
ISNUMBER(SEARCH("rapid grass",E515)),"Rapid Grass",
ISNUMBER(SEARCH("thick'r lawn",E515)),"Thick'R Lawn",
ISNUMBER(SEARCH("fungicide",E515)),"Fungicide",
ISNUMBER(SEARCH("moss",E515)),"Moss Control",
ISNUMBER(SEARCH("perlite",E515)),"Perlite",
ISNUMBER(SEARCH("plant food",E515)),"Plant Food",
ISNUMBER(SEARCH("spreader",E515)),"Spreader",
ISNUMBER(SEARCH("sprayer",E515)),"Sprayer",
ISNUMBER(SEARCH("mower",E515)),"Lawn Mower",
ISNUMBER(SEARCH("sweeper",E515)),"Lawn Sweeper",
OR(ISNUMBER(SEARCH("pruner",E515)),ISNUMBER(SEARCH("trimmer",E515)),ISNUMBER(SEARCH("pole saw",E515))),"Pruning Tools",
TRUE,"Other"
)</f>
        <v>Bait &amp; Poison</v>
      </c>
      <c r="J515" s="7" t="str">
        <f t="shared" ref="J515:J548" si="140">H515&amp;" - "&amp;I515</f>
        <v>Rodent Control - Bait &amp; Poison</v>
      </c>
      <c r="K515" s="4">
        <v>50</v>
      </c>
      <c r="L515" s="4">
        <v>4.2</v>
      </c>
      <c r="M515" s="4">
        <v>124</v>
      </c>
      <c r="N515" s="4">
        <v>0</v>
      </c>
      <c r="O515" s="4">
        <f>VLOOKUP(A515,[7]Sheet1!$A:$M,2,0)</f>
        <v>0</v>
      </c>
      <c r="P515" s="4">
        <f>VLOOKUP(A515,[7]Sheet1!$A:$M,3,0)</f>
        <v>0</v>
      </c>
      <c r="Q515" s="4">
        <f>VLOOKUP(A515,[7]Sheet1!$A:$M,4,0)</f>
        <v>0</v>
      </c>
      <c r="R515" s="4">
        <f>VLOOKUP(A515,[7]Sheet1!$A:$M,5,0)</f>
        <v>50</v>
      </c>
      <c r="S515" s="4">
        <f>VLOOKUP(A515,[7]Sheet1!$A:$M,6,0)</f>
        <v>0</v>
      </c>
      <c r="T515" s="4">
        <f>VLOOKUP(A515,[7]Sheet1!$A:$M,7,0)</f>
        <v>50</v>
      </c>
      <c r="U515" s="4">
        <f>VLOOKUP(A515,[7]Sheet1!$A:$M,8,0)</f>
        <v>50</v>
      </c>
      <c r="V515" s="4">
        <f>VLOOKUP(A515,[7]Sheet1!$A:$M,9,0)</f>
        <v>50</v>
      </c>
      <c r="W515" s="4">
        <f>VLOOKUP(A515,[7]Sheet1!$A:$M,10,0)</f>
        <v>100</v>
      </c>
      <c r="X515" s="4">
        <f>VLOOKUP(A515,[7]Sheet1!$A:$M,11,0)</f>
        <v>0</v>
      </c>
      <c r="Y515" s="4">
        <f>VLOOKUP(A515,[7]Sheet1!$A:$M,12,0)</f>
        <v>0</v>
      </c>
      <c r="Z515" s="4">
        <f>VLOOKUP(A515,[7]Sheet1!$A:$M,13,0)</f>
        <v>0</v>
      </c>
      <c r="AA515" s="4">
        <f t="shared" si="136"/>
        <v>300</v>
      </c>
      <c r="AB515" s="7">
        <f t="shared" ref="AB515:AB544" si="141">ROUND(AA515/12,0)</f>
        <v>25</v>
      </c>
      <c r="AC515" s="15">
        <f t="shared" si="137"/>
        <v>25</v>
      </c>
      <c r="AD515" s="16">
        <f t="shared" si="138"/>
        <v>25187.999999999996</v>
      </c>
      <c r="AE515" s="16">
        <f t="shared" si="139"/>
        <v>2099</v>
      </c>
      <c r="AF515" s="21">
        <v>13.32</v>
      </c>
      <c r="AG515" s="21">
        <v>83.96</v>
      </c>
      <c r="AH515" s="15">
        <f t="shared" si="134"/>
        <v>1.2842666666666667</v>
      </c>
      <c r="AI515" s="15">
        <f t="shared" si="135"/>
        <v>4.494933333333333</v>
      </c>
      <c r="AJ515" s="10">
        <v>0.5</v>
      </c>
      <c r="AK515" s="10">
        <v>0.5</v>
      </c>
      <c r="AL515" s="21">
        <v>13.32</v>
      </c>
      <c r="AM515" s="9">
        <f t="shared" ref="AM515:AM578" si="142">0.15*AG515</f>
        <v>12.593999999999999</v>
      </c>
      <c r="AN515" s="9">
        <f t="shared" ref="AN515:AN578" si="143">0.03*AG515</f>
        <v>2.5187999999999997</v>
      </c>
      <c r="AO515" s="9">
        <f t="shared" ref="AO515:AO578" si="144">0.2*AG515</f>
        <v>16.791999999999998</v>
      </c>
      <c r="AP515" s="9">
        <f t="shared" ref="AP515:AP578" si="145">0.02*AG515</f>
        <v>1.6791999999999998</v>
      </c>
      <c r="AQ515" s="9">
        <f t="shared" ref="AQ515:AQ578" si="146">0.2*AG515</f>
        <v>16.791999999999998</v>
      </c>
      <c r="AR515" s="9">
        <f t="shared" ref="AR515:AR578" si="147">0.25*AG515</f>
        <v>20.99</v>
      </c>
      <c r="AS515" s="11">
        <f t="shared" ref="AS515:AS578" si="148">(AG515*(1-(0.15+0.03+0.2+0.02))-AJ515-AK515-AL515-AQ515)/(1+0.1+0.4)</f>
        <v>12.842666666666666</v>
      </c>
      <c r="AT515" s="12">
        <f t="shared" ref="AT515:AT578" si="149">(AG515*(1-(0.15+0.03+0.2+0.02))-AJ515-AK515-AL515-AR515)/(1+0.1+0.4)</f>
        <v>10.043999999999999</v>
      </c>
    </row>
    <row r="516" spans="1:46" ht="16.5" x14ac:dyDescent="0.4">
      <c r="A516" s="4" t="s">
        <v>2226</v>
      </c>
      <c r="B516" s="4" t="s">
        <v>2236</v>
      </c>
      <c r="C516" s="4">
        <v>0</v>
      </c>
      <c r="D516" s="4" t="s">
        <v>2345</v>
      </c>
      <c r="E516" s="4" t="s">
        <v>2346</v>
      </c>
      <c r="F516" s="4" t="s">
        <v>2347</v>
      </c>
      <c r="G516" s="7" t="str">
        <f>VLOOKUP(A516,[1]done!$A:$I,9,0)</f>
        <v>All Other products</v>
      </c>
      <c r="H516" s="7" t="str" cm="1">
        <f t="array" ref="H516">_xlfn.IFS(
OR(ISNUMBER(SEARCH("mouse",E516)),ISNUMBER(SEARCH("rat",E516)),ISNUMBER(SEARCH("mice",E516)),ISNUMBER(SEARCH("rodent",E516))),"Rodent Control",
OR(ISNUMBER(SEARCH("fly",E516)),ISNUMBER(SEARCH("gnat",E516)),ISNUMBER(SEARCH("insect",E516)),ISNUMBER(SEARCH("mosquito",E516))),"Flying Insect Control",
OR(ISNUMBER(SEARCH("roach",E516)),ISNUMBER(SEARCH("ant",E516)),ISNUMBER(SEARCH("spider",E516)),ISNUMBER(SEARCH("cricket",E516)),ISNUMBER(SEARCH("scorpion",E516)),ISNUMBER(SEARCH("centipede",E516)),ISNUMBER(SEARCH("beetle",E516))),"Crawling Insect Control",
OR(ISNUMBER(SEARCH("tree",E516)),ISNUMBER(SEARCH("lantern",E516)),ISNUMBER(SEARCH("garden",E516)),ISNUMBER(SEARCH("plant",E516))),"Garden Pest Control",
OR(ISNUMBER(SEARCH("grass seed",E516)),ISNUMBER(SEARCH("seed mix",E516))),"Grass Seed",
OR(ISNUMBER(SEARCH("lawn food",E516)),ISNUMBER(SEARCH("fertilizer",E516))),"Lawn Fertilizer",
OR(ISNUMBER(SEARCH("patch",E516)),ISNUMBER(SEARCH("repair",E516)),ISNUMBER(SEARCH("thick'r",E516)),ISNUMBER(SEARCH("thick'r lawn",E516)),ISNUMBER(SEARCH("rapid grass",E516))),"Lawn Repair",
OR(ISNUMBER(SEARCH("weed",E516)),ISNUMBER(SEARCH("crabgrass",E516))),"Weed Control",
OR(ISNUMBER(SEARCH("fungicide",E516)),ISNUMBER(SEARCH("moss",E516))),"Disease &amp; Moss Control",
OR(ISNUMBER(SEARCH("plant food",E516)),ISNUMBER(SEARCH("miracid",E516))),"Plant Nutrition",
OR(ISNUMBER(SEARCH("perlite",E516))),"Soil Amendment",
OR(ISNUMBER(SEARCH("spreader",E516)),ISNUMBER(SEARCH("sprayer",E516)),ISNUMBER(SEARCH("mower",E516)),ISNUMBER(SEARCH("sweeper",E516)),ISNUMBER(SEARCH("pruner",E516)),ISNUMBER(SEARCH("trimmer",E516)),ISNUMBER(SEARCH("pole saw",E516))),"Garden Equipment",
TRUE,"Other"
)</f>
        <v>Other</v>
      </c>
      <c r="I516" s="7" t="str" cm="1">
        <f t="array" ref="I516">_xlfn.IFS(
OR(ISNUMBER(SEARCH("glue trap",E516)),ISNUMBER(SEARCH("glue board",E516))),"Glue Traps",
OR(ISNUMBER(SEARCH("snap trap",E516)),ISNUMBER(SEARCH("power-kill",E516)),ISNUMBER(SEARCH("wide pedal",E516)),ISNUMBER(SEARCH("metal pedal",E516))),"Snap Traps",
OR(ISNUMBER(SEARCH("electronic",E516)),ISNUMBER(SEARCH("zapper",E516))),"Electronic Traps",
OR(ISNUMBER(SEARCH("live catch",E516)),ISNUMBER(SEARCH("multi-catch",E516)),ISNUMBER(SEARCH("catch &amp; hold",E516)),ISNUMBER(SEARCH("tin cat",E516))),"Live Catch Traps",
OR(ISNUMBER(SEARCH("bait",E516)),ISNUMBER(SEARCH("poison",E516))),"Bait &amp; Poison",
ISNUMBER(SEARCH("repellent",E516)),"Repellents",
OR(ISNUMBER(SEARCH("fly trap",E516)),ISNUMBER(SEARCH("fly ribbon",E516)),ISNUMBER(SEARCH("fly stick",E516)),ISNUMBER(SEARCH("window fly",E516)),ISNUMBER(SEARCH("fly magnet",E516))),"Fly Traps",
OR(ISNUMBER(SEARCH("uv",E516)),ISNUMBER(SEARCH("fly light",E516)),ISNUMBER(SEARCH("plug-in",E516))),"UV Fly Traps",
ISNUMBER(SEARCH("roach",E516)),"Roach Traps",
ISNUMBER(SEARCH("ant",E516)),"Ant Traps",
ISNUMBER(SEARCH("spider",E516)),"Spider Traps",
ISNUMBER(SEARCH("mosquito",E516)),"Mosquito Traps",
ISNUMBER(SEARCH("beetle",E516)),"Beetle Traps",
ISNUMBER(SEARCH("lantern",E516)),"Lanternfly Control",
OR(ISNUMBER(SEARCH("tree shield",E516)),ISNUMBER(SEARCH("tree banding",E516)),ISNUMBER(SEARCH("insect barrier",E516))),"Tree Barriers",
OR(ISNUMBER(SEARCH("sun &amp; shade",E516)),ISNUMBER(SEARCH("sun and shade",E516))),"Sun &amp; Shade Mix",
ISNUMBER(SEARCH("tall fescue",E516)),"Tall Fescue",
ISNUMBER(SEARCH("bermudagrass",E516)),"Bermudagrass",
ISNUMBER(SEARCH("kentucky",E516)),"Kentucky Bluegrass",
ISNUMBER(SEARCH("zoysia",E516)),"Zoysia",
ISNUMBER(SEARCH("ryegrass",E516)),"Perennial Ryegrass",
ISNUMBER(SEARCH("centipede",E516)),"Centipede Grass",
ISNUMBER(SEARCH("dense shade",E516)),"Dense Shade Mix",
ISNUMBER(SEARCH("southern gold",E516)),"Southern Gold Mix",
ISNUMBER(SEARCH("heat-tolerant blue",E516)),"Heat-Tolerant Blue Mix",
ISNUMBER(SEARCH("high traffic",E516)),"High Traffic Mix",
ISNUMBER(SEARCH("quick fix",E516)),"Quick Fix Mix",
ISNUMBER(SEARCH("starter",E516)),"Starter Fertilizer",
ISNUMBER(SEARCH("weed &amp; feed",E516)),"Weed &amp; Feed",
ISNUMBER(SEARCH("lawn food",E516)),"Lawn Food",
ISNUMBER(SEARCH("triple action",E516)),"Triple Action Fertilizer",
ISNUMBER(SEARCH("green max",E516)),"Green Max Lawn Food",
ISNUMBER(SEARCH("patchmaster",E516)),"PatchMaster Repair",
ISNUMBER(SEARCH("ez seed",E516)),"EZ Seed Repair",
ISNUMBER(SEARCH("rapid grass",E516)),"Rapid Grass",
ISNUMBER(SEARCH("thick'r lawn",E516)),"Thick'R Lawn",
ISNUMBER(SEARCH("fungicide",E516)),"Fungicide",
ISNUMBER(SEARCH("moss",E516)),"Moss Control",
ISNUMBER(SEARCH("perlite",E516)),"Perlite",
ISNUMBER(SEARCH("plant food",E516)),"Plant Food",
ISNUMBER(SEARCH("spreader",E516)),"Spreader",
ISNUMBER(SEARCH("sprayer",E516)),"Sprayer",
ISNUMBER(SEARCH("mower",E516)),"Lawn Mower",
ISNUMBER(SEARCH("sweeper",E516)),"Lawn Sweeper",
OR(ISNUMBER(SEARCH("pruner",E516)),ISNUMBER(SEARCH("trimmer",E516)),ISNUMBER(SEARCH("pole saw",E516))),"Pruning Tools",
TRUE,"Other"
)</f>
        <v>Bait &amp; Poison</v>
      </c>
      <c r="J516" s="7" t="str">
        <f t="shared" si="140"/>
        <v>Other - Bait &amp; Poison</v>
      </c>
      <c r="K516" s="4">
        <v>50</v>
      </c>
      <c r="L516" s="4">
        <v>4.4000000000000004</v>
      </c>
      <c r="M516" s="4">
        <v>38</v>
      </c>
      <c r="N516" s="4">
        <v>0</v>
      </c>
      <c r="O516" s="4">
        <f>VLOOKUP(A516,[7]Sheet1!$A:$M,2,0)</f>
        <v>0</v>
      </c>
      <c r="P516" s="4">
        <f>VLOOKUP(A516,[7]Sheet1!$A:$M,3,0)</f>
        <v>0</v>
      </c>
      <c r="Q516" s="4">
        <f>VLOOKUP(A516,[7]Sheet1!$A:$M,4,0)</f>
        <v>0</v>
      </c>
      <c r="R516" s="4">
        <f>VLOOKUP(A516,[7]Sheet1!$A:$M,5,0)</f>
        <v>50</v>
      </c>
      <c r="S516" s="4">
        <f>VLOOKUP(A516,[7]Sheet1!$A:$M,6,0)</f>
        <v>50</v>
      </c>
      <c r="T516" s="4">
        <f>VLOOKUP(A516,[7]Sheet1!$A:$M,7,0)</f>
        <v>50</v>
      </c>
      <c r="U516" s="4">
        <f>VLOOKUP(A516,[7]Sheet1!$A:$M,8,0)</f>
        <v>50</v>
      </c>
      <c r="V516" s="4">
        <f>VLOOKUP(A516,[7]Sheet1!$A:$M,9,0)</f>
        <v>50</v>
      </c>
      <c r="W516" s="4">
        <f>VLOOKUP(A516,[7]Sheet1!$A:$M,10,0)</f>
        <v>50</v>
      </c>
      <c r="X516" s="4">
        <f>VLOOKUP(A516,[7]Sheet1!$A:$M,11,0)</f>
        <v>0</v>
      </c>
      <c r="Y516" s="4">
        <f>VLOOKUP(A516,[7]Sheet1!$A:$M,12,0)</f>
        <v>0</v>
      </c>
      <c r="Z516" s="4">
        <f>VLOOKUP(A516,[7]Sheet1!$A:$M,13,0)</f>
        <v>50</v>
      </c>
      <c r="AA516" s="4">
        <f t="shared" si="136"/>
        <v>350</v>
      </c>
      <c r="AB516" s="7">
        <f t="shared" si="141"/>
        <v>29</v>
      </c>
      <c r="AC516" s="15">
        <f t="shared" si="137"/>
        <v>29.166666666666668</v>
      </c>
      <c r="AD516" s="16">
        <f t="shared" si="138"/>
        <v>30709</v>
      </c>
      <c r="AE516" s="16">
        <f t="shared" si="139"/>
        <v>2559.0833333333335</v>
      </c>
      <c r="AF516" s="21">
        <v>21.51</v>
      </c>
      <c r="AG516" s="21">
        <v>87.74</v>
      </c>
      <c r="AH516" s="15">
        <f t="shared" si="134"/>
        <v>0.83906666666666663</v>
      </c>
      <c r="AI516" s="15">
        <f t="shared" si="135"/>
        <v>2.9367333333333332</v>
      </c>
      <c r="AJ516" s="10">
        <v>0.5</v>
      </c>
      <c r="AK516" s="10">
        <v>0.5</v>
      </c>
      <c r="AL516" s="21">
        <v>21.51</v>
      </c>
      <c r="AM516" s="9">
        <f t="shared" si="142"/>
        <v>13.161</v>
      </c>
      <c r="AN516" s="9">
        <f t="shared" si="143"/>
        <v>2.6321999999999997</v>
      </c>
      <c r="AO516" s="9">
        <f t="shared" si="144"/>
        <v>17.547999999999998</v>
      </c>
      <c r="AP516" s="9">
        <f t="shared" si="145"/>
        <v>1.7547999999999999</v>
      </c>
      <c r="AQ516" s="9">
        <f t="shared" si="146"/>
        <v>17.547999999999998</v>
      </c>
      <c r="AR516" s="9">
        <f t="shared" si="147"/>
        <v>21.934999999999999</v>
      </c>
      <c r="AS516" s="11">
        <f t="shared" si="148"/>
        <v>8.3906666666666663</v>
      </c>
      <c r="AT516" s="12">
        <f t="shared" si="149"/>
        <v>5.4659999999999984</v>
      </c>
    </row>
    <row r="517" spans="1:46" ht="16.5" x14ac:dyDescent="0.4">
      <c r="A517" s="4" t="s">
        <v>2227</v>
      </c>
      <c r="B517" s="4" t="s">
        <v>2236</v>
      </c>
      <c r="C517" s="4" t="s">
        <v>2236</v>
      </c>
      <c r="D517" s="4" t="s">
        <v>2348</v>
      </c>
      <c r="E517" s="4" t="s">
        <v>2349</v>
      </c>
      <c r="F517" s="4" t="s">
        <v>2350</v>
      </c>
      <c r="G517" s="7" t="str">
        <f>VLOOKUP(A517,[1]done!$A:$I,9,0)</f>
        <v>Rodent</v>
      </c>
      <c r="H517" s="7" t="str" cm="1">
        <f t="array" ref="H517">_xlfn.IFS(
OR(ISNUMBER(SEARCH("mouse",E517)),ISNUMBER(SEARCH("rat",E517)),ISNUMBER(SEARCH("mice",E517)),ISNUMBER(SEARCH("rodent",E517))),"Rodent Control",
OR(ISNUMBER(SEARCH("fly",E517)),ISNUMBER(SEARCH("gnat",E517)),ISNUMBER(SEARCH("insect",E517)),ISNUMBER(SEARCH("mosquito",E517))),"Flying Insect Control",
OR(ISNUMBER(SEARCH("roach",E517)),ISNUMBER(SEARCH("ant",E517)),ISNUMBER(SEARCH("spider",E517)),ISNUMBER(SEARCH("cricket",E517)),ISNUMBER(SEARCH("scorpion",E517)),ISNUMBER(SEARCH("centipede",E517)),ISNUMBER(SEARCH("beetle",E517))),"Crawling Insect Control",
OR(ISNUMBER(SEARCH("tree",E517)),ISNUMBER(SEARCH("lantern",E517)),ISNUMBER(SEARCH("garden",E517)),ISNUMBER(SEARCH("plant",E517))),"Garden Pest Control",
OR(ISNUMBER(SEARCH("grass seed",E517)),ISNUMBER(SEARCH("seed mix",E517))),"Grass Seed",
OR(ISNUMBER(SEARCH("lawn food",E517)),ISNUMBER(SEARCH("fertilizer",E517))),"Lawn Fertilizer",
OR(ISNUMBER(SEARCH("patch",E517)),ISNUMBER(SEARCH("repair",E517)),ISNUMBER(SEARCH("thick'r",E517)),ISNUMBER(SEARCH("thick'r lawn",E517)),ISNUMBER(SEARCH("rapid grass",E517))),"Lawn Repair",
OR(ISNUMBER(SEARCH("weed",E517)),ISNUMBER(SEARCH("crabgrass",E517))),"Weed Control",
OR(ISNUMBER(SEARCH("fungicide",E517)),ISNUMBER(SEARCH("moss",E517))),"Disease &amp; Moss Control",
OR(ISNUMBER(SEARCH("plant food",E517)),ISNUMBER(SEARCH("miracid",E517))),"Plant Nutrition",
OR(ISNUMBER(SEARCH("perlite",E517))),"Soil Amendment",
OR(ISNUMBER(SEARCH("spreader",E517)),ISNUMBER(SEARCH("sprayer",E517)),ISNUMBER(SEARCH("mower",E517)),ISNUMBER(SEARCH("sweeper",E517)),ISNUMBER(SEARCH("pruner",E517)),ISNUMBER(SEARCH("trimmer",E517)),ISNUMBER(SEARCH("pole saw",E517))),"Garden Equipment",
TRUE,"Other"
)</f>
        <v>Rodent Control</v>
      </c>
      <c r="I517" s="7" t="str" cm="1">
        <f t="array" ref="I517">_xlfn.IFS(
OR(ISNUMBER(SEARCH("glue trap",E517)),ISNUMBER(SEARCH("glue board",E517))),"Glue Traps",
OR(ISNUMBER(SEARCH("snap trap",E517)),ISNUMBER(SEARCH("power-kill",E517)),ISNUMBER(SEARCH("wide pedal",E517)),ISNUMBER(SEARCH("metal pedal",E517))),"Snap Traps",
OR(ISNUMBER(SEARCH("electronic",E517)),ISNUMBER(SEARCH("zapper",E517))),"Electronic Traps",
OR(ISNUMBER(SEARCH("live catch",E517)),ISNUMBER(SEARCH("multi-catch",E517)),ISNUMBER(SEARCH("catch &amp; hold",E517)),ISNUMBER(SEARCH("tin cat",E517))),"Live Catch Traps",
OR(ISNUMBER(SEARCH("bait",E517)),ISNUMBER(SEARCH("poison",E517))),"Bait &amp; Poison",
ISNUMBER(SEARCH("repellent",E517)),"Repellents",
OR(ISNUMBER(SEARCH("fly trap",E517)),ISNUMBER(SEARCH("fly ribbon",E517)),ISNUMBER(SEARCH("fly stick",E517)),ISNUMBER(SEARCH("window fly",E517)),ISNUMBER(SEARCH("fly magnet",E517))),"Fly Traps",
OR(ISNUMBER(SEARCH("uv",E517)),ISNUMBER(SEARCH("fly light",E517)),ISNUMBER(SEARCH("plug-in",E517))),"UV Fly Traps",
ISNUMBER(SEARCH("roach",E517)),"Roach Traps",
ISNUMBER(SEARCH("ant",E517)),"Ant Traps",
ISNUMBER(SEARCH("spider",E517)),"Spider Traps",
ISNUMBER(SEARCH("mosquito",E517)),"Mosquito Traps",
ISNUMBER(SEARCH("beetle",E517)),"Beetle Traps",
ISNUMBER(SEARCH("lantern",E517)),"Lanternfly Control",
OR(ISNUMBER(SEARCH("tree shield",E517)),ISNUMBER(SEARCH("tree banding",E517)),ISNUMBER(SEARCH("insect barrier",E517))),"Tree Barriers",
OR(ISNUMBER(SEARCH("sun &amp; shade",E517)),ISNUMBER(SEARCH("sun and shade",E517))),"Sun &amp; Shade Mix",
ISNUMBER(SEARCH("tall fescue",E517)),"Tall Fescue",
ISNUMBER(SEARCH("bermudagrass",E517)),"Bermudagrass",
ISNUMBER(SEARCH("kentucky",E517)),"Kentucky Bluegrass",
ISNUMBER(SEARCH("zoysia",E517)),"Zoysia",
ISNUMBER(SEARCH("ryegrass",E517)),"Perennial Ryegrass",
ISNUMBER(SEARCH("centipede",E517)),"Centipede Grass",
ISNUMBER(SEARCH("dense shade",E517)),"Dense Shade Mix",
ISNUMBER(SEARCH("southern gold",E517)),"Southern Gold Mix",
ISNUMBER(SEARCH("heat-tolerant blue",E517)),"Heat-Tolerant Blue Mix",
ISNUMBER(SEARCH("high traffic",E517)),"High Traffic Mix",
ISNUMBER(SEARCH("quick fix",E517)),"Quick Fix Mix",
ISNUMBER(SEARCH("starter",E517)),"Starter Fertilizer",
ISNUMBER(SEARCH("weed &amp; feed",E517)),"Weed &amp; Feed",
ISNUMBER(SEARCH("lawn food",E517)),"Lawn Food",
ISNUMBER(SEARCH("triple action",E517)),"Triple Action Fertilizer",
ISNUMBER(SEARCH("green max",E517)),"Green Max Lawn Food",
ISNUMBER(SEARCH("patchmaster",E517)),"PatchMaster Repair",
ISNUMBER(SEARCH("ez seed",E517)),"EZ Seed Repair",
ISNUMBER(SEARCH("rapid grass",E517)),"Rapid Grass",
ISNUMBER(SEARCH("thick'r lawn",E517)),"Thick'R Lawn",
ISNUMBER(SEARCH("fungicide",E517)),"Fungicide",
ISNUMBER(SEARCH("moss",E517)),"Moss Control",
ISNUMBER(SEARCH("perlite",E517)),"Perlite",
ISNUMBER(SEARCH("plant food",E517)),"Plant Food",
ISNUMBER(SEARCH("spreader",E517)),"Spreader",
ISNUMBER(SEARCH("sprayer",E517)),"Sprayer",
ISNUMBER(SEARCH("mower",E517)),"Lawn Mower",
ISNUMBER(SEARCH("sweeper",E517)),"Lawn Sweeper",
OR(ISNUMBER(SEARCH("pruner",E517)),ISNUMBER(SEARCH("trimmer",E517)),ISNUMBER(SEARCH("pole saw",E517))),"Pruning Tools",
TRUE,"Other"
)</f>
        <v>Bait &amp; Poison</v>
      </c>
      <c r="J517" s="7" t="str">
        <f t="shared" si="140"/>
        <v>Rodent Control - Bait &amp; Poison</v>
      </c>
      <c r="K517" s="4">
        <v>50</v>
      </c>
      <c r="L517" s="4">
        <v>4</v>
      </c>
      <c r="M517" s="4">
        <v>65</v>
      </c>
      <c r="N517" s="4">
        <v>0</v>
      </c>
      <c r="O517" s="4">
        <f>VLOOKUP(A517,[7]Sheet1!$A:$M,2,0)</f>
        <v>0</v>
      </c>
      <c r="P517" s="4">
        <f>VLOOKUP(A517,[7]Sheet1!$A:$M,3,0)</f>
        <v>0</v>
      </c>
      <c r="Q517" s="4">
        <f>VLOOKUP(A517,[7]Sheet1!$A:$M,4,0)</f>
        <v>0</v>
      </c>
      <c r="R517" s="4">
        <f>VLOOKUP(A517,[7]Sheet1!$A:$M,5,0)</f>
        <v>0</v>
      </c>
      <c r="S517" s="4">
        <f>VLOOKUP(A517,[7]Sheet1!$A:$M,6,0)</f>
        <v>0</v>
      </c>
      <c r="T517" s="4">
        <f>VLOOKUP(A517,[7]Sheet1!$A:$M,7,0)</f>
        <v>0</v>
      </c>
      <c r="U517" s="4">
        <f>VLOOKUP(A517,[7]Sheet1!$A:$M,8,0)</f>
        <v>0</v>
      </c>
      <c r="V517" s="4">
        <f>VLOOKUP(A517,[7]Sheet1!$A:$M,9,0)</f>
        <v>0</v>
      </c>
      <c r="W517" s="4">
        <f>VLOOKUP(A517,[7]Sheet1!$A:$M,10,0)</f>
        <v>0</v>
      </c>
      <c r="X517" s="4">
        <f>VLOOKUP(A517,[7]Sheet1!$A:$M,11,0)</f>
        <v>0</v>
      </c>
      <c r="Y517" s="4">
        <f>VLOOKUP(A517,[7]Sheet1!$A:$M,12,0)</f>
        <v>0</v>
      </c>
      <c r="Z517" s="4">
        <f>VLOOKUP(A517,[7]Sheet1!$A:$M,13,0)</f>
        <v>0</v>
      </c>
      <c r="AA517" s="4">
        <f t="shared" si="136"/>
        <v>0</v>
      </c>
      <c r="AB517" s="7">
        <f t="shared" si="141"/>
        <v>0</v>
      </c>
      <c r="AC517" s="15">
        <f t="shared" si="137"/>
        <v>0</v>
      </c>
      <c r="AD517" s="16">
        <f t="shared" si="138"/>
        <v>0</v>
      </c>
      <c r="AE517" s="16">
        <f t="shared" si="139"/>
        <v>0</v>
      </c>
      <c r="AF517" s="21">
        <v>6.02</v>
      </c>
      <c r="AG517" s="21">
        <v>15.49</v>
      </c>
      <c r="AH517" s="15">
        <f t="shared" si="134"/>
        <v>-5.4933333333333292E-2</v>
      </c>
      <c r="AI517" s="15">
        <f t="shared" si="135"/>
        <v>-0.1922666666666665</v>
      </c>
      <c r="AJ517" s="10">
        <v>0.5</v>
      </c>
      <c r="AK517" s="10">
        <v>0.5</v>
      </c>
      <c r="AL517" s="21">
        <v>6.02</v>
      </c>
      <c r="AM517" s="9">
        <f t="shared" si="142"/>
        <v>2.3235000000000001</v>
      </c>
      <c r="AN517" s="9">
        <f t="shared" si="143"/>
        <v>0.4647</v>
      </c>
      <c r="AO517" s="9">
        <f t="shared" si="144"/>
        <v>3.0980000000000003</v>
      </c>
      <c r="AP517" s="9">
        <f t="shared" si="145"/>
        <v>0.30980000000000002</v>
      </c>
      <c r="AQ517" s="9">
        <f t="shared" si="146"/>
        <v>3.0980000000000003</v>
      </c>
      <c r="AR517" s="9">
        <f t="shared" si="147"/>
        <v>3.8725000000000001</v>
      </c>
      <c r="AS517" s="11">
        <f t="shared" si="148"/>
        <v>-0.5493333333333329</v>
      </c>
      <c r="AT517" s="12">
        <f t="shared" si="149"/>
        <v>-1.0656666666666661</v>
      </c>
    </row>
    <row r="518" spans="1:46" ht="16.5" x14ac:dyDescent="0.4">
      <c r="A518" s="4" t="s">
        <v>2228</v>
      </c>
      <c r="B518" s="4" t="s">
        <v>2236</v>
      </c>
      <c r="C518" s="4" t="s">
        <v>2263</v>
      </c>
      <c r="D518" s="4" t="s">
        <v>2351</v>
      </c>
      <c r="E518" s="4" t="s">
        <v>2352</v>
      </c>
      <c r="F518" s="4" t="s">
        <v>2353</v>
      </c>
      <c r="G518" s="7" t="str">
        <f>VLOOKUP(A518,[1]done!$A:$I,9,0)</f>
        <v>Rodent</v>
      </c>
      <c r="H518" s="7" t="str" cm="1">
        <f t="array" ref="H518">_xlfn.IFS(
OR(ISNUMBER(SEARCH("mouse",E518)),ISNUMBER(SEARCH("rat",E518)),ISNUMBER(SEARCH("mice",E518)),ISNUMBER(SEARCH("rodent",E518))),"Rodent Control",
OR(ISNUMBER(SEARCH("fly",E518)),ISNUMBER(SEARCH("gnat",E518)),ISNUMBER(SEARCH("insect",E518)),ISNUMBER(SEARCH("mosquito",E518))),"Flying Insect Control",
OR(ISNUMBER(SEARCH("roach",E518)),ISNUMBER(SEARCH("ant",E518)),ISNUMBER(SEARCH("spider",E518)),ISNUMBER(SEARCH("cricket",E518)),ISNUMBER(SEARCH("scorpion",E518)),ISNUMBER(SEARCH("centipede",E518)),ISNUMBER(SEARCH("beetle",E518))),"Crawling Insect Control",
OR(ISNUMBER(SEARCH("tree",E518)),ISNUMBER(SEARCH("lantern",E518)),ISNUMBER(SEARCH("garden",E518)),ISNUMBER(SEARCH("plant",E518))),"Garden Pest Control",
OR(ISNUMBER(SEARCH("grass seed",E518)),ISNUMBER(SEARCH("seed mix",E518))),"Grass Seed",
OR(ISNUMBER(SEARCH("lawn food",E518)),ISNUMBER(SEARCH("fertilizer",E518))),"Lawn Fertilizer",
OR(ISNUMBER(SEARCH("patch",E518)),ISNUMBER(SEARCH("repair",E518)),ISNUMBER(SEARCH("thick'r",E518)),ISNUMBER(SEARCH("thick'r lawn",E518)),ISNUMBER(SEARCH("rapid grass",E518))),"Lawn Repair",
OR(ISNUMBER(SEARCH("weed",E518)),ISNUMBER(SEARCH("crabgrass",E518))),"Weed Control",
OR(ISNUMBER(SEARCH("fungicide",E518)),ISNUMBER(SEARCH("moss",E518))),"Disease &amp; Moss Control",
OR(ISNUMBER(SEARCH("plant food",E518)),ISNUMBER(SEARCH("miracid",E518))),"Plant Nutrition",
OR(ISNUMBER(SEARCH("perlite",E518))),"Soil Amendment",
OR(ISNUMBER(SEARCH("spreader",E518)),ISNUMBER(SEARCH("sprayer",E518)),ISNUMBER(SEARCH("mower",E518)),ISNUMBER(SEARCH("sweeper",E518)),ISNUMBER(SEARCH("pruner",E518)),ISNUMBER(SEARCH("trimmer",E518)),ISNUMBER(SEARCH("pole saw",E518))),"Garden Equipment",
TRUE,"Other"
)</f>
        <v>Rodent Control</v>
      </c>
      <c r="I518" s="7" t="str" cm="1">
        <f t="array" ref="I518">_xlfn.IFS(
OR(ISNUMBER(SEARCH("glue trap",E518)),ISNUMBER(SEARCH("glue board",E518))),"Glue Traps",
OR(ISNUMBER(SEARCH("snap trap",E518)),ISNUMBER(SEARCH("power-kill",E518)),ISNUMBER(SEARCH("wide pedal",E518)),ISNUMBER(SEARCH("metal pedal",E518))),"Snap Traps",
OR(ISNUMBER(SEARCH("electronic",E518)),ISNUMBER(SEARCH("zapper",E518))),"Electronic Traps",
OR(ISNUMBER(SEARCH("live catch",E518)),ISNUMBER(SEARCH("multi-catch",E518)),ISNUMBER(SEARCH("catch &amp; hold",E518)),ISNUMBER(SEARCH("tin cat",E518))),"Live Catch Traps",
OR(ISNUMBER(SEARCH("bait",E518)),ISNUMBER(SEARCH("poison",E518))),"Bait &amp; Poison",
ISNUMBER(SEARCH("repellent",E518)),"Repellents",
OR(ISNUMBER(SEARCH("fly trap",E518)),ISNUMBER(SEARCH("fly ribbon",E518)),ISNUMBER(SEARCH("fly stick",E518)),ISNUMBER(SEARCH("window fly",E518)),ISNUMBER(SEARCH("fly magnet",E518))),"Fly Traps",
OR(ISNUMBER(SEARCH("uv",E518)),ISNUMBER(SEARCH("fly light",E518)),ISNUMBER(SEARCH("plug-in",E518))),"UV Fly Traps",
ISNUMBER(SEARCH("roach",E518)),"Roach Traps",
ISNUMBER(SEARCH("ant",E518)),"Ant Traps",
ISNUMBER(SEARCH("spider",E518)),"Spider Traps",
ISNUMBER(SEARCH("mosquito",E518)),"Mosquito Traps",
ISNUMBER(SEARCH("beetle",E518)),"Beetle Traps",
ISNUMBER(SEARCH("lantern",E518)),"Lanternfly Control",
OR(ISNUMBER(SEARCH("tree shield",E518)),ISNUMBER(SEARCH("tree banding",E518)),ISNUMBER(SEARCH("insect barrier",E518))),"Tree Barriers",
OR(ISNUMBER(SEARCH("sun &amp; shade",E518)),ISNUMBER(SEARCH("sun and shade",E518))),"Sun &amp; Shade Mix",
ISNUMBER(SEARCH("tall fescue",E518)),"Tall Fescue",
ISNUMBER(SEARCH("bermudagrass",E518)),"Bermudagrass",
ISNUMBER(SEARCH("kentucky",E518)),"Kentucky Bluegrass",
ISNUMBER(SEARCH("zoysia",E518)),"Zoysia",
ISNUMBER(SEARCH("ryegrass",E518)),"Perennial Ryegrass",
ISNUMBER(SEARCH("centipede",E518)),"Centipede Grass",
ISNUMBER(SEARCH("dense shade",E518)),"Dense Shade Mix",
ISNUMBER(SEARCH("southern gold",E518)),"Southern Gold Mix",
ISNUMBER(SEARCH("heat-tolerant blue",E518)),"Heat-Tolerant Blue Mix",
ISNUMBER(SEARCH("high traffic",E518)),"High Traffic Mix",
ISNUMBER(SEARCH("quick fix",E518)),"Quick Fix Mix",
ISNUMBER(SEARCH("starter",E518)),"Starter Fertilizer",
ISNUMBER(SEARCH("weed &amp; feed",E518)),"Weed &amp; Feed",
ISNUMBER(SEARCH("lawn food",E518)),"Lawn Food",
ISNUMBER(SEARCH("triple action",E518)),"Triple Action Fertilizer",
ISNUMBER(SEARCH("green max",E518)),"Green Max Lawn Food",
ISNUMBER(SEARCH("patchmaster",E518)),"PatchMaster Repair",
ISNUMBER(SEARCH("ez seed",E518)),"EZ Seed Repair",
ISNUMBER(SEARCH("rapid grass",E518)),"Rapid Grass",
ISNUMBER(SEARCH("thick'r lawn",E518)),"Thick'R Lawn",
ISNUMBER(SEARCH("fungicide",E518)),"Fungicide",
ISNUMBER(SEARCH("moss",E518)),"Moss Control",
ISNUMBER(SEARCH("perlite",E518)),"Perlite",
ISNUMBER(SEARCH("plant food",E518)),"Plant Food",
ISNUMBER(SEARCH("spreader",E518)),"Spreader",
ISNUMBER(SEARCH("sprayer",E518)),"Sprayer",
ISNUMBER(SEARCH("mower",E518)),"Lawn Mower",
ISNUMBER(SEARCH("sweeper",E518)),"Lawn Sweeper",
OR(ISNUMBER(SEARCH("pruner",E518)),ISNUMBER(SEARCH("trimmer",E518)),ISNUMBER(SEARCH("pole saw",E518))),"Pruning Tools",
TRUE,"Other"
)</f>
        <v>Glue Traps</v>
      </c>
      <c r="J518" s="7" t="str">
        <f t="shared" si="140"/>
        <v>Rodent Control - Glue Traps</v>
      </c>
      <c r="K518" s="4">
        <v>50</v>
      </c>
      <c r="L518" s="4">
        <v>4.4000000000000004</v>
      </c>
      <c r="M518" s="4">
        <v>291</v>
      </c>
      <c r="N518" s="4">
        <v>72</v>
      </c>
      <c r="O518" s="4">
        <f>VLOOKUP(A518,[7]Sheet1!$A:$M,2,0)</f>
        <v>0</v>
      </c>
      <c r="P518" s="4">
        <f>VLOOKUP(A518,[7]Sheet1!$A:$M,3,0)</f>
        <v>0</v>
      </c>
      <c r="Q518" s="4">
        <f>VLOOKUP(A518,[7]Sheet1!$A:$M,4,0)</f>
        <v>0</v>
      </c>
      <c r="R518" s="4">
        <f>VLOOKUP(A518,[7]Sheet1!$A:$M,5,0)</f>
        <v>0</v>
      </c>
      <c r="S518" s="4">
        <f>VLOOKUP(A518,[7]Sheet1!$A:$M,6,0)</f>
        <v>50</v>
      </c>
      <c r="T518" s="4">
        <f>VLOOKUP(A518,[7]Sheet1!$A:$M,7,0)</f>
        <v>0</v>
      </c>
      <c r="U518" s="4">
        <f>VLOOKUP(A518,[7]Sheet1!$A:$M,8,0)</f>
        <v>50</v>
      </c>
      <c r="V518" s="4">
        <f>VLOOKUP(A518,[7]Sheet1!$A:$M,9,0)</f>
        <v>50</v>
      </c>
      <c r="W518" s="4">
        <f>VLOOKUP(A518,[7]Sheet1!$A:$M,10,0)</f>
        <v>50</v>
      </c>
      <c r="X518" s="4">
        <f>VLOOKUP(A518,[7]Sheet1!$A:$M,11,0)</f>
        <v>0</v>
      </c>
      <c r="Y518" s="4">
        <f>VLOOKUP(A518,[7]Sheet1!$A:$M,12,0)</f>
        <v>0</v>
      </c>
      <c r="Z518" s="4">
        <f>VLOOKUP(A518,[7]Sheet1!$A:$M,13,0)</f>
        <v>0</v>
      </c>
      <c r="AA518" s="4">
        <f t="shared" si="136"/>
        <v>200</v>
      </c>
      <c r="AB518" s="7">
        <f t="shared" si="141"/>
        <v>17</v>
      </c>
      <c r="AC518" s="15">
        <f t="shared" si="137"/>
        <v>16.666666666666668</v>
      </c>
      <c r="AD518" s="16">
        <f t="shared" si="138"/>
        <v>5724</v>
      </c>
      <c r="AE518" s="16">
        <f t="shared" si="139"/>
        <v>477.00000000000006</v>
      </c>
      <c r="AF518" s="21">
        <v>7.23</v>
      </c>
      <c r="AG518" s="21">
        <v>28.62</v>
      </c>
      <c r="AH518" s="15">
        <f t="shared" si="134"/>
        <v>0.21453333333333335</v>
      </c>
      <c r="AI518" s="15">
        <f t="shared" si="135"/>
        <v>0.75086666666666657</v>
      </c>
      <c r="AJ518" s="10">
        <v>0.5</v>
      </c>
      <c r="AK518" s="10">
        <v>0.5</v>
      </c>
      <c r="AL518" s="21">
        <v>7.23</v>
      </c>
      <c r="AM518" s="9">
        <f t="shared" si="142"/>
        <v>4.2930000000000001</v>
      </c>
      <c r="AN518" s="9">
        <f t="shared" si="143"/>
        <v>0.85860000000000003</v>
      </c>
      <c r="AO518" s="9">
        <f t="shared" si="144"/>
        <v>5.7240000000000002</v>
      </c>
      <c r="AP518" s="9">
        <f t="shared" si="145"/>
        <v>0.57240000000000002</v>
      </c>
      <c r="AQ518" s="9">
        <f t="shared" si="146"/>
        <v>5.7240000000000002</v>
      </c>
      <c r="AR518" s="9">
        <f t="shared" si="147"/>
        <v>7.1550000000000002</v>
      </c>
      <c r="AS518" s="11">
        <f t="shared" si="148"/>
        <v>2.1453333333333333</v>
      </c>
      <c r="AT518" s="12">
        <f t="shared" si="149"/>
        <v>1.1913333333333334</v>
      </c>
    </row>
    <row r="519" spans="1:46" ht="16.5" x14ac:dyDescent="0.4">
      <c r="A519" s="4" t="s">
        <v>2229</v>
      </c>
      <c r="B519" s="4" t="s">
        <v>2236</v>
      </c>
      <c r="C519" s="4" t="s">
        <v>2236</v>
      </c>
      <c r="D519" s="4" t="s">
        <v>2354</v>
      </c>
      <c r="E519" s="4" t="s">
        <v>2355</v>
      </c>
      <c r="F519" s="4" t="s">
        <v>2356</v>
      </c>
      <c r="G519" s="7" t="str">
        <f>VLOOKUP(A519,[1]done!$A:$I,9,0)</f>
        <v>Mosquito/Fly</v>
      </c>
      <c r="H519" s="7" t="str" cm="1">
        <f t="array" ref="H519">_xlfn.IFS(
OR(ISNUMBER(SEARCH("mouse",E519)),ISNUMBER(SEARCH("rat",E519)),ISNUMBER(SEARCH("mice",E519)),ISNUMBER(SEARCH("rodent",E519))),"Rodent Control",
OR(ISNUMBER(SEARCH("fly",E519)),ISNUMBER(SEARCH("gnat",E519)),ISNUMBER(SEARCH("insect",E519)),ISNUMBER(SEARCH("mosquito",E519))),"Flying Insect Control",
OR(ISNUMBER(SEARCH("roach",E519)),ISNUMBER(SEARCH("ant",E519)),ISNUMBER(SEARCH("spider",E519)),ISNUMBER(SEARCH("cricket",E519)),ISNUMBER(SEARCH("scorpion",E519)),ISNUMBER(SEARCH("centipede",E519)),ISNUMBER(SEARCH("beetle",E519))),"Crawling Insect Control",
OR(ISNUMBER(SEARCH("tree",E519)),ISNUMBER(SEARCH("lantern",E519)),ISNUMBER(SEARCH("garden",E519)),ISNUMBER(SEARCH("plant",E519))),"Garden Pest Control",
OR(ISNUMBER(SEARCH("grass seed",E519)),ISNUMBER(SEARCH("seed mix",E519))),"Grass Seed",
OR(ISNUMBER(SEARCH("lawn food",E519)),ISNUMBER(SEARCH("fertilizer",E519))),"Lawn Fertilizer",
OR(ISNUMBER(SEARCH("patch",E519)),ISNUMBER(SEARCH("repair",E519)),ISNUMBER(SEARCH("thick'r",E519)),ISNUMBER(SEARCH("thick'r lawn",E519)),ISNUMBER(SEARCH("rapid grass",E519))),"Lawn Repair",
OR(ISNUMBER(SEARCH("weed",E519)),ISNUMBER(SEARCH("crabgrass",E519))),"Weed Control",
OR(ISNUMBER(SEARCH("fungicide",E519)),ISNUMBER(SEARCH("moss",E519))),"Disease &amp; Moss Control",
OR(ISNUMBER(SEARCH("plant food",E519)),ISNUMBER(SEARCH("miracid",E519))),"Plant Nutrition",
OR(ISNUMBER(SEARCH("perlite",E519))),"Soil Amendment",
OR(ISNUMBER(SEARCH("spreader",E519)),ISNUMBER(SEARCH("sprayer",E519)),ISNUMBER(SEARCH("mower",E519)),ISNUMBER(SEARCH("sweeper",E519)),ISNUMBER(SEARCH("pruner",E519)),ISNUMBER(SEARCH("trimmer",E519)),ISNUMBER(SEARCH("pole saw",E519))),"Garden Equipment",
TRUE,"Other"
)</f>
        <v>Flying Insect Control</v>
      </c>
      <c r="I519" s="7" t="str" cm="1">
        <f t="array" ref="I519">_xlfn.IFS(
OR(ISNUMBER(SEARCH("glue trap",E519)),ISNUMBER(SEARCH("glue board",E519))),"Glue Traps",
OR(ISNUMBER(SEARCH("snap trap",E519)),ISNUMBER(SEARCH("power-kill",E519)),ISNUMBER(SEARCH("wide pedal",E519)),ISNUMBER(SEARCH("metal pedal",E519))),"Snap Traps",
OR(ISNUMBER(SEARCH("electronic",E519)),ISNUMBER(SEARCH("zapper",E519))),"Electronic Traps",
OR(ISNUMBER(SEARCH("live catch",E519)),ISNUMBER(SEARCH("multi-catch",E519)),ISNUMBER(SEARCH("catch &amp; hold",E519)),ISNUMBER(SEARCH("tin cat",E519))),"Live Catch Traps",
OR(ISNUMBER(SEARCH("bait",E519)),ISNUMBER(SEARCH("poison",E519))),"Bait &amp; Poison",
ISNUMBER(SEARCH("repellent",E519)),"Repellents",
OR(ISNUMBER(SEARCH("fly trap",E519)),ISNUMBER(SEARCH("fly ribbon",E519)),ISNUMBER(SEARCH("fly stick",E519)),ISNUMBER(SEARCH("window fly",E519)),ISNUMBER(SEARCH("fly magnet",E519))),"Fly Traps",
OR(ISNUMBER(SEARCH("uv",E519)),ISNUMBER(SEARCH("fly light",E519)),ISNUMBER(SEARCH("plug-in",E519))),"UV Fly Traps",
ISNUMBER(SEARCH("roach",E519)),"Roach Traps",
ISNUMBER(SEARCH("ant",E519)),"Ant Traps",
ISNUMBER(SEARCH("spider",E519)),"Spider Traps",
ISNUMBER(SEARCH("mosquito",E519)),"Mosquito Traps",
ISNUMBER(SEARCH("beetle",E519)),"Beetle Traps",
ISNUMBER(SEARCH("lantern",E519)),"Lanternfly Control",
OR(ISNUMBER(SEARCH("tree shield",E519)),ISNUMBER(SEARCH("tree banding",E519)),ISNUMBER(SEARCH("insect barrier",E519))),"Tree Barriers",
OR(ISNUMBER(SEARCH("sun &amp; shade",E519)),ISNUMBER(SEARCH("sun and shade",E519))),"Sun &amp; Shade Mix",
ISNUMBER(SEARCH("tall fescue",E519)),"Tall Fescue",
ISNUMBER(SEARCH("bermudagrass",E519)),"Bermudagrass",
ISNUMBER(SEARCH("kentucky",E519)),"Kentucky Bluegrass",
ISNUMBER(SEARCH("zoysia",E519)),"Zoysia",
ISNUMBER(SEARCH("ryegrass",E519)),"Perennial Ryegrass",
ISNUMBER(SEARCH("centipede",E519)),"Centipede Grass",
ISNUMBER(SEARCH("dense shade",E519)),"Dense Shade Mix",
ISNUMBER(SEARCH("southern gold",E519)),"Southern Gold Mix",
ISNUMBER(SEARCH("heat-tolerant blue",E519)),"Heat-Tolerant Blue Mix",
ISNUMBER(SEARCH("high traffic",E519)),"High Traffic Mix",
ISNUMBER(SEARCH("quick fix",E519)),"Quick Fix Mix",
ISNUMBER(SEARCH("starter",E519)),"Starter Fertilizer",
ISNUMBER(SEARCH("weed &amp; feed",E519)),"Weed &amp; Feed",
ISNUMBER(SEARCH("lawn food",E519)),"Lawn Food",
ISNUMBER(SEARCH("triple action",E519)),"Triple Action Fertilizer",
ISNUMBER(SEARCH("green max",E519)),"Green Max Lawn Food",
ISNUMBER(SEARCH("patchmaster",E519)),"PatchMaster Repair",
ISNUMBER(SEARCH("ez seed",E519)),"EZ Seed Repair",
ISNUMBER(SEARCH("rapid grass",E519)),"Rapid Grass",
ISNUMBER(SEARCH("thick'r lawn",E519)),"Thick'R Lawn",
ISNUMBER(SEARCH("fungicide",E519)),"Fungicide",
ISNUMBER(SEARCH("moss",E519)),"Moss Control",
ISNUMBER(SEARCH("perlite",E519)),"Perlite",
ISNUMBER(SEARCH("plant food",E519)),"Plant Food",
ISNUMBER(SEARCH("spreader",E519)),"Spreader",
ISNUMBER(SEARCH("sprayer",E519)),"Sprayer",
ISNUMBER(SEARCH("mower",E519)),"Lawn Mower",
ISNUMBER(SEARCH("sweeper",E519)),"Lawn Sweeper",
OR(ISNUMBER(SEARCH("pruner",E519)),ISNUMBER(SEARCH("trimmer",E519)),ISNUMBER(SEARCH("pole saw",E519))),"Pruning Tools",
TRUE,"Other"
)</f>
        <v>Glue Traps</v>
      </c>
      <c r="J519" s="7" t="str">
        <f t="shared" si="140"/>
        <v>Flying Insect Control - Glue Traps</v>
      </c>
      <c r="K519" s="4">
        <v>50</v>
      </c>
      <c r="L519" s="4">
        <v>3.9</v>
      </c>
      <c r="M519" s="4">
        <v>384</v>
      </c>
      <c r="N519" s="4" t="s">
        <v>1400</v>
      </c>
      <c r="O519" s="4">
        <f>VLOOKUP(A519,[7]Sheet1!$A:$M,2,0)</f>
        <v>0</v>
      </c>
      <c r="P519" s="4">
        <f>VLOOKUP(A519,[7]Sheet1!$A:$M,3,0)</f>
        <v>0</v>
      </c>
      <c r="Q519" s="4">
        <f>VLOOKUP(A519,[7]Sheet1!$A:$M,4,0)</f>
        <v>0</v>
      </c>
      <c r="R519" s="4">
        <f>VLOOKUP(A519,[7]Sheet1!$A:$M,5,0)</f>
        <v>0</v>
      </c>
      <c r="S519" s="4">
        <f>VLOOKUP(A519,[7]Sheet1!$A:$M,6,0)</f>
        <v>0</v>
      </c>
      <c r="T519" s="4">
        <f>VLOOKUP(A519,[7]Sheet1!$A:$M,7,0)</f>
        <v>0</v>
      </c>
      <c r="U519" s="4">
        <f>VLOOKUP(A519,[7]Sheet1!$A:$M,8,0)</f>
        <v>0</v>
      </c>
      <c r="V519" s="4">
        <f>VLOOKUP(A519,[7]Sheet1!$A:$M,9,0)</f>
        <v>50</v>
      </c>
      <c r="W519" s="4">
        <f>VLOOKUP(A519,[7]Sheet1!$A:$M,10,0)</f>
        <v>50</v>
      </c>
      <c r="X519" s="4">
        <f>VLOOKUP(A519,[7]Sheet1!$A:$M,11,0)</f>
        <v>0</v>
      </c>
      <c r="Y519" s="4">
        <f>VLOOKUP(A519,[7]Sheet1!$A:$M,12,0)</f>
        <v>0</v>
      </c>
      <c r="Z519" s="4">
        <f>VLOOKUP(A519,[7]Sheet1!$A:$M,13,0)</f>
        <v>0</v>
      </c>
      <c r="AA519" s="4">
        <f t="shared" si="136"/>
        <v>100</v>
      </c>
      <c r="AB519" s="7">
        <f t="shared" si="141"/>
        <v>8</v>
      </c>
      <c r="AC519" s="15">
        <f t="shared" si="137"/>
        <v>8.3333333333333339</v>
      </c>
      <c r="AD519" s="16">
        <f t="shared" si="138"/>
        <v>671</v>
      </c>
      <c r="AE519" s="16">
        <f t="shared" si="139"/>
        <v>55.916666666666671</v>
      </c>
      <c r="AF519" s="21">
        <v>3.5</v>
      </c>
      <c r="AG519" s="21">
        <v>6.71</v>
      </c>
      <c r="AH519" s="15">
        <f t="shared" si="134"/>
        <v>-0.12106666666666668</v>
      </c>
      <c r="AI519" s="15">
        <f t="shared" si="135"/>
        <v>-0.42373333333333335</v>
      </c>
      <c r="AJ519" s="10">
        <v>0.5</v>
      </c>
      <c r="AK519" s="10">
        <v>0.5</v>
      </c>
      <c r="AL519" s="21">
        <v>3.5</v>
      </c>
      <c r="AM519" s="9">
        <f t="shared" si="142"/>
        <v>1.0065</v>
      </c>
      <c r="AN519" s="9">
        <f t="shared" si="143"/>
        <v>0.20129999999999998</v>
      </c>
      <c r="AO519" s="9">
        <f t="shared" si="144"/>
        <v>1.3420000000000001</v>
      </c>
      <c r="AP519" s="9">
        <f t="shared" si="145"/>
        <v>0.13420000000000001</v>
      </c>
      <c r="AQ519" s="9">
        <f t="shared" si="146"/>
        <v>1.3420000000000001</v>
      </c>
      <c r="AR519" s="9">
        <f t="shared" si="147"/>
        <v>1.6775</v>
      </c>
      <c r="AS519" s="11">
        <f t="shared" si="148"/>
        <v>-1.2106666666666668</v>
      </c>
      <c r="AT519" s="12">
        <f t="shared" si="149"/>
        <v>-1.4343333333333337</v>
      </c>
    </row>
    <row r="520" spans="1:46" ht="16.5" x14ac:dyDescent="0.4">
      <c r="A520" s="4" t="s">
        <v>2230</v>
      </c>
      <c r="B520" s="4" t="s">
        <v>2236</v>
      </c>
      <c r="C520" s="4" t="s">
        <v>2236</v>
      </c>
      <c r="D520" s="4" t="s">
        <v>2357</v>
      </c>
      <c r="E520" s="4" t="s">
        <v>2358</v>
      </c>
      <c r="F520" s="4" t="s">
        <v>2359</v>
      </c>
      <c r="G520" s="7" t="str">
        <f>VLOOKUP(A520,[1]done!$A:$I,9,0)</f>
        <v>Rodent</v>
      </c>
      <c r="H520" s="7" t="str" cm="1">
        <f t="array" ref="H520">_xlfn.IFS(
OR(ISNUMBER(SEARCH("mouse",E520)),ISNUMBER(SEARCH("rat",E520)),ISNUMBER(SEARCH("mice",E520)),ISNUMBER(SEARCH("rodent",E520))),"Rodent Control",
OR(ISNUMBER(SEARCH("fly",E520)),ISNUMBER(SEARCH("gnat",E520)),ISNUMBER(SEARCH("insect",E520)),ISNUMBER(SEARCH("mosquito",E520))),"Flying Insect Control",
OR(ISNUMBER(SEARCH("roach",E520)),ISNUMBER(SEARCH("ant",E520)),ISNUMBER(SEARCH("spider",E520)),ISNUMBER(SEARCH("cricket",E520)),ISNUMBER(SEARCH("scorpion",E520)),ISNUMBER(SEARCH("centipede",E520)),ISNUMBER(SEARCH("beetle",E520))),"Crawling Insect Control",
OR(ISNUMBER(SEARCH("tree",E520)),ISNUMBER(SEARCH("lantern",E520)),ISNUMBER(SEARCH("garden",E520)),ISNUMBER(SEARCH("plant",E520))),"Garden Pest Control",
OR(ISNUMBER(SEARCH("grass seed",E520)),ISNUMBER(SEARCH("seed mix",E520))),"Grass Seed",
OR(ISNUMBER(SEARCH("lawn food",E520)),ISNUMBER(SEARCH("fertilizer",E520))),"Lawn Fertilizer",
OR(ISNUMBER(SEARCH("patch",E520)),ISNUMBER(SEARCH("repair",E520)),ISNUMBER(SEARCH("thick'r",E520)),ISNUMBER(SEARCH("thick'r lawn",E520)),ISNUMBER(SEARCH("rapid grass",E520))),"Lawn Repair",
OR(ISNUMBER(SEARCH("weed",E520)),ISNUMBER(SEARCH("crabgrass",E520))),"Weed Control",
OR(ISNUMBER(SEARCH("fungicide",E520)),ISNUMBER(SEARCH("moss",E520))),"Disease &amp; Moss Control",
OR(ISNUMBER(SEARCH("plant food",E520)),ISNUMBER(SEARCH("miracid",E520))),"Plant Nutrition",
OR(ISNUMBER(SEARCH("perlite",E520))),"Soil Amendment",
OR(ISNUMBER(SEARCH("spreader",E520)),ISNUMBER(SEARCH("sprayer",E520)),ISNUMBER(SEARCH("mower",E520)),ISNUMBER(SEARCH("sweeper",E520)),ISNUMBER(SEARCH("pruner",E520)),ISNUMBER(SEARCH("trimmer",E520)),ISNUMBER(SEARCH("pole saw",E520))),"Garden Equipment",
TRUE,"Other"
)</f>
        <v>Rodent Control</v>
      </c>
      <c r="I520" s="7" t="str" cm="1">
        <f t="array" ref="I520">_xlfn.IFS(
OR(ISNUMBER(SEARCH("glue trap",E520)),ISNUMBER(SEARCH("glue board",E520))),"Glue Traps",
OR(ISNUMBER(SEARCH("snap trap",E520)),ISNUMBER(SEARCH("power-kill",E520)),ISNUMBER(SEARCH("wide pedal",E520)),ISNUMBER(SEARCH("metal pedal",E520))),"Snap Traps",
OR(ISNUMBER(SEARCH("electronic",E520)),ISNUMBER(SEARCH("zapper",E520))),"Electronic Traps",
OR(ISNUMBER(SEARCH("live catch",E520)),ISNUMBER(SEARCH("multi-catch",E520)),ISNUMBER(SEARCH("catch &amp; hold",E520)),ISNUMBER(SEARCH("tin cat",E520))),"Live Catch Traps",
OR(ISNUMBER(SEARCH("bait",E520)),ISNUMBER(SEARCH("poison",E520))),"Bait &amp; Poison",
ISNUMBER(SEARCH("repellent",E520)),"Repellents",
OR(ISNUMBER(SEARCH("fly trap",E520)),ISNUMBER(SEARCH("fly ribbon",E520)),ISNUMBER(SEARCH("fly stick",E520)),ISNUMBER(SEARCH("window fly",E520)),ISNUMBER(SEARCH("fly magnet",E520))),"Fly Traps",
OR(ISNUMBER(SEARCH("uv",E520)),ISNUMBER(SEARCH("fly light",E520)),ISNUMBER(SEARCH("plug-in",E520))),"UV Fly Traps",
ISNUMBER(SEARCH("roach",E520)),"Roach Traps",
ISNUMBER(SEARCH("ant",E520)),"Ant Traps",
ISNUMBER(SEARCH("spider",E520)),"Spider Traps",
ISNUMBER(SEARCH("mosquito",E520)),"Mosquito Traps",
ISNUMBER(SEARCH("beetle",E520)),"Beetle Traps",
ISNUMBER(SEARCH("lantern",E520)),"Lanternfly Control",
OR(ISNUMBER(SEARCH("tree shield",E520)),ISNUMBER(SEARCH("tree banding",E520)),ISNUMBER(SEARCH("insect barrier",E520))),"Tree Barriers",
OR(ISNUMBER(SEARCH("sun &amp; shade",E520)),ISNUMBER(SEARCH("sun and shade",E520))),"Sun &amp; Shade Mix",
ISNUMBER(SEARCH("tall fescue",E520)),"Tall Fescue",
ISNUMBER(SEARCH("bermudagrass",E520)),"Bermudagrass",
ISNUMBER(SEARCH("kentucky",E520)),"Kentucky Bluegrass",
ISNUMBER(SEARCH("zoysia",E520)),"Zoysia",
ISNUMBER(SEARCH("ryegrass",E520)),"Perennial Ryegrass",
ISNUMBER(SEARCH("centipede",E520)),"Centipede Grass",
ISNUMBER(SEARCH("dense shade",E520)),"Dense Shade Mix",
ISNUMBER(SEARCH("southern gold",E520)),"Southern Gold Mix",
ISNUMBER(SEARCH("heat-tolerant blue",E520)),"Heat-Tolerant Blue Mix",
ISNUMBER(SEARCH("high traffic",E520)),"High Traffic Mix",
ISNUMBER(SEARCH("quick fix",E520)),"Quick Fix Mix",
ISNUMBER(SEARCH("starter",E520)),"Starter Fertilizer",
ISNUMBER(SEARCH("weed &amp; feed",E520)),"Weed &amp; Feed",
ISNUMBER(SEARCH("lawn food",E520)),"Lawn Food",
ISNUMBER(SEARCH("triple action",E520)),"Triple Action Fertilizer",
ISNUMBER(SEARCH("green max",E520)),"Green Max Lawn Food",
ISNUMBER(SEARCH("patchmaster",E520)),"PatchMaster Repair",
ISNUMBER(SEARCH("ez seed",E520)),"EZ Seed Repair",
ISNUMBER(SEARCH("rapid grass",E520)),"Rapid Grass",
ISNUMBER(SEARCH("thick'r lawn",E520)),"Thick'R Lawn",
ISNUMBER(SEARCH("fungicide",E520)),"Fungicide",
ISNUMBER(SEARCH("moss",E520)),"Moss Control",
ISNUMBER(SEARCH("perlite",E520)),"Perlite",
ISNUMBER(SEARCH("plant food",E520)),"Plant Food",
ISNUMBER(SEARCH("spreader",E520)),"Spreader",
ISNUMBER(SEARCH("sprayer",E520)),"Sprayer",
ISNUMBER(SEARCH("mower",E520)),"Lawn Mower",
ISNUMBER(SEARCH("sweeper",E520)),"Lawn Sweeper",
OR(ISNUMBER(SEARCH("pruner",E520)),ISNUMBER(SEARCH("trimmer",E520)),ISNUMBER(SEARCH("pole saw",E520))),"Pruning Tools",
TRUE,"Other"
)</f>
        <v>Glue Traps</v>
      </c>
      <c r="J520" s="7" t="str">
        <f t="shared" si="140"/>
        <v>Rodent Control - Glue Traps</v>
      </c>
      <c r="K520" s="4">
        <v>50</v>
      </c>
      <c r="L520" s="4">
        <v>4.5</v>
      </c>
      <c r="M520" s="4">
        <v>59</v>
      </c>
      <c r="N520" s="4" t="s">
        <v>2380</v>
      </c>
      <c r="O520" s="4">
        <f>VLOOKUP(A520,[7]Sheet1!$A:$M,2,0)</f>
        <v>0</v>
      </c>
      <c r="P520" s="4">
        <f>VLOOKUP(A520,[7]Sheet1!$A:$M,3,0)</f>
        <v>0</v>
      </c>
      <c r="Q520" s="4">
        <f>VLOOKUP(A520,[7]Sheet1!$A:$M,4,0)</f>
        <v>0</v>
      </c>
      <c r="R520" s="4">
        <f>VLOOKUP(A520,[7]Sheet1!$A:$M,5,0)</f>
        <v>0</v>
      </c>
      <c r="S520" s="4">
        <f>VLOOKUP(A520,[7]Sheet1!$A:$M,6,0)</f>
        <v>50</v>
      </c>
      <c r="T520" s="4">
        <f>VLOOKUP(A520,[7]Sheet1!$A:$M,7,0)</f>
        <v>0</v>
      </c>
      <c r="U520" s="4">
        <f>VLOOKUP(A520,[7]Sheet1!$A:$M,8,0)</f>
        <v>0</v>
      </c>
      <c r="V520" s="4">
        <f>VLOOKUP(A520,[7]Sheet1!$A:$M,9,0)</f>
        <v>50</v>
      </c>
      <c r="W520" s="4">
        <f>VLOOKUP(A520,[7]Sheet1!$A:$M,10,0)</f>
        <v>50</v>
      </c>
      <c r="X520" s="4">
        <f>VLOOKUP(A520,[7]Sheet1!$A:$M,11,0)</f>
        <v>0</v>
      </c>
      <c r="Y520" s="4">
        <f>VLOOKUP(A520,[7]Sheet1!$A:$M,12,0)</f>
        <v>50</v>
      </c>
      <c r="Z520" s="4">
        <f>VLOOKUP(A520,[7]Sheet1!$A:$M,13,0)</f>
        <v>50</v>
      </c>
      <c r="AA520" s="4">
        <f t="shared" si="136"/>
        <v>250</v>
      </c>
      <c r="AB520" s="7">
        <f t="shared" si="141"/>
        <v>21</v>
      </c>
      <c r="AC520" s="15">
        <f t="shared" si="137"/>
        <v>20.833333333333332</v>
      </c>
      <c r="AD520" s="16">
        <f t="shared" si="138"/>
        <v>4612.5</v>
      </c>
      <c r="AE520" s="16">
        <f t="shared" si="139"/>
        <v>384.37499999999994</v>
      </c>
      <c r="AF520" s="21">
        <v>5.22</v>
      </c>
      <c r="AG520" s="21">
        <v>18.45</v>
      </c>
      <c r="AH520" s="15">
        <f t="shared" si="134"/>
        <v>7.7333333333333254E-2</v>
      </c>
      <c r="AI520" s="15">
        <f t="shared" si="135"/>
        <v>0.27066666666666639</v>
      </c>
      <c r="AJ520" s="10">
        <v>0.5</v>
      </c>
      <c r="AK520" s="10">
        <v>0.5</v>
      </c>
      <c r="AL520" s="21">
        <v>5.22</v>
      </c>
      <c r="AM520" s="9">
        <f t="shared" si="142"/>
        <v>2.7674999999999996</v>
      </c>
      <c r="AN520" s="9">
        <f t="shared" si="143"/>
        <v>0.55349999999999999</v>
      </c>
      <c r="AO520" s="9">
        <f t="shared" si="144"/>
        <v>3.69</v>
      </c>
      <c r="AP520" s="9">
        <f t="shared" si="145"/>
        <v>0.36899999999999999</v>
      </c>
      <c r="AQ520" s="9">
        <f t="shared" si="146"/>
        <v>3.69</v>
      </c>
      <c r="AR520" s="9">
        <f t="shared" si="147"/>
        <v>4.6124999999999998</v>
      </c>
      <c r="AS520" s="11">
        <f t="shared" si="148"/>
        <v>0.77333333333333254</v>
      </c>
      <c r="AT520" s="12">
        <f t="shared" si="149"/>
        <v>0.15833333333333263</v>
      </c>
    </row>
    <row r="521" spans="1:46" ht="16.5" x14ac:dyDescent="0.4">
      <c r="A521" s="4" t="s">
        <v>2231</v>
      </c>
      <c r="B521" s="4" t="s">
        <v>2236</v>
      </c>
      <c r="C521" s="4" t="s">
        <v>2236</v>
      </c>
      <c r="D521" s="4" t="s">
        <v>2360</v>
      </c>
      <c r="E521" s="4" t="s">
        <v>2361</v>
      </c>
      <c r="F521" s="4" t="s">
        <v>2362</v>
      </c>
      <c r="G521" s="7" t="str">
        <f>VLOOKUP(A521,[1]done!$A:$I,9,0)</f>
        <v>Rodent</v>
      </c>
      <c r="H521" s="7" t="str" cm="1">
        <f t="array" ref="H521">_xlfn.IFS(
OR(ISNUMBER(SEARCH("mouse",E521)),ISNUMBER(SEARCH("rat",E521)),ISNUMBER(SEARCH("mice",E521)),ISNUMBER(SEARCH("rodent",E521))),"Rodent Control",
OR(ISNUMBER(SEARCH("fly",E521)),ISNUMBER(SEARCH("gnat",E521)),ISNUMBER(SEARCH("insect",E521)),ISNUMBER(SEARCH("mosquito",E521))),"Flying Insect Control",
OR(ISNUMBER(SEARCH("roach",E521)),ISNUMBER(SEARCH("ant",E521)),ISNUMBER(SEARCH("spider",E521)),ISNUMBER(SEARCH("cricket",E521)),ISNUMBER(SEARCH("scorpion",E521)),ISNUMBER(SEARCH("centipede",E521)),ISNUMBER(SEARCH("beetle",E521))),"Crawling Insect Control",
OR(ISNUMBER(SEARCH("tree",E521)),ISNUMBER(SEARCH("lantern",E521)),ISNUMBER(SEARCH("garden",E521)),ISNUMBER(SEARCH("plant",E521))),"Garden Pest Control",
OR(ISNUMBER(SEARCH("grass seed",E521)),ISNUMBER(SEARCH("seed mix",E521))),"Grass Seed",
OR(ISNUMBER(SEARCH("lawn food",E521)),ISNUMBER(SEARCH("fertilizer",E521))),"Lawn Fertilizer",
OR(ISNUMBER(SEARCH("patch",E521)),ISNUMBER(SEARCH("repair",E521)),ISNUMBER(SEARCH("thick'r",E521)),ISNUMBER(SEARCH("thick'r lawn",E521)),ISNUMBER(SEARCH("rapid grass",E521))),"Lawn Repair",
OR(ISNUMBER(SEARCH("weed",E521)),ISNUMBER(SEARCH("crabgrass",E521))),"Weed Control",
OR(ISNUMBER(SEARCH("fungicide",E521)),ISNUMBER(SEARCH("moss",E521))),"Disease &amp; Moss Control",
OR(ISNUMBER(SEARCH("plant food",E521)),ISNUMBER(SEARCH("miracid",E521))),"Plant Nutrition",
OR(ISNUMBER(SEARCH("perlite",E521))),"Soil Amendment",
OR(ISNUMBER(SEARCH("spreader",E521)),ISNUMBER(SEARCH("sprayer",E521)),ISNUMBER(SEARCH("mower",E521)),ISNUMBER(SEARCH("sweeper",E521)),ISNUMBER(SEARCH("pruner",E521)),ISNUMBER(SEARCH("trimmer",E521)),ISNUMBER(SEARCH("pole saw",E521))),"Garden Equipment",
TRUE,"Other"
)</f>
        <v>Rodent Control</v>
      </c>
      <c r="I521" s="7" t="str" cm="1">
        <f t="array" ref="I521">_xlfn.IFS(
OR(ISNUMBER(SEARCH("glue trap",E521)),ISNUMBER(SEARCH("glue board",E521))),"Glue Traps",
OR(ISNUMBER(SEARCH("snap trap",E521)),ISNUMBER(SEARCH("power-kill",E521)),ISNUMBER(SEARCH("wide pedal",E521)),ISNUMBER(SEARCH("metal pedal",E521))),"Snap Traps",
OR(ISNUMBER(SEARCH("electronic",E521)),ISNUMBER(SEARCH("zapper",E521))),"Electronic Traps",
OR(ISNUMBER(SEARCH("live catch",E521)),ISNUMBER(SEARCH("multi-catch",E521)),ISNUMBER(SEARCH("catch &amp; hold",E521)),ISNUMBER(SEARCH("tin cat",E521))),"Live Catch Traps",
OR(ISNUMBER(SEARCH("bait",E521)),ISNUMBER(SEARCH("poison",E521))),"Bait &amp; Poison",
ISNUMBER(SEARCH("repellent",E521)),"Repellents",
OR(ISNUMBER(SEARCH("fly trap",E521)),ISNUMBER(SEARCH("fly ribbon",E521)),ISNUMBER(SEARCH("fly stick",E521)),ISNUMBER(SEARCH("window fly",E521)),ISNUMBER(SEARCH("fly magnet",E521))),"Fly Traps",
OR(ISNUMBER(SEARCH("uv",E521)),ISNUMBER(SEARCH("fly light",E521)),ISNUMBER(SEARCH("plug-in",E521))),"UV Fly Traps",
ISNUMBER(SEARCH("roach",E521)),"Roach Traps",
ISNUMBER(SEARCH("ant",E521)),"Ant Traps",
ISNUMBER(SEARCH("spider",E521)),"Spider Traps",
ISNUMBER(SEARCH("mosquito",E521)),"Mosquito Traps",
ISNUMBER(SEARCH("beetle",E521)),"Beetle Traps",
ISNUMBER(SEARCH("lantern",E521)),"Lanternfly Control",
OR(ISNUMBER(SEARCH("tree shield",E521)),ISNUMBER(SEARCH("tree banding",E521)),ISNUMBER(SEARCH("insect barrier",E521))),"Tree Barriers",
OR(ISNUMBER(SEARCH("sun &amp; shade",E521)),ISNUMBER(SEARCH("sun and shade",E521))),"Sun &amp; Shade Mix",
ISNUMBER(SEARCH("tall fescue",E521)),"Tall Fescue",
ISNUMBER(SEARCH("bermudagrass",E521)),"Bermudagrass",
ISNUMBER(SEARCH("kentucky",E521)),"Kentucky Bluegrass",
ISNUMBER(SEARCH("zoysia",E521)),"Zoysia",
ISNUMBER(SEARCH("ryegrass",E521)),"Perennial Ryegrass",
ISNUMBER(SEARCH("centipede",E521)),"Centipede Grass",
ISNUMBER(SEARCH("dense shade",E521)),"Dense Shade Mix",
ISNUMBER(SEARCH("southern gold",E521)),"Southern Gold Mix",
ISNUMBER(SEARCH("heat-tolerant blue",E521)),"Heat-Tolerant Blue Mix",
ISNUMBER(SEARCH("high traffic",E521)),"High Traffic Mix",
ISNUMBER(SEARCH("quick fix",E521)),"Quick Fix Mix",
ISNUMBER(SEARCH("starter",E521)),"Starter Fertilizer",
ISNUMBER(SEARCH("weed &amp; feed",E521)),"Weed &amp; Feed",
ISNUMBER(SEARCH("lawn food",E521)),"Lawn Food",
ISNUMBER(SEARCH("triple action",E521)),"Triple Action Fertilizer",
ISNUMBER(SEARCH("green max",E521)),"Green Max Lawn Food",
ISNUMBER(SEARCH("patchmaster",E521)),"PatchMaster Repair",
ISNUMBER(SEARCH("ez seed",E521)),"EZ Seed Repair",
ISNUMBER(SEARCH("rapid grass",E521)),"Rapid Grass",
ISNUMBER(SEARCH("thick'r lawn",E521)),"Thick'R Lawn",
ISNUMBER(SEARCH("fungicide",E521)),"Fungicide",
ISNUMBER(SEARCH("moss",E521)),"Moss Control",
ISNUMBER(SEARCH("perlite",E521)),"Perlite",
ISNUMBER(SEARCH("plant food",E521)),"Plant Food",
ISNUMBER(SEARCH("spreader",E521)),"Spreader",
ISNUMBER(SEARCH("sprayer",E521)),"Sprayer",
ISNUMBER(SEARCH("mower",E521)),"Lawn Mower",
ISNUMBER(SEARCH("sweeper",E521)),"Lawn Sweeper",
OR(ISNUMBER(SEARCH("pruner",E521)),ISNUMBER(SEARCH("trimmer",E521)),ISNUMBER(SEARCH("pole saw",E521))),"Pruning Tools",
TRUE,"Other"
)</f>
        <v>Bait &amp; Poison</v>
      </c>
      <c r="J521" s="7" t="str">
        <f t="shared" si="140"/>
        <v>Rodent Control - Bait &amp; Poison</v>
      </c>
      <c r="K521" s="4">
        <v>50</v>
      </c>
      <c r="L521" s="4">
        <v>4.5</v>
      </c>
      <c r="M521" s="4">
        <v>256</v>
      </c>
      <c r="N521" s="4">
        <v>0</v>
      </c>
      <c r="O521" s="4">
        <f>VLOOKUP(A521,[7]Sheet1!$A:$M,2,0)</f>
        <v>0</v>
      </c>
      <c r="P521" s="4">
        <f>VLOOKUP(A521,[7]Sheet1!$A:$M,3,0)</f>
        <v>0</v>
      </c>
      <c r="Q521" s="4">
        <f>VLOOKUP(A521,[7]Sheet1!$A:$M,4,0)</f>
        <v>0</v>
      </c>
      <c r="R521" s="4">
        <f>VLOOKUP(A521,[7]Sheet1!$A:$M,5,0)</f>
        <v>0</v>
      </c>
      <c r="S521" s="4">
        <f>VLOOKUP(A521,[7]Sheet1!$A:$M,6,0)</f>
        <v>0</v>
      </c>
      <c r="T521" s="4">
        <f>VLOOKUP(A521,[7]Sheet1!$A:$M,7,0)</f>
        <v>0</v>
      </c>
      <c r="U521" s="4">
        <f>VLOOKUP(A521,[7]Sheet1!$A:$M,8,0)</f>
        <v>0</v>
      </c>
      <c r="V521" s="4">
        <f>VLOOKUP(A521,[7]Sheet1!$A:$M,9,0)</f>
        <v>0</v>
      </c>
      <c r="W521" s="4">
        <f>VLOOKUP(A521,[7]Sheet1!$A:$M,10,0)</f>
        <v>50</v>
      </c>
      <c r="X521" s="4">
        <f>VLOOKUP(A521,[7]Sheet1!$A:$M,11,0)</f>
        <v>50</v>
      </c>
      <c r="Y521" s="4">
        <f>VLOOKUP(A521,[7]Sheet1!$A:$M,12,0)</f>
        <v>50</v>
      </c>
      <c r="Z521" s="4">
        <f>VLOOKUP(A521,[7]Sheet1!$A:$M,13,0)</f>
        <v>50</v>
      </c>
      <c r="AA521" s="4">
        <f t="shared" si="136"/>
        <v>200</v>
      </c>
      <c r="AB521" s="7">
        <f t="shared" si="141"/>
        <v>17</v>
      </c>
      <c r="AC521" s="15">
        <f t="shared" si="137"/>
        <v>16.666666666666668</v>
      </c>
      <c r="AD521" s="16">
        <f t="shared" si="138"/>
        <v>23198</v>
      </c>
      <c r="AE521" s="16">
        <f t="shared" si="139"/>
        <v>1933.1666666666667</v>
      </c>
      <c r="AF521" s="21">
        <v>16.86</v>
      </c>
      <c r="AG521" s="21">
        <v>115.99</v>
      </c>
      <c r="AH521" s="15">
        <f t="shared" si="134"/>
        <v>1.9023999999999999</v>
      </c>
      <c r="AI521" s="15">
        <f t="shared" si="135"/>
        <v>6.6583999999999985</v>
      </c>
      <c r="AJ521" s="10">
        <v>0.5</v>
      </c>
      <c r="AK521" s="10">
        <v>0.5</v>
      </c>
      <c r="AL521" s="21">
        <v>16.86</v>
      </c>
      <c r="AM521" s="9">
        <f t="shared" si="142"/>
        <v>17.398499999999999</v>
      </c>
      <c r="AN521" s="9">
        <f t="shared" si="143"/>
        <v>3.4796999999999998</v>
      </c>
      <c r="AO521" s="9">
        <f t="shared" si="144"/>
        <v>23.198</v>
      </c>
      <c r="AP521" s="9">
        <f t="shared" si="145"/>
        <v>2.3197999999999999</v>
      </c>
      <c r="AQ521" s="9">
        <f t="shared" si="146"/>
        <v>23.198</v>
      </c>
      <c r="AR521" s="9">
        <f t="shared" si="147"/>
        <v>28.997499999999999</v>
      </c>
      <c r="AS521" s="11">
        <f t="shared" si="148"/>
        <v>19.023999999999997</v>
      </c>
      <c r="AT521" s="12">
        <f t="shared" si="149"/>
        <v>15.157666666666664</v>
      </c>
    </row>
    <row r="522" spans="1:46" ht="16.5" x14ac:dyDescent="0.4">
      <c r="A522" s="4" t="s">
        <v>2232</v>
      </c>
      <c r="B522" s="4" t="s">
        <v>2236</v>
      </c>
      <c r="C522" s="4" t="s">
        <v>2314</v>
      </c>
      <c r="D522" s="4" t="s">
        <v>2363</v>
      </c>
      <c r="E522" s="4" t="s">
        <v>2364</v>
      </c>
      <c r="F522" s="4" t="s">
        <v>2365</v>
      </c>
      <c r="G522" s="7" t="str">
        <f>VLOOKUP(A522,[1]done!$A:$I,9,0)</f>
        <v>Other crawling insects</v>
      </c>
      <c r="H522" s="7" t="str" cm="1">
        <f t="array" ref="H522">_xlfn.IFS(
OR(ISNUMBER(SEARCH("mouse",E522)),ISNUMBER(SEARCH("rat",E522)),ISNUMBER(SEARCH("mice",E522)),ISNUMBER(SEARCH("rodent",E522))),"Rodent Control",
OR(ISNUMBER(SEARCH("fly",E522)),ISNUMBER(SEARCH("gnat",E522)),ISNUMBER(SEARCH("insect",E522)),ISNUMBER(SEARCH("mosquito",E522))),"Flying Insect Control",
OR(ISNUMBER(SEARCH("roach",E522)),ISNUMBER(SEARCH("ant",E522)),ISNUMBER(SEARCH("spider",E522)),ISNUMBER(SEARCH("cricket",E522)),ISNUMBER(SEARCH("scorpion",E522)),ISNUMBER(SEARCH("centipede",E522)),ISNUMBER(SEARCH("beetle",E522))),"Crawling Insect Control",
OR(ISNUMBER(SEARCH("tree",E522)),ISNUMBER(SEARCH("lantern",E522)),ISNUMBER(SEARCH("garden",E522)),ISNUMBER(SEARCH("plant",E522))),"Garden Pest Control",
OR(ISNUMBER(SEARCH("grass seed",E522)),ISNUMBER(SEARCH("seed mix",E522))),"Grass Seed",
OR(ISNUMBER(SEARCH("lawn food",E522)),ISNUMBER(SEARCH("fertilizer",E522))),"Lawn Fertilizer",
OR(ISNUMBER(SEARCH("patch",E522)),ISNUMBER(SEARCH("repair",E522)),ISNUMBER(SEARCH("thick'r",E522)),ISNUMBER(SEARCH("thick'r lawn",E522)),ISNUMBER(SEARCH("rapid grass",E522))),"Lawn Repair",
OR(ISNUMBER(SEARCH("weed",E522)),ISNUMBER(SEARCH("crabgrass",E522))),"Weed Control",
OR(ISNUMBER(SEARCH("fungicide",E522)),ISNUMBER(SEARCH("moss",E522))),"Disease &amp; Moss Control",
OR(ISNUMBER(SEARCH("plant food",E522)),ISNUMBER(SEARCH("miracid",E522))),"Plant Nutrition",
OR(ISNUMBER(SEARCH("perlite",E522))),"Soil Amendment",
OR(ISNUMBER(SEARCH("spreader",E522)),ISNUMBER(SEARCH("sprayer",E522)),ISNUMBER(SEARCH("mower",E522)),ISNUMBER(SEARCH("sweeper",E522)),ISNUMBER(SEARCH("pruner",E522)),ISNUMBER(SEARCH("trimmer",E522)),ISNUMBER(SEARCH("pole saw",E522))),"Garden Equipment",
TRUE,"Other"
)</f>
        <v>Crawling Insect Control</v>
      </c>
      <c r="I522" s="7" t="str" cm="1">
        <f t="array" ref="I522">_xlfn.IFS(
OR(ISNUMBER(SEARCH("glue trap",E522)),ISNUMBER(SEARCH("glue board",E522))),"Glue Traps",
OR(ISNUMBER(SEARCH("snap trap",E522)),ISNUMBER(SEARCH("power-kill",E522)),ISNUMBER(SEARCH("wide pedal",E522)),ISNUMBER(SEARCH("metal pedal",E522))),"Snap Traps",
OR(ISNUMBER(SEARCH("electronic",E522)),ISNUMBER(SEARCH("zapper",E522))),"Electronic Traps",
OR(ISNUMBER(SEARCH("live catch",E522)),ISNUMBER(SEARCH("multi-catch",E522)),ISNUMBER(SEARCH("catch &amp; hold",E522)),ISNUMBER(SEARCH("tin cat",E522))),"Live Catch Traps",
OR(ISNUMBER(SEARCH("bait",E522)),ISNUMBER(SEARCH("poison",E522))),"Bait &amp; Poison",
ISNUMBER(SEARCH("repellent",E522)),"Repellents",
OR(ISNUMBER(SEARCH("fly trap",E522)),ISNUMBER(SEARCH("fly ribbon",E522)),ISNUMBER(SEARCH("fly stick",E522)),ISNUMBER(SEARCH("window fly",E522)),ISNUMBER(SEARCH("fly magnet",E522))),"Fly Traps",
OR(ISNUMBER(SEARCH("uv",E522)),ISNUMBER(SEARCH("fly light",E522)),ISNUMBER(SEARCH("plug-in",E522))),"UV Fly Traps",
ISNUMBER(SEARCH("roach",E522)),"Roach Traps",
ISNUMBER(SEARCH("ant",E522)),"Ant Traps",
ISNUMBER(SEARCH("spider",E522)),"Spider Traps",
ISNUMBER(SEARCH("mosquito",E522)),"Mosquito Traps",
ISNUMBER(SEARCH("beetle",E522)),"Beetle Traps",
ISNUMBER(SEARCH("lantern",E522)),"Lanternfly Control",
OR(ISNUMBER(SEARCH("tree shield",E522)),ISNUMBER(SEARCH("tree banding",E522)),ISNUMBER(SEARCH("insect barrier",E522))),"Tree Barriers",
OR(ISNUMBER(SEARCH("sun &amp; shade",E522)),ISNUMBER(SEARCH("sun and shade",E522))),"Sun &amp; Shade Mix",
ISNUMBER(SEARCH("tall fescue",E522)),"Tall Fescue",
ISNUMBER(SEARCH("bermudagrass",E522)),"Bermudagrass",
ISNUMBER(SEARCH("kentucky",E522)),"Kentucky Bluegrass",
ISNUMBER(SEARCH("zoysia",E522)),"Zoysia",
ISNUMBER(SEARCH("ryegrass",E522)),"Perennial Ryegrass",
ISNUMBER(SEARCH("centipede",E522)),"Centipede Grass",
ISNUMBER(SEARCH("dense shade",E522)),"Dense Shade Mix",
ISNUMBER(SEARCH("southern gold",E522)),"Southern Gold Mix",
ISNUMBER(SEARCH("heat-tolerant blue",E522)),"Heat-Tolerant Blue Mix",
ISNUMBER(SEARCH("high traffic",E522)),"High Traffic Mix",
ISNUMBER(SEARCH("quick fix",E522)),"Quick Fix Mix",
ISNUMBER(SEARCH("starter",E522)),"Starter Fertilizer",
ISNUMBER(SEARCH("weed &amp; feed",E522)),"Weed &amp; Feed",
ISNUMBER(SEARCH("lawn food",E522)),"Lawn Food",
ISNUMBER(SEARCH("triple action",E522)),"Triple Action Fertilizer",
ISNUMBER(SEARCH("green max",E522)),"Green Max Lawn Food",
ISNUMBER(SEARCH("patchmaster",E522)),"PatchMaster Repair",
ISNUMBER(SEARCH("ez seed",E522)),"EZ Seed Repair",
ISNUMBER(SEARCH("rapid grass",E522)),"Rapid Grass",
ISNUMBER(SEARCH("thick'r lawn",E522)),"Thick'R Lawn",
ISNUMBER(SEARCH("fungicide",E522)),"Fungicide",
ISNUMBER(SEARCH("moss",E522)),"Moss Control",
ISNUMBER(SEARCH("perlite",E522)),"Perlite",
ISNUMBER(SEARCH("plant food",E522)),"Plant Food",
ISNUMBER(SEARCH("spreader",E522)),"Spreader",
ISNUMBER(SEARCH("sprayer",E522)),"Sprayer",
ISNUMBER(SEARCH("mower",E522)),"Lawn Mower",
ISNUMBER(SEARCH("sweeper",E522)),"Lawn Sweeper",
OR(ISNUMBER(SEARCH("pruner",E522)),ISNUMBER(SEARCH("trimmer",E522)),ISNUMBER(SEARCH("pole saw",E522))),"Pruning Tools",
TRUE,"Other"
)</f>
        <v>Glue Traps</v>
      </c>
      <c r="J522" s="7" t="str">
        <f t="shared" si="140"/>
        <v>Crawling Insect Control - Glue Traps</v>
      </c>
      <c r="K522" s="4">
        <v>50</v>
      </c>
      <c r="L522" s="4">
        <v>4.5999999999999996</v>
      </c>
      <c r="M522" s="4">
        <v>155</v>
      </c>
      <c r="N522" s="4">
        <v>0</v>
      </c>
      <c r="O522" s="4">
        <f>VLOOKUP(A522,[7]Sheet1!$A:$M,2,0)</f>
        <v>0</v>
      </c>
      <c r="P522" s="4">
        <f>VLOOKUP(A522,[7]Sheet1!$A:$M,3,0)</f>
        <v>0</v>
      </c>
      <c r="Q522" s="4">
        <f>VLOOKUP(A522,[7]Sheet1!$A:$M,4,0)</f>
        <v>0</v>
      </c>
      <c r="R522" s="4">
        <f>VLOOKUP(A522,[7]Sheet1!$A:$M,5,0)</f>
        <v>0</v>
      </c>
      <c r="S522" s="4">
        <f>VLOOKUP(A522,[7]Sheet1!$A:$M,6,0)</f>
        <v>0</v>
      </c>
      <c r="T522" s="4">
        <f>VLOOKUP(A522,[7]Sheet1!$A:$M,7,0)</f>
        <v>0</v>
      </c>
      <c r="U522" s="4">
        <f>VLOOKUP(A522,[7]Sheet1!$A:$M,8,0)</f>
        <v>0</v>
      </c>
      <c r="V522" s="4">
        <f>VLOOKUP(A522,[7]Sheet1!$A:$M,9,0)</f>
        <v>0</v>
      </c>
      <c r="W522" s="4">
        <f>VLOOKUP(A522,[7]Sheet1!$A:$M,10,0)</f>
        <v>0</v>
      </c>
      <c r="X522" s="4">
        <f>VLOOKUP(A522,[7]Sheet1!$A:$M,11,0)</f>
        <v>50</v>
      </c>
      <c r="Y522" s="4">
        <f>VLOOKUP(A522,[7]Sheet1!$A:$M,12,0)</f>
        <v>50</v>
      </c>
      <c r="Z522" s="4">
        <f>VLOOKUP(A522,[7]Sheet1!$A:$M,13,0)</f>
        <v>0</v>
      </c>
      <c r="AA522" s="4">
        <f t="shared" si="136"/>
        <v>100</v>
      </c>
      <c r="AB522" s="7">
        <f t="shared" si="141"/>
        <v>8</v>
      </c>
      <c r="AC522" s="15">
        <f t="shared" si="137"/>
        <v>8.3333333333333339</v>
      </c>
      <c r="AD522" s="16">
        <f t="shared" si="138"/>
        <v>2128</v>
      </c>
      <c r="AE522" s="16">
        <f t="shared" si="139"/>
        <v>177.33333333333334</v>
      </c>
      <c r="AF522" s="21">
        <v>5.76</v>
      </c>
      <c r="AG522" s="21">
        <v>21.28</v>
      </c>
      <c r="AH522" s="15">
        <f t="shared" si="134"/>
        <v>0.11680000000000004</v>
      </c>
      <c r="AI522" s="15">
        <f t="shared" si="135"/>
        <v>0.40880000000000011</v>
      </c>
      <c r="AJ522" s="10">
        <v>0.5</v>
      </c>
      <c r="AK522" s="10">
        <v>0.5</v>
      </c>
      <c r="AL522" s="21">
        <v>5.76</v>
      </c>
      <c r="AM522" s="9">
        <f t="shared" si="142"/>
        <v>3.1920000000000002</v>
      </c>
      <c r="AN522" s="9">
        <f t="shared" si="143"/>
        <v>0.63839999999999997</v>
      </c>
      <c r="AO522" s="9">
        <f t="shared" si="144"/>
        <v>4.2560000000000002</v>
      </c>
      <c r="AP522" s="9">
        <f t="shared" si="145"/>
        <v>0.42560000000000003</v>
      </c>
      <c r="AQ522" s="9">
        <f t="shared" si="146"/>
        <v>4.2560000000000002</v>
      </c>
      <c r="AR522" s="9">
        <f t="shared" si="147"/>
        <v>5.32</v>
      </c>
      <c r="AS522" s="11">
        <f t="shared" si="148"/>
        <v>1.1680000000000004</v>
      </c>
      <c r="AT522" s="12">
        <f t="shared" si="149"/>
        <v>0.45866666666666706</v>
      </c>
    </row>
    <row r="523" spans="1:46" ht="16.5" x14ac:dyDescent="0.4">
      <c r="A523" s="4" t="s">
        <v>2233</v>
      </c>
      <c r="B523" s="4" t="s">
        <v>2236</v>
      </c>
      <c r="C523" s="4" t="s">
        <v>2236</v>
      </c>
      <c r="D523" s="4" t="s">
        <v>2366</v>
      </c>
      <c r="E523" s="4" t="s">
        <v>2367</v>
      </c>
      <c r="F523" s="4" t="s">
        <v>2368</v>
      </c>
      <c r="G523" s="7" t="str">
        <f>VLOOKUP(A523,[1]done!$A:$I,9,0)</f>
        <v>Bed Bug repellent</v>
      </c>
      <c r="H523" s="7" t="str" cm="1">
        <f t="array" ref="H523">_xlfn.IFS(
OR(ISNUMBER(SEARCH("mouse",E523)),ISNUMBER(SEARCH("rat",E523)),ISNUMBER(SEARCH("mice",E523)),ISNUMBER(SEARCH("rodent",E523))),"Rodent Control",
OR(ISNUMBER(SEARCH("fly",E523)),ISNUMBER(SEARCH("gnat",E523)),ISNUMBER(SEARCH("insect",E523)),ISNUMBER(SEARCH("mosquito",E523))),"Flying Insect Control",
OR(ISNUMBER(SEARCH("roach",E523)),ISNUMBER(SEARCH("ant",E523)),ISNUMBER(SEARCH("spider",E523)),ISNUMBER(SEARCH("cricket",E523)),ISNUMBER(SEARCH("scorpion",E523)),ISNUMBER(SEARCH("centipede",E523)),ISNUMBER(SEARCH("beetle",E523))),"Crawling Insect Control",
OR(ISNUMBER(SEARCH("tree",E523)),ISNUMBER(SEARCH("lantern",E523)),ISNUMBER(SEARCH("garden",E523)),ISNUMBER(SEARCH("plant",E523))),"Garden Pest Control",
OR(ISNUMBER(SEARCH("grass seed",E523)),ISNUMBER(SEARCH("seed mix",E523))),"Grass Seed",
OR(ISNUMBER(SEARCH("lawn food",E523)),ISNUMBER(SEARCH("fertilizer",E523))),"Lawn Fertilizer",
OR(ISNUMBER(SEARCH("patch",E523)),ISNUMBER(SEARCH("repair",E523)),ISNUMBER(SEARCH("thick'r",E523)),ISNUMBER(SEARCH("thick'r lawn",E523)),ISNUMBER(SEARCH("rapid grass",E523))),"Lawn Repair",
OR(ISNUMBER(SEARCH("weed",E523)),ISNUMBER(SEARCH("crabgrass",E523))),"Weed Control",
OR(ISNUMBER(SEARCH("fungicide",E523)),ISNUMBER(SEARCH("moss",E523))),"Disease &amp; Moss Control",
OR(ISNUMBER(SEARCH("plant food",E523)),ISNUMBER(SEARCH("miracid",E523))),"Plant Nutrition",
OR(ISNUMBER(SEARCH("perlite",E523))),"Soil Amendment",
OR(ISNUMBER(SEARCH("spreader",E523)),ISNUMBER(SEARCH("sprayer",E523)),ISNUMBER(SEARCH("mower",E523)),ISNUMBER(SEARCH("sweeper",E523)),ISNUMBER(SEARCH("pruner",E523)),ISNUMBER(SEARCH("trimmer",E523)),ISNUMBER(SEARCH("pole saw",E523))),"Garden Equipment",
TRUE,"Other"
)</f>
        <v>Other</v>
      </c>
      <c r="I523" s="7" t="str" cm="1">
        <f t="array" ref="I523">_xlfn.IFS(
OR(ISNUMBER(SEARCH("glue trap",E523)),ISNUMBER(SEARCH("glue board",E523))),"Glue Traps",
OR(ISNUMBER(SEARCH("snap trap",E523)),ISNUMBER(SEARCH("power-kill",E523)),ISNUMBER(SEARCH("wide pedal",E523)),ISNUMBER(SEARCH("metal pedal",E523))),"Snap Traps",
OR(ISNUMBER(SEARCH("electronic",E523)),ISNUMBER(SEARCH("zapper",E523))),"Electronic Traps",
OR(ISNUMBER(SEARCH("live catch",E523)),ISNUMBER(SEARCH("multi-catch",E523)),ISNUMBER(SEARCH("catch &amp; hold",E523)),ISNUMBER(SEARCH("tin cat",E523))),"Live Catch Traps",
OR(ISNUMBER(SEARCH("bait",E523)),ISNUMBER(SEARCH("poison",E523))),"Bait &amp; Poison",
ISNUMBER(SEARCH("repellent",E523)),"Repellents",
OR(ISNUMBER(SEARCH("fly trap",E523)),ISNUMBER(SEARCH("fly ribbon",E523)),ISNUMBER(SEARCH("fly stick",E523)),ISNUMBER(SEARCH("window fly",E523)),ISNUMBER(SEARCH("fly magnet",E523))),"Fly Traps",
OR(ISNUMBER(SEARCH("uv",E523)),ISNUMBER(SEARCH("fly light",E523)),ISNUMBER(SEARCH("plug-in",E523))),"UV Fly Traps",
ISNUMBER(SEARCH("roach",E523)),"Roach Traps",
ISNUMBER(SEARCH("ant",E523)),"Ant Traps",
ISNUMBER(SEARCH("spider",E523)),"Spider Traps",
ISNUMBER(SEARCH("mosquito",E523)),"Mosquito Traps",
ISNUMBER(SEARCH("beetle",E523)),"Beetle Traps",
ISNUMBER(SEARCH("lantern",E523)),"Lanternfly Control",
OR(ISNUMBER(SEARCH("tree shield",E523)),ISNUMBER(SEARCH("tree banding",E523)),ISNUMBER(SEARCH("insect barrier",E523))),"Tree Barriers",
OR(ISNUMBER(SEARCH("sun &amp; shade",E523)),ISNUMBER(SEARCH("sun and shade",E523))),"Sun &amp; Shade Mix",
ISNUMBER(SEARCH("tall fescue",E523)),"Tall Fescue",
ISNUMBER(SEARCH("bermudagrass",E523)),"Bermudagrass",
ISNUMBER(SEARCH("kentucky",E523)),"Kentucky Bluegrass",
ISNUMBER(SEARCH("zoysia",E523)),"Zoysia",
ISNUMBER(SEARCH("ryegrass",E523)),"Perennial Ryegrass",
ISNUMBER(SEARCH("centipede",E523)),"Centipede Grass",
ISNUMBER(SEARCH("dense shade",E523)),"Dense Shade Mix",
ISNUMBER(SEARCH("southern gold",E523)),"Southern Gold Mix",
ISNUMBER(SEARCH("heat-tolerant blue",E523)),"Heat-Tolerant Blue Mix",
ISNUMBER(SEARCH("high traffic",E523)),"High Traffic Mix",
ISNUMBER(SEARCH("quick fix",E523)),"Quick Fix Mix",
ISNUMBER(SEARCH("starter",E523)),"Starter Fertilizer",
ISNUMBER(SEARCH("weed &amp; feed",E523)),"Weed &amp; Feed",
ISNUMBER(SEARCH("lawn food",E523)),"Lawn Food",
ISNUMBER(SEARCH("triple action",E523)),"Triple Action Fertilizer",
ISNUMBER(SEARCH("green max",E523)),"Green Max Lawn Food",
ISNUMBER(SEARCH("patchmaster",E523)),"PatchMaster Repair",
ISNUMBER(SEARCH("ez seed",E523)),"EZ Seed Repair",
ISNUMBER(SEARCH("rapid grass",E523)),"Rapid Grass",
ISNUMBER(SEARCH("thick'r lawn",E523)),"Thick'R Lawn",
ISNUMBER(SEARCH("fungicide",E523)),"Fungicide",
ISNUMBER(SEARCH("moss",E523)),"Moss Control",
ISNUMBER(SEARCH("perlite",E523)),"Perlite",
ISNUMBER(SEARCH("plant food",E523)),"Plant Food",
ISNUMBER(SEARCH("spreader",E523)),"Spreader",
ISNUMBER(SEARCH("sprayer",E523)),"Sprayer",
ISNUMBER(SEARCH("mower",E523)),"Lawn Mower",
ISNUMBER(SEARCH("sweeper",E523)),"Lawn Sweeper",
OR(ISNUMBER(SEARCH("pruner",E523)),ISNUMBER(SEARCH("trimmer",E523)),ISNUMBER(SEARCH("pole saw",E523))),"Pruning Tools",
TRUE,"Other"
)</f>
        <v>Other</v>
      </c>
      <c r="J523" s="7" t="str">
        <f t="shared" si="140"/>
        <v>Other - Other</v>
      </c>
      <c r="K523" s="4">
        <v>50</v>
      </c>
      <c r="L523" s="4">
        <v>3.8</v>
      </c>
      <c r="M523" s="4">
        <v>3</v>
      </c>
      <c r="N523" s="4">
        <v>0</v>
      </c>
      <c r="O523" s="4">
        <f>VLOOKUP(A523,[7]Sheet1!$A:$M,2,0)</f>
        <v>0</v>
      </c>
      <c r="P523" s="4">
        <f>VLOOKUP(A523,[7]Sheet1!$A:$M,3,0)</f>
        <v>0</v>
      </c>
      <c r="Q523" s="4">
        <f>VLOOKUP(A523,[7]Sheet1!$A:$M,4,0)</f>
        <v>0</v>
      </c>
      <c r="R523" s="4">
        <f>VLOOKUP(A523,[7]Sheet1!$A:$M,5,0)</f>
        <v>0</v>
      </c>
      <c r="S523" s="4">
        <f>VLOOKUP(A523,[7]Sheet1!$A:$M,6,0)</f>
        <v>0</v>
      </c>
      <c r="T523" s="4">
        <f>VLOOKUP(A523,[7]Sheet1!$A:$M,7,0)</f>
        <v>0</v>
      </c>
      <c r="U523" s="4">
        <f>VLOOKUP(A523,[7]Sheet1!$A:$M,8,0)</f>
        <v>0</v>
      </c>
      <c r="V523" s="4">
        <f>VLOOKUP(A523,[7]Sheet1!$A:$M,9,0)</f>
        <v>50</v>
      </c>
      <c r="W523" s="4">
        <f>VLOOKUP(A523,[7]Sheet1!$A:$M,10,0)</f>
        <v>0</v>
      </c>
      <c r="X523" s="4">
        <f>VLOOKUP(A523,[7]Sheet1!$A:$M,11,0)</f>
        <v>0</v>
      </c>
      <c r="Y523" s="4">
        <f>VLOOKUP(A523,[7]Sheet1!$A:$M,12,0)</f>
        <v>0</v>
      </c>
      <c r="Z523" s="4">
        <f>VLOOKUP(A523,[7]Sheet1!$A:$M,13,0)</f>
        <v>0</v>
      </c>
      <c r="AA523" s="4">
        <f t="shared" si="136"/>
        <v>50</v>
      </c>
      <c r="AB523" s="7">
        <f t="shared" si="141"/>
        <v>4</v>
      </c>
      <c r="AC523" s="15">
        <f t="shared" si="137"/>
        <v>4.166666666666667</v>
      </c>
      <c r="AD523" s="16">
        <f t="shared" si="138"/>
        <v>4497</v>
      </c>
      <c r="AE523" s="16">
        <f t="shared" si="139"/>
        <v>374.75</v>
      </c>
      <c r="AF523" s="21">
        <v>4.76</v>
      </c>
      <c r="AG523" s="21">
        <v>89.94</v>
      </c>
      <c r="AH523" s="15">
        <f t="shared" si="134"/>
        <v>2.0144000000000002</v>
      </c>
      <c r="AI523" s="15">
        <f t="shared" si="135"/>
        <v>7.0503999999999998</v>
      </c>
      <c r="AJ523" s="10">
        <v>0.5</v>
      </c>
      <c r="AK523" s="10">
        <v>0.5</v>
      </c>
      <c r="AL523" s="21">
        <v>4.76</v>
      </c>
      <c r="AM523" s="9">
        <f t="shared" si="142"/>
        <v>13.491</v>
      </c>
      <c r="AN523" s="9">
        <f t="shared" si="143"/>
        <v>2.6981999999999999</v>
      </c>
      <c r="AO523" s="9">
        <f t="shared" si="144"/>
        <v>17.988</v>
      </c>
      <c r="AP523" s="9">
        <f t="shared" si="145"/>
        <v>1.7988</v>
      </c>
      <c r="AQ523" s="9">
        <f t="shared" si="146"/>
        <v>17.988</v>
      </c>
      <c r="AR523" s="9">
        <f t="shared" si="147"/>
        <v>22.484999999999999</v>
      </c>
      <c r="AS523" s="11">
        <f t="shared" si="148"/>
        <v>20.144000000000002</v>
      </c>
      <c r="AT523" s="12">
        <f t="shared" si="149"/>
        <v>17.146000000000001</v>
      </c>
    </row>
    <row r="524" spans="1:46" ht="16.5" x14ac:dyDescent="0.4">
      <c r="A524" s="4" t="s">
        <v>2234</v>
      </c>
      <c r="B524" s="4" t="s">
        <v>2236</v>
      </c>
      <c r="C524" s="4" t="s">
        <v>2236</v>
      </c>
      <c r="D524" s="4" t="s">
        <v>2369</v>
      </c>
      <c r="E524" s="4" t="s">
        <v>2370</v>
      </c>
      <c r="F524" s="4" t="s">
        <v>2371</v>
      </c>
      <c r="G524" s="7" t="str">
        <f>VLOOKUP(A524,[1]done!$A:$I,9,0)</f>
        <v>Rodent</v>
      </c>
      <c r="H524" s="7" t="str" cm="1">
        <f t="array" ref="H524">_xlfn.IFS(
OR(ISNUMBER(SEARCH("mouse",E524)),ISNUMBER(SEARCH("rat",E524)),ISNUMBER(SEARCH("mice",E524)),ISNUMBER(SEARCH("rodent",E524))),"Rodent Control",
OR(ISNUMBER(SEARCH("fly",E524)),ISNUMBER(SEARCH("gnat",E524)),ISNUMBER(SEARCH("insect",E524)),ISNUMBER(SEARCH("mosquito",E524))),"Flying Insect Control",
OR(ISNUMBER(SEARCH("roach",E524)),ISNUMBER(SEARCH("ant",E524)),ISNUMBER(SEARCH("spider",E524)),ISNUMBER(SEARCH("cricket",E524)),ISNUMBER(SEARCH("scorpion",E524)),ISNUMBER(SEARCH("centipede",E524)),ISNUMBER(SEARCH("beetle",E524))),"Crawling Insect Control",
OR(ISNUMBER(SEARCH("tree",E524)),ISNUMBER(SEARCH("lantern",E524)),ISNUMBER(SEARCH("garden",E524)),ISNUMBER(SEARCH("plant",E524))),"Garden Pest Control",
OR(ISNUMBER(SEARCH("grass seed",E524)),ISNUMBER(SEARCH("seed mix",E524))),"Grass Seed",
OR(ISNUMBER(SEARCH("lawn food",E524)),ISNUMBER(SEARCH("fertilizer",E524))),"Lawn Fertilizer",
OR(ISNUMBER(SEARCH("patch",E524)),ISNUMBER(SEARCH("repair",E524)),ISNUMBER(SEARCH("thick'r",E524)),ISNUMBER(SEARCH("thick'r lawn",E524)),ISNUMBER(SEARCH("rapid grass",E524))),"Lawn Repair",
OR(ISNUMBER(SEARCH("weed",E524)),ISNUMBER(SEARCH("crabgrass",E524))),"Weed Control",
OR(ISNUMBER(SEARCH("fungicide",E524)),ISNUMBER(SEARCH("moss",E524))),"Disease &amp; Moss Control",
OR(ISNUMBER(SEARCH("plant food",E524)),ISNUMBER(SEARCH("miracid",E524))),"Plant Nutrition",
OR(ISNUMBER(SEARCH("perlite",E524))),"Soil Amendment",
OR(ISNUMBER(SEARCH("spreader",E524)),ISNUMBER(SEARCH("sprayer",E524)),ISNUMBER(SEARCH("mower",E524)),ISNUMBER(SEARCH("sweeper",E524)),ISNUMBER(SEARCH("pruner",E524)),ISNUMBER(SEARCH("trimmer",E524)),ISNUMBER(SEARCH("pole saw",E524))),"Garden Equipment",
TRUE,"Other"
)</f>
        <v>Rodent Control</v>
      </c>
      <c r="I524" s="7" t="str" cm="1">
        <f t="array" ref="I524">_xlfn.IFS(
OR(ISNUMBER(SEARCH("glue trap",E524)),ISNUMBER(SEARCH("glue board",E524))),"Glue Traps",
OR(ISNUMBER(SEARCH("snap trap",E524)),ISNUMBER(SEARCH("power-kill",E524)),ISNUMBER(SEARCH("wide pedal",E524)),ISNUMBER(SEARCH("metal pedal",E524))),"Snap Traps",
OR(ISNUMBER(SEARCH("electronic",E524)),ISNUMBER(SEARCH("zapper",E524))),"Electronic Traps",
OR(ISNUMBER(SEARCH("live catch",E524)),ISNUMBER(SEARCH("multi-catch",E524)),ISNUMBER(SEARCH("catch &amp; hold",E524)),ISNUMBER(SEARCH("tin cat",E524))),"Live Catch Traps",
OR(ISNUMBER(SEARCH("bait",E524)),ISNUMBER(SEARCH("poison",E524))),"Bait &amp; Poison",
ISNUMBER(SEARCH("repellent",E524)),"Repellents",
OR(ISNUMBER(SEARCH("fly trap",E524)),ISNUMBER(SEARCH("fly ribbon",E524)),ISNUMBER(SEARCH("fly stick",E524)),ISNUMBER(SEARCH("window fly",E524)),ISNUMBER(SEARCH("fly magnet",E524))),"Fly Traps",
OR(ISNUMBER(SEARCH("uv",E524)),ISNUMBER(SEARCH("fly light",E524)),ISNUMBER(SEARCH("plug-in",E524))),"UV Fly Traps",
ISNUMBER(SEARCH("roach",E524)),"Roach Traps",
ISNUMBER(SEARCH("ant",E524)),"Ant Traps",
ISNUMBER(SEARCH("spider",E524)),"Spider Traps",
ISNUMBER(SEARCH("mosquito",E524)),"Mosquito Traps",
ISNUMBER(SEARCH("beetle",E524)),"Beetle Traps",
ISNUMBER(SEARCH("lantern",E524)),"Lanternfly Control",
OR(ISNUMBER(SEARCH("tree shield",E524)),ISNUMBER(SEARCH("tree banding",E524)),ISNUMBER(SEARCH("insect barrier",E524))),"Tree Barriers",
OR(ISNUMBER(SEARCH("sun &amp; shade",E524)),ISNUMBER(SEARCH("sun and shade",E524))),"Sun &amp; Shade Mix",
ISNUMBER(SEARCH("tall fescue",E524)),"Tall Fescue",
ISNUMBER(SEARCH("bermudagrass",E524)),"Bermudagrass",
ISNUMBER(SEARCH("kentucky",E524)),"Kentucky Bluegrass",
ISNUMBER(SEARCH("zoysia",E524)),"Zoysia",
ISNUMBER(SEARCH("ryegrass",E524)),"Perennial Ryegrass",
ISNUMBER(SEARCH("centipede",E524)),"Centipede Grass",
ISNUMBER(SEARCH("dense shade",E524)),"Dense Shade Mix",
ISNUMBER(SEARCH("southern gold",E524)),"Southern Gold Mix",
ISNUMBER(SEARCH("heat-tolerant blue",E524)),"Heat-Tolerant Blue Mix",
ISNUMBER(SEARCH("high traffic",E524)),"High Traffic Mix",
ISNUMBER(SEARCH("quick fix",E524)),"Quick Fix Mix",
ISNUMBER(SEARCH("starter",E524)),"Starter Fertilizer",
ISNUMBER(SEARCH("weed &amp; feed",E524)),"Weed &amp; Feed",
ISNUMBER(SEARCH("lawn food",E524)),"Lawn Food",
ISNUMBER(SEARCH("triple action",E524)),"Triple Action Fertilizer",
ISNUMBER(SEARCH("green max",E524)),"Green Max Lawn Food",
ISNUMBER(SEARCH("patchmaster",E524)),"PatchMaster Repair",
ISNUMBER(SEARCH("ez seed",E524)),"EZ Seed Repair",
ISNUMBER(SEARCH("rapid grass",E524)),"Rapid Grass",
ISNUMBER(SEARCH("thick'r lawn",E524)),"Thick'R Lawn",
ISNUMBER(SEARCH("fungicide",E524)),"Fungicide",
ISNUMBER(SEARCH("moss",E524)),"Moss Control",
ISNUMBER(SEARCH("perlite",E524)),"Perlite",
ISNUMBER(SEARCH("plant food",E524)),"Plant Food",
ISNUMBER(SEARCH("spreader",E524)),"Spreader",
ISNUMBER(SEARCH("sprayer",E524)),"Sprayer",
ISNUMBER(SEARCH("mower",E524)),"Lawn Mower",
ISNUMBER(SEARCH("sweeper",E524)),"Lawn Sweeper",
OR(ISNUMBER(SEARCH("pruner",E524)),ISNUMBER(SEARCH("trimmer",E524)),ISNUMBER(SEARCH("pole saw",E524))),"Pruning Tools",
TRUE,"Other"
)</f>
        <v>Snap Traps</v>
      </c>
      <c r="J524" s="7" t="str">
        <f t="shared" si="140"/>
        <v>Rodent Control - Snap Traps</v>
      </c>
      <c r="K524" s="4">
        <v>50</v>
      </c>
      <c r="L524" s="4">
        <v>3.9</v>
      </c>
      <c r="M524" s="4">
        <v>428</v>
      </c>
      <c r="N524" s="4">
        <v>0</v>
      </c>
      <c r="O524" s="4">
        <f>VLOOKUP(A524,[7]Sheet1!$A:$M,2,0)</f>
        <v>0</v>
      </c>
      <c r="P524" s="4">
        <f>VLOOKUP(A524,[7]Sheet1!$A:$M,3,0)</f>
        <v>0</v>
      </c>
      <c r="Q524" s="4">
        <f>VLOOKUP(A524,[7]Sheet1!$A:$M,4,0)</f>
        <v>0</v>
      </c>
      <c r="R524" s="4">
        <f>VLOOKUP(A524,[7]Sheet1!$A:$M,5,0)</f>
        <v>0</v>
      </c>
      <c r="S524" s="4">
        <f>VLOOKUP(A524,[7]Sheet1!$A:$M,6,0)</f>
        <v>0</v>
      </c>
      <c r="T524" s="4">
        <f>VLOOKUP(A524,[7]Sheet1!$A:$M,7,0)</f>
        <v>0</v>
      </c>
      <c r="U524" s="4">
        <f>VLOOKUP(A524,[7]Sheet1!$A:$M,8,0)</f>
        <v>0</v>
      </c>
      <c r="V524" s="4">
        <f>VLOOKUP(A524,[7]Sheet1!$A:$M,9,0)</f>
        <v>50</v>
      </c>
      <c r="W524" s="4">
        <f>VLOOKUP(A524,[7]Sheet1!$A:$M,10,0)</f>
        <v>50</v>
      </c>
      <c r="X524" s="4">
        <f>VLOOKUP(A524,[7]Sheet1!$A:$M,11,0)</f>
        <v>50</v>
      </c>
      <c r="Y524" s="4">
        <f>VLOOKUP(A524,[7]Sheet1!$A:$M,12,0)</f>
        <v>50</v>
      </c>
      <c r="Z524" s="4">
        <f>VLOOKUP(A524,[7]Sheet1!$A:$M,13,0)</f>
        <v>0</v>
      </c>
      <c r="AA524" s="4">
        <f t="shared" si="136"/>
        <v>200</v>
      </c>
      <c r="AB524" s="7">
        <f t="shared" si="141"/>
        <v>17</v>
      </c>
      <c r="AC524" s="15">
        <f t="shared" si="137"/>
        <v>16.666666666666668</v>
      </c>
      <c r="AD524" s="16">
        <f t="shared" si="138"/>
        <v>5256</v>
      </c>
      <c r="AE524" s="16">
        <f t="shared" si="139"/>
        <v>438.00000000000006</v>
      </c>
      <c r="AF524" s="21">
        <v>7.15</v>
      </c>
      <c r="AG524" s="21">
        <v>26.28</v>
      </c>
      <c r="AH524" s="15">
        <f t="shared" si="134"/>
        <v>0.15746666666666667</v>
      </c>
      <c r="AI524" s="15">
        <f t="shared" si="135"/>
        <v>0.55113333333333325</v>
      </c>
      <c r="AJ524" s="10">
        <v>0.5</v>
      </c>
      <c r="AK524" s="10">
        <v>0.5</v>
      </c>
      <c r="AL524" s="21">
        <v>7.15</v>
      </c>
      <c r="AM524" s="9">
        <f t="shared" si="142"/>
        <v>3.9420000000000002</v>
      </c>
      <c r="AN524" s="9">
        <f t="shared" si="143"/>
        <v>0.78839999999999999</v>
      </c>
      <c r="AO524" s="9">
        <f t="shared" si="144"/>
        <v>5.2560000000000002</v>
      </c>
      <c r="AP524" s="9">
        <f t="shared" si="145"/>
        <v>0.52560000000000007</v>
      </c>
      <c r="AQ524" s="9">
        <f t="shared" si="146"/>
        <v>5.2560000000000002</v>
      </c>
      <c r="AR524" s="9">
        <f t="shared" si="147"/>
        <v>6.57</v>
      </c>
      <c r="AS524" s="11">
        <f t="shared" si="148"/>
        <v>1.5746666666666667</v>
      </c>
      <c r="AT524" s="12">
        <f t="shared" si="149"/>
        <v>0.69866666666666666</v>
      </c>
    </row>
    <row r="525" spans="1:46" ht="16.5" x14ac:dyDescent="0.4">
      <c r="A525" s="4" t="s">
        <v>2235</v>
      </c>
      <c r="B525" s="4" t="s">
        <v>2236</v>
      </c>
      <c r="C525" s="4" t="s">
        <v>2236</v>
      </c>
      <c r="D525" s="4" t="s">
        <v>2372</v>
      </c>
      <c r="E525" s="4" t="s">
        <v>2373</v>
      </c>
      <c r="F525" s="4" t="s">
        <v>2374</v>
      </c>
      <c r="G525" s="7" t="str">
        <f>VLOOKUP(A525,[1]done!$A:$I,9,0)</f>
        <v>Mosquito/Fly</v>
      </c>
      <c r="H525" s="7" t="str" cm="1">
        <f t="array" ref="H525">_xlfn.IFS(
OR(ISNUMBER(SEARCH("mouse",E525)),ISNUMBER(SEARCH("rat",E525)),ISNUMBER(SEARCH("mice",E525)),ISNUMBER(SEARCH("rodent",E525))),"Rodent Control",
OR(ISNUMBER(SEARCH("fly",E525)),ISNUMBER(SEARCH("gnat",E525)),ISNUMBER(SEARCH("insect",E525)),ISNUMBER(SEARCH("mosquito",E525))),"Flying Insect Control",
OR(ISNUMBER(SEARCH("roach",E525)),ISNUMBER(SEARCH("ant",E525)),ISNUMBER(SEARCH("spider",E525)),ISNUMBER(SEARCH("cricket",E525)),ISNUMBER(SEARCH("scorpion",E525)),ISNUMBER(SEARCH("centipede",E525)),ISNUMBER(SEARCH("beetle",E525))),"Crawling Insect Control",
OR(ISNUMBER(SEARCH("tree",E525)),ISNUMBER(SEARCH("lantern",E525)),ISNUMBER(SEARCH("garden",E525)),ISNUMBER(SEARCH("plant",E525))),"Garden Pest Control",
OR(ISNUMBER(SEARCH("grass seed",E525)),ISNUMBER(SEARCH("seed mix",E525))),"Grass Seed",
OR(ISNUMBER(SEARCH("lawn food",E525)),ISNUMBER(SEARCH("fertilizer",E525))),"Lawn Fertilizer",
OR(ISNUMBER(SEARCH("patch",E525)),ISNUMBER(SEARCH("repair",E525)),ISNUMBER(SEARCH("thick'r",E525)),ISNUMBER(SEARCH("thick'r lawn",E525)),ISNUMBER(SEARCH("rapid grass",E525))),"Lawn Repair",
OR(ISNUMBER(SEARCH("weed",E525)),ISNUMBER(SEARCH("crabgrass",E525))),"Weed Control",
OR(ISNUMBER(SEARCH("fungicide",E525)),ISNUMBER(SEARCH("moss",E525))),"Disease &amp; Moss Control",
OR(ISNUMBER(SEARCH("plant food",E525)),ISNUMBER(SEARCH("miracid",E525))),"Plant Nutrition",
OR(ISNUMBER(SEARCH("perlite",E525))),"Soil Amendment",
OR(ISNUMBER(SEARCH("spreader",E525)),ISNUMBER(SEARCH("sprayer",E525)),ISNUMBER(SEARCH("mower",E525)),ISNUMBER(SEARCH("sweeper",E525)),ISNUMBER(SEARCH("pruner",E525)),ISNUMBER(SEARCH("trimmer",E525)),ISNUMBER(SEARCH("pole saw",E525))),"Garden Equipment",
TRUE,"Other"
)</f>
        <v>Flying Insect Control</v>
      </c>
      <c r="I525" s="7" t="str" cm="1">
        <f t="array" ref="I525">_xlfn.IFS(
OR(ISNUMBER(SEARCH("glue trap",E525)),ISNUMBER(SEARCH("glue board",E525))),"Glue Traps",
OR(ISNUMBER(SEARCH("snap trap",E525)),ISNUMBER(SEARCH("power-kill",E525)),ISNUMBER(SEARCH("wide pedal",E525)),ISNUMBER(SEARCH("metal pedal",E525))),"Snap Traps",
OR(ISNUMBER(SEARCH("electronic",E525)),ISNUMBER(SEARCH("zapper",E525))),"Electronic Traps",
OR(ISNUMBER(SEARCH("live catch",E525)),ISNUMBER(SEARCH("multi-catch",E525)),ISNUMBER(SEARCH("catch &amp; hold",E525)),ISNUMBER(SEARCH("tin cat",E525))),"Live Catch Traps",
OR(ISNUMBER(SEARCH("bait",E525)),ISNUMBER(SEARCH("poison",E525))),"Bait &amp; Poison",
ISNUMBER(SEARCH("repellent",E525)),"Repellents",
OR(ISNUMBER(SEARCH("fly trap",E525)),ISNUMBER(SEARCH("fly ribbon",E525)),ISNUMBER(SEARCH("fly stick",E525)),ISNUMBER(SEARCH("window fly",E525)),ISNUMBER(SEARCH("fly magnet",E525))),"Fly Traps",
OR(ISNUMBER(SEARCH("uv",E525)),ISNUMBER(SEARCH("fly light",E525)),ISNUMBER(SEARCH("plug-in",E525))),"UV Fly Traps",
ISNUMBER(SEARCH("roach",E525)),"Roach Traps",
ISNUMBER(SEARCH("ant",E525)),"Ant Traps",
ISNUMBER(SEARCH("spider",E525)),"Spider Traps",
ISNUMBER(SEARCH("mosquito",E525)),"Mosquito Traps",
ISNUMBER(SEARCH("beetle",E525)),"Beetle Traps",
ISNUMBER(SEARCH("lantern",E525)),"Lanternfly Control",
OR(ISNUMBER(SEARCH("tree shield",E525)),ISNUMBER(SEARCH("tree banding",E525)),ISNUMBER(SEARCH("insect barrier",E525))),"Tree Barriers",
OR(ISNUMBER(SEARCH("sun &amp; shade",E525)),ISNUMBER(SEARCH("sun and shade",E525))),"Sun &amp; Shade Mix",
ISNUMBER(SEARCH("tall fescue",E525)),"Tall Fescue",
ISNUMBER(SEARCH("bermudagrass",E525)),"Bermudagrass",
ISNUMBER(SEARCH("kentucky",E525)),"Kentucky Bluegrass",
ISNUMBER(SEARCH("zoysia",E525)),"Zoysia",
ISNUMBER(SEARCH("ryegrass",E525)),"Perennial Ryegrass",
ISNUMBER(SEARCH("centipede",E525)),"Centipede Grass",
ISNUMBER(SEARCH("dense shade",E525)),"Dense Shade Mix",
ISNUMBER(SEARCH("southern gold",E525)),"Southern Gold Mix",
ISNUMBER(SEARCH("heat-tolerant blue",E525)),"Heat-Tolerant Blue Mix",
ISNUMBER(SEARCH("high traffic",E525)),"High Traffic Mix",
ISNUMBER(SEARCH("quick fix",E525)),"Quick Fix Mix",
ISNUMBER(SEARCH("starter",E525)),"Starter Fertilizer",
ISNUMBER(SEARCH("weed &amp; feed",E525)),"Weed &amp; Feed",
ISNUMBER(SEARCH("lawn food",E525)),"Lawn Food",
ISNUMBER(SEARCH("triple action",E525)),"Triple Action Fertilizer",
ISNUMBER(SEARCH("green max",E525)),"Green Max Lawn Food",
ISNUMBER(SEARCH("patchmaster",E525)),"PatchMaster Repair",
ISNUMBER(SEARCH("ez seed",E525)),"EZ Seed Repair",
ISNUMBER(SEARCH("rapid grass",E525)),"Rapid Grass",
ISNUMBER(SEARCH("thick'r lawn",E525)),"Thick'R Lawn",
ISNUMBER(SEARCH("fungicide",E525)),"Fungicide",
ISNUMBER(SEARCH("moss",E525)),"Moss Control",
ISNUMBER(SEARCH("perlite",E525)),"Perlite",
ISNUMBER(SEARCH("plant food",E525)),"Plant Food",
ISNUMBER(SEARCH("spreader",E525)),"Spreader",
ISNUMBER(SEARCH("sprayer",E525)),"Sprayer",
ISNUMBER(SEARCH("mower",E525)),"Lawn Mower",
ISNUMBER(SEARCH("sweeper",E525)),"Lawn Sweeper",
OR(ISNUMBER(SEARCH("pruner",E525)),ISNUMBER(SEARCH("trimmer",E525)),ISNUMBER(SEARCH("pole saw",E525))),"Pruning Tools",
TRUE,"Other"
)</f>
        <v>Fly Traps</v>
      </c>
      <c r="J525" s="7" t="str">
        <f t="shared" si="140"/>
        <v>Flying Insect Control - Fly Traps</v>
      </c>
      <c r="K525" s="4">
        <v>50</v>
      </c>
      <c r="L525" s="4">
        <v>4.2</v>
      </c>
      <c r="M525" s="4">
        <v>16</v>
      </c>
      <c r="N525" s="4">
        <v>0</v>
      </c>
      <c r="O525" s="4">
        <f>VLOOKUP(A525,[7]Sheet1!$A:$M,2,0)</f>
        <v>0</v>
      </c>
      <c r="P525" s="4">
        <f>VLOOKUP(A525,[7]Sheet1!$A:$M,3,0)</f>
        <v>0</v>
      </c>
      <c r="Q525" s="4">
        <f>VLOOKUP(A525,[7]Sheet1!$A:$M,4,0)</f>
        <v>0</v>
      </c>
      <c r="R525" s="4">
        <f>VLOOKUP(A525,[7]Sheet1!$A:$M,5,0)</f>
        <v>0</v>
      </c>
      <c r="S525" s="4">
        <f>VLOOKUP(A525,[7]Sheet1!$A:$M,6,0)</f>
        <v>0</v>
      </c>
      <c r="T525" s="4">
        <f>VLOOKUP(A525,[7]Sheet1!$A:$M,7,0)</f>
        <v>0</v>
      </c>
      <c r="U525" s="4">
        <f>VLOOKUP(A525,[7]Sheet1!$A:$M,8,0)</f>
        <v>50</v>
      </c>
      <c r="V525" s="4">
        <f>VLOOKUP(A525,[7]Sheet1!$A:$M,9,0)</f>
        <v>50</v>
      </c>
      <c r="W525" s="4">
        <f>VLOOKUP(A525,[7]Sheet1!$A:$M,10,0)</f>
        <v>50</v>
      </c>
      <c r="X525" s="4">
        <f>VLOOKUP(A525,[7]Sheet1!$A:$M,11,0)</f>
        <v>0</v>
      </c>
      <c r="Y525" s="4">
        <f>VLOOKUP(A525,[7]Sheet1!$A:$M,12,0)</f>
        <v>0</v>
      </c>
      <c r="Z525" s="4">
        <f>VLOOKUP(A525,[7]Sheet1!$A:$M,13,0)</f>
        <v>0</v>
      </c>
      <c r="AA525" s="4">
        <f t="shared" si="136"/>
        <v>150</v>
      </c>
      <c r="AB525" s="7">
        <f t="shared" si="141"/>
        <v>13</v>
      </c>
      <c r="AC525" s="15">
        <f t="shared" si="137"/>
        <v>12.5</v>
      </c>
      <c r="AD525" s="16">
        <f t="shared" si="138"/>
        <v>343.5</v>
      </c>
      <c r="AE525" s="16">
        <f t="shared" si="139"/>
        <v>28.625</v>
      </c>
      <c r="AF525" s="21">
        <v>2.52</v>
      </c>
      <c r="AG525" s="21">
        <v>2.29</v>
      </c>
      <c r="AH525" s="15">
        <f t="shared" si="134"/>
        <v>-0.1736</v>
      </c>
      <c r="AI525" s="15">
        <f t="shared" si="135"/>
        <v>-0.60759999999999992</v>
      </c>
      <c r="AJ525" s="10">
        <v>0.5</v>
      </c>
      <c r="AK525" s="10">
        <v>0.5</v>
      </c>
      <c r="AL525" s="21">
        <v>2.52</v>
      </c>
      <c r="AM525" s="9">
        <f t="shared" si="142"/>
        <v>0.34349999999999997</v>
      </c>
      <c r="AN525" s="9">
        <f t="shared" si="143"/>
        <v>6.8699999999999997E-2</v>
      </c>
      <c r="AO525" s="9">
        <f t="shared" si="144"/>
        <v>0.45800000000000002</v>
      </c>
      <c r="AP525" s="9">
        <f t="shared" si="145"/>
        <v>4.58E-2</v>
      </c>
      <c r="AQ525" s="9">
        <f t="shared" si="146"/>
        <v>0.45800000000000002</v>
      </c>
      <c r="AR525" s="9">
        <f t="shared" si="147"/>
        <v>0.57250000000000001</v>
      </c>
      <c r="AS525" s="11">
        <f t="shared" si="148"/>
        <v>-1.736</v>
      </c>
      <c r="AT525" s="12">
        <f t="shared" si="149"/>
        <v>-1.8123333333333331</v>
      </c>
    </row>
    <row r="526" spans="1:46" ht="16.5" x14ac:dyDescent="0.4">
      <c r="A526" s="4" t="s">
        <v>2387</v>
      </c>
      <c r="B526" s="4" t="s">
        <v>2469</v>
      </c>
      <c r="C526" s="4" t="s">
        <v>2463</v>
      </c>
      <c r="D526" s="4" t="s">
        <v>2406</v>
      </c>
      <c r="E526" s="4" t="s">
        <v>2444</v>
      </c>
      <c r="F526" s="4" t="s">
        <v>2425</v>
      </c>
      <c r="G526" s="7" t="str">
        <f>VLOOKUP(A526,[1]done!$A:$I,9,0)</f>
        <v>All Other products</v>
      </c>
      <c r="H526" s="7" t="str" cm="1">
        <f t="array" ref="H526">_xlfn.IFS(
OR(ISNUMBER(SEARCH("mouse",E526)),ISNUMBER(SEARCH("rat",E526)),ISNUMBER(SEARCH("mice",E526)),ISNUMBER(SEARCH("rodent",E526))),"Rodent Control",
OR(ISNUMBER(SEARCH("fly",E526)),ISNUMBER(SEARCH("gnat",E526)),ISNUMBER(SEARCH("insect",E526)),ISNUMBER(SEARCH("mosquito",E526))),"Flying Insect Control",
OR(ISNUMBER(SEARCH("roach",E526)),ISNUMBER(SEARCH("ant",E526)),ISNUMBER(SEARCH("spider",E526)),ISNUMBER(SEARCH("cricket",E526)),ISNUMBER(SEARCH("scorpion",E526)),ISNUMBER(SEARCH("centipede",E526)),ISNUMBER(SEARCH("beetle",E526))),"Crawling Insect Control",
OR(ISNUMBER(SEARCH("tree",E526)),ISNUMBER(SEARCH("lantern",E526)),ISNUMBER(SEARCH("garden",E526)),ISNUMBER(SEARCH("plant",E526))),"Garden Pest Control",
OR(ISNUMBER(SEARCH("grass seed",E526)),ISNUMBER(SEARCH("seed mix",E526))),"Grass Seed",
OR(ISNUMBER(SEARCH("lawn food",E526)),ISNUMBER(SEARCH("fertilizer",E526))),"Lawn Fertilizer",
OR(ISNUMBER(SEARCH("patch",E526)),ISNUMBER(SEARCH("repair",E526)),ISNUMBER(SEARCH("thick'r",E526)),ISNUMBER(SEARCH("thick'r lawn",E526)),ISNUMBER(SEARCH("rapid grass",E526))),"Lawn Repair",
OR(ISNUMBER(SEARCH("weed",E526)),ISNUMBER(SEARCH("crabgrass",E526))),"Weed Control",
OR(ISNUMBER(SEARCH("fungicide",E526)),ISNUMBER(SEARCH("moss",E526))),"Disease &amp; Moss Control",
OR(ISNUMBER(SEARCH("plant food",E526)),ISNUMBER(SEARCH("miracid",E526))),"Plant Nutrition",
OR(ISNUMBER(SEARCH("perlite",E526))),"Soil Amendment",
OR(ISNUMBER(SEARCH("spreader",E526)),ISNUMBER(SEARCH("sprayer",E526)),ISNUMBER(SEARCH("mower",E526)),ISNUMBER(SEARCH("sweeper",E526)),ISNUMBER(SEARCH("pruner",E526)),ISNUMBER(SEARCH("trimmer",E526)),ISNUMBER(SEARCH("pole saw",E526))),"Garden Equipment",
TRUE,"Other"
)</f>
        <v>Other</v>
      </c>
      <c r="I526" s="7" t="str" cm="1">
        <f t="array" ref="I526">_xlfn.IFS(
OR(ISNUMBER(SEARCH("glue trap",E526)),ISNUMBER(SEARCH("glue board",E526))),"Glue Traps",
OR(ISNUMBER(SEARCH("snap trap",E526)),ISNUMBER(SEARCH("power-kill",E526)),ISNUMBER(SEARCH("wide pedal",E526)),ISNUMBER(SEARCH("metal pedal",E526))),"Snap Traps",
OR(ISNUMBER(SEARCH("electronic",E526)),ISNUMBER(SEARCH("zapper",E526))),"Electronic Traps",
OR(ISNUMBER(SEARCH("live catch",E526)),ISNUMBER(SEARCH("multi-catch",E526)),ISNUMBER(SEARCH("catch &amp; hold",E526)),ISNUMBER(SEARCH("tin cat",E526))),"Live Catch Traps",
OR(ISNUMBER(SEARCH("bait",E526)),ISNUMBER(SEARCH("poison",E526))),"Bait &amp; Poison",
ISNUMBER(SEARCH("repellent",E526)),"Repellents",
OR(ISNUMBER(SEARCH("fly trap",E526)),ISNUMBER(SEARCH("fly ribbon",E526)),ISNUMBER(SEARCH("fly stick",E526)),ISNUMBER(SEARCH("window fly",E526)),ISNUMBER(SEARCH("fly magnet",E526))),"Fly Traps",
OR(ISNUMBER(SEARCH("uv",E526)),ISNUMBER(SEARCH("fly light",E526)),ISNUMBER(SEARCH("plug-in",E526))),"UV Fly Traps",
ISNUMBER(SEARCH("roach",E526)),"Roach Traps",
ISNUMBER(SEARCH("ant",E526)),"Ant Traps",
ISNUMBER(SEARCH("spider",E526)),"Spider Traps",
ISNUMBER(SEARCH("mosquito",E526)),"Mosquito Traps",
ISNUMBER(SEARCH("beetle",E526)),"Beetle Traps",
ISNUMBER(SEARCH("lantern",E526)),"Lanternfly Control",
OR(ISNUMBER(SEARCH("tree shield",E526)),ISNUMBER(SEARCH("tree banding",E526)),ISNUMBER(SEARCH("insect barrier",E526))),"Tree Barriers",
OR(ISNUMBER(SEARCH("sun &amp; shade",E526)),ISNUMBER(SEARCH("sun and shade",E526))),"Sun &amp; Shade Mix",
ISNUMBER(SEARCH("tall fescue",E526)),"Tall Fescue",
ISNUMBER(SEARCH("bermudagrass",E526)),"Bermudagrass",
ISNUMBER(SEARCH("kentucky",E526)),"Kentucky Bluegrass",
ISNUMBER(SEARCH("zoysia",E526)),"Zoysia",
ISNUMBER(SEARCH("ryegrass",E526)),"Perennial Ryegrass",
ISNUMBER(SEARCH("centipede",E526)),"Centipede Grass",
ISNUMBER(SEARCH("dense shade",E526)),"Dense Shade Mix",
ISNUMBER(SEARCH("southern gold",E526)),"Southern Gold Mix",
ISNUMBER(SEARCH("heat-tolerant blue",E526)),"Heat-Tolerant Blue Mix",
ISNUMBER(SEARCH("high traffic",E526)),"High Traffic Mix",
ISNUMBER(SEARCH("quick fix",E526)),"Quick Fix Mix",
ISNUMBER(SEARCH("starter",E526)),"Starter Fertilizer",
ISNUMBER(SEARCH("weed &amp; feed",E526)),"Weed &amp; Feed",
ISNUMBER(SEARCH("lawn food",E526)),"Lawn Food",
ISNUMBER(SEARCH("triple action",E526)),"Triple Action Fertilizer",
ISNUMBER(SEARCH("green max",E526)),"Green Max Lawn Food",
ISNUMBER(SEARCH("patchmaster",E526)),"PatchMaster Repair",
ISNUMBER(SEARCH("ez seed",E526)),"EZ Seed Repair",
ISNUMBER(SEARCH("rapid grass",E526)),"Rapid Grass",
ISNUMBER(SEARCH("thick'r lawn",E526)),"Thick'R Lawn",
ISNUMBER(SEARCH("fungicide",E526)),"Fungicide",
ISNUMBER(SEARCH("moss",E526)),"Moss Control",
ISNUMBER(SEARCH("perlite",E526)),"Perlite",
ISNUMBER(SEARCH("plant food",E526)),"Plant Food",
ISNUMBER(SEARCH("spreader",E526)),"Spreader",
ISNUMBER(SEARCH("sprayer",E526)),"Sprayer",
ISNUMBER(SEARCH("mower",E526)),"Lawn Mower",
ISNUMBER(SEARCH("sweeper",E526)),"Lawn Sweeper",
OR(ISNUMBER(SEARCH("pruner",E526)),ISNUMBER(SEARCH("trimmer",E526)),ISNUMBER(SEARCH("pole saw",E526))),"Pruning Tools",
TRUE,"Other"
)</f>
        <v>Other</v>
      </c>
      <c r="J526" s="7" t="str">
        <f t="shared" si="140"/>
        <v>Other - Other</v>
      </c>
      <c r="K526" s="4">
        <v>1000</v>
      </c>
      <c r="L526" s="4">
        <v>4.5</v>
      </c>
      <c r="M526" s="4">
        <v>337</v>
      </c>
      <c r="O526" s="4">
        <f>VLOOKUP(A526,[8]Sheet1!$A:$M,2,0)</f>
        <v>800</v>
      </c>
      <c r="P526" s="4">
        <f>VLOOKUP(A526,[8]Sheet1!$A:$M,3,0)</f>
        <v>800</v>
      </c>
      <c r="Q526" s="4">
        <f>VLOOKUP(A526,[8]Sheet1!$A:$M,4,0)</f>
        <v>1000</v>
      </c>
      <c r="R526" s="4">
        <f>VLOOKUP(A526,[8]Sheet1!$A:$M,5,0)</f>
        <v>1000</v>
      </c>
      <c r="S526" s="4">
        <f>VLOOKUP(A526,[8]Sheet1!$A:$M,6,0)</f>
        <v>1000</v>
      </c>
      <c r="T526" s="4">
        <f>VLOOKUP(A526,[8]Sheet1!$A:$M,7,0)</f>
        <v>1000</v>
      </c>
      <c r="U526" s="4">
        <f>VLOOKUP(A526,[8]Sheet1!$A:$M,8,0)</f>
        <v>1000</v>
      </c>
      <c r="V526" s="4">
        <f>VLOOKUP(A526,[8]Sheet1!$A:$M,9,0)</f>
        <v>1000</v>
      </c>
      <c r="W526" s="4">
        <f>VLOOKUP(A526,[8]Sheet1!$A:$M,10,0)</f>
        <v>1000</v>
      </c>
      <c r="X526" s="4">
        <f>VLOOKUP(A526,[8]Sheet1!$A:$M,11,0)</f>
        <v>1000</v>
      </c>
      <c r="Y526" s="4">
        <f>VLOOKUP(A526,[8]Sheet1!$A:$M,12,0)</f>
        <v>1000</v>
      </c>
      <c r="Z526" s="4">
        <f>VLOOKUP(A526,[8]Sheet1!$A:$M,13,0)</f>
        <v>900</v>
      </c>
      <c r="AA526" s="4">
        <f t="shared" si="136"/>
        <v>11500</v>
      </c>
      <c r="AB526" s="7">
        <f t="shared" si="141"/>
        <v>958</v>
      </c>
      <c r="AC526" s="15">
        <f t="shared" ref="AC526:AC544" si="150">AVERAGE(O526:Z526)</f>
        <v>958.33333333333337</v>
      </c>
      <c r="AD526" s="16">
        <f t="shared" ref="AD526:AD544" si="151">AG526*AA526</f>
        <v>574885</v>
      </c>
      <c r="AE526" s="16">
        <f t="shared" ref="AE526:AE544" si="152">AG526*AC526</f>
        <v>47907.083333333336</v>
      </c>
      <c r="AF526" s="21">
        <v>7.71</v>
      </c>
      <c r="AG526" s="21">
        <v>49.99</v>
      </c>
      <c r="AH526" s="15">
        <f t="shared" si="134"/>
        <v>0.75239999999999985</v>
      </c>
      <c r="AI526" s="15">
        <f t="shared" si="135"/>
        <v>2.6333999999999991</v>
      </c>
      <c r="AJ526" s="10">
        <v>0.5</v>
      </c>
      <c r="AK526" s="10">
        <v>0.5</v>
      </c>
      <c r="AL526" s="21">
        <v>7.71</v>
      </c>
      <c r="AM526" s="9">
        <f t="shared" si="142"/>
        <v>7.4984999999999999</v>
      </c>
      <c r="AN526" s="9">
        <f t="shared" si="143"/>
        <v>1.4997</v>
      </c>
      <c r="AO526" s="9">
        <f t="shared" si="144"/>
        <v>9.9980000000000011</v>
      </c>
      <c r="AP526" s="9">
        <f t="shared" si="145"/>
        <v>0.99980000000000002</v>
      </c>
      <c r="AQ526" s="9">
        <f t="shared" si="146"/>
        <v>9.9980000000000011</v>
      </c>
      <c r="AR526" s="9">
        <f t="shared" si="147"/>
        <v>12.4975</v>
      </c>
      <c r="AS526" s="11">
        <f t="shared" si="148"/>
        <v>7.5239999999999982</v>
      </c>
      <c r="AT526" s="12">
        <f t="shared" si="149"/>
        <v>5.8576666666666659</v>
      </c>
    </row>
    <row r="527" spans="1:46" ht="16.5" x14ac:dyDescent="0.4">
      <c r="A527" s="4" t="s">
        <v>2388</v>
      </c>
      <c r="B527" s="4" t="s">
        <v>2469</v>
      </c>
      <c r="C527" s="4" t="s">
        <v>2463</v>
      </c>
      <c r="D527" s="4" t="s">
        <v>2407</v>
      </c>
      <c r="E527" s="4" t="s">
        <v>2445</v>
      </c>
      <c r="F527" s="4" t="s">
        <v>2426</v>
      </c>
      <c r="G527" s="7" t="str">
        <f>VLOOKUP(A527,[1]done!$A:$I,9,0)</f>
        <v>Mole Repellent</v>
      </c>
      <c r="H527" s="7" t="str" cm="1">
        <f t="array" ref="H527">_xlfn.IFS(
OR(ISNUMBER(SEARCH("mouse",E527)),ISNUMBER(SEARCH("rat",E527)),ISNUMBER(SEARCH("mice",E527)),ISNUMBER(SEARCH("rodent",E527))),"Rodent Control",
OR(ISNUMBER(SEARCH("fly",E527)),ISNUMBER(SEARCH("gnat",E527)),ISNUMBER(SEARCH("insect",E527)),ISNUMBER(SEARCH("mosquito",E527))),"Flying Insect Control",
OR(ISNUMBER(SEARCH("roach",E527)),ISNUMBER(SEARCH("ant",E527)),ISNUMBER(SEARCH("spider",E527)),ISNUMBER(SEARCH("cricket",E527)),ISNUMBER(SEARCH("scorpion",E527)),ISNUMBER(SEARCH("centipede",E527)),ISNUMBER(SEARCH("beetle",E527))),"Crawling Insect Control",
OR(ISNUMBER(SEARCH("tree",E527)),ISNUMBER(SEARCH("lantern",E527)),ISNUMBER(SEARCH("garden",E527)),ISNUMBER(SEARCH("plant",E527))),"Garden Pest Control",
OR(ISNUMBER(SEARCH("grass seed",E527)),ISNUMBER(SEARCH("seed mix",E527))),"Grass Seed",
OR(ISNUMBER(SEARCH("lawn food",E527)),ISNUMBER(SEARCH("fertilizer",E527))),"Lawn Fertilizer",
OR(ISNUMBER(SEARCH("patch",E527)),ISNUMBER(SEARCH("repair",E527)),ISNUMBER(SEARCH("thick'r",E527)),ISNUMBER(SEARCH("thick'r lawn",E527)),ISNUMBER(SEARCH("rapid grass",E527))),"Lawn Repair",
OR(ISNUMBER(SEARCH("weed",E527)),ISNUMBER(SEARCH("crabgrass",E527))),"Weed Control",
OR(ISNUMBER(SEARCH("fungicide",E527)),ISNUMBER(SEARCH("moss",E527))),"Disease &amp; Moss Control",
OR(ISNUMBER(SEARCH("plant food",E527)),ISNUMBER(SEARCH("miracid",E527))),"Plant Nutrition",
OR(ISNUMBER(SEARCH("perlite",E527))),"Soil Amendment",
OR(ISNUMBER(SEARCH("spreader",E527)),ISNUMBER(SEARCH("sprayer",E527)),ISNUMBER(SEARCH("mower",E527)),ISNUMBER(SEARCH("sweeper",E527)),ISNUMBER(SEARCH("pruner",E527)),ISNUMBER(SEARCH("trimmer",E527)),ISNUMBER(SEARCH("pole saw",E527))),"Garden Equipment",
TRUE,"Other"
)</f>
        <v>Rodent Control</v>
      </c>
      <c r="I527" s="7" t="str" cm="1">
        <f t="array" ref="I527">_xlfn.IFS(
OR(ISNUMBER(SEARCH("glue trap",E527)),ISNUMBER(SEARCH("glue board",E527))),"Glue Traps",
OR(ISNUMBER(SEARCH("snap trap",E527)),ISNUMBER(SEARCH("power-kill",E527)),ISNUMBER(SEARCH("wide pedal",E527)),ISNUMBER(SEARCH("metal pedal",E527))),"Snap Traps",
OR(ISNUMBER(SEARCH("electronic",E527)),ISNUMBER(SEARCH("zapper",E527))),"Electronic Traps",
OR(ISNUMBER(SEARCH("live catch",E527)),ISNUMBER(SEARCH("multi-catch",E527)),ISNUMBER(SEARCH("catch &amp; hold",E527)),ISNUMBER(SEARCH("tin cat",E527))),"Live Catch Traps",
OR(ISNUMBER(SEARCH("bait",E527)),ISNUMBER(SEARCH("poison",E527))),"Bait &amp; Poison",
ISNUMBER(SEARCH("repellent",E527)),"Repellents",
OR(ISNUMBER(SEARCH("fly trap",E527)),ISNUMBER(SEARCH("fly ribbon",E527)),ISNUMBER(SEARCH("fly stick",E527)),ISNUMBER(SEARCH("window fly",E527)),ISNUMBER(SEARCH("fly magnet",E527))),"Fly Traps",
OR(ISNUMBER(SEARCH("uv",E527)),ISNUMBER(SEARCH("fly light",E527)),ISNUMBER(SEARCH("plug-in",E527))),"UV Fly Traps",
ISNUMBER(SEARCH("roach",E527)),"Roach Traps",
ISNUMBER(SEARCH("ant",E527)),"Ant Traps",
ISNUMBER(SEARCH("spider",E527)),"Spider Traps",
ISNUMBER(SEARCH("mosquito",E527)),"Mosquito Traps",
ISNUMBER(SEARCH("beetle",E527)),"Beetle Traps",
ISNUMBER(SEARCH("lantern",E527)),"Lanternfly Control",
OR(ISNUMBER(SEARCH("tree shield",E527)),ISNUMBER(SEARCH("tree banding",E527)),ISNUMBER(SEARCH("insect barrier",E527))),"Tree Barriers",
OR(ISNUMBER(SEARCH("sun &amp; shade",E527)),ISNUMBER(SEARCH("sun and shade",E527))),"Sun &amp; Shade Mix",
ISNUMBER(SEARCH("tall fescue",E527)),"Tall Fescue",
ISNUMBER(SEARCH("bermudagrass",E527)),"Bermudagrass",
ISNUMBER(SEARCH("kentucky",E527)),"Kentucky Bluegrass",
ISNUMBER(SEARCH("zoysia",E527)),"Zoysia",
ISNUMBER(SEARCH("ryegrass",E527)),"Perennial Ryegrass",
ISNUMBER(SEARCH("centipede",E527)),"Centipede Grass",
ISNUMBER(SEARCH("dense shade",E527)),"Dense Shade Mix",
ISNUMBER(SEARCH("southern gold",E527)),"Southern Gold Mix",
ISNUMBER(SEARCH("heat-tolerant blue",E527)),"Heat-Tolerant Blue Mix",
ISNUMBER(SEARCH("high traffic",E527)),"High Traffic Mix",
ISNUMBER(SEARCH("quick fix",E527)),"Quick Fix Mix",
ISNUMBER(SEARCH("starter",E527)),"Starter Fertilizer",
ISNUMBER(SEARCH("weed &amp; feed",E527)),"Weed &amp; Feed",
ISNUMBER(SEARCH("lawn food",E527)),"Lawn Food",
ISNUMBER(SEARCH("triple action",E527)),"Triple Action Fertilizer",
ISNUMBER(SEARCH("green max",E527)),"Green Max Lawn Food",
ISNUMBER(SEARCH("patchmaster",E527)),"PatchMaster Repair",
ISNUMBER(SEARCH("ez seed",E527)),"EZ Seed Repair",
ISNUMBER(SEARCH("rapid grass",E527)),"Rapid Grass",
ISNUMBER(SEARCH("thick'r lawn",E527)),"Thick'R Lawn",
ISNUMBER(SEARCH("fungicide",E527)),"Fungicide",
ISNUMBER(SEARCH("moss",E527)),"Moss Control",
ISNUMBER(SEARCH("perlite",E527)),"Perlite",
ISNUMBER(SEARCH("plant food",E527)),"Plant Food",
ISNUMBER(SEARCH("spreader",E527)),"Spreader",
ISNUMBER(SEARCH("sprayer",E527)),"Sprayer",
ISNUMBER(SEARCH("mower",E527)),"Lawn Mower",
ISNUMBER(SEARCH("sweeper",E527)),"Lawn Sweeper",
OR(ISNUMBER(SEARCH("pruner",E527)),ISNUMBER(SEARCH("trimmer",E527)),ISNUMBER(SEARCH("pole saw",E527))),"Pruning Tools",
TRUE,"Other"
)</f>
        <v>Bait &amp; Poison</v>
      </c>
      <c r="J527" s="7" t="str">
        <f t="shared" si="140"/>
        <v>Rodent Control - Bait &amp; Poison</v>
      </c>
      <c r="K527" s="4">
        <v>1000</v>
      </c>
      <c r="L527" s="4">
        <v>3.8</v>
      </c>
      <c r="M527" s="4">
        <v>2759</v>
      </c>
      <c r="O527" s="4">
        <f>VLOOKUP(A527,[8]Sheet1!$A:$M,2,0)</f>
        <v>700</v>
      </c>
      <c r="P527" s="4">
        <f>VLOOKUP(A527,[8]Sheet1!$A:$M,3,0)</f>
        <v>600</v>
      </c>
      <c r="Q527" s="4">
        <f>VLOOKUP(A527,[8]Sheet1!$A:$M,4,0)</f>
        <v>1000</v>
      </c>
      <c r="R527" s="4">
        <f>VLOOKUP(A527,[8]Sheet1!$A:$M,5,0)</f>
        <v>1000</v>
      </c>
      <c r="S527" s="4">
        <f>VLOOKUP(A527,[8]Sheet1!$A:$M,6,0)</f>
        <v>1000</v>
      </c>
      <c r="T527" s="4">
        <f>VLOOKUP(A527,[8]Sheet1!$A:$M,7,0)</f>
        <v>1000</v>
      </c>
      <c r="U527" s="4">
        <f>VLOOKUP(A527,[8]Sheet1!$A:$M,8,0)</f>
        <v>1000</v>
      </c>
      <c r="V527" s="4">
        <f>VLOOKUP(A527,[8]Sheet1!$A:$M,9,0)</f>
        <v>1000</v>
      </c>
      <c r="W527" s="4">
        <f>VLOOKUP(A527,[8]Sheet1!$A:$M,10,0)</f>
        <v>900</v>
      </c>
      <c r="X527" s="4">
        <f>VLOOKUP(A527,[8]Sheet1!$A:$M,11,0)</f>
        <v>1000</v>
      </c>
      <c r="Y527" s="4">
        <f>VLOOKUP(A527,[8]Sheet1!$A:$M,12,0)</f>
        <v>1000</v>
      </c>
      <c r="Z527" s="4">
        <f>VLOOKUP(A527,[8]Sheet1!$A:$M,13,0)</f>
        <v>400</v>
      </c>
      <c r="AA527" s="4">
        <f t="shared" si="136"/>
        <v>10600</v>
      </c>
      <c r="AB527" s="7">
        <f t="shared" si="141"/>
        <v>883</v>
      </c>
      <c r="AC527" s="15">
        <f t="shared" si="150"/>
        <v>883.33333333333337</v>
      </c>
      <c r="AD527" s="16">
        <f t="shared" si="151"/>
        <v>455164</v>
      </c>
      <c r="AE527" s="16">
        <f t="shared" si="152"/>
        <v>37930.333333333336</v>
      </c>
      <c r="AF527" s="21">
        <v>5.22</v>
      </c>
      <c r="AG527" s="21">
        <v>42.94</v>
      </c>
      <c r="AH527" s="15">
        <f t="shared" si="134"/>
        <v>0.73040000000000016</v>
      </c>
      <c r="AI527" s="15">
        <f t="shared" si="135"/>
        <v>2.5564000000000004</v>
      </c>
      <c r="AJ527" s="10">
        <v>0.5</v>
      </c>
      <c r="AK527" s="10">
        <v>0.5</v>
      </c>
      <c r="AL527" s="21">
        <v>5.22</v>
      </c>
      <c r="AM527" s="9">
        <f t="shared" si="142"/>
        <v>6.4409999999999998</v>
      </c>
      <c r="AN527" s="9">
        <f t="shared" si="143"/>
        <v>1.2881999999999998</v>
      </c>
      <c r="AO527" s="9">
        <f t="shared" si="144"/>
        <v>8.5879999999999992</v>
      </c>
      <c r="AP527" s="9">
        <f t="shared" si="145"/>
        <v>0.85880000000000001</v>
      </c>
      <c r="AQ527" s="9">
        <f t="shared" si="146"/>
        <v>8.5879999999999992</v>
      </c>
      <c r="AR527" s="9">
        <f t="shared" si="147"/>
        <v>10.734999999999999</v>
      </c>
      <c r="AS527" s="11">
        <f t="shared" si="148"/>
        <v>7.3040000000000012</v>
      </c>
      <c r="AT527" s="12">
        <f t="shared" si="149"/>
        <v>5.8726666666666674</v>
      </c>
    </row>
    <row r="528" spans="1:46" ht="16.5" x14ac:dyDescent="0.4">
      <c r="A528" s="4" t="s">
        <v>2389</v>
      </c>
      <c r="B528" s="4" t="s">
        <v>2469</v>
      </c>
      <c r="C528" s="4" t="s">
        <v>2464</v>
      </c>
      <c r="D528" s="4" t="s">
        <v>2408</v>
      </c>
      <c r="E528" s="4" t="s">
        <v>2446</v>
      </c>
      <c r="F528" s="4" t="s">
        <v>2427</v>
      </c>
      <c r="G528" s="7" t="str">
        <f>VLOOKUP(A528,[1]done!$A:$I,9,0)</f>
        <v>Cockroach</v>
      </c>
      <c r="H528" s="7" t="str" cm="1">
        <f t="array" ref="H528">_xlfn.IFS(
OR(ISNUMBER(SEARCH("mouse",E528)),ISNUMBER(SEARCH("rat",E528)),ISNUMBER(SEARCH("mice",E528)),ISNUMBER(SEARCH("rodent",E528))),"Rodent Control",
OR(ISNUMBER(SEARCH("fly",E528)),ISNUMBER(SEARCH("gnat",E528)),ISNUMBER(SEARCH("insect",E528)),ISNUMBER(SEARCH("mosquito",E528))),"Flying Insect Control",
OR(ISNUMBER(SEARCH("roach",E528)),ISNUMBER(SEARCH("ant",E528)),ISNUMBER(SEARCH("spider",E528)),ISNUMBER(SEARCH("cricket",E528)),ISNUMBER(SEARCH("scorpion",E528)),ISNUMBER(SEARCH("centipede",E528)),ISNUMBER(SEARCH("beetle",E528))),"Crawling Insect Control",
OR(ISNUMBER(SEARCH("tree",E528)),ISNUMBER(SEARCH("lantern",E528)),ISNUMBER(SEARCH("garden",E528)),ISNUMBER(SEARCH("plant",E528))),"Garden Pest Control",
OR(ISNUMBER(SEARCH("grass seed",E528)),ISNUMBER(SEARCH("seed mix",E528))),"Grass Seed",
OR(ISNUMBER(SEARCH("lawn food",E528)),ISNUMBER(SEARCH("fertilizer",E528))),"Lawn Fertilizer",
OR(ISNUMBER(SEARCH("patch",E528)),ISNUMBER(SEARCH("repair",E528)),ISNUMBER(SEARCH("thick'r",E528)),ISNUMBER(SEARCH("thick'r lawn",E528)),ISNUMBER(SEARCH("rapid grass",E528))),"Lawn Repair",
OR(ISNUMBER(SEARCH("weed",E528)),ISNUMBER(SEARCH("crabgrass",E528))),"Weed Control",
OR(ISNUMBER(SEARCH("fungicide",E528)),ISNUMBER(SEARCH("moss",E528))),"Disease &amp; Moss Control",
OR(ISNUMBER(SEARCH("plant food",E528)),ISNUMBER(SEARCH("miracid",E528))),"Plant Nutrition",
OR(ISNUMBER(SEARCH("perlite",E528))),"Soil Amendment",
OR(ISNUMBER(SEARCH("spreader",E528)),ISNUMBER(SEARCH("sprayer",E528)),ISNUMBER(SEARCH("mower",E528)),ISNUMBER(SEARCH("sweeper",E528)),ISNUMBER(SEARCH("pruner",E528)),ISNUMBER(SEARCH("trimmer",E528)),ISNUMBER(SEARCH("pole saw",E528))),"Garden Equipment",
TRUE,"Other"
)</f>
        <v>Flying Insect Control</v>
      </c>
      <c r="I528" s="7" t="str" cm="1">
        <f t="array" ref="I528">_xlfn.IFS(
OR(ISNUMBER(SEARCH("glue trap",E528)),ISNUMBER(SEARCH("glue board",E528))),"Glue Traps",
OR(ISNUMBER(SEARCH("snap trap",E528)),ISNUMBER(SEARCH("power-kill",E528)),ISNUMBER(SEARCH("wide pedal",E528)),ISNUMBER(SEARCH("metal pedal",E528))),"Snap Traps",
OR(ISNUMBER(SEARCH("electronic",E528)),ISNUMBER(SEARCH("zapper",E528))),"Electronic Traps",
OR(ISNUMBER(SEARCH("live catch",E528)),ISNUMBER(SEARCH("multi-catch",E528)),ISNUMBER(SEARCH("catch &amp; hold",E528)),ISNUMBER(SEARCH("tin cat",E528))),"Live Catch Traps",
OR(ISNUMBER(SEARCH("bait",E528)),ISNUMBER(SEARCH("poison",E528))),"Bait &amp; Poison",
ISNUMBER(SEARCH("repellent",E528)),"Repellents",
OR(ISNUMBER(SEARCH("fly trap",E528)),ISNUMBER(SEARCH("fly ribbon",E528)),ISNUMBER(SEARCH("fly stick",E528)),ISNUMBER(SEARCH("window fly",E528)),ISNUMBER(SEARCH("fly magnet",E528))),"Fly Traps",
OR(ISNUMBER(SEARCH("uv",E528)),ISNUMBER(SEARCH("fly light",E528)),ISNUMBER(SEARCH("plug-in",E528))),"UV Fly Traps",
ISNUMBER(SEARCH("roach",E528)),"Roach Traps",
ISNUMBER(SEARCH("ant",E528)),"Ant Traps",
ISNUMBER(SEARCH("spider",E528)),"Spider Traps",
ISNUMBER(SEARCH("mosquito",E528)),"Mosquito Traps",
ISNUMBER(SEARCH("beetle",E528)),"Beetle Traps",
ISNUMBER(SEARCH("lantern",E528)),"Lanternfly Control",
OR(ISNUMBER(SEARCH("tree shield",E528)),ISNUMBER(SEARCH("tree banding",E528)),ISNUMBER(SEARCH("insect barrier",E528))),"Tree Barriers",
OR(ISNUMBER(SEARCH("sun &amp; shade",E528)),ISNUMBER(SEARCH("sun and shade",E528))),"Sun &amp; Shade Mix",
ISNUMBER(SEARCH("tall fescue",E528)),"Tall Fescue",
ISNUMBER(SEARCH("bermudagrass",E528)),"Bermudagrass",
ISNUMBER(SEARCH("kentucky",E528)),"Kentucky Bluegrass",
ISNUMBER(SEARCH("zoysia",E528)),"Zoysia",
ISNUMBER(SEARCH("ryegrass",E528)),"Perennial Ryegrass",
ISNUMBER(SEARCH("centipede",E528)),"Centipede Grass",
ISNUMBER(SEARCH("dense shade",E528)),"Dense Shade Mix",
ISNUMBER(SEARCH("southern gold",E528)),"Southern Gold Mix",
ISNUMBER(SEARCH("heat-tolerant blue",E528)),"Heat-Tolerant Blue Mix",
ISNUMBER(SEARCH("high traffic",E528)),"High Traffic Mix",
ISNUMBER(SEARCH("quick fix",E528)),"Quick Fix Mix",
ISNUMBER(SEARCH("starter",E528)),"Starter Fertilizer",
ISNUMBER(SEARCH("weed &amp; feed",E528)),"Weed &amp; Feed",
ISNUMBER(SEARCH("lawn food",E528)),"Lawn Food",
ISNUMBER(SEARCH("triple action",E528)),"Triple Action Fertilizer",
ISNUMBER(SEARCH("green max",E528)),"Green Max Lawn Food",
ISNUMBER(SEARCH("patchmaster",E528)),"PatchMaster Repair",
ISNUMBER(SEARCH("ez seed",E528)),"EZ Seed Repair",
ISNUMBER(SEARCH("rapid grass",E528)),"Rapid Grass",
ISNUMBER(SEARCH("thick'r lawn",E528)),"Thick'R Lawn",
ISNUMBER(SEARCH("fungicide",E528)),"Fungicide",
ISNUMBER(SEARCH("moss",E528)),"Moss Control",
ISNUMBER(SEARCH("perlite",E528)),"Perlite",
ISNUMBER(SEARCH("plant food",E528)),"Plant Food",
ISNUMBER(SEARCH("spreader",E528)),"Spreader",
ISNUMBER(SEARCH("sprayer",E528)),"Sprayer",
ISNUMBER(SEARCH("mower",E528)),"Lawn Mower",
ISNUMBER(SEARCH("sweeper",E528)),"Lawn Sweeper",
OR(ISNUMBER(SEARCH("pruner",E528)),ISNUMBER(SEARCH("trimmer",E528)),ISNUMBER(SEARCH("pole saw",E528))),"Pruning Tools",
TRUE,"Other"
)</f>
        <v>Roach Traps</v>
      </c>
      <c r="J528" s="7" t="str">
        <f t="shared" si="140"/>
        <v>Flying Insect Control - Roach Traps</v>
      </c>
      <c r="K528" s="4">
        <v>400</v>
      </c>
      <c r="L528" s="4">
        <v>4.5</v>
      </c>
      <c r="M528" s="4">
        <v>2974</v>
      </c>
      <c r="N528" s="4">
        <v>30</v>
      </c>
      <c r="O528" s="4">
        <f>VLOOKUP(A528,[8]Sheet1!$A:$M,2,0)</f>
        <v>100</v>
      </c>
      <c r="P528" s="4">
        <f>VLOOKUP(A528,[8]Sheet1!$A:$M,3,0)</f>
        <v>100</v>
      </c>
      <c r="Q528" s="4">
        <f>VLOOKUP(A528,[8]Sheet1!$A:$M,4,0)</f>
        <v>200</v>
      </c>
      <c r="R528" s="4">
        <f>VLOOKUP(A528,[8]Sheet1!$A:$M,5,0)</f>
        <v>200</v>
      </c>
      <c r="S528" s="4">
        <f>VLOOKUP(A528,[8]Sheet1!$A:$M,6,0)</f>
        <v>300</v>
      </c>
      <c r="T528" s="4">
        <f>VLOOKUP(A528,[8]Sheet1!$A:$M,7,0)</f>
        <v>400</v>
      </c>
      <c r="U528" s="4">
        <f>VLOOKUP(A528,[8]Sheet1!$A:$M,8,0)</f>
        <v>400</v>
      </c>
      <c r="V528" s="4">
        <f>VLOOKUP(A528,[8]Sheet1!$A:$M,9,0)</f>
        <v>400</v>
      </c>
      <c r="W528" s="4">
        <f>VLOOKUP(A528,[8]Sheet1!$A:$M,10,0)</f>
        <v>400</v>
      </c>
      <c r="X528" s="4">
        <f>VLOOKUP(A528,[8]Sheet1!$A:$M,11,0)</f>
        <v>400</v>
      </c>
      <c r="Y528" s="4">
        <f>VLOOKUP(A528,[8]Sheet1!$A:$M,12,0)</f>
        <v>400</v>
      </c>
      <c r="Z528" s="4">
        <f>VLOOKUP(A528,[8]Sheet1!$A:$M,13,0)</f>
        <v>200</v>
      </c>
      <c r="AA528" s="4">
        <f t="shared" si="136"/>
        <v>3500</v>
      </c>
      <c r="AB528" s="7">
        <f t="shared" si="141"/>
        <v>292</v>
      </c>
      <c r="AC528" s="15">
        <f t="shared" si="150"/>
        <v>291.66666666666669</v>
      </c>
      <c r="AD528" s="16">
        <f t="shared" si="151"/>
        <v>52325</v>
      </c>
      <c r="AE528" s="16">
        <f t="shared" si="152"/>
        <v>4360.416666666667</v>
      </c>
      <c r="AF528" s="21">
        <v>5.61</v>
      </c>
      <c r="AG528" s="21">
        <v>14.95</v>
      </c>
      <c r="AH528" s="15">
        <f t="shared" si="134"/>
        <v>-4.2000000000000114E-2</v>
      </c>
      <c r="AI528" s="15">
        <f t="shared" si="135"/>
        <v>-0.14700000000000038</v>
      </c>
      <c r="AJ528" s="10">
        <v>0.5</v>
      </c>
      <c r="AK528" s="10">
        <v>0.5</v>
      </c>
      <c r="AL528" s="21">
        <v>5.61</v>
      </c>
      <c r="AM528" s="9">
        <f t="shared" si="142"/>
        <v>2.2424999999999997</v>
      </c>
      <c r="AN528" s="9">
        <f t="shared" si="143"/>
        <v>0.44849999999999995</v>
      </c>
      <c r="AO528" s="9">
        <f t="shared" si="144"/>
        <v>2.99</v>
      </c>
      <c r="AP528" s="9">
        <f t="shared" si="145"/>
        <v>0.29899999999999999</v>
      </c>
      <c r="AQ528" s="9">
        <f t="shared" si="146"/>
        <v>2.99</v>
      </c>
      <c r="AR528" s="9">
        <f t="shared" si="147"/>
        <v>3.7374999999999998</v>
      </c>
      <c r="AS528" s="11">
        <f t="shared" si="148"/>
        <v>-0.42000000000000109</v>
      </c>
      <c r="AT528" s="12">
        <f t="shared" si="149"/>
        <v>-0.91833333333333422</v>
      </c>
    </row>
    <row r="529" spans="1:46" ht="16.5" x14ac:dyDescent="0.4">
      <c r="A529" s="4" t="s">
        <v>2390</v>
      </c>
      <c r="B529" s="4" t="s">
        <v>2469</v>
      </c>
      <c r="C529" s="4" t="s">
        <v>2465</v>
      </c>
      <c r="D529" s="4" t="s">
        <v>2409</v>
      </c>
      <c r="E529" s="4" t="s">
        <v>2447</v>
      </c>
      <c r="F529" s="4" t="s">
        <v>2428</v>
      </c>
      <c r="G529" s="7" t="str">
        <f>VLOOKUP(A529,[1]done!$A:$I,9,0)</f>
        <v>Rodent</v>
      </c>
      <c r="H529" s="7" t="str" cm="1">
        <f t="array" ref="H529">_xlfn.IFS(
OR(ISNUMBER(SEARCH("mouse",E529)),ISNUMBER(SEARCH("rat",E529)),ISNUMBER(SEARCH("mice",E529)),ISNUMBER(SEARCH("rodent",E529))),"Rodent Control",
OR(ISNUMBER(SEARCH("fly",E529)),ISNUMBER(SEARCH("gnat",E529)),ISNUMBER(SEARCH("insect",E529)),ISNUMBER(SEARCH("mosquito",E529))),"Flying Insect Control",
OR(ISNUMBER(SEARCH("roach",E529)),ISNUMBER(SEARCH("ant",E529)),ISNUMBER(SEARCH("spider",E529)),ISNUMBER(SEARCH("cricket",E529)),ISNUMBER(SEARCH("scorpion",E529)),ISNUMBER(SEARCH("centipede",E529)),ISNUMBER(SEARCH("beetle",E529))),"Crawling Insect Control",
OR(ISNUMBER(SEARCH("tree",E529)),ISNUMBER(SEARCH("lantern",E529)),ISNUMBER(SEARCH("garden",E529)),ISNUMBER(SEARCH("plant",E529))),"Garden Pest Control",
OR(ISNUMBER(SEARCH("grass seed",E529)),ISNUMBER(SEARCH("seed mix",E529))),"Grass Seed",
OR(ISNUMBER(SEARCH("lawn food",E529)),ISNUMBER(SEARCH("fertilizer",E529))),"Lawn Fertilizer",
OR(ISNUMBER(SEARCH("patch",E529)),ISNUMBER(SEARCH("repair",E529)),ISNUMBER(SEARCH("thick'r",E529)),ISNUMBER(SEARCH("thick'r lawn",E529)),ISNUMBER(SEARCH("rapid grass",E529))),"Lawn Repair",
OR(ISNUMBER(SEARCH("weed",E529)),ISNUMBER(SEARCH("crabgrass",E529))),"Weed Control",
OR(ISNUMBER(SEARCH("fungicide",E529)),ISNUMBER(SEARCH("moss",E529))),"Disease &amp; Moss Control",
OR(ISNUMBER(SEARCH("plant food",E529)),ISNUMBER(SEARCH("miracid",E529))),"Plant Nutrition",
OR(ISNUMBER(SEARCH("perlite",E529))),"Soil Amendment",
OR(ISNUMBER(SEARCH("spreader",E529)),ISNUMBER(SEARCH("sprayer",E529)),ISNUMBER(SEARCH("mower",E529)),ISNUMBER(SEARCH("sweeper",E529)),ISNUMBER(SEARCH("pruner",E529)),ISNUMBER(SEARCH("trimmer",E529)),ISNUMBER(SEARCH("pole saw",E529))),"Garden Equipment",
TRUE,"Other"
)</f>
        <v>Rodent Control</v>
      </c>
      <c r="I529" s="7" t="str" cm="1">
        <f t="array" ref="I529">_xlfn.IFS(
OR(ISNUMBER(SEARCH("glue trap",E529)),ISNUMBER(SEARCH("glue board",E529))),"Glue Traps",
OR(ISNUMBER(SEARCH("snap trap",E529)),ISNUMBER(SEARCH("power-kill",E529)),ISNUMBER(SEARCH("wide pedal",E529)),ISNUMBER(SEARCH("metal pedal",E529))),"Snap Traps",
OR(ISNUMBER(SEARCH("electronic",E529)),ISNUMBER(SEARCH("zapper",E529))),"Electronic Traps",
OR(ISNUMBER(SEARCH("live catch",E529)),ISNUMBER(SEARCH("multi-catch",E529)),ISNUMBER(SEARCH("catch &amp; hold",E529)),ISNUMBER(SEARCH("tin cat",E529))),"Live Catch Traps",
OR(ISNUMBER(SEARCH("bait",E529)),ISNUMBER(SEARCH("poison",E529))),"Bait &amp; Poison",
ISNUMBER(SEARCH("repellent",E529)),"Repellents",
OR(ISNUMBER(SEARCH("fly trap",E529)),ISNUMBER(SEARCH("fly ribbon",E529)),ISNUMBER(SEARCH("fly stick",E529)),ISNUMBER(SEARCH("window fly",E529)),ISNUMBER(SEARCH("fly magnet",E529))),"Fly Traps",
OR(ISNUMBER(SEARCH("uv",E529)),ISNUMBER(SEARCH("fly light",E529)),ISNUMBER(SEARCH("plug-in",E529))),"UV Fly Traps",
ISNUMBER(SEARCH("roach",E529)),"Roach Traps",
ISNUMBER(SEARCH("ant",E529)),"Ant Traps",
ISNUMBER(SEARCH("spider",E529)),"Spider Traps",
ISNUMBER(SEARCH("mosquito",E529)),"Mosquito Traps",
ISNUMBER(SEARCH("beetle",E529)),"Beetle Traps",
ISNUMBER(SEARCH("lantern",E529)),"Lanternfly Control",
OR(ISNUMBER(SEARCH("tree shield",E529)),ISNUMBER(SEARCH("tree banding",E529)),ISNUMBER(SEARCH("insect barrier",E529))),"Tree Barriers",
OR(ISNUMBER(SEARCH("sun &amp; shade",E529)),ISNUMBER(SEARCH("sun and shade",E529))),"Sun &amp; Shade Mix",
ISNUMBER(SEARCH("tall fescue",E529)),"Tall Fescue",
ISNUMBER(SEARCH("bermudagrass",E529)),"Bermudagrass",
ISNUMBER(SEARCH("kentucky",E529)),"Kentucky Bluegrass",
ISNUMBER(SEARCH("zoysia",E529)),"Zoysia",
ISNUMBER(SEARCH("ryegrass",E529)),"Perennial Ryegrass",
ISNUMBER(SEARCH("centipede",E529)),"Centipede Grass",
ISNUMBER(SEARCH("dense shade",E529)),"Dense Shade Mix",
ISNUMBER(SEARCH("southern gold",E529)),"Southern Gold Mix",
ISNUMBER(SEARCH("heat-tolerant blue",E529)),"Heat-Tolerant Blue Mix",
ISNUMBER(SEARCH("high traffic",E529)),"High Traffic Mix",
ISNUMBER(SEARCH("quick fix",E529)),"Quick Fix Mix",
ISNUMBER(SEARCH("starter",E529)),"Starter Fertilizer",
ISNUMBER(SEARCH("weed &amp; feed",E529)),"Weed &amp; Feed",
ISNUMBER(SEARCH("lawn food",E529)),"Lawn Food",
ISNUMBER(SEARCH("triple action",E529)),"Triple Action Fertilizer",
ISNUMBER(SEARCH("green max",E529)),"Green Max Lawn Food",
ISNUMBER(SEARCH("patchmaster",E529)),"PatchMaster Repair",
ISNUMBER(SEARCH("ez seed",E529)),"EZ Seed Repair",
ISNUMBER(SEARCH("rapid grass",E529)),"Rapid Grass",
ISNUMBER(SEARCH("thick'r lawn",E529)),"Thick'R Lawn",
ISNUMBER(SEARCH("fungicide",E529)),"Fungicide",
ISNUMBER(SEARCH("moss",E529)),"Moss Control",
ISNUMBER(SEARCH("perlite",E529)),"Perlite",
ISNUMBER(SEARCH("plant food",E529)),"Plant Food",
ISNUMBER(SEARCH("spreader",E529)),"Spreader",
ISNUMBER(SEARCH("sprayer",E529)),"Sprayer",
ISNUMBER(SEARCH("mower",E529)),"Lawn Mower",
ISNUMBER(SEARCH("sweeper",E529)),"Lawn Sweeper",
OR(ISNUMBER(SEARCH("pruner",E529)),ISNUMBER(SEARCH("trimmer",E529)),ISNUMBER(SEARCH("pole saw",E529))),"Pruning Tools",
TRUE,"Other"
)</f>
        <v>Other</v>
      </c>
      <c r="J529" s="7" t="str">
        <f t="shared" si="140"/>
        <v>Rodent Control - Other</v>
      </c>
      <c r="K529" s="4">
        <v>400</v>
      </c>
      <c r="L529" s="4">
        <v>4.7</v>
      </c>
      <c r="M529" s="4">
        <v>568</v>
      </c>
      <c r="N529" s="4" t="s">
        <v>2472</v>
      </c>
      <c r="O529" s="4">
        <f>VLOOKUP(A529,[8]Sheet1!$A:$M,2,0)</f>
        <v>200</v>
      </c>
      <c r="P529" s="4">
        <f>VLOOKUP(A529,[8]Sheet1!$A:$M,3,0)</f>
        <v>100</v>
      </c>
      <c r="Q529" s="4">
        <f>VLOOKUP(A529,[8]Sheet1!$A:$M,4,0)</f>
        <v>200</v>
      </c>
      <c r="R529" s="4">
        <f>VLOOKUP(A529,[8]Sheet1!$A:$M,5,0)</f>
        <v>200</v>
      </c>
      <c r="S529" s="4">
        <f>VLOOKUP(A529,[8]Sheet1!$A:$M,6,0)</f>
        <v>200</v>
      </c>
      <c r="T529" s="4">
        <f>VLOOKUP(A529,[8]Sheet1!$A:$M,7,0)</f>
        <v>300</v>
      </c>
      <c r="U529" s="4">
        <f>VLOOKUP(A529,[8]Sheet1!$A:$M,8,0)</f>
        <v>300</v>
      </c>
      <c r="V529" s="4">
        <f>VLOOKUP(A529,[8]Sheet1!$A:$M,9,0)</f>
        <v>300</v>
      </c>
      <c r="W529" s="4">
        <f>VLOOKUP(A529,[8]Sheet1!$A:$M,10,0)</f>
        <v>300</v>
      </c>
      <c r="X529" s="4">
        <f>VLOOKUP(A529,[8]Sheet1!$A:$M,11,0)</f>
        <v>300</v>
      </c>
      <c r="Y529" s="4">
        <f>VLOOKUP(A529,[8]Sheet1!$A:$M,12,0)</f>
        <v>400</v>
      </c>
      <c r="Z529" s="4">
        <f>VLOOKUP(A529,[8]Sheet1!$A:$M,13,0)</f>
        <v>300</v>
      </c>
      <c r="AA529" s="4">
        <f t="shared" si="136"/>
        <v>3100</v>
      </c>
      <c r="AB529" s="7">
        <f t="shared" si="141"/>
        <v>258</v>
      </c>
      <c r="AC529" s="15">
        <f t="shared" si="150"/>
        <v>258.33333333333331</v>
      </c>
      <c r="AD529" s="16">
        <f t="shared" si="151"/>
        <v>440448.00000000006</v>
      </c>
      <c r="AE529" s="16">
        <f t="shared" si="152"/>
        <v>36704</v>
      </c>
      <c r="AF529" s="21">
        <v>17.260000000000002</v>
      </c>
      <c r="AG529" s="21">
        <v>142.08000000000001</v>
      </c>
      <c r="AH529" s="15">
        <f t="shared" si="134"/>
        <v>2.5714666666666663</v>
      </c>
      <c r="AI529" s="15">
        <f t="shared" si="135"/>
        <v>9.0001333333333307</v>
      </c>
      <c r="AJ529" s="10">
        <v>0.5</v>
      </c>
      <c r="AK529" s="10">
        <v>0.5</v>
      </c>
      <c r="AL529" s="21">
        <v>17.260000000000002</v>
      </c>
      <c r="AM529" s="9">
        <f t="shared" si="142"/>
        <v>21.312000000000001</v>
      </c>
      <c r="AN529" s="9">
        <f t="shared" si="143"/>
        <v>4.2624000000000004</v>
      </c>
      <c r="AO529" s="9">
        <f t="shared" si="144"/>
        <v>28.416000000000004</v>
      </c>
      <c r="AP529" s="9">
        <f t="shared" si="145"/>
        <v>2.8416000000000001</v>
      </c>
      <c r="AQ529" s="9">
        <f t="shared" si="146"/>
        <v>28.416000000000004</v>
      </c>
      <c r="AR529" s="9">
        <f t="shared" si="147"/>
        <v>35.520000000000003</v>
      </c>
      <c r="AS529" s="11">
        <f t="shared" si="148"/>
        <v>25.714666666666663</v>
      </c>
      <c r="AT529" s="12">
        <f t="shared" si="149"/>
        <v>20.978666666666665</v>
      </c>
    </row>
    <row r="530" spans="1:46" ht="16.5" x14ac:dyDescent="0.4">
      <c r="A530" s="4" t="s">
        <v>2391</v>
      </c>
      <c r="B530" s="4" t="s">
        <v>2469</v>
      </c>
      <c r="C530" s="4" t="s">
        <v>2464</v>
      </c>
      <c r="D530" s="4" t="s">
        <v>2410</v>
      </c>
      <c r="E530" s="4" t="s">
        <v>2448</v>
      </c>
      <c r="F530" s="4" t="s">
        <v>2429</v>
      </c>
      <c r="G530" s="7" t="str">
        <f>VLOOKUP(A530,[1]done!$A:$I,9,0)</f>
        <v>Rodent</v>
      </c>
      <c r="H530" s="7" t="str" cm="1">
        <f t="array" ref="H530">_xlfn.IFS(
OR(ISNUMBER(SEARCH("mouse",E530)),ISNUMBER(SEARCH("rat",E530)),ISNUMBER(SEARCH("mice",E530)),ISNUMBER(SEARCH("rodent",E530))),"Rodent Control",
OR(ISNUMBER(SEARCH("fly",E530)),ISNUMBER(SEARCH("gnat",E530)),ISNUMBER(SEARCH("insect",E530)),ISNUMBER(SEARCH("mosquito",E530))),"Flying Insect Control",
OR(ISNUMBER(SEARCH("roach",E530)),ISNUMBER(SEARCH("ant",E530)),ISNUMBER(SEARCH("spider",E530)),ISNUMBER(SEARCH("cricket",E530)),ISNUMBER(SEARCH("scorpion",E530)),ISNUMBER(SEARCH("centipede",E530)),ISNUMBER(SEARCH("beetle",E530))),"Crawling Insect Control",
OR(ISNUMBER(SEARCH("tree",E530)),ISNUMBER(SEARCH("lantern",E530)),ISNUMBER(SEARCH("garden",E530)),ISNUMBER(SEARCH("plant",E530))),"Garden Pest Control",
OR(ISNUMBER(SEARCH("grass seed",E530)),ISNUMBER(SEARCH("seed mix",E530))),"Grass Seed",
OR(ISNUMBER(SEARCH("lawn food",E530)),ISNUMBER(SEARCH("fertilizer",E530))),"Lawn Fertilizer",
OR(ISNUMBER(SEARCH("patch",E530)),ISNUMBER(SEARCH("repair",E530)),ISNUMBER(SEARCH("thick'r",E530)),ISNUMBER(SEARCH("thick'r lawn",E530)),ISNUMBER(SEARCH("rapid grass",E530))),"Lawn Repair",
OR(ISNUMBER(SEARCH("weed",E530)),ISNUMBER(SEARCH("crabgrass",E530))),"Weed Control",
OR(ISNUMBER(SEARCH("fungicide",E530)),ISNUMBER(SEARCH("moss",E530))),"Disease &amp; Moss Control",
OR(ISNUMBER(SEARCH("plant food",E530)),ISNUMBER(SEARCH("miracid",E530))),"Plant Nutrition",
OR(ISNUMBER(SEARCH("perlite",E530))),"Soil Amendment",
OR(ISNUMBER(SEARCH("spreader",E530)),ISNUMBER(SEARCH("sprayer",E530)),ISNUMBER(SEARCH("mower",E530)),ISNUMBER(SEARCH("sweeper",E530)),ISNUMBER(SEARCH("pruner",E530)),ISNUMBER(SEARCH("trimmer",E530)),ISNUMBER(SEARCH("pole saw",E530))),"Garden Equipment",
TRUE,"Other"
)</f>
        <v>Rodent Control</v>
      </c>
      <c r="I530" s="7" t="str" cm="1">
        <f t="array" ref="I530">_xlfn.IFS(
OR(ISNUMBER(SEARCH("glue trap",E530)),ISNUMBER(SEARCH("glue board",E530))),"Glue Traps",
OR(ISNUMBER(SEARCH("snap trap",E530)),ISNUMBER(SEARCH("power-kill",E530)),ISNUMBER(SEARCH("wide pedal",E530)),ISNUMBER(SEARCH("metal pedal",E530))),"Snap Traps",
OR(ISNUMBER(SEARCH("electronic",E530)),ISNUMBER(SEARCH("zapper",E530))),"Electronic Traps",
OR(ISNUMBER(SEARCH("live catch",E530)),ISNUMBER(SEARCH("multi-catch",E530)),ISNUMBER(SEARCH("catch &amp; hold",E530)),ISNUMBER(SEARCH("tin cat",E530))),"Live Catch Traps",
OR(ISNUMBER(SEARCH("bait",E530)),ISNUMBER(SEARCH("poison",E530))),"Bait &amp; Poison",
ISNUMBER(SEARCH("repellent",E530)),"Repellents",
OR(ISNUMBER(SEARCH("fly trap",E530)),ISNUMBER(SEARCH("fly ribbon",E530)),ISNUMBER(SEARCH("fly stick",E530)),ISNUMBER(SEARCH("window fly",E530)),ISNUMBER(SEARCH("fly magnet",E530))),"Fly Traps",
OR(ISNUMBER(SEARCH("uv",E530)),ISNUMBER(SEARCH("fly light",E530)),ISNUMBER(SEARCH("plug-in",E530))),"UV Fly Traps",
ISNUMBER(SEARCH("roach",E530)),"Roach Traps",
ISNUMBER(SEARCH("ant",E530)),"Ant Traps",
ISNUMBER(SEARCH("spider",E530)),"Spider Traps",
ISNUMBER(SEARCH("mosquito",E530)),"Mosquito Traps",
ISNUMBER(SEARCH("beetle",E530)),"Beetle Traps",
ISNUMBER(SEARCH("lantern",E530)),"Lanternfly Control",
OR(ISNUMBER(SEARCH("tree shield",E530)),ISNUMBER(SEARCH("tree banding",E530)),ISNUMBER(SEARCH("insect barrier",E530))),"Tree Barriers",
OR(ISNUMBER(SEARCH("sun &amp; shade",E530)),ISNUMBER(SEARCH("sun and shade",E530))),"Sun &amp; Shade Mix",
ISNUMBER(SEARCH("tall fescue",E530)),"Tall Fescue",
ISNUMBER(SEARCH("bermudagrass",E530)),"Bermudagrass",
ISNUMBER(SEARCH("kentucky",E530)),"Kentucky Bluegrass",
ISNUMBER(SEARCH("zoysia",E530)),"Zoysia",
ISNUMBER(SEARCH("ryegrass",E530)),"Perennial Ryegrass",
ISNUMBER(SEARCH("centipede",E530)),"Centipede Grass",
ISNUMBER(SEARCH("dense shade",E530)),"Dense Shade Mix",
ISNUMBER(SEARCH("southern gold",E530)),"Southern Gold Mix",
ISNUMBER(SEARCH("heat-tolerant blue",E530)),"Heat-Tolerant Blue Mix",
ISNUMBER(SEARCH("high traffic",E530)),"High Traffic Mix",
ISNUMBER(SEARCH("quick fix",E530)),"Quick Fix Mix",
ISNUMBER(SEARCH("starter",E530)),"Starter Fertilizer",
ISNUMBER(SEARCH("weed &amp; feed",E530)),"Weed &amp; Feed",
ISNUMBER(SEARCH("lawn food",E530)),"Lawn Food",
ISNUMBER(SEARCH("triple action",E530)),"Triple Action Fertilizer",
ISNUMBER(SEARCH("green max",E530)),"Green Max Lawn Food",
ISNUMBER(SEARCH("patchmaster",E530)),"PatchMaster Repair",
ISNUMBER(SEARCH("ez seed",E530)),"EZ Seed Repair",
ISNUMBER(SEARCH("rapid grass",E530)),"Rapid Grass",
ISNUMBER(SEARCH("thick'r lawn",E530)),"Thick'R Lawn",
ISNUMBER(SEARCH("fungicide",E530)),"Fungicide",
ISNUMBER(SEARCH("moss",E530)),"Moss Control",
ISNUMBER(SEARCH("perlite",E530)),"Perlite",
ISNUMBER(SEARCH("plant food",E530)),"Plant Food",
ISNUMBER(SEARCH("spreader",E530)),"Spreader",
ISNUMBER(SEARCH("sprayer",E530)),"Sprayer",
ISNUMBER(SEARCH("mower",E530)),"Lawn Mower",
ISNUMBER(SEARCH("sweeper",E530)),"Lawn Sweeper",
OR(ISNUMBER(SEARCH("pruner",E530)),ISNUMBER(SEARCH("trimmer",E530)),ISNUMBER(SEARCH("pole saw",E530))),"Pruning Tools",
TRUE,"Other"
)</f>
        <v>Other</v>
      </c>
      <c r="J530" s="7" t="str">
        <f t="shared" si="140"/>
        <v>Rodent Control - Other</v>
      </c>
      <c r="K530" s="4">
        <v>300</v>
      </c>
      <c r="L530" s="4">
        <v>4.5999999999999996</v>
      </c>
      <c r="M530" s="4">
        <v>957</v>
      </c>
      <c r="N530" s="4" t="s">
        <v>2473</v>
      </c>
      <c r="O530" s="4">
        <f>VLOOKUP(A530,[8]Sheet1!$A:$M,2,0)</f>
        <v>117</v>
      </c>
      <c r="P530" s="4">
        <f>VLOOKUP(A530,[8]Sheet1!$A:$M,3,0)</f>
        <v>117</v>
      </c>
      <c r="Q530" s="4">
        <f>VLOOKUP(A530,[8]Sheet1!$A:$M,4,0)</f>
        <v>117</v>
      </c>
      <c r="R530" s="4">
        <f>VLOOKUP(A530,[8]Sheet1!$A:$M,5,0)</f>
        <v>117</v>
      </c>
      <c r="S530" s="4">
        <f>VLOOKUP(A530,[8]Sheet1!$A:$M,6,0)</f>
        <v>117</v>
      </c>
      <c r="T530" s="4">
        <f>VLOOKUP(A530,[8]Sheet1!$A:$M,7,0)</f>
        <v>151</v>
      </c>
      <c r="U530" s="4">
        <f>VLOOKUP(A530,[8]Sheet1!$A:$M,8,0)</f>
        <v>117</v>
      </c>
      <c r="V530" s="4">
        <f>VLOOKUP(A530,[8]Sheet1!$A:$M,9,0)</f>
        <v>152</v>
      </c>
      <c r="W530" s="4">
        <f>VLOOKUP(A530,[8]Sheet1!$A:$M,10,0)</f>
        <v>151</v>
      </c>
      <c r="X530" s="4">
        <f>VLOOKUP(A530,[8]Sheet1!$A:$M,11,0)</f>
        <v>186</v>
      </c>
      <c r="Y530" s="4">
        <f>VLOOKUP(A530,[8]Sheet1!$A:$M,12,0)</f>
        <v>186</v>
      </c>
      <c r="Z530" s="4">
        <f>VLOOKUP(A530,[8]Sheet1!$A:$M,13,0)</f>
        <v>117</v>
      </c>
      <c r="AA530" s="4">
        <f t="shared" si="136"/>
        <v>1645</v>
      </c>
      <c r="AB530" s="7">
        <f t="shared" si="141"/>
        <v>137</v>
      </c>
      <c r="AC530" s="15">
        <f t="shared" si="150"/>
        <v>137.08333333333334</v>
      </c>
      <c r="AD530" s="16">
        <f t="shared" si="151"/>
        <v>195294.4</v>
      </c>
      <c r="AE530" s="16">
        <f t="shared" si="152"/>
        <v>16274.533333333335</v>
      </c>
      <c r="AF530" s="21">
        <v>17.260000000000002</v>
      </c>
      <c r="AG530" s="21">
        <v>118.72</v>
      </c>
      <c r="AH530" s="15">
        <f t="shared" si="134"/>
        <v>1.948533333333333</v>
      </c>
      <c r="AI530" s="15">
        <f t="shared" si="135"/>
        <v>6.8198666666666652</v>
      </c>
      <c r="AJ530" s="10">
        <v>0.5</v>
      </c>
      <c r="AK530" s="10">
        <v>0.5</v>
      </c>
      <c r="AL530" s="21">
        <v>17.260000000000002</v>
      </c>
      <c r="AM530" s="9">
        <f t="shared" si="142"/>
        <v>17.808</v>
      </c>
      <c r="AN530" s="9">
        <f t="shared" si="143"/>
        <v>3.5615999999999999</v>
      </c>
      <c r="AO530" s="9">
        <f t="shared" si="144"/>
        <v>23.744</v>
      </c>
      <c r="AP530" s="9">
        <f t="shared" si="145"/>
        <v>2.3744000000000001</v>
      </c>
      <c r="AQ530" s="9">
        <f t="shared" si="146"/>
        <v>23.744</v>
      </c>
      <c r="AR530" s="9">
        <f t="shared" si="147"/>
        <v>29.68</v>
      </c>
      <c r="AS530" s="11">
        <f t="shared" si="148"/>
        <v>19.48533333333333</v>
      </c>
      <c r="AT530" s="12">
        <f t="shared" si="149"/>
        <v>15.527999999999997</v>
      </c>
    </row>
    <row r="531" spans="1:46" ht="16.5" x14ac:dyDescent="0.4">
      <c r="A531" s="4" t="s">
        <v>2392</v>
      </c>
      <c r="B531" s="4" t="s">
        <v>2469</v>
      </c>
      <c r="C531" s="4" t="s">
        <v>2466</v>
      </c>
      <c r="D531" s="4" t="s">
        <v>2411</v>
      </c>
      <c r="E531" s="4" t="s">
        <v>2449</v>
      </c>
      <c r="F531" s="4" t="s">
        <v>2430</v>
      </c>
      <c r="G531" s="7" t="str">
        <f>VLOOKUP(A531,[1]done!$A:$I,9,0)</f>
        <v>Rodent</v>
      </c>
      <c r="H531" s="7" t="str" cm="1">
        <f t="array" ref="H531">_xlfn.IFS(
OR(ISNUMBER(SEARCH("mouse",E531)),ISNUMBER(SEARCH("rat",E531)),ISNUMBER(SEARCH("mice",E531)),ISNUMBER(SEARCH("rodent",E531))),"Rodent Control",
OR(ISNUMBER(SEARCH("fly",E531)),ISNUMBER(SEARCH("gnat",E531)),ISNUMBER(SEARCH("insect",E531)),ISNUMBER(SEARCH("mosquito",E531))),"Flying Insect Control",
OR(ISNUMBER(SEARCH("roach",E531)),ISNUMBER(SEARCH("ant",E531)),ISNUMBER(SEARCH("spider",E531)),ISNUMBER(SEARCH("cricket",E531)),ISNUMBER(SEARCH("scorpion",E531)),ISNUMBER(SEARCH("centipede",E531)),ISNUMBER(SEARCH("beetle",E531))),"Crawling Insect Control",
OR(ISNUMBER(SEARCH("tree",E531)),ISNUMBER(SEARCH("lantern",E531)),ISNUMBER(SEARCH("garden",E531)),ISNUMBER(SEARCH("plant",E531))),"Garden Pest Control",
OR(ISNUMBER(SEARCH("grass seed",E531)),ISNUMBER(SEARCH("seed mix",E531))),"Grass Seed",
OR(ISNUMBER(SEARCH("lawn food",E531)),ISNUMBER(SEARCH("fertilizer",E531))),"Lawn Fertilizer",
OR(ISNUMBER(SEARCH("patch",E531)),ISNUMBER(SEARCH("repair",E531)),ISNUMBER(SEARCH("thick'r",E531)),ISNUMBER(SEARCH("thick'r lawn",E531)),ISNUMBER(SEARCH("rapid grass",E531))),"Lawn Repair",
OR(ISNUMBER(SEARCH("weed",E531)),ISNUMBER(SEARCH("crabgrass",E531))),"Weed Control",
OR(ISNUMBER(SEARCH("fungicide",E531)),ISNUMBER(SEARCH("moss",E531))),"Disease &amp; Moss Control",
OR(ISNUMBER(SEARCH("plant food",E531)),ISNUMBER(SEARCH("miracid",E531))),"Plant Nutrition",
OR(ISNUMBER(SEARCH("perlite",E531))),"Soil Amendment",
OR(ISNUMBER(SEARCH("spreader",E531)),ISNUMBER(SEARCH("sprayer",E531)),ISNUMBER(SEARCH("mower",E531)),ISNUMBER(SEARCH("sweeper",E531)),ISNUMBER(SEARCH("pruner",E531)),ISNUMBER(SEARCH("trimmer",E531)),ISNUMBER(SEARCH("pole saw",E531))),"Garden Equipment",
TRUE,"Other"
)</f>
        <v>Rodent Control</v>
      </c>
      <c r="I531" s="7" t="str" cm="1">
        <f t="array" ref="I531">_xlfn.IFS(
OR(ISNUMBER(SEARCH("glue trap",E531)),ISNUMBER(SEARCH("glue board",E531))),"Glue Traps",
OR(ISNUMBER(SEARCH("snap trap",E531)),ISNUMBER(SEARCH("power-kill",E531)),ISNUMBER(SEARCH("wide pedal",E531)),ISNUMBER(SEARCH("metal pedal",E531))),"Snap Traps",
OR(ISNUMBER(SEARCH("electronic",E531)),ISNUMBER(SEARCH("zapper",E531))),"Electronic Traps",
OR(ISNUMBER(SEARCH("live catch",E531)),ISNUMBER(SEARCH("multi-catch",E531)),ISNUMBER(SEARCH("catch &amp; hold",E531)),ISNUMBER(SEARCH("tin cat",E531))),"Live Catch Traps",
OR(ISNUMBER(SEARCH("bait",E531)),ISNUMBER(SEARCH("poison",E531))),"Bait &amp; Poison",
ISNUMBER(SEARCH("repellent",E531)),"Repellents",
OR(ISNUMBER(SEARCH("fly trap",E531)),ISNUMBER(SEARCH("fly ribbon",E531)),ISNUMBER(SEARCH("fly stick",E531)),ISNUMBER(SEARCH("window fly",E531)),ISNUMBER(SEARCH("fly magnet",E531))),"Fly Traps",
OR(ISNUMBER(SEARCH("uv",E531)),ISNUMBER(SEARCH("fly light",E531)),ISNUMBER(SEARCH("plug-in",E531))),"UV Fly Traps",
ISNUMBER(SEARCH("roach",E531)),"Roach Traps",
ISNUMBER(SEARCH("ant",E531)),"Ant Traps",
ISNUMBER(SEARCH("spider",E531)),"Spider Traps",
ISNUMBER(SEARCH("mosquito",E531)),"Mosquito Traps",
ISNUMBER(SEARCH("beetle",E531)),"Beetle Traps",
ISNUMBER(SEARCH("lantern",E531)),"Lanternfly Control",
OR(ISNUMBER(SEARCH("tree shield",E531)),ISNUMBER(SEARCH("tree banding",E531)),ISNUMBER(SEARCH("insect barrier",E531))),"Tree Barriers",
OR(ISNUMBER(SEARCH("sun &amp; shade",E531)),ISNUMBER(SEARCH("sun and shade",E531))),"Sun &amp; Shade Mix",
ISNUMBER(SEARCH("tall fescue",E531)),"Tall Fescue",
ISNUMBER(SEARCH("bermudagrass",E531)),"Bermudagrass",
ISNUMBER(SEARCH("kentucky",E531)),"Kentucky Bluegrass",
ISNUMBER(SEARCH("zoysia",E531)),"Zoysia",
ISNUMBER(SEARCH("ryegrass",E531)),"Perennial Ryegrass",
ISNUMBER(SEARCH("centipede",E531)),"Centipede Grass",
ISNUMBER(SEARCH("dense shade",E531)),"Dense Shade Mix",
ISNUMBER(SEARCH("southern gold",E531)),"Southern Gold Mix",
ISNUMBER(SEARCH("heat-tolerant blue",E531)),"Heat-Tolerant Blue Mix",
ISNUMBER(SEARCH("high traffic",E531)),"High Traffic Mix",
ISNUMBER(SEARCH("quick fix",E531)),"Quick Fix Mix",
ISNUMBER(SEARCH("starter",E531)),"Starter Fertilizer",
ISNUMBER(SEARCH("weed &amp; feed",E531)),"Weed &amp; Feed",
ISNUMBER(SEARCH("lawn food",E531)),"Lawn Food",
ISNUMBER(SEARCH("triple action",E531)),"Triple Action Fertilizer",
ISNUMBER(SEARCH("green max",E531)),"Green Max Lawn Food",
ISNUMBER(SEARCH("patchmaster",E531)),"PatchMaster Repair",
ISNUMBER(SEARCH("ez seed",E531)),"EZ Seed Repair",
ISNUMBER(SEARCH("rapid grass",E531)),"Rapid Grass",
ISNUMBER(SEARCH("thick'r lawn",E531)),"Thick'R Lawn",
ISNUMBER(SEARCH("fungicide",E531)),"Fungicide",
ISNUMBER(SEARCH("moss",E531)),"Moss Control",
ISNUMBER(SEARCH("perlite",E531)),"Perlite",
ISNUMBER(SEARCH("plant food",E531)),"Plant Food",
ISNUMBER(SEARCH("spreader",E531)),"Spreader",
ISNUMBER(SEARCH("sprayer",E531)),"Sprayer",
ISNUMBER(SEARCH("mower",E531)),"Lawn Mower",
ISNUMBER(SEARCH("sweeper",E531)),"Lawn Sweeper",
OR(ISNUMBER(SEARCH("pruner",E531)),ISNUMBER(SEARCH("trimmer",E531)),ISNUMBER(SEARCH("pole saw",E531))),"Pruning Tools",
TRUE,"Other"
)</f>
        <v>Other</v>
      </c>
      <c r="J531" s="7" t="str">
        <f t="shared" si="140"/>
        <v>Rodent Control - Other</v>
      </c>
      <c r="K531" s="4">
        <v>300</v>
      </c>
      <c r="L531" s="4">
        <v>3.6</v>
      </c>
      <c r="M531" s="4">
        <v>942</v>
      </c>
      <c r="N531" s="4" t="s">
        <v>2474</v>
      </c>
      <c r="O531" s="4">
        <f>VLOOKUP(A531,[8]Sheet1!$A:$M,2,0)</f>
        <v>0</v>
      </c>
      <c r="P531" s="4">
        <f>VLOOKUP(A531,[8]Sheet1!$A:$M,3,0)</f>
        <v>0</v>
      </c>
      <c r="Q531" s="4">
        <f>VLOOKUP(A531,[8]Sheet1!$A:$M,4,0)</f>
        <v>0</v>
      </c>
      <c r="R531" s="4">
        <f>VLOOKUP(A531,[8]Sheet1!$A:$M,5,0)</f>
        <v>0</v>
      </c>
      <c r="S531" s="4">
        <f>VLOOKUP(A531,[8]Sheet1!$A:$M,6,0)</f>
        <v>100</v>
      </c>
      <c r="T531" s="4">
        <f>VLOOKUP(A531,[8]Sheet1!$A:$M,7,0)</f>
        <v>200</v>
      </c>
      <c r="U531" s="4">
        <f>VLOOKUP(A531,[8]Sheet1!$A:$M,8,0)</f>
        <v>200</v>
      </c>
      <c r="V531" s="4">
        <f>VLOOKUP(A531,[8]Sheet1!$A:$M,9,0)</f>
        <v>200</v>
      </c>
      <c r="W531" s="4">
        <f>VLOOKUP(A531,[8]Sheet1!$A:$M,10,0)</f>
        <v>300</v>
      </c>
      <c r="X531" s="4">
        <f>VLOOKUP(A531,[8]Sheet1!$A:$M,11,0)</f>
        <v>0</v>
      </c>
      <c r="Y531" s="4">
        <f>VLOOKUP(A531,[8]Sheet1!$A:$M,12,0)</f>
        <v>0</v>
      </c>
      <c r="Z531" s="4">
        <f>VLOOKUP(A531,[8]Sheet1!$A:$M,13,0)</f>
        <v>0</v>
      </c>
      <c r="AA531" s="4">
        <f t="shared" si="136"/>
        <v>1000</v>
      </c>
      <c r="AB531" s="7">
        <f t="shared" si="141"/>
        <v>83</v>
      </c>
      <c r="AC531" s="15">
        <f t="shared" si="150"/>
        <v>83.333333333333329</v>
      </c>
      <c r="AD531" s="16">
        <f t="shared" si="151"/>
        <v>12350</v>
      </c>
      <c r="AE531" s="16">
        <f t="shared" si="152"/>
        <v>1029.1666666666665</v>
      </c>
      <c r="AF531" s="21">
        <v>3.86</v>
      </c>
      <c r="AG531" s="21">
        <v>12.35</v>
      </c>
      <c r="AH531" s="15">
        <f t="shared" si="134"/>
        <v>5.3333333333332794E-3</v>
      </c>
      <c r="AI531" s="15">
        <f t="shared" si="135"/>
        <v>1.8666666666666474E-2</v>
      </c>
      <c r="AJ531" s="10">
        <v>0.5</v>
      </c>
      <c r="AK531" s="10">
        <v>0.5</v>
      </c>
      <c r="AL531" s="21">
        <v>3.86</v>
      </c>
      <c r="AM531" s="9">
        <f t="shared" si="142"/>
        <v>1.8524999999999998</v>
      </c>
      <c r="AN531" s="9">
        <f t="shared" si="143"/>
        <v>0.3705</v>
      </c>
      <c r="AO531" s="9">
        <f t="shared" si="144"/>
        <v>2.4700000000000002</v>
      </c>
      <c r="AP531" s="9">
        <f t="shared" si="145"/>
        <v>0.247</v>
      </c>
      <c r="AQ531" s="9">
        <f t="shared" si="146"/>
        <v>2.4700000000000002</v>
      </c>
      <c r="AR531" s="9">
        <f t="shared" si="147"/>
        <v>3.0874999999999999</v>
      </c>
      <c r="AS531" s="11">
        <f t="shared" si="148"/>
        <v>5.3333333333332789E-2</v>
      </c>
      <c r="AT531" s="12">
        <f t="shared" si="149"/>
        <v>-0.35833333333333367</v>
      </c>
    </row>
    <row r="532" spans="1:46" ht="16.5" x14ac:dyDescent="0.4">
      <c r="A532" s="4" t="s">
        <v>2393</v>
      </c>
      <c r="B532" s="4" t="s">
        <v>2469</v>
      </c>
      <c r="C532" s="4" t="s">
        <v>2467</v>
      </c>
      <c r="D532" s="4" t="s">
        <v>2412</v>
      </c>
      <c r="E532" s="4" t="s">
        <v>2450</v>
      </c>
      <c r="F532" s="4" t="s">
        <v>2431</v>
      </c>
      <c r="G532" s="7" t="str">
        <f>VLOOKUP(A532,[1]done!$A:$I,9,0)</f>
        <v>Rodent</v>
      </c>
      <c r="H532" s="7" t="str" cm="1">
        <f t="array" ref="H532">_xlfn.IFS(
OR(ISNUMBER(SEARCH("mouse",E532)),ISNUMBER(SEARCH("rat",E532)),ISNUMBER(SEARCH("mice",E532)),ISNUMBER(SEARCH("rodent",E532))),"Rodent Control",
OR(ISNUMBER(SEARCH("fly",E532)),ISNUMBER(SEARCH("gnat",E532)),ISNUMBER(SEARCH("insect",E532)),ISNUMBER(SEARCH("mosquito",E532))),"Flying Insect Control",
OR(ISNUMBER(SEARCH("roach",E532)),ISNUMBER(SEARCH("ant",E532)),ISNUMBER(SEARCH("spider",E532)),ISNUMBER(SEARCH("cricket",E532)),ISNUMBER(SEARCH("scorpion",E532)),ISNUMBER(SEARCH("centipede",E532)),ISNUMBER(SEARCH("beetle",E532))),"Crawling Insect Control",
OR(ISNUMBER(SEARCH("tree",E532)),ISNUMBER(SEARCH("lantern",E532)),ISNUMBER(SEARCH("garden",E532)),ISNUMBER(SEARCH("plant",E532))),"Garden Pest Control",
OR(ISNUMBER(SEARCH("grass seed",E532)),ISNUMBER(SEARCH("seed mix",E532))),"Grass Seed",
OR(ISNUMBER(SEARCH("lawn food",E532)),ISNUMBER(SEARCH("fertilizer",E532))),"Lawn Fertilizer",
OR(ISNUMBER(SEARCH("patch",E532)),ISNUMBER(SEARCH("repair",E532)),ISNUMBER(SEARCH("thick'r",E532)),ISNUMBER(SEARCH("thick'r lawn",E532)),ISNUMBER(SEARCH("rapid grass",E532))),"Lawn Repair",
OR(ISNUMBER(SEARCH("weed",E532)),ISNUMBER(SEARCH("crabgrass",E532))),"Weed Control",
OR(ISNUMBER(SEARCH("fungicide",E532)),ISNUMBER(SEARCH("moss",E532))),"Disease &amp; Moss Control",
OR(ISNUMBER(SEARCH("plant food",E532)),ISNUMBER(SEARCH("miracid",E532))),"Plant Nutrition",
OR(ISNUMBER(SEARCH("perlite",E532))),"Soil Amendment",
OR(ISNUMBER(SEARCH("spreader",E532)),ISNUMBER(SEARCH("sprayer",E532)),ISNUMBER(SEARCH("mower",E532)),ISNUMBER(SEARCH("sweeper",E532)),ISNUMBER(SEARCH("pruner",E532)),ISNUMBER(SEARCH("trimmer",E532)),ISNUMBER(SEARCH("pole saw",E532))),"Garden Equipment",
TRUE,"Other"
)</f>
        <v>Rodent Control</v>
      </c>
      <c r="I532" s="7" t="str" cm="1">
        <f t="array" ref="I532">_xlfn.IFS(
OR(ISNUMBER(SEARCH("glue trap",E532)),ISNUMBER(SEARCH("glue board",E532))),"Glue Traps",
OR(ISNUMBER(SEARCH("snap trap",E532)),ISNUMBER(SEARCH("power-kill",E532)),ISNUMBER(SEARCH("wide pedal",E532)),ISNUMBER(SEARCH("metal pedal",E532))),"Snap Traps",
OR(ISNUMBER(SEARCH("electronic",E532)),ISNUMBER(SEARCH("zapper",E532))),"Electronic Traps",
OR(ISNUMBER(SEARCH("live catch",E532)),ISNUMBER(SEARCH("multi-catch",E532)),ISNUMBER(SEARCH("catch &amp; hold",E532)),ISNUMBER(SEARCH("tin cat",E532))),"Live Catch Traps",
OR(ISNUMBER(SEARCH("bait",E532)),ISNUMBER(SEARCH("poison",E532))),"Bait &amp; Poison",
ISNUMBER(SEARCH("repellent",E532)),"Repellents",
OR(ISNUMBER(SEARCH("fly trap",E532)),ISNUMBER(SEARCH("fly ribbon",E532)),ISNUMBER(SEARCH("fly stick",E532)),ISNUMBER(SEARCH("window fly",E532)),ISNUMBER(SEARCH("fly magnet",E532))),"Fly Traps",
OR(ISNUMBER(SEARCH("uv",E532)),ISNUMBER(SEARCH("fly light",E532)),ISNUMBER(SEARCH("plug-in",E532))),"UV Fly Traps",
ISNUMBER(SEARCH("roach",E532)),"Roach Traps",
ISNUMBER(SEARCH("ant",E532)),"Ant Traps",
ISNUMBER(SEARCH("spider",E532)),"Spider Traps",
ISNUMBER(SEARCH("mosquito",E532)),"Mosquito Traps",
ISNUMBER(SEARCH("beetle",E532)),"Beetle Traps",
ISNUMBER(SEARCH("lantern",E532)),"Lanternfly Control",
OR(ISNUMBER(SEARCH("tree shield",E532)),ISNUMBER(SEARCH("tree banding",E532)),ISNUMBER(SEARCH("insect barrier",E532))),"Tree Barriers",
OR(ISNUMBER(SEARCH("sun &amp; shade",E532)),ISNUMBER(SEARCH("sun and shade",E532))),"Sun &amp; Shade Mix",
ISNUMBER(SEARCH("tall fescue",E532)),"Tall Fescue",
ISNUMBER(SEARCH("bermudagrass",E532)),"Bermudagrass",
ISNUMBER(SEARCH("kentucky",E532)),"Kentucky Bluegrass",
ISNUMBER(SEARCH("zoysia",E532)),"Zoysia",
ISNUMBER(SEARCH("ryegrass",E532)),"Perennial Ryegrass",
ISNUMBER(SEARCH("centipede",E532)),"Centipede Grass",
ISNUMBER(SEARCH("dense shade",E532)),"Dense Shade Mix",
ISNUMBER(SEARCH("southern gold",E532)),"Southern Gold Mix",
ISNUMBER(SEARCH("heat-tolerant blue",E532)),"Heat-Tolerant Blue Mix",
ISNUMBER(SEARCH("high traffic",E532)),"High Traffic Mix",
ISNUMBER(SEARCH("quick fix",E532)),"Quick Fix Mix",
ISNUMBER(SEARCH("starter",E532)),"Starter Fertilizer",
ISNUMBER(SEARCH("weed &amp; feed",E532)),"Weed &amp; Feed",
ISNUMBER(SEARCH("lawn food",E532)),"Lawn Food",
ISNUMBER(SEARCH("triple action",E532)),"Triple Action Fertilizer",
ISNUMBER(SEARCH("green max",E532)),"Green Max Lawn Food",
ISNUMBER(SEARCH("patchmaster",E532)),"PatchMaster Repair",
ISNUMBER(SEARCH("ez seed",E532)),"EZ Seed Repair",
ISNUMBER(SEARCH("rapid grass",E532)),"Rapid Grass",
ISNUMBER(SEARCH("thick'r lawn",E532)),"Thick'R Lawn",
ISNUMBER(SEARCH("fungicide",E532)),"Fungicide",
ISNUMBER(SEARCH("moss",E532)),"Moss Control",
ISNUMBER(SEARCH("perlite",E532)),"Perlite",
ISNUMBER(SEARCH("plant food",E532)),"Plant Food",
ISNUMBER(SEARCH("spreader",E532)),"Spreader",
ISNUMBER(SEARCH("sprayer",E532)),"Sprayer",
ISNUMBER(SEARCH("mower",E532)),"Lawn Mower",
ISNUMBER(SEARCH("sweeper",E532)),"Lawn Sweeper",
OR(ISNUMBER(SEARCH("pruner",E532)),ISNUMBER(SEARCH("trimmer",E532)),ISNUMBER(SEARCH("pole saw",E532))),"Pruning Tools",
TRUE,"Other"
)</f>
        <v>Other</v>
      </c>
      <c r="J532" s="7" t="str">
        <f t="shared" si="140"/>
        <v>Rodent Control - Other</v>
      </c>
      <c r="K532" s="4">
        <v>200</v>
      </c>
      <c r="L532" s="4">
        <v>4.4000000000000004</v>
      </c>
      <c r="M532" s="4">
        <v>723</v>
      </c>
      <c r="O532" s="4">
        <f>VLOOKUP(A532,[8]Sheet1!$A:$M,2,0)</f>
        <v>200</v>
      </c>
      <c r="P532" s="4">
        <f>VLOOKUP(A532,[8]Sheet1!$A:$M,3,0)</f>
        <v>200</v>
      </c>
      <c r="Q532" s="4">
        <f>VLOOKUP(A532,[8]Sheet1!$A:$M,4,0)</f>
        <v>200</v>
      </c>
      <c r="R532" s="4">
        <f>VLOOKUP(A532,[8]Sheet1!$A:$M,5,0)</f>
        <v>200</v>
      </c>
      <c r="S532" s="4">
        <f>VLOOKUP(A532,[8]Sheet1!$A:$M,6,0)</f>
        <v>200</v>
      </c>
      <c r="T532" s="4">
        <f>VLOOKUP(A532,[8]Sheet1!$A:$M,7,0)</f>
        <v>300</v>
      </c>
      <c r="U532" s="4">
        <f>VLOOKUP(A532,[8]Sheet1!$A:$M,8,0)</f>
        <v>300</v>
      </c>
      <c r="V532" s="4">
        <f>VLOOKUP(A532,[8]Sheet1!$A:$M,9,0)</f>
        <v>300</v>
      </c>
      <c r="W532" s="4">
        <f>VLOOKUP(A532,[8]Sheet1!$A:$M,10,0)</f>
        <v>300</v>
      </c>
      <c r="X532" s="4">
        <f>VLOOKUP(A532,[8]Sheet1!$A:$M,11,0)</f>
        <v>100</v>
      </c>
      <c r="Y532" s="4">
        <f>VLOOKUP(A532,[8]Sheet1!$A:$M,12,0)</f>
        <v>200</v>
      </c>
      <c r="Z532" s="4">
        <f>VLOOKUP(A532,[8]Sheet1!$A:$M,13,0)</f>
        <v>200</v>
      </c>
      <c r="AA532" s="4">
        <f t="shared" si="136"/>
        <v>2700</v>
      </c>
      <c r="AB532" s="7">
        <f t="shared" si="141"/>
        <v>225</v>
      </c>
      <c r="AC532" s="15">
        <f t="shared" si="150"/>
        <v>225</v>
      </c>
      <c r="AD532" s="16">
        <f t="shared" si="151"/>
        <v>91665.000000000015</v>
      </c>
      <c r="AE532" s="16">
        <f t="shared" si="152"/>
        <v>7638.7500000000009</v>
      </c>
      <c r="AF532" s="21">
        <v>7.3</v>
      </c>
      <c r="AG532" s="21">
        <v>33.950000000000003</v>
      </c>
      <c r="AH532" s="15">
        <f t="shared" si="134"/>
        <v>0.35199999999999998</v>
      </c>
      <c r="AI532" s="15">
        <f t="shared" si="135"/>
        <v>1.2319999999999998</v>
      </c>
      <c r="AJ532" s="10">
        <v>0.5</v>
      </c>
      <c r="AK532" s="10">
        <v>0.5</v>
      </c>
      <c r="AL532" s="21">
        <v>7.3</v>
      </c>
      <c r="AM532" s="9">
        <f t="shared" si="142"/>
        <v>5.0925000000000002</v>
      </c>
      <c r="AN532" s="9">
        <f t="shared" si="143"/>
        <v>1.0185</v>
      </c>
      <c r="AO532" s="9">
        <f t="shared" si="144"/>
        <v>6.7900000000000009</v>
      </c>
      <c r="AP532" s="9">
        <f t="shared" si="145"/>
        <v>0.67900000000000005</v>
      </c>
      <c r="AQ532" s="9">
        <f t="shared" si="146"/>
        <v>6.7900000000000009</v>
      </c>
      <c r="AR532" s="9">
        <f t="shared" si="147"/>
        <v>8.4875000000000007</v>
      </c>
      <c r="AS532" s="11">
        <f t="shared" si="148"/>
        <v>3.5199999999999996</v>
      </c>
      <c r="AT532" s="12">
        <f t="shared" si="149"/>
        <v>2.3883333333333332</v>
      </c>
    </row>
    <row r="533" spans="1:46" ht="16.5" x14ac:dyDescent="0.4">
      <c r="A533" s="4" t="s">
        <v>2394</v>
      </c>
      <c r="B533" s="4" t="s">
        <v>2469</v>
      </c>
      <c r="D533" s="4" t="s">
        <v>2413</v>
      </c>
      <c r="E533" s="4" t="s">
        <v>2451</v>
      </c>
      <c r="F533" s="4" t="s">
        <v>2432</v>
      </c>
      <c r="G533" s="7" t="str">
        <f>VLOOKUP(A533,[1]done!$A:$I,9,0)</f>
        <v>All Other products</v>
      </c>
      <c r="H533" s="7" t="str" cm="1">
        <f t="array" ref="H533">_xlfn.IFS(
OR(ISNUMBER(SEARCH("mouse",E533)),ISNUMBER(SEARCH("rat",E533)),ISNUMBER(SEARCH("mice",E533)),ISNUMBER(SEARCH("rodent",E533))),"Rodent Control",
OR(ISNUMBER(SEARCH("fly",E533)),ISNUMBER(SEARCH("gnat",E533)),ISNUMBER(SEARCH("insect",E533)),ISNUMBER(SEARCH("mosquito",E533))),"Flying Insect Control",
OR(ISNUMBER(SEARCH("roach",E533)),ISNUMBER(SEARCH("ant",E533)),ISNUMBER(SEARCH("spider",E533)),ISNUMBER(SEARCH("cricket",E533)),ISNUMBER(SEARCH("scorpion",E533)),ISNUMBER(SEARCH("centipede",E533)),ISNUMBER(SEARCH("beetle",E533))),"Crawling Insect Control",
OR(ISNUMBER(SEARCH("tree",E533)),ISNUMBER(SEARCH("lantern",E533)),ISNUMBER(SEARCH("garden",E533)),ISNUMBER(SEARCH("plant",E533))),"Garden Pest Control",
OR(ISNUMBER(SEARCH("grass seed",E533)),ISNUMBER(SEARCH("seed mix",E533))),"Grass Seed",
OR(ISNUMBER(SEARCH("lawn food",E533)),ISNUMBER(SEARCH("fertilizer",E533))),"Lawn Fertilizer",
OR(ISNUMBER(SEARCH("patch",E533)),ISNUMBER(SEARCH("repair",E533)),ISNUMBER(SEARCH("thick'r",E533)),ISNUMBER(SEARCH("thick'r lawn",E533)),ISNUMBER(SEARCH("rapid grass",E533))),"Lawn Repair",
OR(ISNUMBER(SEARCH("weed",E533)),ISNUMBER(SEARCH("crabgrass",E533))),"Weed Control",
OR(ISNUMBER(SEARCH("fungicide",E533)),ISNUMBER(SEARCH("moss",E533))),"Disease &amp; Moss Control",
OR(ISNUMBER(SEARCH("plant food",E533)),ISNUMBER(SEARCH("miracid",E533))),"Plant Nutrition",
OR(ISNUMBER(SEARCH("perlite",E533))),"Soil Amendment",
OR(ISNUMBER(SEARCH("spreader",E533)),ISNUMBER(SEARCH("sprayer",E533)),ISNUMBER(SEARCH("mower",E533)),ISNUMBER(SEARCH("sweeper",E533)),ISNUMBER(SEARCH("pruner",E533)),ISNUMBER(SEARCH("trimmer",E533)),ISNUMBER(SEARCH("pole saw",E533))),"Garden Equipment",
TRUE,"Other"
)</f>
        <v>Other</v>
      </c>
      <c r="I533" s="7" t="str" cm="1">
        <f t="array" ref="I533">_xlfn.IFS(
OR(ISNUMBER(SEARCH("glue trap",E533)),ISNUMBER(SEARCH("glue board",E533))),"Glue Traps",
OR(ISNUMBER(SEARCH("snap trap",E533)),ISNUMBER(SEARCH("power-kill",E533)),ISNUMBER(SEARCH("wide pedal",E533)),ISNUMBER(SEARCH("metal pedal",E533))),"Snap Traps",
OR(ISNUMBER(SEARCH("electronic",E533)),ISNUMBER(SEARCH("zapper",E533))),"Electronic Traps",
OR(ISNUMBER(SEARCH("live catch",E533)),ISNUMBER(SEARCH("multi-catch",E533)),ISNUMBER(SEARCH("catch &amp; hold",E533)),ISNUMBER(SEARCH("tin cat",E533))),"Live Catch Traps",
OR(ISNUMBER(SEARCH("bait",E533)),ISNUMBER(SEARCH("poison",E533))),"Bait &amp; Poison",
ISNUMBER(SEARCH("repellent",E533)),"Repellents",
OR(ISNUMBER(SEARCH("fly trap",E533)),ISNUMBER(SEARCH("fly ribbon",E533)),ISNUMBER(SEARCH("fly stick",E533)),ISNUMBER(SEARCH("window fly",E533)),ISNUMBER(SEARCH("fly magnet",E533))),"Fly Traps",
OR(ISNUMBER(SEARCH("uv",E533)),ISNUMBER(SEARCH("fly light",E533)),ISNUMBER(SEARCH("plug-in",E533))),"UV Fly Traps",
ISNUMBER(SEARCH("roach",E533)),"Roach Traps",
ISNUMBER(SEARCH("ant",E533)),"Ant Traps",
ISNUMBER(SEARCH("spider",E533)),"Spider Traps",
ISNUMBER(SEARCH("mosquito",E533)),"Mosquito Traps",
ISNUMBER(SEARCH("beetle",E533)),"Beetle Traps",
ISNUMBER(SEARCH("lantern",E533)),"Lanternfly Control",
OR(ISNUMBER(SEARCH("tree shield",E533)),ISNUMBER(SEARCH("tree banding",E533)),ISNUMBER(SEARCH("insect barrier",E533))),"Tree Barriers",
OR(ISNUMBER(SEARCH("sun &amp; shade",E533)),ISNUMBER(SEARCH("sun and shade",E533))),"Sun &amp; Shade Mix",
ISNUMBER(SEARCH("tall fescue",E533)),"Tall Fescue",
ISNUMBER(SEARCH("bermudagrass",E533)),"Bermudagrass",
ISNUMBER(SEARCH("kentucky",E533)),"Kentucky Bluegrass",
ISNUMBER(SEARCH("zoysia",E533)),"Zoysia",
ISNUMBER(SEARCH("ryegrass",E533)),"Perennial Ryegrass",
ISNUMBER(SEARCH("centipede",E533)),"Centipede Grass",
ISNUMBER(SEARCH("dense shade",E533)),"Dense Shade Mix",
ISNUMBER(SEARCH("southern gold",E533)),"Southern Gold Mix",
ISNUMBER(SEARCH("heat-tolerant blue",E533)),"Heat-Tolerant Blue Mix",
ISNUMBER(SEARCH("high traffic",E533)),"High Traffic Mix",
ISNUMBER(SEARCH("quick fix",E533)),"Quick Fix Mix",
ISNUMBER(SEARCH("starter",E533)),"Starter Fertilizer",
ISNUMBER(SEARCH("weed &amp; feed",E533)),"Weed &amp; Feed",
ISNUMBER(SEARCH("lawn food",E533)),"Lawn Food",
ISNUMBER(SEARCH("triple action",E533)),"Triple Action Fertilizer",
ISNUMBER(SEARCH("green max",E533)),"Green Max Lawn Food",
ISNUMBER(SEARCH("patchmaster",E533)),"PatchMaster Repair",
ISNUMBER(SEARCH("ez seed",E533)),"EZ Seed Repair",
ISNUMBER(SEARCH("rapid grass",E533)),"Rapid Grass",
ISNUMBER(SEARCH("thick'r lawn",E533)),"Thick'R Lawn",
ISNUMBER(SEARCH("fungicide",E533)),"Fungicide",
ISNUMBER(SEARCH("moss",E533)),"Moss Control",
ISNUMBER(SEARCH("perlite",E533)),"Perlite",
ISNUMBER(SEARCH("plant food",E533)),"Plant Food",
ISNUMBER(SEARCH("spreader",E533)),"Spreader",
ISNUMBER(SEARCH("sprayer",E533)),"Sprayer",
ISNUMBER(SEARCH("mower",E533)),"Lawn Mower",
ISNUMBER(SEARCH("sweeper",E533)),"Lawn Sweeper",
OR(ISNUMBER(SEARCH("pruner",E533)),ISNUMBER(SEARCH("trimmer",E533)),ISNUMBER(SEARCH("pole saw",E533))),"Pruning Tools",
TRUE,"Other"
)</f>
        <v>Other</v>
      </c>
      <c r="J533" s="7" t="str">
        <f t="shared" si="140"/>
        <v>Other - Other</v>
      </c>
      <c r="K533" s="4">
        <v>200</v>
      </c>
      <c r="L533" s="4">
        <v>4.4000000000000004</v>
      </c>
      <c r="M533" s="4">
        <v>188</v>
      </c>
      <c r="O533" s="4">
        <f>VLOOKUP(A533,[8]Sheet1!$A:$M,2,0)</f>
        <v>100</v>
      </c>
      <c r="P533" s="4">
        <f>VLOOKUP(A533,[8]Sheet1!$A:$M,3,0)</f>
        <v>100</v>
      </c>
      <c r="Q533" s="4">
        <f>VLOOKUP(A533,[8]Sheet1!$A:$M,4,0)</f>
        <v>100</v>
      </c>
      <c r="R533" s="4">
        <f>VLOOKUP(A533,[8]Sheet1!$A:$M,5,0)</f>
        <v>100</v>
      </c>
      <c r="S533" s="4">
        <f>VLOOKUP(A533,[8]Sheet1!$A:$M,6,0)</f>
        <v>100</v>
      </c>
      <c r="T533" s="4">
        <f>VLOOKUP(A533,[8]Sheet1!$A:$M,7,0)</f>
        <v>100</v>
      </c>
      <c r="U533" s="4">
        <f>VLOOKUP(A533,[8]Sheet1!$A:$M,8,0)</f>
        <v>100</v>
      </c>
      <c r="V533" s="4">
        <f>VLOOKUP(A533,[8]Sheet1!$A:$M,9,0)</f>
        <v>100</v>
      </c>
      <c r="W533" s="4">
        <f>VLOOKUP(A533,[8]Sheet1!$A:$M,10,0)</f>
        <v>100</v>
      </c>
      <c r="X533" s="4">
        <f>VLOOKUP(A533,[8]Sheet1!$A:$M,11,0)</f>
        <v>50</v>
      </c>
      <c r="Y533" s="4">
        <f>VLOOKUP(A533,[8]Sheet1!$A:$M,12,0)</f>
        <v>50</v>
      </c>
      <c r="Z533" s="4">
        <f>VLOOKUP(A533,[8]Sheet1!$A:$M,13,0)</f>
        <v>50</v>
      </c>
      <c r="AA533" s="4">
        <f t="shared" si="136"/>
        <v>1050</v>
      </c>
      <c r="AB533" s="7">
        <f t="shared" si="141"/>
        <v>88</v>
      </c>
      <c r="AC533" s="15">
        <f t="shared" si="150"/>
        <v>87.5</v>
      </c>
      <c r="AD533" s="16">
        <f t="shared" si="151"/>
        <v>31500</v>
      </c>
      <c r="AE533" s="16">
        <f t="shared" si="152"/>
        <v>2625</v>
      </c>
      <c r="AF533" s="21">
        <v>4.76</v>
      </c>
      <c r="AG533" s="21">
        <v>30</v>
      </c>
      <c r="AH533" s="15">
        <f t="shared" si="134"/>
        <v>0.41600000000000004</v>
      </c>
      <c r="AI533" s="15">
        <f t="shared" si="135"/>
        <v>1.456</v>
      </c>
      <c r="AJ533" s="10">
        <v>0.5</v>
      </c>
      <c r="AK533" s="10">
        <v>0.5</v>
      </c>
      <c r="AL533" s="21">
        <v>4.76</v>
      </c>
      <c r="AM533" s="9">
        <f t="shared" si="142"/>
        <v>4.5</v>
      </c>
      <c r="AN533" s="9">
        <f t="shared" si="143"/>
        <v>0.89999999999999991</v>
      </c>
      <c r="AO533" s="9">
        <f t="shared" si="144"/>
        <v>6</v>
      </c>
      <c r="AP533" s="9">
        <f t="shared" si="145"/>
        <v>0.6</v>
      </c>
      <c r="AQ533" s="9">
        <f t="shared" si="146"/>
        <v>6</v>
      </c>
      <c r="AR533" s="9">
        <f t="shared" si="147"/>
        <v>7.5</v>
      </c>
      <c r="AS533" s="11">
        <f t="shared" si="148"/>
        <v>4.16</v>
      </c>
      <c r="AT533" s="12">
        <f t="shared" si="149"/>
        <v>3.16</v>
      </c>
    </row>
    <row r="534" spans="1:46" ht="16.5" x14ac:dyDescent="0.4">
      <c r="A534" s="4" t="s">
        <v>2395</v>
      </c>
      <c r="B534" s="4" t="s">
        <v>2469</v>
      </c>
      <c r="C534" s="4" t="s">
        <v>2463</v>
      </c>
      <c r="D534" s="4" t="s">
        <v>2414</v>
      </c>
      <c r="E534" s="4" t="s">
        <v>2452</v>
      </c>
      <c r="F534" s="4" t="s">
        <v>2433</v>
      </c>
      <c r="G534" s="7" t="str">
        <f>VLOOKUP(A534,[1]done!$A:$I,9,0)</f>
        <v>Rodent</v>
      </c>
      <c r="H534" s="7" t="str" cm="1">
        <f t="array" ref="H534">_xlfn.IFS(
OR(ISNUMBER(SEARCH("mouse",E534)),ISNUMBER(SEARCH("rat",E534)),ISNUMBER(SEARCH("mice",E534)),ISNUMBER(SEARCH("rodent",E534))),"Rodent Control",
OR(ISNUMBER(SEARCH("fly",E534)),ISNUMBER(SEARCH("gnat",E534)),ISNUMBER(SEARCH("insect",E534)),ISNUMBER(SEARCH("mosquito",E534))),"Flying Insect Control",
OR(ISNUMBER(SEARCH("roach",E534)),ISNUMBER(SEARCH("ant",E534)),ISNUMBER(SEARCH("spider",E534)),ISNUMBER(SEARCH("cricket",E534)),ISNUMBER(SEARCH("scorpion",E534)),ISNUMBER(SEARCH("centipede",E534)),ISNUMBER(SEARCH("beetle",E534))),"Crawling Insect Control",
OR(ISNUMBER(SEARCH("tree",E534)),ISNUMBER(SEARCH("lantern",E534)),ISNUMBER(SEARCH("garden",E534)),ISNUMBER(SEARCH("plant",E534))),"Garden Pest Control",
OR(ISNUMBER(SEARCH("grass seed",E534)),ISNUMBER(SEARCH("seed mix",E534))),"Grass Seed",
OR(ISNUMBER(SEARCH("lawn food",E534)),ISNUMBER(SEARCH("fertilizer",E534))),"Lawn Fertilizer",
OR(ISNUMBER(SEARCH("patch",E534)),ISNUMBER(SEARCH("repair",E534)),ISNUMBER(SEARCH("thick'r",E534)),ISNUMBER(SEARCH("thick'r lawn",E534)),ISNUMBER(SEARCH("rapid grass",E534))),"Lawn Repair",
OR(ISNUMBER(SEARCH("weed",E534)),ISNUMBER(SEARCH("crabgrass",E534))),"Weed Control",
OR(ISNUMBER(SEARCH("fungicide",E534)),ISNUMBER(SEARCH("moss",E534))),"Disease &amp; Moss Control",
OR(ISNUMBER(SEARCH("plant food",E534)),ISNUMBER(SEARCH("miracid",E534))),"Plant Nutrition",
OR(ISNUMBER(SEARCH("perlite",E534))),"Soil Amendment",
OR(ISNUMBER(SEARCH("spreader",E534)),ISNUMBER(SEARCH("sprayer",E534)),ISNUMBER(SEARCH("mower",E534)),ISNUMBER(SEARCH("sweeper",E534)),ISNUMBER(SEARCH("pruner",E534)),ISNUMBER(SEARCH("trimmer",E534)),ISNUMBER(SEARCH("pole saw",E534))),"Garden Equipment",
TRUE,"Other"
)</f>
        <v>Rodent Control</v>
      </c>
      <c r="I534" s="7" t="str" cm="1">
        <f t="array" ref="I534">_xlfn.IFS(
OR(ISNUMBER(SEARCH("glue trap",E534)),ISNUMBER(SEARCH("glue board",E534))),"Glue Traps",
OR(ISNUMBER(SEARCH("snap trap",E534)),ISNUMBER(SEARCH("power-kill",E534)),ISNUMBER(SEARCH("wide pedal",E534)),ISNUMBER(SEARCH("metal pedal",E534))),"Snap Traps",
OR(ISNUMBER(SEARCH("electronic",E534)),ISNUMBER(SEARCH("zapper",E534))),"Electronic Traps",
OR(ISNUMBER(SEARCH("live catch",E534)),ISNUMBER(SEARCH("multi-catch",E534)),ISNUMBER(SEARCH("catch &amp; hold",E534)),ISNUMBER(SEARCH("tin cat",E534))),"Live Catch Traps",
OR(ISNUMBER(SEARCH("bait",E534)),ISNUMBER(SEARCH("poison",E534))),"Bait &amp; Poison",
ISNUMBER(SEARCH("repellent",E534)),"Repellents",
OR(ISNUMBER(SEARCH("fly trap",E534)),ISNUMBER(SEARCH("fly ribbon",E534)),ISNUMBER(SEARCH("fly stick",E534)),ISNUMBER(SEARCH("window fly",E534)),ISNUMBER(SEARCH("fly magnet",E534))),"Fly Traps",
OR(ISNUMBER(SEARCH("uv",E534)),ISNUMBER(SEARCH("fly light",E534)),ISNUMBER(SEARCH("plug-in",E534))),"UV Fly Traps",
ISNUMBER(SEARCH("roach",E534)),"Roach Traps",
ISNUMBER(SEARCH("ant",E534)),"Ant Traps",
ISNUMBER(SEARCH("spider",E534)),"Spider Traps",
ISNUMBER(SEARCH("mosquito",E534)),"Mosquito Traps",
ISNUMBER(SEARCH("beetle",E534)),"Beetle Traps",
ISNUMBER(SEARCH("lantern",E534)),"Lanternfly Control",
OR(ISNUMBER(SEARCH("tree shield",E534)),ISNUMBER(SEARCH("tree banding",E534)),ISNUMBER(SEARCH("insect barrier",E534))),"Tree Barriers",
OR(ISNUMBER(SEARCH("sun &amp; shade",E534)),ISNUMBER(SEARCH("sun and shade",E534))),"Sun &amp; Shade Mix",
ISNUMBER(SEARCH("tall fescue",E534)),"Tall Fescue",
ISNUMBER(SEARCH("bermudagrass",E534)),"Bermudagrass",
ISNUMBER(SEARCH("kentucky",E534)),"Kentucky Bluegrass",
ISNUMBER(SEARCH("zoysia",E534)),"Zoysia",
ISNUMBER(SEARCH("ryegrass",E534)),"Perennial Ryegrass",
ISNUMBER(SEARCH("centipede",E534)),"Centipede Grass",
ISNUMBER(SEARCH("dense shade",E534)),"Dense Shade Mix",
ISNUMBER(SEARCH("southern gold",E534)),"Southern Gold Mix",
ISNUMBER(SEARCH("heat-tolerant blue",E534)),"Heat-Tolerant Blue Mix",
ISNUMBER(SEARCH("high traffic",E534)),"High Traffic Mix",
ISNUMBER(SEARCH("quick fix",E534)),"Quick Fix Mix",
ISNUMBER(SEARCH("starter",E534)),"Starter Fertilizer",
ISNUMBER(SEARCH("weed &amp; feed",E534)),"Weed &amp; Feed",
ISNUMBER(SEARCH("lawn food",E534)),"Lawn Food",
ISNUMBER(SEARCH("triple action",E534)),"Triple Action Fertilizer",
ISNUMBER(SEARCH("green max",E534)),"Green Max Lawn Food",
ISNUMBER(SEARCH("patchmaster",E534)),"PatchMaster Repair",
ISNUMBER(SEARCH("ez seed",E534)),"EZ Seed Repair",
ISNUMBER(SEARCH("rapid grass",E534)),"Rapid Grass",
ISNUMBER(SEARCH("thick'r lawn",E534)),"Thick'R Lawn",
ISNUMBER(SEARCH("fungicide",E534)),"Fungicide",
ISNUMBER(SEARCH("moss",E534)),"Moss Control",
ISNUMBER(SEARCH("perlite",E534)),"Perlite",
ISNUMBER(SEARCH("plant food",E534)),"Plant Food",
ISNUMBER(SEARCH("spreader",E534)),"Spreader",
ISNUMBER(SEARCH("sprayer",E534)),"Sprayer",
ISNUMBER(SEARCH("mower",E534)),"Lawn Mower",
ISNUMBER(SEARCH("sweeper",E534)),"Lawn Sweeper",
OR(ISNUMBER(SEARCH("pruner",E534)),ISNUMBER(SEARCH("trimmer",E534)),ISNUMBER(SEARCH("pole saw",E534))),"Pruning Tools",
TRUE,"Other"
)</f>
        <v>Snap Traps</v>
      </c>
      <c r="J534" s="7" t="str">
        <f t="shared" si="140"/>
        <v>Rodent Control - Snap Traps</v>
      </c>
      <c r="K534" s="4">
        <v>100</v>
      </c>
      <c r="L534" s="4">
        <v>4.3</v>
      </c>
      <c r="M534" s="4">
        <v>630</v>
      </c>
      <c r="N534" s="4" t="s">
        <v>367</v>
      </c>
      <c r="O534" s="4">
        <f>VLOOKUP(A534,[8]Sheet1!$A:$M,2,0)</f>
        <v>100</v>
      </c>
      <c r="P534" s="4">
        <f>VLOOKUP(A534,[8]Sheet1!$A:$M,3,0)</f>
        <v>100</v>
      </c>
      <c r="Q534" s="4">
        <f>VLOOKUP(A534,[8]Sheet1!$A:$M,4,0)</f>
        <v>50</v>
      </c>
      <c r="R534" s="4">
        <f>VLOOKUP(A534,[8]Sheet1!$A:$M,5,0)</f>
        <v>100</v>
      </c>
      <c r="S534" s="4">
        <f>VLOOKUP(A534,[8]Sheet1!$A:$M,6,0)</f>
        <v>100</v>
      </c>
      <c r="T534" s="4">
        <f>VLOOKUP(A534,[8]Sheet1!$A:$M,7,0)</f>
        <v>50</v>
      </c>
      <c r="U534" s="4">
        <f>VLOOKUP(A534,[8]Sheet1!$A:$M,8,0)</f>
        <v>50</v>
      </c>
      <c r="V534" s="4">
        <f>VLOOKUP(A534,[8]Sheet1!$A:$M,9,0)</f>
        <v>100</v>
      </c>
      <c r="W534" s="4">
        <f>VLOOKUP(A534,[8]Sheet1!$A:$M,10,0)</f>
        <v>100</v>
      </c>
      <c r="X534" s="4">
        <f>VLOOKUP(A534,[8]Sheet1!$A:$M,11,0)</f>
        <v>100</v>
      </c>
      <c r="Y534" s="4">
        <f>VLOOKUP(A534,[8]Sheet1!$A:$M,12,0)</f>
        <v>100</v>
      </c>
      <c r="Z534" s="4">
        <f>VLOOKUP(A534,[8]Sheet1!$A:$M,13,0)</f>
        <v>100</v>
      </c>
      <c r="AA534" s="4">
        <f t="shared" si="136"/>
        <v>1050</v>
      </c>
      <c r="AB534" s="7">
        <f t="shared" si="141"/>
        <v>88</v>
      </c>
      <c r="AC534" s="15">
        <f t="shared" si="150"/>
        <v>87.5</v>
      </c>
      <c r="AD534" s="16">
        <f t="shared" si="151"/>
        <v>19414.5</v>
      </c>
      <c r="AE534" s="16">
        <f t="shared" si="152"/>
        <v>1617.8749999999998</v>
      </c>
      <c r="AF534" s="21">
        <v>4.3499999999999996</v>
      </c>
      <c r="AG534" s="21">
        <v>18.489999999999998</v>
      </c>
      <c r="AH534" s="15">
        <f t="shared" si="134"/>
        <v>0.13639999999999999</v>
      </c>
      <c r="AI534" s="15">
        <f t="shared" si="135"/>
        <v>0.47739999999999994</v>
      </c>
      <c r="AJ534" s="10">
        <v>0.5</v>
      </c>
      <c r="AK534" s="10">
        <v>0.5</v>
      </c>
      <c r="AL534" s="21">
        <v>4.3499999999999996</v>
      </c>
      <c r="AM534" s="9">
        <f t="shared" si="142"/>
        <v>2.7734999999999999</v>
      </c>
      <c r="AN534" s="9">
        <f t="shared" si="143"/>
        <v>0.55469999999999997</v>
      </c>
      <c r="AO534" s="9">
        <f t="shared" si="144"/>
        <v>3.698</v>
      </c>
      <c r="AP534" s="9">
        <f t="shared" si="145"/>
        <v>0.36979999999999996</v>
      </c>
      <c r="AQ534" s="9">
        <f t="shared" si="146"/>
        <v>3.698</v>
      </c>
      <c r="AR534" s="9">
        <f t="shared" si="147"/>
        <v>4.6224999999999996</v>
      </c>
      <c r="AS534" s="11">
        <f t="shared" si="148"/>
        <v>1.3639999999999999</v>
      </c>
      <c r="AT534" s="12">
        <f t="shared" si="149"/>
        <v>0.74766666666666681</v>
      </c>
    </row>
    <row r="535" spans="1:46" ht="16.5" x14ac:dyDescent="0.4">
      <c r="A535" s="4" t="s">
        <v>2396</v>
      </c>
      <c r="B535" s="4" t="s">
        <v>2469</v>
      </c>
      <c r="D535" s="4" t="s">
        <v>2415</v>
      </c>
      <c r="E535" s="4" t="s">
        <v>2453</v>
      </c>
      <c r="F535" s="4" t="s">
        <v>2434</v>
      </c>
      <c r="G535" s="7" t="str">
        <f>VLOOKUP(A535,[1]done!$A:$I,9,0)</f>
        <v>All Other products</v>
      </c>
      <c r="H535" s="7" t="str" cm="1">
        <f t="array" ref="H535">_xlfn.IFS(
OR(ISNUMBER(SEARCH("mouse",E535)),ISNUMBER(SEARCH("rat",E535)),ISNUMBER(SEARCH("mice",E535)),ISNUMBER(SEARCH("rodent",E535))),"Rodent Control",
OR(ISNUMBER(SEARCH("fly",E535)),ISNUMBER(SEARCH("gnat",E535)),ISNUMBER(SEARCH("insect",E535)),ISNUMBER(SEARCH("mosquito",E535))),"Flying Insect Control",
OR(ISNUMBER(SEARCH("roach",E535)),ISNUMBER(SEARCH("ant",E535)),ISNUMBER(SEARCH("spider",E535)),ISNUMBER(SEARCH("cricket",E535)),ISNUMBER(SEARCH("scorpion",E535)),ISNUMBER(SEARCH("centipede",E535)),ISNUMBER(SEARCH("beetle",E535))),"Crawling Insect Control",
OR(ISNUMBER(SEARCH("tree",E535)),ISNUMBER(SEARCH("lantern",E535)),ISNUMBER(SEARCH("garden",E535)),ISNUMBER(SEARCH("plant",E535))),"Garden Pest Control",
OR(ISNUMBER(SEARCH("grass seed",E535)),ISNUMBER(SEARCH("seed mix",E535))),"Grass Seed",
OR(ISNUMBER(SEARCH("lawn food",E535)),ISNUMBER(SEARCH("fertilizer",E535))),"Lawn Fertilizer",
OR(ISNUMBER(SEARCH("patch",E535)),ISNUMBER(SEARCH("repair",E535)),ISNUMBER(SEARCH("thick'r",E535)),ISNUMBER(SEARCH("thick'r lawn",E535)),ISNUMBER(SEARCH("rapid grass",E535))),"Lawn Repair",
OR(ISNUMBER(SEARCH("weed",E535)),ISNUMBER(SEARCH("crabgrass",E535))),"Weed Control",
OR(ISNUMBER(SEARCH("fungicide",E535)),ISNUMBER(SEARCH("moss",E535))),"Disease &amp; Moss Control",
OR(ISNUMBER(SEARCH("plant food",E535)),ISNUMBER(SEARCH("miracid",E535))),"Plant Nutrition",
OR(ISNUMBER(SEARCH("perlite",E535))),"Soil Amendment",
OR(ISNUMBER(SEARCH("spreader",E535)),ISNUMBER(SEARCH("sprayer",E535)),ISNUMBER(SEARCH("mower",E535)),ISNUMBER(SEARCH("sweeper",E535)),ISNUMBER(SEARCH("pruner",E535)),ISNUMBER(SEARCH("trimmer",E535)),ISNUMBER(SEARCH("pole saw",E535))),"Garden Equipment",
TRUE,"Other"
)</f>
        <v>Other</v>
      </c>
      <c r="I535" s="7" t="str" cm="1">
        <f t="array" ref="I535">_xlfn.IFS(
OR(ISNUMBER(SEARCH("glue trap",E535)),ISNUMBER(SEARCH("glue board",E535))),"Glue Traps",
OR(ISNUMBER(SEARCH("snap trap",E535)),ISNUMBER(SEARCH("power-kill",E535)),ISNUMBER(SEARCH("wide pedal",E535)),ISNUMBER(SEARCH("metal pedal",E535))),"Snap Traps",
OR(ISNUMBER(SEARCH("electronic",E535)),ISNUMBER(SEARCH("zapper",E535))),"Electronic Traps",
OR(ISNUMBER(SEARCH("live catch",E535)),ISNUMBER(SEARCH("multi-catch",E535)),ISNUMBER(SEARCH("catch &amp; hold",E535)),ISNUMBER(SEARCH("tin cat",E535))),"Live Catch Traps",
OR(ISNUMBER(SEARCH("bait",E535)),ISNUMBER(SEARCH("poison",E535))),"Bait &amp; Poison",
ISNUMBER(SEARCH("repellent",E535)),"Repellents",
OR(ISNUMBER(SEARCH("fly trap",E535)),ISNUMBER(SEARCH("fly ribbon",E535)),ISNUMBER(SEARCH("fly stick",E535)),ISNUMBER(SEARCH("window fly",E535)),ISNUMBER(SEARCH("fly magnet",E535))),"Fly Traps",
OR(ISNUMBER(SEARCH("uv",E535)),ISNUMBER(SEARCH("fly light",E535)),ISNUMBER(SEARCH("plug-in",E535))),"UV Fly Traps",
ISNUMBER(SEARCH("roach",E535)),"Roach Traps",
ISNUMBER(SEARCH("ant",E535)),"Ant Traps",
ISNUMBER(SEARCH("spider",E535)),"Spider Traps",
ISNUMBER(SEARCH("mosquito",E535)),"Mosquito Traps",
ISNUMBER(SEARCH("beetle",E535)),"Beetle Traps",
ISNUMBER(SEARCH("lantern",E535)),"Lanternfly Control",
OR(ISNUMBER(SEARCH("tree shield",E535)),ISNUMBER(SEARCH("tree banding",E535)),ISNUMBER(SEARCH("insect barrier",E535))),"Tree Barriers",
OR(ISNUMBER(SEARCH("sun &amp; shade",E535)),ISNUMBER(SEARCH("sun and shade",E535))),"Sun &amp; Shade Mix",
ISNUMBER(SEARCH("tall fescue",E535)),"Tall Fescue",
ISNUMBER(SEARCH("bermudagrass",E535)),"Bermudagrass",
ISNUMBER(SEARCH("kentucky",E535)),"Kentucky Bluegrass",
ISNUMBER(SEARCH("zoysia",E535)),"Zoysia",
ISNUMBER(SEARCH("ryegrass",E535)),"Perennial Ryegrass",
ISNUMBER(SEARCH("centipede",E535)),"Centipede Grass",
ISNUMBER(SEARCH("dense shade",E535)),"Dense Shade Mix",
ISNUMBER(SEARCH("southern gold",E535)),"Southern Gold Mix",
ISNUMBER(SEARCH("heat-tolerant blue",E535)),"Heat-Tolerant Blue Mix",
ISNUMBER(SEARCH("high traffic",E535)),"High Traffic Mix",
ISNUMBER(SEARCH("quick fix",E535)),"Quick Fix Mix",
ISNUMBER(SEARCH("starter",E535)),"Starter Fertilizer",
ISNUMBER(SEARCH("weed &amp; feed",E535)),"Weed &amp; Feed",
ISNUMBER(SEARCH("lawn food",E535)),"Lawn Food",
ISNUMBER(SEARCH("triple action",E535)),"Triple Action Fertilizer",
ISNUMBER(SEARCH("green max",E535)),"Green Max Lawn Food",
ISNUMBER(SEARCH("patchmaster",E535)),"PatchMaster Repair",
ISNUMBER(SEARCH("ez seed",E535)),"EZ Seed Repair",
ISNUMBER(SEARCH("rapid grass",E535)),"Rapid Grass",
ISNUMBER(SEARCH("thick'r lawn",E535)),"Thick'R Lawn",
ISNUMBER(SEARCH("fungicide",E535)),"Fungicide",
ISNUMBER(SEARCH("moss",E535)),"Moss Control",
ISNUMBER(SEARCH("perlite",E535)),"Perlite",
ISNUMBER(SEARCH("plant food",E535)),"Plant Food",
ISNUMBER(SEARCH("spreader",E535)),"Spreader",
ISNUMBER(SEARCH("sprayer",E535)),"Sprayer",
ISNUMBER(SEARCH("mower",E535)),"Lawn Mower",
ISNUMBER(SEARCH("sweeper",E535)),"Lawn Sweeper",
OR(ISNUMBER(SEARCH("pruner",E535)),ISNUMBER(SEARCH("trimmer",E535)),ISNUMBER(SEARCH("pole saw",E535))),"Pruning Tools",
TRUE,"Other"
)</f>
        <v>Other</v>
      </c>
      <c r="J535" s="7" t="str">
        <f t="shared" si="140"/>
        <v>Other - Other</v>
      </c>
      <c r="K535" s="4">
        <v>100</v>
      </c>
      <c r="L535" s="4">
        <v>4.5999999999999996</v>
      </c>
      <c r="M535" s="4">
        <v>168</v>
      </c>
      <c r="O535" s="4">
        <f>VLOOKUP(A535,[8]Sheet1!$A:$M,2,0)</f>
        <v>50</v>
      </c>
      <c r="P535" s="4">
        <f>VLOOKUP(A535,[8]Sheet1!$A:$M,3,0)</f>
        <v>50</v>
      </c>
      <c r="Q535" s="4">
        <f>VLOOKUP(A535,[8]Sheet1!$A:$M,4,0)</f>
        <v>50</v>
      </c>
      <c r="R535" s="4">
        <f>VLOOKUP(A535,[8]Sheet1!$A:$M,5,0)</f>
        <v>50</v>
      </c>
      <c r="S535" s="4">
        <f>VLOOKUP(A535,[8]Sheet1!$A:$M,6,0)</f>
        <v>100</v>
      </c>
      <c r="T535" s="4">
        <f>VLOOKUP(A535,[8]Sheet1!$A:$M,7,0)</f>
        <v>100</v>
      </c>
      <c r="U535" s="4">
        <f>VLOOKUP(A535,[8]Sheet1!$A:$M,8,0)</f>
        <v>100</v>
      </c>
      <c r="V535" s="4">
        <f>VLOOKUP(A535,[8]Sheet1!$A:$M,9,0)</f>
        <v>100</v>
      </c>
      <c r="W535" s="4">
        <f>VLOOKUP(A535,[8]Sheet1!$A:$M,10,0)</f>
        <v>200</v>
      </c>
      <c r="X535" s="4">
        <f>VLOOKUP(A535,[8]Sheet1!$A:$M,11,0)</f>
        <v>50</v>
      </c>
      <c r="Y535" s="4">
        <f>VLOOKUP(A535,[8]Sheet1!$A:$M,12,0)</f>
        <v>50</v>
      </c>
      <c r="Z535" s="4">
        <f>VLOOKUP(A535,[8]Sheet1!$A:$M,13,0)</f>
        <v>50</v>
      </c>
      <c r="AA535" s="4">
        <f t="shared" si="136"/>
        <v>950</v>
      </c>
      <c r="AB535" s="7">
        <f t="shared" si="141"/>
        <v>79</v>
      </c>
      <c r="AC535" s="15">
        <f t="shared" si="150"/>
        <v>79.166666666666671</v>
      </c>
      <c r="AD535" s="16">
        <f t="shared" si="151"/>
        <v>109250</v>
      </c>
      <c r="AE535" s="16">
        <f t="shared" si="152"/>
        <v>9104.1666666666679</v>
      </c>
      <c r="AF535" s="21">
        <v>17.260000000000002</v>
      </c>
      <c r="AG535" s="21">
        <v>115</v>
      </c>
      <c r="AH535" s="15">
        <f t="shared" si="134"/>
        <v>1.8493333333333331</v>
      </c>
      <c r="AI535" s="15">
        <f t="shared" si="135"/>
        <v>6.4726666666666643</v>
      </c>
      <c r="AJ535" s="10">
        <v>0.5</v>
      </c>
      <c r="AK535" s="10">
        <v>0.5</v>
      </c>
      <c r="AL535" s="21">
        <v>17.260000000000002</v>
      </c>
      <c r="AM535" s="9">
        <f t="shared" si="142"/>
        <v>17.25</v>
      </c>
      <c r="AN535" s="9">
        <f t="shared" si="143"/>
        <v>3.4499999999999997</v>
      </c>
      <c r="AO535" s="9">
        <f t="shared" si="144"/>
        <v>23</v>
      </c>
      <c r="AP535" s="9">
        <f t="shared" si="145"/>
        <v>2.3000000000000003</v>
      </c>
      <c r="AQ535" s="9">
        <f t="shared" si="146"/>
        <v>23</v>
      </c>
      <c r="AR535" s="9">
        <f t="shared" si="147"/>
        <v>28.75</v>
      </c>
      <c r="AS535" s="11">
        <f t="shared" si="148"/>
        <v>18.493333333333329</v>
      </c>
      <c r="AT535" s="12">
        <f t="shared" si="149"/>
        <v>14.659999999999997</v>
      </c>
    </row>
    <row r="536" spans="1:46" ht="16.5" x14ac:dyDescent="0.4">
      <c r="A536" s="4" t="s">
        <v>2397</v>
      </c>
      <c r="B536" s="4" t="s">
        <v>2469</v>
      </c>
      <c r="C536" s="4" t="s">
        <v>2468</v>
      </c>
      <c r="D536" s="4" t="s">
        <v>2416</v>
      </c>
      <c r="E536" s="4" t="s">
        <v>2454</v>
      </c>
      <c r="F536" s="4" t="s">
        <v>2435</v>
      </c>
      <c r="G536" s="7" t="str">
        <f>VLOOKUP(A536,[1]done!$A:$I,9,0)</f>
        <v>Rodent</v>
      </c>
      <c r="H536" s="7" t="str" cm="1">
        <f t="array" ref="H536">_xlfn.IFS(
OR(ISNUMBER(SEARCH("mouse",E536)),ISNUMBER(SEARCH("rat",E536)),ISNUMBER(SEARCH("mice",E536)),ISNUMBER(SEARCH("rodent",E536))),"Rodent Control",
OR(ISNUMBER(SEARCH("fly",E536)),ISNUMBER(SEARCH("gnat",E536)),ISNUMBER(SEARCH("insect",E536)),ISNUMBER(SEARCH("mosquito",E536))),"Flying Insect Control",
OR(ISNUMBER(SEARCH("roach",E536)),ISNUMBER(SEARCH("ant",E536)),ISNUMBER(SEARCH("spider",E536)),ISNUMBER(SEARCH("cricket",E536)),ISNUMBER(SEARCH("scorpion",E536)),ISNUMBER(SEARCH("centipede",E536)),ISNUMBER(SEARCH("beetle",E536))),"Crawling Insect Control",
OR(ISNUMBER(SEARCH("tree",E536)),ISNUMBER(SEARCH("lantern",E536)),ISNUMBER(SEARCH("garden",E536)),ISNUMBER(SEARCH("plant",E536))),"Garden Pest Control",
OR(ISNUMBER(SEARCH("grass seed",E536)),ISNUMBER(SEARCH("seed mix",E536))),"Grass Seed",
OR(ISNUMBER(SEARCH("lawn food",E536)),ISNUMBER(SEARCH("fertilizer",E536))),"Lawn Fertilizer",
OR(ISNUMBER(SEARCH("patch",E536)),ISNUMBER(SEARCH("repair",E536)),ISNUMBER(SEARCH("thick'r",E536)),ISNUMBER(SEARCH("thick'r lawn",E536)),ISNUMBER(SEARCH("rapid grass",E536))),"Lawn Repair",
OR(ISNUMBER(SEARCH("weed",E536)),ISNUMBER(SEARCH("crabgrass",E536))),"Weed Control",
OR(ISNUMBER(SEARCH("fungicide",E536)),ISNUMBER(SEARCH("moss",E536))),"Disease &amp; Moss Control",
OR(ISNUMBER(SEARCH("plant food",E536)),ISNUMBER(SEARCH("miracid",E536))),"Plant Nutrition",
OR(ISNUMBER(SEARCH("perlite",E536))),"Soil Amendment",
OR(ISNUMBER(SEARCH("spreader",E536)),ISNUMBER(SEARCH("sprayer",E536)),ISNUMBER(SEARCH("mower",E536)),ISNUMBER(SEARCH("sweeper",E536)),ISNUMBER(SEARCH("pruner",E536)),ISNUMBER(SEARCH("trimmer",E536)),ISNUMBER(SEARCH("pole saw",E536))),"Garden Equipment",
TRUE,"Other"
)</f>
        <v>Rodent Control</v>
      </c>
      <c r="I536" s="7" t="str" cm="1">
        <f t="array" ref="I536">_xlfn.IFS(
OR(ISNUMBER(SEARCH("glue trap",E536)),ISNUMBER(SEARCH("glue board",E536))),"Glue Traps",
OR(ISNUMBER(SEARCH("snap trap",E536)),ISNUMBER(SEARCH("power-kill",E536)),ISNUMBER(SEARCH("wide pedal",E536)),ISNUMBER(SEARCH("metal pedal",E536))),"Snap Traps",
OR(ISNUMBER(SEARCH("electronic",E536)),ISNUMBER(SEARCH("zapper",E536))),"Electronic Traps",
OR(ISNUMBER(SEARCH("live catch",E536)),ISNUMBER(SEARCH("multi-catch",E536)),ISNUMBER(SEARCH("catch &amp; hold",E536)),ISNUMBER(SEARCH("tin cat",E536))),"Live Catch Traps",
OR(ISNUMBER(SEARCH("bait",E536)),ISNUMBER(SEARCH("poison",E536))),"Bait &amp; Poison",
ISNUMBER(SEARCH("repellent",E536)),"Repellents",
OR(ISNUMBER(SEARCH("fly trap",E536)),ISNUMBER(SEARCH("fly ribbon",E536)),ISNUMBER(SEARCH("fly stick",E536)),ISNUMBER(SEARCH("window fly",E536)),ISNUMBER(SEARCH("fly magnet",E536))),"Fly Traps",
OR(ISNUMBER(SEARCH("uv",E536)),ISNUMBER(SEARCH("fly light",E536)),ISNUMBER(SEARCH("plug-in",E536))),"UV Fly Traps",
ISNUMBER(SEARCH("roach",E536)),"Roach Traps",
ISNUMBER(SEARCH("ant",E536)),"Ant Traps",
ISNUMBER(SEARCH("spider",E536)),"Spider Traps",
ISNUMBER(SEARCH("mosquito",E536)),"Mosquito Traps",
ISNUMBER(SEARCH("beetle",E536)),"Beetle Traps",
ISNUMBER(SEARCH("lantern",E536)),"Lanternfly Control",
OR(ISNUMBER(SEARCH("tree shield",E536)),ISNUMBER(SEARCH("tree banding",E536)),ISNUMBER(SEARCH("insect barrier",E536))),"Tree Barriers",
OR(ISNUMBER(SEARCH("sun &amp; shade",E536)),ISNUMBER(SEARCH("sun and shade",E536))),"Sun &amp; Shade Mix",
ISNUMBER(SEARCH("tall fescue",E536)),"Tall Fescue",
ISNUMBER(SEARCH("bermudagrass",E536)),"Bermudagrass",
ISNUMBER(SEARCH("kentucky",E536)),"Kentucky Bluegrass",
ISNUMBER(SEARCH("zoysia",E536)),"Zoysia",
ISNUMBER(SEARCH("ryegrass",E536)),"Perennial Ryegrass",
ISNUMBER(SEARCH("centipede",E536)),"Centipede Grass",
ISNUMBER(SEARCH("dense shade",E536)),"Dense Shade Mix",
ISNUMBER(SEARCH("southern gold",E536)),"Southern Gold Mix",
ISNUMBER(SEARCH("heat-tolerant blue",E536)),"Heat-Tolerant Blue Mix",
ISNUMBER(SEARCH("high traffic",E536)),"High Traffic Mix",
ISNUMBER(SEARCH("quick fix",E536)),"Quick Fix Mix",
ISNUMBER(SEARCH("starter",E536)),"Starter Fertilizer",
ISNUMBER(SEARCH("weed &amp; feed",E536)),"Weed &amp; Feed",
ISNUMBER(SEARCH("lawn food",E536)),"Lawn Food",
ISNUMBER(SEARCH("triple action",E536)),"Triple Action Fertilizer",
ISNUMBER(SEARCH("green max",E536)),"Green Max Lawn Food",
ISNUMBER(SEARCH("patchmaster",E536)),"PatchMaster Repair",
ISNUMBER(SEARCH("ez seed",E536)),"EZ Seed Repair",
ISNUMBER(SEARCH("rapid grass",E536)),"Rapid Grass",
ISNUMBER(SEARCH("thick'r lawn",E536)),"Thick'R Lawn",
ISNUMBER(SEARCH("fungicide",E536)),"Fungicide",
ISNUMBER(SEARCH("moss",E536)),"Moss Control",
ISNUMBER(SEARCH("perlite",E536)),"Perlite",
ISNUMBER(SEARCH("plant food",E536)),"Plant Food",
ISNUMBER(SEARCH("spreader",E536)),"Spreader",
ISNUMBER(SEARCH("sprayer",E536)),"Sprayer",
ISNUMBER(SEARCH("mower",E536)),"Lawn Mower",
ISNUMBER(SEARCH("sweeper",E536)),"Lawn Sweeper",
OR(ISNUMBER(SEARCH("pruner",E536)),ISNUMBER(SEARCH("trimmer",E536)),ISNUMBER(SEARCH("pole saw",E536))),"Pruning Tools",
TRUE,"Other"
)</f>
        <v>Bait &amp; Poison</v>
      </c>
      <c r="J536" s="7" t="str">
        <f t="shared" si="140"/>
        <v>Rodent Control - Bait &amp; Poison</v>
      </c>
      <c r="K536" s="4">
        <v>100</v>
      </c>
      <c r="L536" s="4">
        <v>4.4000000000000004</v>
      </c>
      <c r="M536" s="4">
        <v>237</v>
      </c>
      <c r="O536" s="4">
        <f>VLOOKUP(A536,[8]Sheet1!$A:$M,2,0)</f>
        <v>100</v>
      </c>
      <c r="P536" s="4">
        <f>VLOOKUP(A536,[8]Sheet1!$A:$M,3,0)</f>
        <v>100</v>
      </c>
      <c r="Q536" s="4">
        <f>VLOOKUP(A536,[8]Sheet1!$A:$M,4,0)</f>
        <v>100</v>
      </c>
      <c r="R536" s="4">
        <f>VLOOKUP(A536,[8]Sheet1!$A:$M,5,0)</f>
        <v>100</v>
      </c>
      <c r="S536" s="4">
        <f>VLOOKUP(A536,[8]Sheet1!$A:$M,6,0)</f>
        <v>100</v>
      </c>
      <c r="T536" s="4">
        <f>VLOOKUP(A536,[8]Sheet1!$A:$M,7,0)</f>
        <v>100</v>
      </c>
      <c r="U536" s="4">
        <f>VLOOKUP(A536,[8]Sheet1!$A:$M,8,0)</f>
        <v>100</v>
      </c>
      <c r="V536" s="4">
        <f>VLOOKUP(A536,[8]Sheet1!$A:$M,9,0)</f>
        <v>100</v>
      </c>
      <c r="W536" s="4">
        <f>VLOOKUP(A536,[8]Sheet1!$A:$M,10,0)</f>
        <v>100</v>
      </c>
      <c r="X536" s="4">
        <f>VLOOKUP(A536,[8]Sheet1!$A:$M,11,0)</f>
        <v>100</v>
      </c>
      <c r="Y536" s="4">
        <f>VLOOKUP(A536,[8]Sheet1!$A:$M,12,0)</f>
        <v>100</v>
      </c>
      <c r="Z536" s="4">
        <f>VLOOKUP(A536,[8]Sheet1!$A:$M,13,0)</f>
        <v>100</v>
      </c>
      <c r="AA536" s="4">
        <f t="shared" si="136"/>
        <v>1200</v>
      </c>
      <c r="AB536" s="7">
        <f t="shared" si="141"/>
        <v>100</v>
      </c>
      <c r="AC536" s="15">
        <f t="shared" si="150"/>
        <v>100</v>
      </c>
      <c r="AD536" s="16">
        <f t="shared" si="151"/>
        <v>49320</v>
      </c>
      <c r="AE536" s="16">
        <f t="shared" si="152"/>
        <v>4110</v>
      </c>
      <c r="AF536" s="21">
        <v>7.71</v>
      </c>
      <c r="AG536" s="21">
        <v>41.1</v>
      </c>
      <c r="AH536" s="15">
        <f t="shared" si="134"/>
        <v>0.51533333333333331</v>
      </c>
      <c r="AI536" s="15">
        <f t="shared" si="135"/>
        <v>1.8036666666666663</v>
      </c>
      <c r="AJ536" s="10">
        <v>0.5</v>
      </c>
      <c r="AK536" s="10">
        <v>0.5</v>
      </c>
      <c r="AL536" s="21">
        <v>7.71</v>
      </c>
      <c r="AM536" s="9">
        <f t="shared" si="142"/>
        <v>6.165</v>
      </c>
      <c r="AN536" s="9">
        <f t="shared" si="143"/>
        <v>1.2330000000000001</v>
      </c>
      <c r="AO536" s="9">
        <f t="shared" si="144"/>
        <v>8.2200000000000006</v>
      </c>
      <c r="AP536" s="9">
        <f t="shared" si="145"/>
        <v>0.82200000000000006</v>
      </c>
      <c r="AQ536" s="9">
        <f t="shared" si="146"/>
        <v>8.2200000000000006</v>
      </c>
      <c r="AR536" s="9">
        <f t="shared" si="147"/>
        <v>10.275</v>
      </c>
      <c r="AS536" s="11">
        <f t="shared" si="148"/>
        <v>5.1533333333333324</v>
      </c>
      <c r="AT536" s="12">
        <f t="shared" si="149"/>
        <v>3.7833333333333328</v>
      </c>
    </row>
    <row r="537" spans="1:46" ht="16.5" x14ac:dyDescent="0.4">
      <c r="A537" s="4" t="s">
        <v>2398</v>
      </c>
      <c r="B537" s="4" t="s">
        <v>2469</v>
      </c>
      <c r="D537" s="4" t="s">
        <v>2417</v>
      </c>
      <c r="E537" s="4" t="s">
        <v>2455</v>
      </c>
      <c r="F537" s="4" t="s">
        <v>2436</v>
      </c>
      <c r="G537" s="7" t="str">
        <f>VLOOKUP(A537,[1]done!$A:$I,9,0)</f>
        <v>Rodent</v>
      </c>
      <c r="H537" s="7" t="str" cm="1">
        <f t="array" ref="H537">_xlfn.IFS(
OR(ISNUMBER(SEARCH("mouse",E537)),ISNUMBER(SEARCH("rat",E537)),ISNUMBER(SEARCH("mice",E537)),ISNUMBER(SEARCH("rodent",E537))),"Rodent Control",
OR(ISNUMBER(SEARCH("fly",E537)),ISNUMBER(SEARCH("gnat",E537)),ISNUMBER(SEARCH("insect",E537)),ISNUMBER(SEARCH("mosquito",E537))),"Flying Insect Control",
OR(ISNUMBER(SEARCH("roach",E537)),ISNUMBER(SEARCH("ant",E537)),ISNUMBER(SEARCH("spider",E537)),ISNUMBER(SEARCH("cricket",E537)),ISNUMBER(SEARCH("scorpion",E537)),ISNUMBER(SEARCH("centipede",E537)),ISNUMBER(SEARCH("beetle",E537))),"Crawling Insect Control",
OR(ISNUMBER(SEARCH("tree",E537)),ISNUMBER(SEARCH("lantern",E537)),ISNUMBER(SEARCH("garden",E537)),ISNUMBER(SEARCH("plant",E537))),"Garden Pest Control",
OR(ISNUMBER(SEARCH("grass seed",E537)),ISNUMBER(SEARCH("seed mix",E537))),"Grass Seed",
OR(ISNUMBER(SEARCH("lawn food",E537)),ISNUMBER(SEARCH("fertilizer",E537))),"Lawn Fertilizer",
OR(ISNUMBER(SEARCH("patch",E537)),ISNUMBER(SEARCH("repair",E537)),ISNUMBER(SEARCH("thick'r",E537)),ISNUMBER(SEARCH("thick'r lawn",E537)),ISNUMBER(SEARCH("rapid grass",E537))),"Lawn Repair",
OR(ISNUMBER(SEARCH("weed",E537)),ISNUMBER(SEARCH("crabgrass",E537))),"Weed Control",
OR(ISNUMBER(SEARCH("fungicide",E537)),ISNUMBER(SEARCH("moss",E537))),"Disease &amp; Moss Control",
OR(ISNUMBER(SEARCH("plant food",E537)),ISNUMBER(SEARCH("miracid",E537))),"Plant Nutrition",
OR(ISNUMBER(SEARCH("perlite",E537))),"Soil Amendment",
OR(ISNUMBER(SEARCH("spreader",E537)),ISNUMBER(SEARCH("sprayer",E537)),ISNUMBER(SEARCH("mower",E537)),ISNUMBER(SEARCH("sweeper",E537)),ISNUMBER(SEARCH("pruner",E537)),ISNUMBER(SEARCH("trimmer",E537)),ISNUMBER(SEARCH("pole saw",E537))),"Garden Equipment",
TRUE,"Other"
)</f>
        <v>Rodent Control</v>
      </c>
      <c r="I537" s="7" t="str" cm="1">
        <f t="array" ref="I537">_xlfn.IFS(
OR(ISNUMBER(SEARCH("glue trap",E537)),ISNUMBER(SEARCH("glue board",E537))),"Glue Traps",
OR(ISNUMBER(SEARCH("snap trap",E537)),ISNUMBER(SEARCH("power-kill",E537)),ISNUMBER(SEARCH("wide pedal",E537)),ISNUMBER(SEARCH("metal pedal",E537))),"Snap Traps",
OR(ISNUMBER(SEARCH("electronic",E537)),ISNUMBER(SEARCH("zapper",E537))),"Electronic Traps",
OR(ISNUMBER(SEARCH("live catch",E537)),ISNUMBER(SEARCH("multi-catch",E537)),ISNUMBER(SEARCH("catch &amp; hold",E537)),ISNUMBER(SEARCH("tin cat",E537))),"Live Catch Traps",
OR(ISNUMBER(SEARCH("bait",E537)),ISNUMBER(SEARCH("poison",E537))),"Bait &amp; Poison",
ISNUMBER(SEARCH("repellent",E537)),"Repellents",
OR(ISNUMBER(SEARCH("fly trap",E537)),ISNUMBER(SEARCH("fly ribbon",E537)),ISNUMBER(SEARCH("fly stick",E537)),ISNUMBER(SEARCH("window fly",E537)),ISNUMBER(SEARCH("fly magnet",E537))),"Fly Traps",
OR(ISNUMBER(SEARCH("uv",E537)),ISNUMBER(SEARCH("fly light",E537)),ISNUMBER(SEARCH("plug-in",E537))),"UV Fly Traps",
ISNUMBER(SEARCH("roach",E537)),"Roach Traps",
ISNUMBER(SEARCH("ant",E537)),"Ant Traps",
ISNUMBER(SEARCH("spider",E537)),"Spider Traps",
ISNUMBER(SEARCH("mosquito",E537)),"Mosquito Traps",
ISNUMBER(SEARCH("beetle",E537)),"Beetle Traps",
ISNUMBER(SEARCH("lantern",E537)),"Lanternfly Control",
OR(ISNUMBER(SEARCH("tree shield",E537)),ISNUMBER(SEARCH("tree banding",E537)),ISNUMBER(SEARCH("insect barrier",E537))),"Tree Barriers",
OR(ISNUMBER(SEARCH("sun &amp; shade",E537)),ISNUMBER(SEARCH("sun and shade",E537))),"Sun &amp; Shade Mix",
ISNUMBER(SEARCH("tall fescue",E537)),"Tall Fescue",
ISNUMBER(SEARCH("bermudagrass",E537)),"Bermudagrass",
ISNUMBER(SEARCH("kentucky",E537)),"Kentucky Bluegrass",
ISNUMBER(SEARCH("zoysia",E537)),"Zoysia",
ISNUMBER(SEARCH("ryegrass",E537)),"Perennial Ryegrass",
ISNUMBER(SEARCH("centipede",E537)),"Centipede Grass",
ISNUMBER(SEARCH("dense shade",E537)),"Dense Shade Mix",
ISNUMBER(SEARCH("southern gold",E537)),"Southern Gold Mix",
ISNUMBER(SEARCH("heat-tolerant blue",E537)),"Heat-Tolerant Blue Mix",
ISNUMBER(SEARCH("high traffic",E537)),"High Traffic Mix",
ISNUMBER(SEARCH("quick fix",E537)),"Quick Fix Mix",
ISNUMBER(SEARCH("starter",E537)),"Starter Fertilizer",
ISNUMBER(SEARCH("weed &amp; feed",E537)),"Weed &amp; Feed",
ISNUMBER(SEARCH("lawn food",E537)),"Lawn Food",
ISNUMBER(SEARCH("triple action",E537)),"Triple Action Fertilizer",
ISNUMBER(SEARCH("green max",E537)),"Green Max Lawn Food",
ISNUMBER(SEARCH("patchmaster",E537)),"PatchMaster Repair",
ISNUMBER(SEARCH("ez seed",E537)),"EZ Seed Repair",
ISNUMBER(SEARCH("rapid grass",E537)),"Rapid Grass",
ISNUMBER(SEARCH("thick'r lawn",E537)),"Thick'R Lawn",
ISNUMBER(SEARCH("fungicide",E537)),"Fungicide",
ISNUMBER(SEARCH("moss",E537)),"Moss Control",
ISNUMBER(SEARCH("perlite",E537)),"Perlite",
ISNUMBER(SEARCH("plant food",E537)),"Plant Food",
ISNUMBER(SEARCH("spreader",E537)),"Spreader",
ISNUMBER(SEARCH("sprayer",E537)),"Sprayer",
ISNUMBER(SEARCH("mower",E537)),"Lawn Mower",
ISNUMBER(SEARCH("sweeper",E537)),"Lawn Sweeper",
OR(ISNUMBER(SEARCH("pruner",E537)),ISNUMBER(SEARCH("trimmer",E537)),ISNUMBER(SEARCH("pole saw",E537))),"Pruning Tools",
TRUE,"Other"
)</f>
        <v>Other</v>
      </c>
      <c r="J537" s="7" t="str">
        <f t="shared" si="140"/>
        <v>Rodent Control - Other</v>
      </c>
      <c r="K537" s="4">
        <v>100</v>
      </c>
      <c r="L537" s="4">
        <v>4.5999999999999996</v>
      </c>
      <c r="M537" s="4">
        <v>196</v>
      </c>
      <c r="O537" s="4">
        <f>VLOOKUP(A537,[8]Sheet1!$A:$M,2,0)</f>
        <v>100</v>
      </c>
      <c r="P537" s="4">
        <f>VLOOKUP(A537,[8]Sheet1!$A:$M,3,0)</f>
        <v>100</v>
      </c>
      <c r="Q537" s="4">
        <f>VLOOKUP(A537,[8]Sheet1!$A:$M,4,0)</f>
        <v>100</v>
      </c>
      <c r="R537" s="4">
        <f>VLOOKUP(A537,[8]Sheet1!$A:$M,5,0)</f>
        <v>100</v>
      </c>
      <c r="S537" s="4">
        <f>VLOOKUP(A537,[8]Sheet1!$A:$M,6,0)</f>
        <v>100</v>
      </c>
      <c r="T537" s="4">
        <f>VLOOKUP(A537,[8]Sheet1!$A:$M,7,0)</f>
        <v>100</v>
      </c>
      <c r="U537" s="4">
        <f>VLOOKUP(A537,[8]Sheet1!$A:$M,8,0)</f>
        <v>100</v>
      </c>
      <c r="V537" s="4">
        <f>VLOOKUP(A537,[8]Sheet1!$A:$M,9,0)</f>
        <v>100</v>
      </c>
      <c r="W537" s="4">
        <f>VLOOKUP(A537,[8]Sheet1!$A:$M,10,0)</f>
        <v>100</v>
      </c>
      <c r="X537" s="4">
        <f>VLOOKUP(A537,[8]Sheet1!$A:$M,11,0)</f>
        <v>200</v>
      </c>
      <c r="Y537" s="4">
        <f>VLOOKUP(A537,[8]Sheet1!$A:$M,12,0)</f>
        <v>200</v>
      </c>
      <c r="Z537" s="4">
        <f>VLOOKUP(A537,[8]Sheet1!$A:$M,13,0)</f>
        <v>100</v>
      </c>
      <c r="AA537" s="4">
        <f t="shared" si="136"/>
        <v>1400</v>
      </c>
      <c r="AB537" s="7">
        <f t="shared" si="141"/>
        <v>117</v>
      </c>
      <c r="AC537" s="15">
        <f t="shared" si="150"/>
        <v>116.66666666666667</v>
      </c>
      <c r="AD537" s="16">
        <f t="shared" si="151"/>
        <v>162400</v>
      </c>
      <c r="AE537" s="16">
        <f t="shared" si="152"/>
        <v>13533.333333333334</v>
      </c>
      <c r="AF537" s="21">
        <v>17.260000000000002</v>
      </c>
      <c r="AG537" s="21">
        <v>116</v>
      </c>
      <c r="AH537" s="15">
        <f t="shared" si="134"/>
        <v>1.8759999999999992</v>
      </c>
      <c r="AI537" s="15">
        <f t="shared" si="135"/>
        <v>6.5659999999999963</v>
      </c>
      <c r="AJ537" s="10">
        <v>0.5</v>
      </c>
      <c r="AK537" s="10">
        <v>0.5</v>
      </c>
      <c r="AL537" s="21">
        <v>17.260000000000002</v>
      </c>
      <c r="AM537" s="9">
        <f t="shared" si="142"/>
        <v>17.399999999999999</v>
      </c>
      <c r="AN537" s="9">
        <f t="shared" si="143"/>
        <v>3.48</v>
      </c>
      <c r="AO537" s="9">
        <f t="shared" si="144"/>
        <v>23.200000000000003</v>
      </c>
      <c r="AP537" s="9">
        <f t="shared" si="145"/>
        <v>2.3199999999999998</v>
      </c>
      <c r="AQ537" s="9">
        <f t="shared" si="146"/>
        <v>23.200000000000003</v>
      </c>
      <c r="AR537" s="9">
        <f t="shared" si="147"/>
        <v>29</v>
      </c>
      <c r="AS537" s="11">
        <f t="shared" si="148"/>
        <v>18.759999999999991</v>
      </c>
      <c r="AT537" s="12">
        <f t="shared" si="149"/>
        <v>14.893333333333326</v>
      </c>
    </row>
    <row r="538" spans="1:46" ht="16.5" x14ac:dyDescent="0.4">
      <c r="A538" s="4" t="s">
        <v>2399</v>
      </c>
      <c r="B538" s="4" t="s">
        <v>2469</v>
      </c>
      <c r="C538" s="4" t="s">
        <v>2463</v>
      </c>
      <c r="D538" s="4" t="s">
        <v>2418</v>
      </c>
      <c r="E538" s="4" t="s">
        <v>2456</v>
      </c>
      <c r="F538" s="4" t="s">
        <v>2437</v>
      </c>
      <c r="G538" s="7" t="str">
        <f>VLOOKUP(A538,[1]done!$A:$I,9,0)</f>
        <v>All Other products</v>
      </c>
      <c r="H538" s="7" t="str" cm="1">
        <f t="array" ref="H538">_xlfn.IFS(
OR(ISNUMBER(SEARCH("mouse",E538)),ISNUMBER(SEARCH("rat",E538)),ISNUMBER(SEARCH("mice",E538)),ISNUMBER(SEARCH("rodent",E538))),"Rodent Control",
OR(ISNUMBER(SEARCH("fly",E538)),ISNUMBER(SEARCH("gnat",E538)),ISNUMBER(SEARCH("insect",E538)),ISNUMBER(SEARCH("mosquito",E538))),"Flying Insect Control",
OR(ISNUMBER(SEARCH("roach",E538)),ISNUMBER(SEARCH("ant",E538)),ISNUMBER(SEARCH("spider",E538)),ISNUMBER(SEARCH("cricket",E538)),ISNUMBER(SEARCH("scorpion",E538)),ISNUMBER(SEARCH("centipede",E538)),ISNUMBER(SEARCH("beetle",E538))),"Crawling Insect Control",
OR(ISNUMBER(SEARCH("tree",E538)),ISNUMBER(SEARCH("lantern",E538)),ISNUMBER(SEARCH("garden",E538)),ISNUMBER(SEARCH("plant",E538))),"Garden Pest Control",
OR(ISNUMBER(SEARCH("grass seed",E538)),ISNUMBER(SEARCH("seed mix",E538))),"Grass Seed",
OR(ISNUMBER(SEARCH("lawn food",E538)),ISNUMBER(SEARCH("fertilizer",E538))),"Lawn Fertilizer",
OR(ISNUMBER(SEARCH("patch",E538)),ISNUMBER(SEARCH("repair",E538)),ISNUMBER(SEARCH("thick'r",E538)),ISNUMBER(SEARCH("thick'r lawn",E538)),ISNUMBER(SEARCH("rapid grass",E538))),"Lawn Repair",
OR(ISNUMBER(SEARCH("weed",E538)),ISNUMBER(SEARCH("crabgrass",E538))),"Weed Control",
OR(ISNUMBER(SEARCH("fungicide",E538)),ISNUMBER(SEARCH("moss",E538))),"Disease &amp; Moss Control",
OR(ISNUMBER(SEARCH("plant food",E538)),ISNUMBER(SEARCH("miracid",E538))),"Plant Nutrition",
OR(ISNUMBER(SEARCH("perlite",E538))),"Soil Amendment",
OR(ISNUMBER(SEARCH("spreader",E538)),ISNUMBER(SEARCH("sprayer",E538)),ISNUMBER(SEARCH("mower",E538)),ISNUMBER(SEARCH("sweeper",E538)),ISNUMBER(SEARCH("pruner",E538)),ISNUMBER(SEARCH("trimmer",E538)),ISNUMBER(SEARCH("pole saw",E538))),"Garden Equipment",
TRUE,"Other"
)</f>
        <v>Other</v>
      </c>
      <c r="I538" s="7" t="str" cm="1">
        <f t="array" ref="I538">_xlfn.IFS(
OR(ISNUMBER(SEARCH("glue trap",E538)),ISNUMBER(SEARCH("glue board",E538))),"Glue Traps",
OR(ISNUMBER(SEARCH("snap trap",E538)),ISNUMBER(SEARCH("power-kill",E538)),ISNUMBER(SEARCH("wide pedal",E538)),ISNUMBER(SEARCH("metal pedal",E538))),"Snap Traps",
OR(ISNUMBER(SEARCH("electronic",E538)),ISNUMBER(SEARCH("zapper",E538))),"Electronic Traps",
OR(ISNUMBER(SEARCH("live catch",E538)),ISNUMBER(SEARCH("multi-catch",E538)),ISNUMBER(SEARCH("catch &amp; hold",E538)),ISNUMBER(SEARCH("tin cat",E538))),"Live Catch Traps",
OR(ISNUMBER(SEARCH("bait",E538)),ISNUMBER(SEARCH("poison",E538))),"Bait &amp; Poison",
ISNUMBER(SEARCH("repellent",E538)),"Repellents",
OR(ISNUMBER(SEARCH("fly trap",E538)),ISNUMBER(SEARCH("fly ribbon",E538)),ISNUMBER(SEARCH("fly stick",E538)),ISNUMBER(SEARCH("window fly",E538)),ISNUMBER(SEARCH("fly magnet",E538))),"Fly Traps",
OR(ISNUMBER(SEARCH("uv",E538)),ISNUMBER(SEARCH("fly light",E538)),ISNUMBER(SEARCH("plug-in",E538))),"UV Fly Traps",
ISNUMBER(SEARCH("roach",E538)),"Roach Traps",
ISNUMBER(SEARCH("ant",E538)),"Ant Traps",
ISNUMBER(SEARCH("spider",E538)),"Spider Traps",
ISNUMBER(SEARCH("mosquito",E538)),"Mosquito Traps",
ISNUMBER(SEARCH("beetle",E538)),"Beetle Traps",
ISNUMBER(SEARCH("lantern",E538)),"Lanternfly Control",
OR(ISNUMBER(SEARCH("tree shield",E538)),ISNUMBER(SEARCH("tree banding",E538)),ISNUMBER(SEARCH("insect barrier",E538))),"Tree Barriers",
OR(ISNUMBER(SEARCH("sun &amp; shade",E538)),ISNUMBER(SEARCH("sun and shade",E538))),"Sun &amp; Shade Mix",
ISNUMBER(SEARCH("tall fescue",E538)),"Tall Fescue",
ISNUMBER(SEARCH("bermudagrass",E538)),"Bermudagrass",
ISNUMBER(SEARCH("kentucky",E538)),"Kentucky Bluegrass",
ISNUMBER(SEARCH("zoysia",E538)),"Zoysia",
ISNUMBER(SEARCH("ryegrass",E538)),"Perennial Ryegrass",
ISNUMBER(SEARCH("centipede",E538)),"Centipede Grass",
ISNUMBER(SEARCH("dense shade",E538)),"Dense Shade Mix",
ISNUMBER(SEARCH("southern gold",E538)),"Southern Gold Mix",
ISNUMBER(SEARCH("heat-tolerant blue",E538)),"Heat-Tolerant Blue Mix",
ISNUMBER(SEARCH("high traffic",E538)),"High Traffic Mix",
ISNUMBER(SEARCH("quick fix",E538)),"Quick Fix Mix",
ISNUMBER(SEARCH("starter",E538)),"Starter Fertilizer",
ISNUMBER(SEARCH("weed &amp; feed",E538)),"Weed &amp; Feed",
ISNUMBER(SEARCH("lawn food",E538)),"Lawn Food",
ISNUMBER(SEARCH("triple action",E538)),"Triple Action Fertilizer",
ISNUMBER(SEARCH("green max",E538)),"Green Max Lawn Food",
ISNUMBER(SEARCH("patchmaster",E538)),"PatchMaster Repair",
ISNUMBER(SEARCH("ez seed",E538)),"EZ Seed Repair",
ISNUMBER(SEARCH("rapid grass",E538)),"Rapid Grass",
ISNUMBER(SEARCH("thick'r lawn",E538)),"Thick'R Lawn",
ISNUMBER(SEARCH("fungicide",E538)),"Fungicide",
ISNUMBER(SEARCH("moss",E538)),"Moss Control",
ISNUMBER(SEARCH("perlite",E538)),"Perlite",
ISNUMBER(SEARCH("plant food",E538)),"Plant Food",
ISNUMBER(SEARCH("spreader",E538)),"Spreader",
ISNUMBER(SEARCH("sprayer",E538)),"Sprayer",
ISNUMBER(SEARCH("mower",E538)),"Lawn Mower",
ISNUMBER(SEARCH("sweeper",E538)),"Lawn Sweeper",
OR(ISNUMBER(SEARCH("pruner",E538)),ISNUMBER(SEARCH("trimmer",E538)),ISNUMBER(SEARCH("pole saw",E538))),"Pruning Tools",
TRUE,"Other"
)</f>
        <v>Bait &amp; Poison</v>
      </c>
      <c r="J538" s="7" t="str">
        <f t="shared" si="140"/>
        <v>Other - Bait &amp; Poison</v>
      </c>
      <c r="K538" s="4">
        <v>100</v>
      </c>
      <c r="L538" s="4">
        <v>4.8</v>
      </c>
      <c r="M538" s="4">
        <v>1122</v>
      </c>
      <c r="O538" s="4">
        <f>VLOOKUP(A538,[8]Sheet1!$A:$M,2,0)</f>
        <v>200</v>
      </c>
      <c r="P538" s="4">
        <f>VLOOKUP(A538,[8]Sheet1!$A:$M,3,0)</f>
        <v>200</v>
      </c>
      <c r="Q538" s="4">
        <f>VLOOKUP(A538,[8]Sheet1!$A:$M,4,0)</f>
        <v>200</v>
      </c>
      <c r="R538" s="4">
        <f>VLOOKUP(A538,[8]Sheet1!$A:$M,5,0)</f>
        <v>200</v>
      </c>
      <c r="S538" s="4">
        <f>VLOOKUP(A538,[8]Sheet1!$A:$M,6,0)</f>
        <v>100</v>
      </c>
      <c r="T538" s="4">
        <f>VLOOKUP(A538,[8]Sheet1!$A:$M,7,0)</f>
        <v>200</v>
      </c>
      <c r="U538" s="4">
        <f>VLOOKUP(A538,[8]Sheet1!$A:$M,8,0)</f>
        <v>100</v>
      </c>
      <c r="V538" s="4">
        <f>VLOOKUP(A538,[8]Sheet1!$A:$M,9,0)</f>
        <v>100</v>
      </c>
      <c r="W538" s="4">
        <f>VLOOKUP(A538,[8]Sheet1!$A:$M,10,0)</f>
        <v>100</v>
      </c>
      <c r="X538" s="4">
        <f>VLOOKUP(A538,[8]Sheet1!$A:$M,11,0)</f>
        <v>500</v>
      </c>
      <c r="Y538" s="4">
        <f>VLOOKUP(A538,[8]Sheet1!$A:$M,12,0)</f>
        <v>600</v>
      </c>
      <c r="Z538" s="4">
        <f>VLOOKUP(A538,[8]Sheet1!$A:$M,13,0)</f>
        <v>200</v>
      </c>
      <c r="AA538" s="4">
        <f t="shared" si="136"/>
        <v>2700</v>
      </c>
      <c r="AB538" s="7">
        <f t="shared" si="141"/>
        <v>225</v>
      </c>
      <c r="AC538" s="15">
        <f t="shared" si="150"/>
        <v>225</v>
      </c>
      <c r="AD538" s="16">
        <f t="shared" si="151"/>
        <v>13284</v>
      </c>
      <c r="AE538" s="16">
        <f t="shared" si="152"/>
        <v>1107</v>
      </c>
      <c r="AF538" s="21">
        <v>2.52</v>
      </c>
      <c r="AG538" s="21">
        <v>4.92</v>
      </c>
      <c r="AH538" s="15">
        <f t="shared" si="134"/>
        <v>-0.10346666666666667</v>
      </c>
      <c r="AI538" s="15">
        <f t="shared" si="135"/>
        <v>-0.36213333333333331</v>
      </c>
      <c r="AJ538" s="10">
        <v>0.5</v>
      </c>
      <c r="AK538" s="10">
        <v>0.5</v>
      </c>
      <c r="AL538" s="21">
        <v>2.52</v>
      </c>
      <c r="AM538" s="9">
        <f t="shared" si="142"/>
        <v>0.73799999999999999</v>
      </c>
      <c r="AN538" s="9">
        <f t="shared" si="143"/>
        <v>0.14759999999999998</v>
      </c>
      <c r="AO538" s="9">
        <f t="shared" si="144"/>
        <v>0.98399999999999999</v>
      </c>
      <c r="AP538" s="9">
        <f t="shared" si="145"/>
        <v>9.8400000000000001E-2</v>
      </c>
      <c r="AQ538" s="9">
        <f t="shared" si="146"/>
        <v>0.98399999999999999</v>
      </c>
      <c r="AR538" s="9">
        <f t="shared" si="147"/>
        <v>1.23</v>
      </c>
      <c r="AS538" s="11">
        <f t="shared" si="148"/>
        <v>-1.0346666666666666</v>
      </c>
      <c r="AT538" s="12">
        <f t="shared" si="149"/>
        <v>-1.1986666666666668</v>
      </c>
    </row>
    <row r="539" spans="1:46" ht="16.5" x14ac:dyDescent="0.4">
      <c r="A539" s="4" t="s">
        <v>2400</v>
      </c>
      <c r="B539" s="4" t="s">
        <v>2469</v>
      </c>
      <c r="C539" s="4" t="s">
        <v>2469</v>
      </c>
      <c r="D539" s="4" t="s">
        <v>2419</v>
      </c>
      <c r="E539" s="4" t="s">
        <v>2457</v>
      </c>
      <c r="F539" s="4" t="s">
        <v>2438</v>
      </c>
      <c r="G539" s="7" t="str">
        <f>VLOOKUP(A539,[1]done!$A:$I,9,0)</f>
        <v>Rodent</v>
      </c>
      <c r="H539" s="7" t="str" cm="1">
        <f t="array" ref="H539">_xlfn.IFS(
OR(ISNUMBER(SEARCH("mouse",E539)),ISNUMBER(SEARCH("rat",E539)),ISNUMBER(SEARCH("mice",E539)),ISNUMBER(SEARCH("rodent",E539))),"Rodent Control",
OR(ISNUMBER(SEARCH("fly",E539)),ISNUMBER(SEARCH("gnat",E539)),ISNUMBER(SEARCH("insect",E539)),ISNUMBER(SEARCH("mosquito",E539))),"Flying Insect Control",
OR(ISNUMBER(SEARCH("roach",E539)),ISNUMBER(SEARCH("ant",E539)),ISNUMBER(SEARCH("spider",E539)),ISNUMBER(SEARCH("cricket",E539)),ISNUMBER(SEARCH("scorpion",E539)),ISNUMBER(SEARCH("centipede",E539)),ISNUMBER(SEARCH("beetle",E539))),"Crawling Insect Control",
OR(ISNUMBER(SEARCH("tree",E539)),ISNUMBER(SEARCH("lantern",E539)),ISNUMBER(SEARCH("garden",E539)),ISNUMBER(SEARCH("plant",E539))),"Garden Pest Control",
OR(ISNUMBER(SEARCH("grass seed",E539)),ISNUMBER(SEARCH("seed mix",E539))),"Grass Seed",
OR(ISNUMBER(SEARCH("lawn food",E539)),ISNUMBER(SEARCH("fertilizer",E539))),"Lawn Fertilizer",
OR(ISNUMBER(SEARCH("patch",E539)),ISNUMBER(SEARCH("repair",E539)),ISNUMBER(SEARCH("thick'r",E539)),ISNUMBER(SEARCH("thick'r lawn",E539)),ISNUMBER(SEARCH("rapid grass",E539))),"Lawn Repair",
OR(ISNUMBER(SEARCH("weed",E539)),ISNUMBER(SEARCH("crabgrass",E539))),"Weed Control",
OR(ISNUMBER(SEARCH("fungicide",E539)),ISNUMBER(SEARCH("moss",E539))),"Disease &amp; Moss Control",
OR(ISNUMBER(SEARCH("plant food",E539)),ISNUMBER(SEARCH("miracid",E539))),"Plant Nutrition",
OR(ISNUMBER(SEARCH("perlite",E539))),"Soil Amendment",
OR(ISNUMBER(SEARCH("spreader",E539)),ISNUMBER(SEARCH("sprayer",E539)),ISNUMBER(SEARCH("mower",E539)),ISNUMBER(SEARCH("sweeper",E539)),ISNUMBER(SEARCH("pruner",E539)),ISNUMBER(SEARCH("trimmer",E539)),ISNUMBER(SEARCH("pole saw",E539))),"Garden Equipment",
TRUE,"Other"
)</f>
        <v>Rodent Control</v>
      </c>
      <c r="I539" s="7" t="str" cm="1">
        <f t="array" ref="I539">_xlfn.IFS(
OR(ISNUMBER(SEARCH("glue trap",E539)),ISNUMBER(SEARCH("glue board",E539))),"Glue Traps",
OR(ISNUMBER(SEARCH("snap trap",E539)),ISNUMBER(SEARCH("power-kill",E539)),ISNUMBER(SEARCH("wide pedal",E539)),ISNUMBER(SEARCH("metal pedal",E539))),"Snap Traps",
OR(ISNUMBER(SEARCH("electronic",E539)),ISNUMBER(SEARCH("zapper",E539))),"Electronic Traps",
OR(ISNUMBER(SEARCH("live catch",E539)),ISNUMBER(SEARCH("multi-catch",E539)),ISNUMBER(SEARCH("catch &amp; hold",E539)),ISNUMBER(SEARCH("tin cat",E539))),"Live Catch Traps",
OR(ISNUMBER(SEARCH("bait",E539)),ISNUMBER(SEARCH("poison",E539))),"Bait &amp; Poison",
ISNUMBER(SEARCH("repellent",E539)),"Repellents",
OR(ISNUMBER(SEARCH("fly trap",E539)),ISNUMBER(SEARCH("fly ribbon",E539)),ISNUMBER(SEARCH("fly stick",E539)),ISNUMBER(SEARCH("window fly",E539)),ISNUMBER(SEARCH("fly magnet",E539))),"Fly Traps",
OR(ISNUMBER(SEARCH("uv",E539)),ISNUMBER(SEARCH("fly light",E539)),ISNUMBER(SEARCH("plug-in",E539))),"UV Fly Traps",
ISNUMBER(SEARCH("roach",E539)),"Roach Traps",
ISNUMBER(SEARCH("ant",E539)),"Ant Traps",
ISNUMBER(SEARCH("spider",E539)),"Spider Traps",
ISNUMBER(SEARCH("mosquito",E539)),"Mosquito Traps",
ISNUMBER(SEARCH("beetle",E539)),"Beetle Traps",
ISNUMBER(SEARCH("lantern",E539)),"Lanternfly Control",
OR(ISNUMBER(SEARCH("tree shield",E539)),ISNUMBER(SEARCH("tree banding",E539)),ISNUMBER(SEARCH("insect barrier",E539))),"Tree Barriers",
OR(ISNUMBER(SEARCH("sun &amp; shade",E539)),ISNUMBER(SEARCH("sun and shade",E539))),"Sun &amp; Shade Mix",
ISNUMBER(SEARCH("tall fescue",E539)),"Tall Fescue",
ISNUMBER(SEARCH("bermudagrass",E539)),"Bermudagrass",
ISNUMBER(SEARCH("kentucky",E539)),"Kentucky Bluegrass",
ISNUMBER(SEARCH("zoysia",E539)),"Zoysia",
ISNUMBER(SEARCH("ryegrass",E539)),"Perennial Ryegrass",
ISNUMBER(SEARCH("centipede",E539)),"Centipede Grass",
ISNUMBER(SEARCH("dense shade",E539)),"Dense Shade Mix",
ISNUMBER(SEARCH("southern gold",E539)),"Southern Gold Mix",
ISNUMBER(SEARCH("heat-tolerant blue",E539)),"Heat-Tolerant Blue Mix",
ISNUMBER(SEARCH("high traffic",E539)),"High Traffic Mix",
ISNUMBER(SEARCH("quick fix",E539)),"Quick Fix Mix",
ISNUMBER(SEARCH("starter",E539)),"Starter Fertilizer",
ISNUMBER(SEARCH("weed &amp; feed",E539)),"Weed &amp; Feed",
ISNUMBER(SEARCH("lawn food",E539)),"Lawn Food",
ISNUMBER(SEARCH("triple action",E539)),"Triple Action Fertilizer",
ISNUMBER(SEARCH("green max",E539)),"Green Max Lawn Food",
ISNUMBER(SEARCH("patchmaster",E539)),"PatchMaster Repair",
ISNUMBER(SEARCH("ez seed",E539)),"EZ Seed Repair",
ISNUMBER(SEARCH("rapid grass",E539)),"Rapid Grass",
ISNUMBER(SEARCH("thick'r lawn",E539)),"Thick'R Lawn",
ISNUMBER(SEARCH("fungicide",E539)),"Fungicide",
ISNUMBER(SEARCH("moss",E539)),"Moss Control",
ISNUMBER(SEARCH("perlite",E539)),"Perlite",
ISNUMBER(SEARCH("plant food",E539)),"Plant Food",
ISNUMBER(SEARCH("spreader",E539)),"Spreader",
ISNUMBER(SEARCH("sprayer",E539)),"Sprayer",
ISNUMBER(SEARCH("mower",E539)),"Lawn Mower",
ISNUMBER(SEARCH("sweeper",E539)),"Lawn Sweeper",
OR(ISNUMBER(SEARCH("pruner",E539)),ISNUMBER(SEARCH("trimmer",E539)),ISNUMBER(SEARCH("pole saw",E539))),"Pruning Tools",
TRUE,"Other"
)</f>
        <v>Bait &amp; Poison</v>
      </c>
      <c r="J539" s="7" t="str">
        <f t="shared" si="140"/>
        <v>Rodent Control - Bait &amp; Poison</v>
      </c>
      <c r="K539" s="4">
        <v>100</v>
      </c>
      <c r="L539" s="4">
        <v>4.5999999999999996</v>
      </c>
      <c r="M539" s="4">
        <v>157</v>
      </c>
      <c r="O539" s="4">
        <f>VLOOKUP(A539,[8]Sheet1!$A:$M,2,0)</f>
        <v>50</v>
      </c>
      <c r="P539" s="4">
        <f>VLOOKUP(A539,[8]Sheet1!$A:$M,3,0)</f>
        <v>100</v>
      </c>
      <c r="Q539" s="4">
        <f>VLOOKUP(A539,[8]Sheet1!$A:$M,4,0)</f>
        <v>50</v>
      </c>
      <c r="R539" s="4">
        <f>VLOOKUP(A539,[8]Sheet1!$A:$M,5,0)</f>
        <v>50</v>
      </c>
      <c r="S539" s="4">
        <f>VLOOKUP(A539,[8]Sheet1!$A:$M,6,0)</f>
        <v>100</v>
      </c>
      <c r="T539" s="4">
        <f>VLOOKUP(A539,[8]Sheet1!$A:$M,7,0)</f>
        <v>100</v>
      </c>
      <c r="U539" s="4">
        <f>VLOOKUP(A539,[8]Sheet1!$A:$M,8,0)</f>
        <v>50</v>
      </c>
      <c r="V539" s="4">
        <f>VLOOKUP(A539,[8]Sheet1!$A:$M,9,0)</f>
        <v>100</v>
      </c>
      <c r="W539" s="4">
        <f>VLOOKUP(A539,[8]Sheet1!$A:$M,10,0)</f>
        <v>100</v>
      </c>
      <c r="X539" s="4">
        <f>VLOOKUP(A539,[8]Sheet1!$A:$M,11,0)</f>
        <v>100</v>
      </c>
      <c r="Y539" s="4">
        <f>VLOOKUP(A539,[8]Sheet1!$A:$M,12,0)</f>
        <v>100</v>
      </c>
      <c r="Z539" s="4">
        <f>VLOOKUP(A539,[8]Sheet1!$A:$M,13,0)</f>
        <v>50</v>
      </c>
      <c r="AA539" s="4">
        <f t="shared" si="136"/>
        <v>950</v>
      </c>
      <c r="AB539" s="7">
        <f t="shared" si="141"/>
        <v>79</v>
      </c>
      <c r="AC539" s="15">
        <f t="shared" si="150"/>
        <v>79.166666666666671</v>
      </c>
      <c r="AD539" s="16">
        <f t="shared" si="151"/>
        <v>149568</v>
      </c>
      <c r="AE539" s="16">
        <f t="shared" si="152"/>
        <v>12464</v>
      </c>
      <c r="AF539" s="21">
        <v>17.260000000000002</v>
      </c>
      <c r="AG539" s="21">
        <v>157.44</v>
      </c>
      <c r="AH539" s="15">
        <f t="shared" si="134"/>
        <v>2.9810666666666665</v>
      </c>
      <c r="AI539" s="15">
        <f t="shared" si="135"/>
        <v>10.433733333333331</v>
      </c>
      <c r="AJ539" s="10">
        <v>0.5</v>
      </c>
      <c r="AK539" s="10">
        <v>0.5</v>
      </c>
      <c r="AL539" s="21">
        <v>17.260000000000002</v>
      </c>
      <c r="AM539" s="9">
        <f t="shared" si="142"/>
        <v>23.616</v>
      </c>
      <c r="AN539" s="9">
        <f t="shared" si="143"/>
        <v>4.7231999999999994</v>
      </c>
      <c r="AO539" s="9">
        <f t="shared" si="144"/>
        <v>31.488</v>
      </c>
      <c r="AP539" s="9">
        <f t="shared" si="145"/>
        <v>3.1488</v>
      </c>
      <c r="AQ539" s="9">
        <f t="shared" si="146"/>
        <v>31.488</v>
      </c>
      <c r="AR539" s="9">
        <f t="shared" si="147"/>
        <v>39.36</v>
      </c>
      <c r="AS539" s="11">
        <f t="shared" si="148"/>
        <v>29.810666666666663</v>
      </c>
      <c r="AT539" s="12">
        <f t="shared" si="149"/>
        <v>24.562666666666662</v>
      </c>
    </row>
    <row r="540" spans="1:46" ht="16.5" x14ac:dyDescent="0.4">
      <c r="A540" s="4" t="s">
        <v>2401</v>
      </c>
      <c r="B540" s="4" t="s">
        <v>2469</v>
      </c>
      <c r="C540" s="4" t="s">
        <v>2465</v>
      </c>
      <c r="D540" s="4" t="s">
        <v>2420</v>
      </c>
      <c r="E540" s="4" t="s">
        <v>2458</v>
      </c>
      <c r="F540" s="4" t="s">
        <v>2439</v>
      </c>
      <c r="G540" s="7" t="str">
        <f>VLOOKUP(A540,[1]done!$A:$I,9,0)</f>
        <v>Rodent</v>
      </c>
      <c r="H540" s="7" t="str" cm="1">
        <f t="array" ref="H540">_xlfn.IFS(
OR(ISNUMBER(SEARCH("mouse",E540)),ISNUMBER(SEARCH("rat",E540)),ISNUMBER(SEARCH("mice",E540)),ISNUMBER(SEARCH("rodent",E540))),"Rodent Control",
OR(ISNUMBER(SEARCH("fly",E540)),ISNUMBER(SEARCH("gnat",E540)),ISNUMBER(SEARCH("insect",E540)),ISNUMBER(SEARCH("mosquito",E540))),"Flying Insect Control",
OR(ISNUMBER(SEARCH("roach",E540)),ISNUMBER(SEARCH("ant",E540)),ISNUMBER(SEARCH("spider",E540)),ISNUMBER(SEARCH("cricket",E540)),ISNUMBER(SEARCH("scorpion",E540)),ISNUMBER(SEARCH("centipede",E540)),ISNUMBER(SEARCH("beetle",E540))),"Crawling Insect Control",
OR(ISNUMBER(SEARCH("tree",E540)),ISNUMBER(SEARCH("lantern",E540)),ISNUMBER(SEARCH("garden",E540)),ISNUMBER(SEARCH("plant",E540))),"Garden Pest Control",
OR(ISNUMBER(SEARCH("grass seed",E540)),ISNUMBER(SEARCH("seed mix",E540))),"Grass Seed",
OR(ISNUMBER(SEARCH("lawn food",E540)),ISNUMBER(SEARCH("fertilizer",E540))),"Lawn Fertilizer",
OR(ISNUMBER(SEARCH("patch",E540)),ISNUMBER(SEARCH("repair",E540)),ISNUMBER(SEARCH("thick'r",E540)),ISNUMBER(SEARCH("thick'r lawn",E540)),ISNUMBER(SEARCH("rapid grass",E540))),"Lawn Repair",
OR(ISNUMBER(SEARCH("weed",E540)),ISNUMBER(SEARCH("crabgrass",E540))),"Weed Control",
OR(ISNUMBER(SEARCH("fungicide",E540)),ISNUMBER(SEARCH("moss",E540))),"Disease &amp; Moss Control",
OR(ISNUMBER(SEARCH("plant food",E540)),ISNUMBER(SEARCH("miracid",E540))),"Plant Nutrition",
OR(ISNUMBER(SEARCH("perlite",E540))),"Soil Amendment",
OR(ISNUMBER(SEARCH("spreader",E540)),ISNUMBER(SEARCH("sprayer",E540)),ISNUMBER(SEARCH("mower",E540)),ISNUMBER(SEARCH("sweeper",E540)),ISNUMBER(SEARCH("pruner",E540)),ISNUMBER(SEARCH("trimmer",E540)),ISNUMBER(SEARCH("pole saw",E540))),"Garden Equipment",
TRUE,"Other"
)</f>
        <v>Rodent Control</v>
      </c>
      <c r="I540" s="7" t="str" cm="1">
        <f t="array" ref="I540">_xlfn.IFS(
OR(ISNUMBER(SEARCH("glue trap",E540)),ISNUMBER(SEARCH("glue board",E540))),"Glue Traps",
OR(ISNUMBER(SEARCH("snap trap",E540)),ISNUMBER(SEARCH("power-kill",E540)),ISNUMBER(SEARCH("wide pedal",E540)),ISNUMBER(SEARCH("metal pedal",E540))),"Snap Traps",
OR(ISNUMBER(SEARCH("electronic",E540)),ISNUMBER(SEARCH("zapper",E540))),"Electronic Traps",
OR(ISNUMBER(SEARCH("live catch",E540)),ISNUMBER(SEARCH("multi-catch",E540)),ISNUMBER(SEARCH("catch &amp; hold",E540)),ISNUMBER(SEARCH("tin cat",E540))),"Live Catch Traps",
OR(ISNUMBER(SEARCH("bait",E540)),ISNUMBER(SEARCH("poison",E540))),"Bait &amp; Poison",
ISNUMBER(SEARCH("repellent",E540)),"Repellents",
OR(ISNUMBER(SEARCH("fly trap",E540)),ISNUMBER(SEARCH("fly ribbon",E540)),ISNUMBER(SEARCH("fly stick",E540)),ISNUMBER(SEARCH("window fly",E540)),ISNUMBER(SEARCH("fly magnet",E540))),"Fly Traps",
OR(ISNUMBER(SEARCH("uv",E540)),ISNUMBER(SEARCH("fly light",E540)),ISNUMBER(SEARCH("plug-in",E540))),"UV Fly Traps",
ISNUMBER(SEARCH("roach",E540)),"Roach Traps",
ISNUMBER(SEARCH("ant",E540)),"Ant Traps",
ISNUMBER(SEARCH("spider",E540)),"Spider Traps",
ISNUMBER(SEARCH("mosquito",E540)),"Mosquito Traps",
ISNUMBER(SEARCH("beetle",E540)),"Beetle Traps",
ISNUMBER(SEARCH("lantern",E540)),"Lanternfly Control",
OR(ISNUMBER(SEARCH("tree shield",E540)),ISNUMBER(SEARCH("tree banding",E540)),ISNUMBER(SEARCH("insect barrier",E540))),"Tree Barriers",
OR(ISNUMBER(SEARCH("sun &amp; shade",E540)),ISNUMBER(SEARCH("sun and shade",E540))),"Sun &amp; Shade Mix",
ISNUMBER(SEARCH("tall fescue",E540)),"Tall Fescue",
ISNUMBER(SEARCH("bermudagrass",E540)),"Bermudagrass",
ISNUMBER(SEARCH("kentucky",E540)),"Kentucky Bluegrass",
ISNUMBER(SEARCH("zoysia",E540)),"Zoysia",
ISNUMBER(SEARCH("ryegrass",E540)),"Perennial Ryegrass",
ISNUMBER(SEARCH("centipede",E540)),"Centipede Grass",
ISNUMBER(SEARCH("dense shade",E540)),"Dense Shade Mix",
ISNUMBER(SEARCH("southern gold",E540)),"Southern Gold Mix",
ISNUMBER(SEARCH("heat-tolerant blue",E540)),"Heat-Tolerant Blue Mix",
ISNUMBER(SEARCH("high traffic",E540)),"High Traffic Mix",
ISNUMBER(SEARCH("quick fix",E540)),"Quick Fix Mix",
ISNUMBER(SEARCH("starter",E540)),"Starter Fertilizer",
ISNUMBER(SEARCH("weed &amp; feed",E540)),"Weed &amp; Feed",
ISNUMBER(SEARCH("lawn food",E540)),"Lawn Food",
ISNUMBER(SEARCH("triple action",E540)),"Triple Action Fertilizer",
ISNUMBER(SEARCH("green max",E540)),"Green Max Lawn Food",
ISNUMBER(SEARCH("patchmaster",E540)),"PatchMaster Repair",
ISNUMBER(SEARCH("ez seed",E540)),"EZ Seed Repair",
ISNUMBER(SEARCH("rapid grass",E540)),"Rapid Grass",
ISNUMBER(SEARCH("thick'r lawn",E540)),"Thick'R Lawn",
ISNUMBER(SEARCH("fungicide",E540)),"Fungicide",
ISNUMBER(SEARCH("moss",E540)),"Moss Control",
ISNUMBER(SEARCH("perlite",E540)),"Perlite",
ISNUMBER(SEARCH("plant food",E540)),"Plant Food",
ISNUMBER(SEARCH("spreader",E540)),"Spreader",
ISNUMBER(SEARCH("sprayer",E540)),"Sprayer",
ISNUMBER(SEARCH("mower",E540)),"Lawn Mower",
ISNUMBER(SEARCH("sweeper",E540)),"Lawn Sweeper",
OR(ISNUMBER(SEARCH("pruner",E540)),ISNUMBER(SEARCH("trimmer",E540)),ISNUMBER(SEARCH("pole saw",E540))),"Pruning Tools",
TRUE,"Other"
)</f>
        <v>Other</v>
      </c>
      <c r="J540" s="7" t="str">
        <f t="shared" si="140"/>
        <v>Rodent Control - Other</v>
      </c>
      <c r="K540" s="4">
        <v>50</v>
      </c>
      <c r="L540" s="4">
        <v>4.4000000000000004</v>
      </c>
      <c r="M540" s="4">
        <v>147</v>
      </c>
      <c r="N540" s="4" t="s">
        <v>2475</v>
      </c>
      <c r="O540" s="4">
        <f>VLOOKUP(A540,[8]Sheet1!$A:$M,2,0)</f>
        <v>50</v>
      </c>
      <c r="P540" s="4">
        <f>VLOOKUP(A540,[8]Sheet1!$A:$M,3,0)</f>
        <v>50</v>
      </c>
      <c r="Q540" s="4">
        <f>VLOOKUP(A540,[8]Sheet1!$A:$M,4,0)</f>
        <v>50</v>
      </c>
      <c r="R540" s="4">
        <f>VLOOKUP(A540,[8]Sheet1!$A:$M,5,0)</f>
        <v>50</v>
      </c>
      <c r="S540" s="4">
        <f>VLOOKUP(A540,[8]Sheet1!$A:$M,6,0)</f>
        <v>50</v>
      </c>
      <c r="T540" s="4">
        <f>VLOOKUP(A540,[8]Sheet1!$A:$M,7,0)</f>
        <v>100</v>
      </c>
      <c r="U540" s="4">
        <f>VLOOKUP(A540,[8]Sheet1!$A:$M,8,0)</f>
        <v>50</v>
      </c>
      <c r="V540" s="4">
        <f>VLOOKUP(A540,[8]Sheet1!$A:$M,9,0)</f>
        <v>100</v>
      </c>
      <c r="W540" s="4">
        <f>VLOOKUP(A540,[8]Sheet1!$A:$M,10,0)</f>
        <v>50</v>
      </c>
      <c r="X540" s="4">
        <f>VLOOKUP(A540,[8]Sheet1!$A:$M,11,0)</f>
        <v>50</v>
      </c>
      <c r="Y540" s="4">
        <f>VLOOKUP(A540,[8]Sheet1!$A:$M,12,0)</f>
        <v>100</v>
      </c>
      <c r="Z540" s="4">
        <f>VLOOKUP(A540,[8]Sheet1!$A:$M,13,0)</f>
        <v>50</v>
      </c>
      <c r="AA540" s="4">
        <f t="shared" si="136"/>
        <v>750</v>
      </c>
      <c r="AB540" s="7">
        <f t="shared" si="141"/>
        <v>63</v>
      </c>
      <c r="AC540" s="15">
        <f t="shared" si="150"/>
        <v>62.5</v>
      </c>
      <c r="AD540" s="16">
        <f t="shared" si="151"/>
        <v>44670</v>
      </c>
      <c r="AE540" s="16">
        <f t="shared" si="152"/>
        <v>3722.5</v>
      </c>
      <c r="AF540" s="21">
        <v>7.98</v>
      </c>
      <c r="AG540" s="21">
        <v>59.56</v>
      </c>
      <c r="AH540" s="15">
        <f t="shared" si="134"/>
        <v>0.98959999999999981</v>
      </c>
      <c r="AI540" s="15">
        <f t="shared" si="135"/>
        <v>3.4635999999999987</v>
      </c>
      <c r="AJ540" s="10">
        <v>0.5</v>
      </c>
      <c r="AK540" s="10">
        <v>0.5</v>
      </c>
      <c r="AL540" s="21">
        <v>7.98</v>
      </c>
      <c r="AM540" s="9">
        <f t="shared" si="142"/>
        <v>8.9339999999999993</v>
      </c>
      <c r="AN540" s="9">
        <f t="shared" si="143"/>
        <v>1.7867999999999999</v>
      </c>
      <c r="AO540" s="9">
        <f t="shared" si="144"/>
        <v>11.912000000000001</v>
      </c>
      <c r="AP540" s="9">
        <f t="shared" si="145"/>
        <v>1.1912</v>
      </c>
      <c r="AQ540" s="9">
        <f t="shared" si="146"/>
        <v>11.912000000000001</v>
      </c>
      <c r="AR540" s="9">
        <f t="shared" si="147"/>
        <v>14.89</v>
      </c>
      <c r="AS540" s="11">
        <f t="shared" si="148"/>
        <v>9.8959999999999972</v>
      </c>
      <c r="AT540" s="12">
        <f t="shared" si="149"/>
        <v>7.9106666666666641</v>
      </c>
    </row>
    <row r="541" spans="1:46" ht="16.5" x14ac:dyDescent="0.4">
      <c r="A541" s="4" t="s">
        <v>2402</v>
      </c>
      <c r="B541" s="4" t="s">
        <v>2469</v>
      </c>
      <c r="C541" s="4" t="s">
        <v>2470</v>
      </c>
      <c r="D541" s="4" t="s">
        <v>2421</v>
      </c>
      <c r="E541" s="4" t="s">
        <v>2459</v>
      </c>
      <c r="F541" s="4" t="s">
        <v>2440</v>
      </c>
      <c r="G541" s="7" t="str">
        <f>VLOOKUP(A541,[1]done!$A:$I,9,0)</f>
        <v>All Other products</v>
      </c>
      <c r="H541" s="7" t="str" cm="1">
        <f t="array" ref="H541">_xlfn.IFS(
OR(ISNUMBER(SEARCH("mouse",E541)),ISNUMBER(SEARCH("rat",E541)),ISNUMBER(SEARCH("mice",E541)),ISNUMBER(SEARCH("rodent",E541))),"Rodent Control",
OR(ISNUMBER(SEARCH("fly",E541)),ISNUMBER(SEARCH("gnat",E541)),ISNUMBER(SEARCH("insect",E541)),ISNUMBER(SEARCH("mosquito",E541))),"Flying Insect Control",
OR(ISNUMBER(SEARCH("roach",E541)),ISNUMBER(SEARCH("ant",E541)),ISNUMBER(SEARCH("spider",E541)),ISNUMBER(SEARCH("cricket",E541)),ISNUMBER(SEARCH("scorpion",E541)),ISNUMBER(SEARCH("centipede",E541)),ISNUMBER(SEARCH("beetle",E541))),"Crawling Insect Control",
OR(ISNUMBER(SEARCH("tree",E541)),ISNUMBER(SEARCH("lantern",E541)),ISNUMBER(SEARCH("garden",E541)),ISNUMBER(SEARCH("plant",E541))),"Garden Pest Control",
OR(ISNUMBER(SEARCH("grass seed",E541)),ISNUMBER(SEARCH("seed mix",E541))),"Grass Seed",
OR(ISNUMBER(SEARCH("lawn food",E541)),ISNUMBER(SEARCH("fertilizer",E541))),"Lawn Fertilizer",
OR(ISNUMBER(SEARCH("patch",E541)),ISNUMBER(SEARCH("repair",E541)),ISNUMBER(SEARCH("thick'r",E541)),ISNUMBER(SEARCH("thick'r lawn",E541)),ISNUMBER(SEARCH("rapid grass",E541))),"Lawn Repair",
OR(ISNUMBER(SEARCH("weed",E541)),ISNUMBER(SEARCH("crabgrass",E541))),"Weed Control",
OR(ISNUMBER(SEARCH("fungicide",E541)),ISNUMBER(SEARCH("moss",E541))),"Disease &amp; Moss Control",
OR(ISNUMBER(SEARCH("plant food",E541)),ISNUMBER(SEARCH("miracid",E541))),"Plant Nutrition",
OR(ISNUMBER(SEARCH("perlite",E541))),"Soil Amendment",
OR(ISNUMBER(SEARCH("spreader",E541)),ISNUMBER(SEARCH("sprayer",E541)),ISNUMBER(SEARCH("mower",E541)),ISNUMBER(SEARCH("sweeper",E541)),ISNUMBER(SEARCH("pruner",E541)),ISNUMBER(SEARCH("trimmer",E541)),ISNUMBER(SEARCH("pole saw",E541))),"Garden Equipment",
TRUE,"Other"
)</f>
        <v>Other</v>
      </c>
      <c r="I541" s="7" t="str" cm="1">
        <f t="array" ref="I541">_xlfn.IFS(
OR(ISNUMBER(SEARCH("glue trap",E541)),ISNUMBER(SEARCH("glue board",E541))),"Glue Traps",
OR(ISNUMBER(SEARCH("snap trap",E541)),ISNUMBER(SEARCH("power-kill",E541)),ISNUMBER(SEARCH("wide pedal",E541)),ISNUMBER(SEARCH("metal pedal",E541))),"Snap Traps",
OR(ISNUMBER(SEARCH("electronic",E541)),ISNUMBER(SEARCH("zapper",E541))),"Electronic Traps",
OR(ISNUMBER(SEARCH("live catch",E541)),ISNUMBER(SEARCH("multi-catch",E541)),ISNUMBER(SEARCH("catch &amp; hold",E541)),ISNUMBER(SEARCH("tin cat",E541))),"Live Catch Traps",
OR(ISNUMBER(SEARCH("bait",E541)),ISNUMBER(SEARCH("poison",E541))),"Bait &amp; Poison",
ISNUMBER(SEARCH("repellent",E541)),"Repellents",
OR(ISNUMBER(SEARCH("fly trap",E541)),ISNUMBER(SEARCH("fly ribbon",E541)),ISNUMBER(SEARCH("fly stick",E541)),ISNUMBER(SEARCH("window fly",E541)),ISNUMBER(SEARCH("fly magnet",E541))),"Fly Traps",
OR(ISNUMBER(SEARCH("uv",E541)),ISNUMBER(SEARCH("fly light",E541)),ISNUMBER(SEARCH("plug-in",E541))),"UV Fly Traps",
ISNUMBER(SEARCH("roach",E541)),"Roach Traps",
ISNUMBER(SEARCH("ant",E541)),"Ant Traps",
ISNUMBER(SEARCH("spider",E541)),"Spider Traps",
ISNUMBER(SEARCH("mosquito",E541)),"Mosquito Traps",
ISNUMBER(SEARCH("beetle",E541)),"Beetle Traps",
ISNUMBER(SEARCH("lantern",E541)),"Lanternfly Control",
OR(ISNUMBER(SEARCH("tree shield",E541)),ISNUMBER(SEARCH("tree banding",E541)),ISNUMBER(SEARCH("insect barrier",E541))),"Tree Barriers",
OR(ISNUMBER(SEARCH("sun &amp; shade",E541)),ISNUMBER(SEARCH("sun and shade",E541))),"Sun &amp; Shade Mix",
ISNUMBER(SEARCH("tall fescue",E541)),"Tall Fescue",
ISNUMBER(SEARCH("bermudagrass",E541)),"Bermudagrass",
ISNUMBER(SEARCH("kentucky",E541)),"Kentucky Bluegrass",
ISNUMBER(SEARCH("zoysia",E541)),"Zoysia",
ISNUMBER(SEARCH("ryegrass",E541)),"Perennial Ryegrass",
ISNUMBER(SEARCH("centipede",E541)),"Centipede Grass",
ISNUMBER(SEARCH("dense shade",E541)),"Dense Shade Mix",
ISNUMBER(SEARCH("southern gold",E541)),"Southern Gold Mix",
ISNUMBER(SEARCH("heat-tolerant blue",E541)),"Heat-Tolerant Blue Mix",
ISNUMBER(SEARCH("high traffic",E541)),"High Traffic Mix",
ISNUMBER(SEARCH("quick fix",E541)),"Quick Fix Mix",
ISNUMBER(SEARCH("starter",E541)),"Starter Fertilizer",
ISNUMBER(SEARCH("weed &amp; feed",E541)),"Weed &amp; Feed",
ISNUMBER(SEARCH("lawn food",E541)),"Lawn Food",
ISNUMBER(SEARCH("triple action",E541)),"Triple Action Fertilizer",
ISNUMBER(SEARCH("green max",E541)),"Green Max Lawn Food",
ISNUMBER(SEARCH("patchmaster",E541)),"PatchMaster Repair",
ISNUMBER(SEARCH("ez seed",E541)),"EZ Seed Repair",
ISNUMBER(SEARCH("rapid grass",E541)),"Rapid Grass",
ISNUMBER(SEARCH("thick'r lawn",E541)),"Thick'R Lawn",
ISNUMBER(SEARCH("fungicide",E541)),"Fungicide",
ISNUMBER(SEARCH("moss",E541)),"Moss Control",
ISNUMBER(SEARCH("perlite",E541)),"Perlite",
ISNUMBER(SEARCH("plant food",E541)),"Plant Food",
ISNUMBER(SEARCH("spreader",E541)),"Spreader",
ISNUMBER(SEARCH("sprayer",E541)),"Sprayer",
ISNUMBER(SEARCH("mower",E541)),"Lawn Mower",
ISNUMBER(SEARCH("sweeper",E541)),"Lawn Sweeper",
OR(ISNUMBER(SEARCH("pruner",E541)),ISNUMBER(SEARCH("trimmer",E541)),ISNUMBER(SEARCH("pole saw",E541))),"Pruning Tools",
TRUE,"Other"
)</f>
        <v>Bait &amp; Poison</v>
      </c>
      <c r="J541" s="7" t="str">
        <f t="shared" si="140"/>
        <v>Other - Bait &amp; Poison</v>
      </c>
      <c r="K541" s="4">
        <v>50</v>
      </c>
      <c r="L541" s="4">
        <v>4.5999999999999996</v>
      </c>
      <c r="M541" s="4">
        <v>29</v>
      </c>
      <c r="O541" s="4">
        <f>VLOOKUP(A541,[8]Sheet1!$A:$M,2,0)</f>
        <v>0</v>
      </c>
      <c r="P541" s="4">
        <f>VLOOKUP(A541,[8]Sheet1!$A:$M,3,0)</f>
        <v>0</v>
      </c>
      <c r="Q541" s="4">
        <f>VLOOKUP(A541,[8]Sheet1!$A:$M,4,0)</f>
        <v>0</v>
      </c>
      <c r="R541" s="4">
        <f>VLOOKUP(A541,[8]Sheet1!$A:$M,5,0)</f>
        <v>0</v>
      </c>
      <c r="S541" s="4">
        <f>VLOOKUP(A541,[8]Sheet1!$A:$M,6,0)</f>
        <v>0</v>
      </c>
      <c r="T541" s="4">
        <f>VLOOKUP(A541,[8]Sheet1!$A:$M,7,0)</f>
        <v>0</v>
      </c>
      <c r="U541" s="4">
        <f>VLOOKUP(A541,[8]Sheet1!$A:$M,8,0)</f>
        <v>0</v>
      </c>
      <c r="V541" s="4">
        <f>VLOOKUP(A541,[8]Sheet1!$A:$M,9,0)</f>
        <v>0</v>
      </c>
      <c r="W541" s="4">
        <f>VLOOKUP(A541,[8]Sheet1!$A:$M,10,0)</f>
        <v>0</v>
      </c>
      <c r="X541" s="4">
        <f>VLOOKUP(A541,[8]Sheet1!$A:$M,11,0)</f>
        <v>0</v>
      </c>
      <c r="Y541" s="4">
        <f>VLOOKUP(A541,[8]Sheet1!$A:$M,12,0)</f>
        <v>0</v>
      </c>
      <c r="Z541" s="4">
        <f>VLOOKUP(A541,[8]Sheet1!$A:$M,13,0)</f>
        <v>0</v>
      </c>
      <c r="AA541" s="4">
        <f t="shared" si="136"/>
        <v>0</v>
      </c>
      <c r="AB541" s="7">
        <f t="shared" si="141"/>
        <v>0</v>
      </c>
      <c r="AC541" s="15">
        <f t="shared" si="150"/>
        <v>0</v>
      </c>
      <c r="AD541" s="16">
        <f t="shared" si="151"/>
        <v>0</v>
      </c>
      <c r="AE541" s="16">
        <f t="shared" si="152"/>
        <v>0</v>
      </c>
      <c r="AF541" s="21">
        <v>17.89</v>
      </c>
      <c r="AG541" s="21">
        <v>68.31</v>
      </c>
      <c r="AH541" s="15">
        <f t="shared" si="134"/>
        <v>0.56226666666666636</v>
      </c>
      <c r="AI541" s="15">
        <f t="shared" si="135"/>
        <v>1.9679333333333322</v>
      </c>
      <c r="AJ541" s="10">
        <v>0.5</v>
      </c>
      <c r="AK541" s="10">
        <v>0.5</v>
      </c>
      <c r="AL541" s="21">
        <v>17.89</v>
      </c>
      <c r="AM541" s="9">
        <f t="shared" si="142"/>
        <v>10.246499999999999</v>
      </c>
      <c r="AN541" s="9">
        <f t="shared" si="143"/>
        <v>2.0493000000000001</v>
      </c>
      <c r="AO541" s="9">
        <f t="shared" si="144"/>
        <v>13.662000000000001</v>
      </c>
      <c r="AP541" s="9">
        <f t="shared" si="145"/>
        <v>1.3662000000000001</v>
      </c>
      <c r="AQ541" s="9">
        <f t="shared" si="146"/>
        <v>13.662000000000001</v>
      </c>
      <c r="AR541" s="9">
        <f t="shared" si="147"/>
        <v>17.077500000000001</v>
      </c>
      <c r="AS541" s="11">
        <f t="shared" si="148"/>
        <v>5.6226666666666638</v>
      </c>
      <c r="AT541" s="12">
        <f t="shared" si="149"/>
        <v>3.3456666666666641</v>
      </c>
    </row>
    <row r="542" spans="1:46" ht="16.5" x14ac:dyDescent="0.4">
      <c r="A542" s="4" t="s">
        <v>2403</v>
      </c>
      <c r="B542" s="4" t="s">
        <v>2469</v>
      </c>
      <c r="C542" s="4" t="s">
        <v>2463</v>
      </c>
      <c r="D542" s="4" t="s">
        <v>2422</v>
      </c>
      <c r="E542" s="4" t="s">
        <v>2460</v>
      </c>
      <c r="F542" s="4" t="s">
        <v>2441</v>
      </c>
      <c r="G542" s="7" t="str">
        <f>VLOOKUP(A542,[1]done!$A:$I,9,0)</f>
        <v>Rodent</v>
      </c>
      <c r="H542" s="7" t="str" cm="1">
        <f t="array" ref="H542">_xlfn.IFS(
OR(ISNUMBER(SEARCH("mouse",E542)),ISNUMBER(SEARCH("rat",E542)),ISNUMBER(SEARCH("mice",E542)),ISNUMBER(SEARCH("rodent",E542))),"Rodent Control",
OR(ISNUMBER(SEARCH("fly",E542)),ISNUMBER(SEARCH("gnat",E542)),ISNUMBER(SEARCH("insect",E542)),ISNUMBER(SEARCH("mosquito",E542))),"Flying Insect Control",
OR(ISNUMBER(SEARCH("roach",E542)),ISNUMBER(SEARCH("ant",E542)),ISNUMBER(SEARCH("spider",E542)),ISNUMBER(SEARCH("cricket",E542)),ISNUMBER(SEARCH("scorpion",E542)),ISNUMBER(SEARCH("centipede",E542)),ISNUMBER(SEARCH("beetle",E542))),"Crawling Insect Control",
OR(ISNUMBER(SEARCH("tree",E542)),ISNUMBER(SEARCH("lantern",E542)),ISNUMBER(SEARCH("garden",E542)),ISNUMBER(SEARCH("plant",E542))),"Garden Pest Control",
OR(ISNUMBER(SEARCH("grass seed",E542)),ISNUMBER(SEARCH("seed mix",E542))),"Grass Seed",
OR(ISNUMBER(SEARCH("lawn food",E542)),ISNUMBER(SEARCH("fertilizer",E542))),"Lawn Fertilizer",
OR(ISNUMBER(SEARCH("patch",E542)),ISNUMBER(SEARCH("repair",E542)),ISNUMBER(SEARCH("thick'r",E542)),ISNUMBER(SEARCH("thick'r lawn",E542)),ISNUMBER(SEARCH("rapid grass",E542))),"Lawn Repair",
OR(ISNUMBER(SEARCH("weed",E542)),ISNUMBER(SEARCH("crabgrass",E542))),"Weed Control",
OR(ISNUMBER(SEARCH("fungicide",E542)),ISNUMBER(SEARCH("moss",E542))),"Disease &amp; Moss Control",
OR(ISNUMBER(SEARCH("plant food",E542)),ISNUMBER(SEARCH("miracid",E542))),"Plant Nutrition",
OR(ISNUMBER(SEARCH("perlite",E542))),"Soil Amendment",
OR(ISNUMBER(SEARCH("spreader",E542)),ISNUMBER(SEARCH("sprayer",E542)),ISNUMBER(SEARCH("mower",E542)),ISNUMBER(SEARCH("sweeper",E542)),ISNUMBER(SEARCH("pruner",E542)),ISNUMBER(SEARCH("trimmer",E542)),ISNUMBER(SEARCH("pole saw",E542))),"Garden Equipment",
TRUE,"Other"
)</f>
        <v>Rodent Control</v>
      </c>
      <c r="I542" s="7" t="str" cm="1">
        <f t="array" ref="I542">_xlfn.IFS(
OR(ISNUMBER(SEARCH("glue trap",E542)),ISNUMBER(SEARCH("glue board",E542))),"Glue Traps",
OR(ISNUMBER(SEARCH("snap trap",E542)),ISNUMBER(SEARCH("power-kill",E542)),ISNUMBER(SEARCH("wide pedal",E542)),ISNUMBER(SEARCH("metal pedal",E542))),"Snap Traps",
OR(ISNUMBER(SEARCH("electronic",E542)),ISNUMBER(SEARCH("zapper",E542))),"Electronic Traps",
OR(ISNUMBER(SEARCH("live catch",E542)),ISNUMBER(SEARCH("multi-catch",E542)),ISNUMBER(SEARCH("catch &amp; hold",E542)),ISNUMBER(SEARCH("tin cat",E542))),"Live Catch Traps",
OR(ISNUMBER(SEARCH("bait",E542)),ISNUMBER(SEARCH("poison",E542))),"Bait &amp; Poison",
ISNUMBER(SEARCH("repellent",E542)),"Repellents",
OR(ISNUMBER(SEARCH("fly trap",E542)),ISNUMBER(SEARCH("fly ribbon",E542)),ISNUMBER(SEARCH("fly stick",E542)),ISNUMBER(SEARCH("window fly",E542)),ISNUMBER(SEARCH("fly magnet",E542))),"Fly Traps",
OR(ISNUMBER(SEARCH("uv",E542)),ISNUMBER(SEARCH("fly light",E542)),ISNUMBER(SEARCH("plug-in",E542))),"UV Fly Traps",
ISNUMBER(SEARCH("roach",E542)),"Roach Traps",
ISNUMBER(SEARCH("ant",E542)),"Ant Traps",
ISNUMBER(SEARCH("spider",E542)),"Spider Traps",
ISNUMBER(SEARCH("mosquito",E542)),"Mosquito Traps",
ISNUMBER(SEARCH("beetle",E542)),"Beetle Traps",
ISNUMBER(SEARCH("lantern",E542)),"Lanternfly Control",
OR(ISNUMBER(SEARCH("tree shield",E542)),ISNUMBER(SEARCH("tree banding",E542)),ISNUMBER(SEARCH("insect barrier",E542))),"Tree Barriers",
OR(ISNUMBER(SEARCH("sun &amp; shade",E542)),ISNUMBER(SEARCH("sun and shade",E542))),"Sun &amp; Shade Mix",
ISNUMBER(SEARCH("tall fescue",E542)),"Tall Fescue",
ISNUMBER(SEARCH("bermudagrass",E542)),"Bermudagrass",
ISNUMBER(SEARCH("kentucky",E542)),"Kentucky Bluegrass",
ISNUMBER(SEARCH("zoysia",E542)),"Zoysia",
ISNUMBER(SEARCH("ryegrass",E542)),"Perennial Ryegrass",
ISNUMBER(SEARCH("centipede",E542)),"Centipede Grass",
ISNUMBER(SEARCH("dense shade",E542)),"Dense Shade Mix",
ISNUMBER(SEARCH("southern gold",E542)),"Southern Gold Mix",
ISNUMBER(SEARCH("heat-tolerant blue",E542)),"Heat-Tolerant Blue Mix",
ISNUMBER(SEARCH("high traffic",E542)),"High Traffic Mix",
ISNUMBER(SEARCH("quick fix",E542)),"Quick Fix Mix",
ISNUMBER(SEARCH("starter",E542)),"Starter Fertilizer",
ISNUMBER(SEARCH("weed &amp; feed",E542)),"Weed &amp; Feed",
ISNUMBER(SEARCH("lawn food",E542)),"Lawn Food",
ISNUMBER(SEARCH("triple action",E542)),"Triple Action Fertilizer",
ISNUMBER(SEARCH("green max",E542)),"Green Max Lawn Food",
ISNUMBER(SEARCH("patchmaster",E542)),"PatchMaster Repair",
ISNUMBER(SEARCH("ez seed",E542)),"EZ Seed Repair",
ISNUMBER(SEARCH("rapid grass",E542)),"Rapid Grass",
ISNUMBER(SEARCH("thick'r lawn",E542)),"Thick'R Lawn",
ISNUMBER(SEARCH("fungicide",E542)),"Fungicide",
ISNUMBER(SEARCH("moss",E542)),"Moss Control",
ISNUMBER(SEARCH("perlite",E542)),"Perlite",
ISNUMBER(SEARCH("plant food",E542)),"Plant Food",
ISNUMBER(SEARCH("spreader",E542)),"Spreader",
ISNUMBER(SEARCH("sprayer",E542)),"Sprayer",
ISNUMBER(SEARCH("mower",E542)),"Lawn Mower",
ISNUMBER(SEARCH("sweeper",E542)),"Lawn Sweeper",
OR(ISNUMBER(SEARCH("pruner",E542)),ISNUMBER(SEARCH("trimmer",E542)),ISNUMBER(SEARCH("pole saw",E542))),"Pruning Tools",
TRUE,"Other"
)</f>
        <v>Glue Traps</v>
      </c>
      <c r="J542" s="7" t="str">
        <f t="shared" si="140"/>
        <v>Rodent Control - Glue Traps</v>
      </c>
      <c r="K542" s="4">
        <v>50</v>
      </c>
      <c r="L542" s="4">
        <v>4.4000000000000004</v>
      </c>
      <c r="M542" s="4">
        <v>74</v>
      </c>
      <c r="O542" s="4">
        <f>VLOOKUP(A542,[8]Sheet1!$A:$M,2,0)</f>
        <v>50</v>
      </c>
      <c r="P542" s="4">
        <f>VLOOKUP(A542,[8]Sheet1!$A:$M,3,0)</f>
        <v>50</v>
      </c>
      <c r="Q542" s="4">
        <f>VLOOKUP(A542,[8]Sheet1!$A:$M,4,0)</f>
        <v>0</v>
      </c>
      <c r="R542" s="4">
        <f>VLOOKUP(A542,[8]Sheet1!$A:$M,5,0)</f>
        <v>0</v>
      </c>
      <c r="S542" s="4">
        <f>VLOOKUP(A542,[8]Sheet1!$A:$M,6,0)</f>
        <v>0</v>
      </c>
      <c r="T542" s="4">
        <f>VLOOKUP(A542,[8]Sheet1!$A:$M,7,0)</f>
        <v>50</v>
      </c>
      <c r="U542" s="4">
        <f>VLOOKUP(A542,[8]Sheet1!$A:$M,8,0)</f>
        <v>50</v>
      </c>
      <c r="V542" s="4">
        <f>VLOOKUP(A542,[8]Sheet1!$A:$M,9,0)</f>
        <v>50</v>
      </c>
      <c r="W542" s="4">
        <f>VLOOKUP(A542,[8]Sheet1!$A:$M,10,0)</f>
        <v>50</v>
      </c>
      <c r="X542" s="4">
        <f>VLOOKUP(A542,[8]Sheet1!$A:$M,11,0)</f>
        <v>50</v>
      </c>
      <c r="Y542" s="4">
        <f>VLOOKUP(A542,[8]Sheet1!$A:$M,12,0)</f>
        <v>50</v>
      </c>
      <c r="Z542" s="4">
        <f>VLOOKUP(A542,[8]Sheet1!$A:$M,13,0)</f>
        <v>50</v>
      </c>
      <c r="AA542" s="4">
        <f t="shared" si="136"/>
        <v>450</v>
      </c>
      <c r="AB542" s="7">
        <f t="shared" si="141"/>
        <v>38</v>
      </c>
      <c r="AC542" s="15">
        <f t="shared" si="150"/>
        <v>37.5</v>
      </c>
      <c r="AD542" s="16">
        <f t="shared" si="151"/>
        <v>4621.5</v>
      </c>
      <c r="AE542" s="16">
        <f t="shared" si="152"/>
        <v>385.125</v>
      </c>
      <c r="AF542" s="21">
        <v>4.05</v>
      </c>
      <c r="AG542" s="21">
        <v>10.27</v>
      </c>
      <c r="AH542" s="15">
        <f t="shared" si="134"/>
        <v>-6.2799999999999981E-2</v>
      </c>
      <c r="AI542" s="15">
        <f t="shared" si="135"/>
        <v>-0.21979999999999991</v>
      </c>
      <c r="AJ542" s="10">
        <v>0.5</v>
      </c>
      <c r="AK542" s="10">
        <v>0.5</v>
      </c>
      <c r="AL542" s="21">
        <v>4.05</v>
      </c>
      <c r="AM542" s="9">
        <f t="shared" si="142"/>
        <v>1.5405</v>
      </c>
      <c r="AN542" s="9">
        <f t="shared" si="143"/>
        <v>0.30809999999999998</v>
      </c>
      <c r="AO542" s="9">
        <f t="shared" si="144"/>
        <v>2.0539999999999998</v>
      </c>
      <c r="AP542" s="9">
        <f t="shared" si="145"/>
        <v>0.2054</v>
      </c>
      <c r="AQ542" s="9">
        <f t="shared" si="146"/>
        <v>2.0539999999999998</v>
      </c>
      <c r="AR542" s="9">
        <f t="shared" si="147"/>
        <v>2.5674999999999999</v>
      </c>
      <c r="AS542" s="11">
        <f t="shared" si="148"/>
        <v>-0.62799999999999978</v>
      </c>
      <c r="AT542" s="12">
        <f t="shared" si="149"/>
        <v>-0.97033333333333316</v>
      </c>
    </row>
    <row r="543" spans="1:46" ht="16.5" x14ac:dyDescent="0.4">
      <c r="A543" s="4" t="s">
        <v>2404</v>
      </c>
      <c r="B543" s="4" t="s">
        <v>2469</v>
      </c>
      <c r="C543" s="4" t="s">
        <v>2471</v>
      </c>
      <c r="D543" s="4" t="s">
        <v>2423</v>
      </c>
      <c r="E543" s="4" t="s">
        <v>2461</v>
      </c>
      <c r="F543" s="4" t="s">
        <v>2442</v>
      </c>
      <c r="G543" s="7" t="str">
        <f>VLOOKUP(A543,[1]done!$A:$I,9,0)</f>
        <v>Rodent</v>
      </c>
      <c r="H543" s="7" t="str" cm="1">
        <f t="array" ref="H543">_xlfn.IFS(
OR(ISNUMBER(SEARCH("mouse",E543)),ISNUMBER(SEARCH("rat",E543)),ISNUMBER(SEARCH("mice",E543)),ISNUMBER(SEARCH("rodent",E543))),"Rodent Control",
OR(ISNUMBER(SEARCH("fly",E543)),ISNUMBER(SEARCH("gnat",E543)),ISNUMBER(SEARCH("insect",E543)),ISNUMBER(SEARCH("mosquito",E543))),"Flying Insect Control",
OR(ISNUMBER(SEARCH("roach",E543)),ISNUMBER(SEARCH("ant",E543)),ISNUMBER(SEARCH("spider",E543)),ISNUMBER(SEARCH("cricket",E543)),ISNUMBER(SEARCH("scorpion",E543)),ISNUMBER(SEARCH("centipede",E543)),ISNUMBER(SEARCH("beetle",E543))),"Crawling Insect Control",
OR(ISNUMBER(SEARCH("tree",E543)),ISNUMBER(SEARCH("lantern",E543)),ISNUMBER(SEARCH("garden",E543)),ISNUMBER(SEARCH("plant",E543))),"Garden Pest Control",
OR(ISNUMBER(SEARCH("grass seed",E543)),ISNUMBER(SEARCH("seed mix",E543))),"Grass Seed",
OR(ISNUMBER(SEARCH("lawn food",E543)),ISNUMBER(SEARCH("fertilizer",E543))),"Lawn Fertilizer",
OR(ISNUMBER(SEARCH("patch",E543)),ISNUMBER(SEARCH("repair",E543)),ISNUMBER(SEARCH("thick'r",E543)),ISNUMBER(SEARCH("thick'r lawn",E543)),ISNUMBER(SEARCH("rapid grass",E543))),"Lawn Repair",
OR(ISNUMBER(SEARCH("weed",E543)),ISNUMBER(SEARCH("crabgrass",E543))),"Weed Control",
OR(ISNUMBER(SEARCH("fungicide",E543)),ISNUMBER(SEARCH("moss",E543))),"Disease &amp; Moss Control",
OR(ISNUMBER(SEARCH("plant food",E543)),ISNUMBER(SEARCH("miracid",E543))),"Plant Nutrition",
OR(ISNUMBER(SEARCH("perlite",E543))),"Soil Amendment",
OR(ISNUMBER(SEARCH("spreader",E543)),ISNUMBER(SEARCH("sprayer",E543)),ISNUMBER(SEARCH("mower",E543)),ISNUMBER(SEARCH("sweeper",E543)),ISNUMBER(SEARCH("pruner",E543)),ISNUMBER(SEARCH("trimmer",E543)),ISNUMBER(SEARCH("pole saw",E543))),"Garden Equipment",
TRUE,"Other"
)</f>
        <v>Rodent Control</v>
      </c>
      <c r="I543" s="7" t="str" cm="1">
        <f t="array" ref="I543">_xlfn.IFS(
OR(ISNUMBER(SEARCH("glue trap",E543)),ISNUMBER(SEARCH("glue board",E543))),"Glue Traps",
OR(ISNUMBER(SEARCH("snap trap",E543)),ISNUMBER(SEARCH("power-kill",E543)),ISNUMBER(SEARCH("wide pedal",E543)),ISNUMBER(SEARCH("metal pedal",E543))),"Snap Traps",
OR(ISNUMBER(SEARCH("electronic",E543)),ISNUMBER(SEARCH("zapper",E543))),"Electronic Traps",
OR(ISNUMBER(SEARCH("live catch",E543)),ISNUMBER(SEARCH("multi-catch",E543)),ISNUMBER(SEARCH("catch &amp; hold",E543)),ISNUMBER(SEARCH("tin cat",E543))),"Live Catch Traps",
OR(ISNUMBER(SEARCH("bait",E543)),ISNUMBER(SEARCH("poison",E543))),"Bait &amp; Poison",
ISNUMBER(SEARCH("repellent",E543)),"Repellents",
OR(ISNUMBER(SEARCH("fly trap",E543)),ISNUMBER(SEARCH("fly ribbon",E543)),ISNUMBER(SEARCH("fly stick",E543)),ISNUMBER(SEARCH("window fly",E543)),ISNUMBER(SEARCH("fly magnet",E543))),"Fly Traps",
OR(ISNUMBER(SEARCH("uv",E543)),ISNUMBER(SEARCH("fly light",E543)),ISNUMBER(SEARCH("plug-in",E543))),"UV Fly Traps",
ISNUMBER(SEARCH("roach",E543)),"Roach Traps",
ISNUMBER(SEARCH("ant",E543)),"Ant Traps",
ISNUMBER(SEARCH("spider",E543)),"Spider Traps",
ISNUMBER(SEARCH("mosquito",E543)),"Mosquito Traps",
ISNUMBER(SEARCH("beetle",E543)),"Beetle Traps",
ISNUMBER(SEARCH("lantern",E543)),"Lanternfly Control",
OR(ISNUMBER(SEARCH("tree shield",E543)),ISNUMBER(SEARCH("tree banding",E543)),ISNUMBER(SEARCH("insect barrier",E543))),"Tree Barriers",
OR(ISNUMBER(SEARCH("sun &amp; shade",E543)),ISNUMBER(SEARCH("sun and shade",E543))),"Sun &amp; Shade Mix",
ISNUMBER(SEARCH("tall fescue",E543)),"Tall Fescue",
ISNUMBER(SEARCH("bermudagrass",E543)),"Bermudagrass",
ISNUMBER(SEARCH("kentucky",E543)),"Kentucky Bluegrass",
ISNUMBER(SEARCH("zoysia",E543)),"Zoysia",
ISNUMBER(SEARCH("ryegrass",E543)),"Perennial Ryegrass",
ISNUMBER(SEARCH("centipede",E543)),"Centipede Grass",
ISNUMBER(SEARCH("dense shade",E543)),"Dense Shade Mix",
ISNUMBER(SEARCH("southern gold",E543)),"Southern Gold Mix",
ISNUMBER(SEARCH("heat-tolerant blue",E543)),"Heat-Tolerant Blue Mix",
ISNUMBER(SEARCH("high traffic",E543)),"High Traffic Mix",
ISNUMBER(SEARCH("quick fix",E543)),"Quick Fix Mix",
ISNUMBER(SEARCH("starter",E543)),"Starter Fertilizer",
ISNUMBER(SEARCH("weed &amp; feed",E543)),"Weed &amp; Feed",
ISNUMBER(SEARCH("lawn food",E543)),"Lawn Food",
ISNUMBER(SEARCH("triple action",E543)),"Triple Action Fertilizer",
ISNUMBER(SEARCH("green max",E543)),"Green Max Lawn Food",
ISNUMBER(SEARCH("patchmaster",E543)),"PatchMaster Repair",
ISNUMBER(SEARCH("ez seed",E543)),"EZ Seed Repair",
ISNUMBER(SEARCH("rapid grass",E543)),"Rapid Grass",
ISNUMBER(SEARCH("thick'r lawn",E543)),"Thick'R Lawn",
ISNUMBER(SEARCH("fungicide",E543)),"Fungicide",
ISNUMBER(SEARCH("moss",E543)),"Moss Control",
ISNUMBER(SEARCH("perlite",E543)),"Perlite",
ISNUMBER(SEARCH("plant food",E543)),"Plant Food",
ISNUMBER(SEARCH("spreader",E543)),"Spreader",
ISNUMBER(SEARCH("sprayer",E543)),"Sprayer",
ISNUMBER(SEARCH("mower",E543)),"Lawn Mower",
ISNUMBER(SEARCH("sweeper",E543)),"Lawn Sweeper",
OR(ISNUMBER(SEARCH("pruner",E543)),ISNUMBER(SEARCH("trimmer",E543)),ISNUMBER(SEARCH("pole saw",E543))),"Pruning Tools",
TRUE,"Other"
)</f>
        <v>Glue Traps</v>
      </c>
      <c r="J543" s="7" t="str">
        <f t="shared" si="140"/>
        <v>Rodent Control - Glue Traps</v>
      </c>
      <c r="K543" s="4">
        <v>50</v>
      </c>
      <c r="L543" s="4">
        <v>4.2</v>
      </c>
      <c r="M543" s="4">
        <v>446</v>
      </c>
      <c r="O543" s="4">
        <f>VLOOKUP(A543,[8]Sheet1!$A:$M,2,0)</f>
        <v>0</v>
      </c>
      <c r="P543" s="4">
        <f>VLOOKUP(A543,[8]Sheet1!$A:$M,3,0)</f>
        <v>0</v>
      </c>
      <c r="Q543" s="4">
        <f>VLOOKUP(A543,[8]Sheet1!$A:$M,4,0)</f>
        <v>0</v>
      </c>
      <c r="R543" s="4">
        <f>VLOOKUP(A543,[8]Sheet1!$A:$M,5,0)</f>
        <v>0</v>
      </c>
      <c r="S543" s="4">
        <f>VLOOKUP(A543,[8]Sheet1!$A:$M,6,0)</f>
        <v>0</v>
      </c>
      <c r="T543" s="4">
        <f>VLOOKUP(A543,[8]Sheet1!$A:$M,7,0)</f>
        <v>0</v>
      </c>
      <c r="U543" s="4">
        <f>VLOOKUP(A543,[8]Sheet1!$A:$M,8,0)</f>
        <v>50</v>
      </c>
      <c r="V543" s="4">
        <f>VLOOKUP(A543,[8]Sheet1!$A:$M,9,0)</f>
        <v>50</v>
      </c>
      <c r="W543" s="4">
        <f>VLOOKUP(A543,[8]Sheet1!$A:$M,10,0)</f>
        <v>50</v>
      </c>
      <c r="X543" s="4">
        <f>VLOOKUP(A543,[8]Sheet1!$A:$M,11,0)</f>
        <v>50</v>
      </c>
      <c r="Y543" s="4">
        <f>VLOOKUP(A543,[8]Sheet1!$A:$M,12,0)</f>
        <v>50</v>
      </c>
      <c r="Z543" s="4">
        <f>VLOOKUP(A543,[8]Sheet1!$A:$M,13,0)</f>
        <v>50</v>
      </c>
      <c r="AA543" s="4">
        <f t="shared" si="136"/>
        <v>300</v>
      </c>
      <c r="AB543" s="7">
        <f t="shared" si="141"/>
        <v>25</v>
      </c>
      <c r="AC543" s="15">
        <f t="shared" si="150"/>
        <v>25</v>
      </c>
      <c r="AD543" s="16">
        <f t="shared" si="151"/>
        <v>3249</v>
      </c>
      <c r="AE543" s="16">
        <f t="shared" si="152"/>
        <v>270.75</v>
      </c>
      <c r="AF543" s="21">
        <v>3.5</v>
      </c>
      <c r="AG543" s="21">
        <v>10.83</v>
      </c>
      <c r="AH543" s="15">
        <f t="shared" si="134"/>
        <v>-1.1199999999999981E-2</v>
      </c>
      <c r="AI543" s="15">
        <f t="shared" si="135"/>
        <v>-3.9199999999999929E-2</v>
      </c>
      <c r="AJ543" s="10">
        <v>0.5</v>
      </c>
      <c r="AK543" s="10">
        <v>0.5</v>
      </c>
      <c r="AL543" s="21">
        <v>3.5</v>
      </c>
      <c r="AM543" s="9">
        <f t="shared" si="142"/>
        <v>1.6245000000000001</v>
      </c>
      <c r="AN543" s="9">
        <f t="shared" si="143"/>
        <v>0.32489999999999997</v>
      </c>
      <c r="AO543" s="9">
        <f t="shared" si="144"/>
        <v>2.1659999999999999</v>
      </c>
      <c r="AP543" s="9">
        <f t="shared" si="145"/>
        <v>0.21660000000000001</v>
      </c>
      <c r="AQ543" s="9">
        <f t="shared" si="146"/>
        <v>2.1659999999999999</v>
      </c>
      <c r="AR543" s="9">
        <f t="shared" si="147"/>
        <v>2.7075</v>
      </c>
      <c r="AS543" s="11">
        <f t="shared" si="148"/>
        <v>-0.11199999999999981</v>
      </c>
      <c r="AT543" s="12">
        <f t="shared" si="149"/>
        <v>-0.47299999999999986</v>
      </c>
    </row>
    <row r="544" spans="1:46" ht="16.5" x14ac:dyDescent="0.4">
      <c r="A544" s="4" t="s">
        <v>2405</v>
      </c>
      <c r="B544" s="4" t="s">
        <v>2469</v>
      </c>
      <c r="C544" s="4" t="s">
        <v>2469</v>
      </c>
      <c r="D544" s="4" t="s">
        <v>2424</v>
      </c>
      <c r="E544" s="4" t="s">
        <v>2462</v>
      </c>
      <c r="F544" s="4" t="s">
        <v>2443</v>
      </c>
      <c r="G544" s="7" t="str">
        <f>VLOOKUP(A544,[1]done!$A:$I,9,0)</f>
        <v>Rodent</v>
      </c>
      <c r="H544" s="7" t="str" cm="1">
        <f t="array" ref="H544">_xlfn.IFS(
OR(ISNUMBER(SEARCH("mouse",E544)),ISNUMBER(SEARCH("rat",E544)),ISNUMBER(SEARCH("mice",E544)),ISNUMBER(SEARCH("rodent",E544))),"Rodent Control",
OR(ISNUMBER(SEARCH("fly",E544)),ISNUMBER(SEARCH("gnat",E544)),ISNUMBER(SEARCH("insect",E544)),ISNUMBER(SEARCH("mosquito",E544))),"Flying Insect Control",
OR(ISNUMBER(SEARCH("roach",E544)),ISNUMBER(SEARCH("ant",E544)),ISNUMBER(SEARCH("spider",E544)),ISNUMBER(SEARCH("cricket",E544)),ISNUMBER(SEARCH("scorpion",E544)),ISNUMBER(SEARCH("centipede",E544)),ISNUMBER(SEARCH("beetle",E544))),"Crawling Insect Control",
OR(ISNUMBER(SEARCH("tree",E544)),ISNUMBER(SEARCH("lantern",E544)),ISNUMBER(SEARCH("garden",E544)),ISNUMBER(SEARCH("plant",E544))),"Garden Pest Control",
OR(ISNUMBER(SEARCH("grass seed",E544)),ISNUMBER(SEARCH("seed mix",E544))),"Grass Seed",
OR(ISNUMBER(SEARCH("lawn food",E544)),ISNUMBER(SEARCH("fertilizer",E544))),"Lawn Fertilizer",
OR(ISNUMBER(SEARCH("patch",E544)),ISNUMBER(SEARCH("repair",E544)),ISNUMBER(SEARCH("thick'r",E544)),ISNUMBER(SEARCH("thick'r lawn",E544)),ISNUMBER(SEARCH("rapid grass",E544))),"Lawn Repair",
OR(ISNUMBER(SEARCH("weed",E544)),ISNUMBER(SEARCH("crabgrass",E544))),"Weed Control",
OR(ISNUMBER(SEARCH("fungicide",E544)),ISNUMBER(SEARCH("moss",E544))),"Disease &amp; Moss Control",
OR(ISNUMBER(SEARCH("plant food",E544)),ISNUMBER(SEARCH("miracid",E544))),"Plant Nutrition",
OR(ISNUMBER(SEARCH("perlite",E544))),"Soil Amendment",
OR(ISNUMBER(SEARCH("spreader",E544)),ISNUMBER(SEARCH("sprayer",E544)),ISNUMBER(SEARCH("mower",E544)),ISNUMBER(SEARCH("sweeper",E544)),ISNUMBER(SEARCH("pruner",E544)),ISNUMBER(SEARCH("trimmer",E544)),ISNUMBER(SEARCH("pole saw",E544))),"Garden Equipment",
TRUE,"Other"
)</f>
        <v>Rodent Control</v>
      </c>
      <c r="I544" s="7" t="str" cm="1">
        <f t="array" ref="I544">_xlfn.IFS(
OR(ISNUMBER(SEARCH("glue trap",E544)),ISNUMBER(SEARCH("glue board",E544))),"Glue Traps",
OR(ISNUMBER(SEARCH("snap trap",E544)),ISNUMBER(SEARCH("power-kill",E544)),ISNUMBER(SEARCH("wide pedal",E544)),ISNUMBER(SEARCH("metal pedal",E544))),"Snap Traps",
OR(ISNUMBER(SEARCH("electronic",E544)),ISNUMBER(SEARCH("zapper",E544))),"Electronic Traps",
OR(ISNUMBER(SEARCH("live catch",E544)),ISNUMBER(SEARCH("multi-catch",E544)),ISNUMBER(SEARCH("catch &amp; hold",E544)),ISNUMBER(SEARCH("tin cat",E544))),"Live Catch Traps",
OR(ISNUMBER(SEARCH("bait",E544)),ISNUMBER(SEARCH("poison",E544))),"Bait &amp; Poison",
ISNUMBER(SEARCH("repellent",E544)),"Repellents",
OR(ISNUMBER(SEARCH("fly trap",E544)),ISNUMBER(SEARCH("fly ribbon",E544)),ISNUMBER(SEARCH("fly stick",E544)),ISNUMBER(SEARCH("window fly",E544)),ISNUMBER(SEARCH("fly magnet",E544))),"Fly Traps",
OR(ISNUMBER(SEARCH("uv",E544)),ISNUMBER(SEARCH("fly light",E544)),ISNUMBER(SEARCH("plug-in",E544))),"UV Fly Traps",
ISNUMBER(SEARCH("roach",E544)),"Roach Traps",
ISNUMBER(SEARCH("ant",E544)),"Ant Traps",
ISNUMBER(SEARCH("spider",E544)),"Spider Traps",
ISNUMBER(SEARCH("mosquito",E544)),"Mosquito Traps",
ISNUMBER(SEARCH("beetle",E544)),"Beetle Traps",
ISNUMBER(SEARCH("lantern",E544)),"Lanternfly Control",
OR(ISNUMBER(SEARCH("tree shield",E544)),ISNUMBER(SEARCH("tree banding",E544)),ISNUMBER(SEARCH("insect barrier",E544))),"Tree Barriers",
OR(ISNUMBER(SEARCH("sun &amp; shade",E544)),ISNUMBER(SEARCH("sun and shade",E544))),"Sun &amp; Shade Mix",
ISNUMBER(SEARCH("tall fescue",E544)),"Tall Fescue",
ISNUMBER(SEARCH("bermudagrass",E544)),"Bermudagrass",
ISNUMBER(SEARCH("kentucky",E544)),"Kentucky Bluegrass",
ISNUMBER(SEARCH("zoysia",E544)),"Zoysia",
ISNUMBER(SEARCH("ryegrass",E544)),"Perennial Ryegrass",
ISNUMBER(SEARCH("centipede",E544)),"Centipede Grass",
ISNUMBER(SEARCH("dense shade",E544)),"Dense Shade Mix",
ISNUMBER(SEARCH("southern gold",E544)),"Southern Gold Mix",
ISNUMBER(SEARCH("heat-tolerant blue",E544)),"Heat-Tolerant Blue Mix",
ISNUMBER(SEARCH("high traffic",E544)),"High Traffic Mix",
ISNUMBER(SEARCH("quick fix",E544)),"Quick Fix Mix",
ISNUMBER(SEARCH("starter",E544)),"Starter Fertilizer",
ISNUMBER(SEARCH("weed &amp; feed",E544)),"Weed &amp; Feed",
ISNUMBER(SEARCH("lawn food",E544)),"Lawn Food",
ISNUMBER(SEARCH("triple action",E544)),"Triple Action Fertilizer",
ISNUMBER(SEARCH("green max",E544)),"Green Max Lawn Food",
ISNUMBER(SEARCH("patchmaster",E544)),"PatchMaster Repair",
ISNUMBER(SEARCH("ez seed",E544)),"EZ Seed Repair",
ISNUMBER(SEARCH("rapid grass",E544)),"Rapid Grass",
ISNUMBER(SEARCH("thick'r lawn",E544)),"Thick'R Lawn",
ISNUMBER(SEARCH("fungicide",E544)),"Fungicide",
ISNUMBER(SEARCH("moss",E544)),"Moss Control",
ISNUMBER(SEARCH("perlite",E544)),"Perlite",
ISNUMBER(SEARCH("plant food",E544)),"Plant Food",
ISNUMBER(SEARCH("spreader",E544)),"Spreader",
ISNUMBER(SEARCH("sprayer",E544)),"Sprayer",
ISNUMBER(SEARCH("mower",E544)),"Lawn Mower",
ISNUMBER(SEARCH("sweeper",E544)),"Lawn Sweeper",
OR(ISNUMBER(SEARCH("pruner",E544)),ISNUMBER(SEARCH("trimmer",E544)),ISNUMBER(SEARCH("pole saw",E544))),"Pruning Tools",
TRUE,"Other"
)</f>
        <v>Other</v>
      </c>
      <c r="J544" s="7" t="str">
        <f t="shared" si="140"/>
        <v>Rodent Control - Other</v>
      </c>
      <c r="K544" s="4">
        <v>50</v>
      </c>
      <c r="L544" s="4">
        <v>4.5999999999999996</v>
      </c>
      <c r="M544" s="4">
        <v>177</v>
      </c>
      <c r="O544" s="4">
        <f>VLOOKUP(A544,[8]Sheet1!$A:$M,2,0)</f>
        <v>50</v>
      </c>
      <c r="P544" s="4">
        <f>VLOOKUP(A544,[8]Sheet1!$A:$M,3,0)</f>
        <v>50</v>
      </c>
      <c r="Q544" s="4">
        <f>VLOOKUP(A544,[8]Sheet1!$A:$M,4,0)</f>
        <v>50</v>
      </c>
      <c r="R544" s="4">
        <f>VLOOKUP(A544,[8]Sheet1!$A:$M,5,0)</f>
        <v>50</v>
      </c>
      <c r="S544" s="4">
        <f>VLOOKUP(A544,[8]Sheet1!$A:$M,6,0)</f>
        <v>50</v>
      </c>
      <c r="T544" s="4">
        <f>VLOOKUP(A544,[8]Sheet1!$A:$M,7,0)</f>
        <v>0</v>
      </c>
      <c r="U544" s="4">
        <f>VLOOKUP(A544,[8]Sheet1!$A:$M,8,0)</f>
        <v>50</v>
      </c>
      <c r="V544" s="4">
        <f>VLOOKUP(A544,[8]Sheet1!$A:$M,9,0)</f>
        <v>50</v>
      </c>
      <c r="W544" s="4">
        <f>VLOOKUP(A544,[8]Sheet1!$A:$M,10,0)</f>
        <v>50</v>
      </c>
      <c r="X544" s="4">
        <f>VLOOKUP(A544,[8]Sheet1!$A:$M,11,0)</f>
        <v>50</v>
      </c>
      <c r="Y544" s="4">
        <f>VLOOKUP(A544,[8]Sheet1!$A:$M,12,0)</f>
        <v>50</v>
      </c>
      <c r="Z544" s="4">
        <f>VLOOKUP(A544,[8]Sheet1!$A:$M,13,0)</f>
        <v>0</v>
      </c>
      <c r="AA544" s="4">
        <f t="shared" si="136"/>
        <v>500</v>
      </c>
      <c r="AB544" s="7">
        <f t="shared" si="141"/>
        <v>42</v>
      </c>
      <c r="AC544" s="15">
        <f t="shared" si="150"/>
        <v>41.666666666666664</v>
      </c>
      <c r="AD544" s="16">
        <f t="shared" si="151"/>
        <v>45975</v>
      </c>
      <c r="AE544" s="16">
        <f t="shared" si="152"/>
        <v>3831.25</v>
      </c>
      <c r="AF544" s="21">
        <v>7.67</v>
      </c>
      <c r="AG544" s="21">
        <v>91.95</v>
      </c>
      <c r="AH544" s="15">
        <f t="shared" si="134"/>
        <v>1.8739999999999999</v>
      </c>
      <c r="AI544" s="15">
        <f t="shared" si="135"/>
        <v>6.5589999999999993</v>
      </c>
      <c r="AJ544" s="10">
        <v>0.5</v>
      </c>
      <c r="AK544" s="10">
        <v>0.5</v>
      </c>
      <c r="AL544" s="21">
        <v>7.67</v>
      </c>
      <c r="AM544" s="9">
        <f t="shared" si="142"/>
        <v>13.7925</v>
      </c>
      <c r="AN544" s="9">
        <f t="shared" si="143"/>
        <v>2.7585000000000002</v>
      </c>
      <c r="AO544" s="9">
        <f t="shared" si="144"/>
        <v>18.39</v>
      </c>
      <c r="AP544" s="9">
        <f t="shared" si="145"/>
        <v>1.8390000000000002</v>
      </c>
      <c r="AQ544" s="9">
        <f t="shared" si="146"/>
        <v>18.39</v>
      </c>
      <c r="AR544" s="9">
        <f t="shared" si="147"/>
        <v>22.987500000000001</v>
      </c>
      <c r="AS544" s="11">
        <f t="shared" si="148"/>
        <v>18.739999999999998</v>
      </c>
      <c r="AT544" s="12">
        <f t="shared" si="149"/>
        <v>15.674999999999999</v>
      </c>
    </row>
    <row r="545" spans="1:46" ht="16.5" x14ac:dyDescent="0.4">
      <c r="A545" s="4" t="s">
        <v>2476</v>
      </c>
      <c r="B545" s="4" t="s">
        <v>2479</v>
      </c>
      <c r="C545" s="4" t="s">
        <v>2480</v>
      </c>
      <c r="D545" s="4" t="s">
        <v>2482</v>
      </c>
      <c r="E545" s="4" t="s">
        <v>2485</v>
      </c>
      <c r="F545" s="4" t="s">
        <v>2488</v>
      </c>
      <c r="G545" s="7" t="str">
        <f>VLOOKUP(A545,[1]done!$A:$I,9,0)</f>
        <v>Rodent</v>
      </c>
      <c r="H545" s="7" t="str" cm="1">
        <f t="array" ref="H545">_xlfn.IFS(
OR(ISNUMBER(SEARCH("mouse",E545)),ISNUMBER(SEARCH("rat",E545)),ISNUMBER(SEARCH("mice",E545)),ISNUMBER(SEARCH("rodent",E545))),"Rodent Control",
OR(ISNUMBER(SEARCH("fly",E545)),ISNUMBER(SEARCH("gnat",E545)),ISNUMBER(SEARCH("insect",E545)),ISNUMBER(SEARCH("mosquito",E545))),"Flying Insect Control",
OR(ISNUMBER(SEARCH("roach",E545)),ISNUMBER(SEARCH("ant",E545)),ISNUMBER(SEARCH("spider",E545)),ISNUMBER(SEARCH("cricket",E545)),ISNUMBER(SEARCH("scorpion",E545)),ISNUMBER(SEARCH("centipede",E545)),ISNUMBER(SEARCH("beetle",E545))),"Crawling Insect Control",
OR(ISNUMBER(SEARCH("tree",E545)),ISNUMBER(SEARCH("lantern",E545)),ISNUMBER(SEARCH("garden",E545)),ISNUMBER(SEARCH("plant",E545))),"Garden Pest Control",
OR(ISNUMBER(SEARCH("grass seed",E545)),ISNUMBER(SEARCH("seed mix",E545))),"Grass Seed",
OR(ISNUMBER(SEARCH("lawn food",E545)),ISNUMBER(SEARCH("fertilizer",E545))),"Lawn Fertilizer",
OR(ISNUMBER(SEARCH("patch",E545)),ISNUMBER(SEARCH("repair",E545)),ISNUMBER(SEARCH("thick'r",E545)),ISNUMBER(SEARCH("thick'r lawn",E545)),ISNUMBER(SEARCH("rapid grass",E545))),"Lawn Repair",
OR(ISNUMBER(SEARCH("weed",E545)),ISNUMBER(SEARCH("crabgrass",E545))),"Weed Control",
OR(ISNUMBER(SEARCH("fungicide",E545)),ISNUMBER(SEARCH("moss",E545))),"Disease &amp; Moss Control",
OR(ISNUMBER(SEARCH("plant food",E545)),ISNUMBER(SEARCH("miracid",E545))),"Plant Nutrition",
OR(ISNUMBER(SEARCH("perlite",E545))),"Soil Amendment",
OR(ISNUMBER(SEARCH("spreader",E545)),ISNUMBER(SEARCH("sprayer",E545)),ISNUMBER(SEARCH("mower",E545)),ISNUMBER(SEARCH("sweeper",E545)),ISNUMBER(SEARCH("pruner",E545)),ISNUMBER(SEARCH("trimmer",E545)),ISNUMBER(SEARCH("pole saw",E545))),"Garden Equipment",
TRUE,"Other"
)</f>
        <v>Rodent Control</v>
      </c>
      <c r="I545" s="7" t="str" cm="1">
        <f t="array" ref="I545">_xlfn.IFS(
OR(ISNUMBER(SEARCH("glue trap",E545)),ISNUMBER(SEARCH("glue board",E545))),"Glue Traps",
OR(ISNUMBER(SEARCH("snap trap",E545)),ISNUMBER(SEARCH("power-kill",E545)),ISNUMBER(SEARCH("wide pedal",E545)),ISNUMBER(SEARCH("metal pedal",E545))),"Snap Traps",
OR(ISNUMBER(SEARCH("electronic",E545)),ISNUMBER(SEARCH("zapper",E545))),"Electronic Traps",
OR(ISNUMBER(SEARCH("live catch",E545)),ISNUMBER(SEARCH("multi-catch",E545)),ISNUMBER(SEARCH("catch &amp; hold",E545)),ISNUMBER(SEARCH("tin cat",E545))),"Live Catch Traps",
OR(ISNUMBER(SEARCH("bait",E545)),ISNUMBER(SEARCH("poison",E545))),"Bait &amp; Poison",
ISNUMBER(SEARCH("repellent",E545)),"Repellents",
OR(ISNUMBER(SEARCH("fly trap",E545)),ISNUMBER(SEARCH("fly ribbon",E545)),ISNUMBER(SEARCH("fly stick",E545)),ISNUMBER(SEARCH("window fly",E545)),ISNUMBER(SEARCH("fly magnet",E545))),"Fly Traps",
OR(ISNUMBER(SEARCH("uv",E545)),ISNUMBER(SEARCH("fly light",E545)),ISNUMBER(SEARCH("plug-in",E545))),"UV Fly Traps",
ISNUMBER(SEARCH("roach",E545)),"Roach Traps",
ISNUMBER(SEARCH("ant",E545)),"Ant Traps",
ISNUMBER(SEARCH("spider",E545)),"Spider Traps",
ISNUMBER(SEARCH("mosquito",E545)),"Mosquito Traps",
ISNUMBER(SEARCH("beetle",E545)),"Beetle Traps",
ISNUMBER(SEARCH("lantern",E545)),"Lanternfly Control",
OR(ISNUMBER(SEARCH("tree shield",E545)),ISNUMBER(SEARCH("tree banding",E545)),ISNUMBER(SEARCH("insect barrier",E545))),"Tree Barriers",
OR(ISNUMBER(SEARCH("sun &amp; shade",E545)),ISNUMBER(SEARCH("sun and shade",E545))),"Sun &amp; Shade Mix",
ISNUMBER(SEARCH("tall fescue",E545)),"Tall Fescue",
ISNUMBER(SEARCH("bermudagrass",E545)),"Bermudagrass",
ISNUMBER(SEARCH("kentucky",E545)),"Kentucky Bluegrass",
ISNUMBER(SEARCH("zoysia",E545)),"Zoysia",
ISNUMBER(SEARCH("ryegrass",E545)),"Perennial Ryegrass",
ISNUMBER(SEARCH("centipede",E545)),"Centipede Grass",
ISNUMBER(SEARCH("dense shade",E545)),"Dense Shade Mix",
ISNUMBER(SEARCH("southern gold",E545)),"Southern Gold Mix",
ISNUMBER(SEARCH("heat-tolerant blue",E545)),"Heat-Tolerant Blue Mix",
ISNUMBER(SEARCH("high traffic",E545)),"High Traffic Mix",
ISNUMBER(SEARCH("quick fix",E545)),"Quick Fix Mix",
ISNUMBER(SEARCH("starter",E545)),"Starter Fertilizer",
ISNUMBER(SEARCH("weed &amp; feed",E545)),"Weed &amp; Feed",
ISNUMBER(SEARCH("lawn food",E545)),"Lawn Food",
ISNUMBER(SEARCH("triple action",E545)),"Triple Action Fertilizer",
ISNUMBER(SEARCH("green max",E545)),"Green Max Lawn Food",
ISNUMBER(SEARCH("patchmaster",E545)),"PatchMaster Repair",
ISNUMBER(SEARCH("ez seed",E545)),"EZ Seed Repair",
ISNUMBER(SEARCH("rapid grass",E545)),"Rapid Grass",
ISNUMBER(SEARCH("thick'r lawn",E545)),"Thick'R Lawn",
ISNUMBER(SEARCH("fungicide",E545)),"Fungicide",
ISNUMBER(SEARCH("moss",E545)),"Moss Control",
ISNUMBER(SEARCH("perlite",E545)),"Perlite",
ISNUMBER(SEARCH("plant food",E545)),"Plant Food",
ISNUMBER(SEARCH("spreader",E545)),"Spreader",
ISNUMBER(SEARCH("sprayer",E545)),"Sprayer",
ISNUMBER(SEARCH("mower",E545)),"Lawn Mower",
ISNUMBER(SEARCH("sweeper",E545)),"Lawn Sweeper",
OR(ISNUMBER(SEARCH("pruner",E545)),ISNUMBER(SEARCH("trimmer",E545)),ISNUMBER(SEARCH("pole saw",E545))),"Pruning Tools",
TRUE,"Other"
)</f>
        <v>Other</v>
      </c>
      <c r="J545" s="7" t="str">
        <f t="shared" si="140"/>
        <v>Rodent Control - Other</v>
      </c>
      <c r="K545" s="4">
        <v>100</v>
      </c>
      <c r="L545" s="4">
        <v>4.0999999999999996</v>
      </c>
      <c r="M545" s="4">
        <v>1305</v>
      </c>
      <c r="N545" s="4" t="s">
        <v>2491</v>
      </c>
      <c r="O545" s="4">
        <f>VLOOKUP(A545,[9]Sheet1!$A:$M,2,0)</f>
        <v>100</v>
      </c>
      <c r="P545" s="4">
        <f>VLOOKUP(A545,[9]Sheet1!$A:$M,3,0)</f>
        <v>100</v>
      </c>
      <c r="Q545" s="4">
        <f>VLOOKUP(A545,[9]Sheet1!$A:$M,4,0)</f>
        <v>100</v>
      </c>
      <c r="R545" s="4">
        <f>VLOOKUP(A545,[9]Sheet1!$A:$M,5,0)</f>
        <v>100</v>
      </c>
      <c r="S545" s="4">
        <f>VLOOKUP(A545,[9]Sheet1!$A:$M,6,0)</f>
        <v>100</v>
      </c>
      <c r="T545" s="4">
        <f>VLOOKUP(A545,[9]Sheet1!$A:$M,7,0)</f>
        <v>100</v>
      </c>
      <c r="U545" s="4">
        <f>VLOOKUP(A545,[9]Sheet1!$A:$M,8,0)</f>
        <v>100</v>
      </c>
      <c r="V545" s="4">
        <f>VLOOKUP(A545,[9]Sheet1!$A:$M,9,0)</f>
        <v>100</v>
      </c>
      <c r="W545" s="4">
        <f>VLOOKUP(A545,[9]Sheet1!$A:$M,10,0)</f>
        <v>100</v>
      </c>
      <c r="X545" s="4">
        <f>VLOOKUP(A545,[9]Sheet1!$A:$M,11,0)</f>
        <v>100</v>
      </c>
      <c r="Y545" s="4">
        <f>VLOOKUP(A545,[9]Sheet1!$A:$M,12,0)</f>
        <v>100</v>
      </c>
      <c r="Z545" s="4">
        <f>VLOOKUP(A545,[9]Sheet1!$A:$M,13,0)</f>
        <v>100</v>
      </c>
      <c r="AA545" s="4">
        <f t="shared" ref="AA545:AA547" si="153">SUM(O545:Z545)</f>
        <v>1200</v>
      </c>
      <c r="AB545" s="7">
        <f t="shared" ref="AB545:AB547" si="154">ROUND(AA545/12,0)</f>
        <v>100</v>
      </c>
      <c r="AC545" s="15">
        <f t="shared" ref="AC545:AC547" si="155">AVERAGE(O545:Z545)</f>
        <v>100</v>
      </c>
      <c r="AD545" s="16">
        <f t="shared" ref="AD545:AD547" si="156">AG545*AA545</f>
        <v>33588</v>
      </c>
      <c r="AE545" s="16">
        <f t="shared" ref="AE545:AE547" si="157">AG545*AC545</f>
        <v>2799</v>
      </c>
      <c r="AF545" s="21">
        <v>6.9</v>
      </c>
      <c r="AG545" s="21">
        <v>27.99</v>
      </c>
      <c r="AH545" s="15">
        <f t="shared" ref="AH545:AH608" si="158">0.1*AS545</f>
        <v>0.21973333333333311</v>
      </c>
      <c r="AI545" s="15">
        <f t="shared" ref="AI545:AI608" si="159">0.35*AS545</f>
        <v>0.7690666666666659</v>
      </c>
      <c r="AJ545" s="10">
        <v>0.5</v>
      </c>
      <c r="AK545" s="10">
        <v>0.5</v>
      </c>
      <c r="AL545" s="21">
        <v>6.9</v>
      </c>
      <c r="AM545" s="9">
        <f t="shared" si="142"/>
        <v>4.1984999999999992</v>
      </c>
      <c r="AN545" s="9">
        <f t="shared" si="143"/>
        <v>0.83969999999999989</v>
      </c>
      <c r="AO545" s="9">
        <f t="shared" si="144"/>
        <v>5.5979999999999999</v>
      </c>
      <c r="AP545" s="9">
        <f t="shared" si="145"/>
        <v>0.55979999999999996</v>
      </c>
      <c r="AQ545" s="9">
        <f t="shared" si="146"/>
        <v>5.5979999999999999</v>
      </c>
      <c r="AR545" s="9">
        <f t="shared" si="147"/>
        <v>6.9974999999999996</v>
      </c>
      <c r="AS545" s="11">
        <f t="shared" si="148"/>
        <v>2.1973333333333311</v>
      </c>
      <c r="AT545" s="12">
        <f t="shared" si="149"/>
        <v>1.2643333333333313</v>
      </c>
    </row>
    <row r="546" spans="1:46" ht="16.5" x14ac:dyDescent="0.4">
      <c r="A546" s="4" t="s">
        <v>2477</v>
      </c>
      <c r="B546" s="4" t="s">
        <v>2479</v>
      </c>
      <c r="C546" s="4" t="s">
        <v>2479</v>
      </c>
      <c r="D546" s="4" t="s">
        <v>2483</v>
      </c>
      <c r="E546" s="4" t="s">
        <v>2486</v>
      </c>
      <c r="F546" s="4" t="s">
        <v>2489</v>
      </c>
      <c r="G546" s="7" t="str">
        <f>VLOOKUP(A546,[1]done!$A:$I,9,0)</f>
        <v>Rodent</v>
      </c>
      <c r="H546" s="7" t="str" cm="1">
        <f t="array" ref="H546">_xlfn.IFS(
OR(ISNUMBER(SEARCH("mouse",E546)),ISNUMBER(SEARCH("rat",E546)),ISNUMBER(SEARCH("mice",E546)),ISNUMBER(SEARCH("rodent",E546))),"Rodent Control",
OR(ISNUMBER(SEARCH("fly",E546)),ISNUMBER(SEARCH("gnat",E546)),ISNUMBER(SEARCH("insect",E546)),ISNUMBER(SEARCH("mosquito",E546))),"Flying Insect Control",
OR(ISNUMBER(SEARCH("roach",E546)),ISNUMBER(SEARCH("ant",E546)),ISNUMBER(SEARCH("spider",E546)),ISNUMBER(SEARCH("cricket",E546)),ISNUMBER(SEARCH("scorpion",E546)),ISNUMBER(SEARCH("centipede",E546)),ISNUMBER(SEARCH("beetle",E546))),"Crawling Insect Control",
OR(ISNUMBER(SEARCH("tree",E546)),ISNUMBER(SEARCH("lantern",E546)),ISNUMBER(SEARCH("garden",E546)),ISNUMBER(SEARCH("plant",E546))),"Garden Pest Control",
OR(ISNUMBER(SEARCH("grass seed",E546)),ISNUMBER(SEARCH("seed mix",E546))),"Grass Seed",
OR(ISNUMBER(SEARCH("lawn food",E546)),ISNUMBER(SEARCH("fertilizer",E546))),"Lawn Fertilizer",
OR(ISNUMBER(SEARCH("patch",E546)),ISNUMBER(SEARCH("repair",E546)),ISNUMBER(SEARCH("thick'r",E546)),ISNUMBER(SEARCH("thick'r lawn",E546)),ISNUMBER(SEARCH("rapid grass",E546))),"Lawn Repair",
OR(ISNUMBER(SEARCH("weed",E546)),ISNUMBER(SEARCH("crabgrass",E546))),"Weed Control",
OR(ISNUMBER(SEARCH("fungicide",E546)),ISNUMBER(SEARCH("moss",E546))),"Disease &amp; Moss Control",
OR(ISNUMBER(SEARCH("plant food",E546)),ISNUMBER(SEARCH("miracid",E546))),"Plant Nutrition",
OR(ISNUMBER(SEARCH("perlite",E546))),"Soil Amendment",
OR(ISNUMBER(SEARCH("spreader",E546)),ISNUMBER(SEARCH("sprayer",E546)),ISNUMBER(SEARCH("mower",E546)),ISNUMBER(SEARCH("sweeper",E546)),ISNUMBER(SEARCH("pruner",E546)),ISNUMBER(SEARCH("trimmer",E546)),ISNUMBER(SEARCH("pole saw",E546))),"Garden Equipment",
TRUE,"Other"
)</f>
        <v>Rodent Control</v>
      </c>
      <c r="I546" s="7" t="str" cm="1">
        <f t="array" ref="I546">_xlfn.IFS(
OR(ISNUMBER(SEARCH("glue trap",E546)),ISNUMBER(SEARCH("glue board",E546))),"Glue Traps",
OR(ISNUMBER(SEARCH("snap trap",E546)),ISNUMBER(SEARCH("power-kill",E546)),ISNUMBER(SEARCH("wide pedal",E546)),ISNUMBER(SEARCH("metal pedal",E546))),"Snap Traps",
OR(ISNUMBER(SEARCH("electronic",E546)),ISNUMBER(SEARCH("zapper",E546))),"Electronic Traps",
OR(ISNUMBER(SEARCH("live catch",E546)),ISNUMBER(SEARCH("multi-catch",E546)),ISNUMBER(SEARCH("catch &amp; hold",E546)),ISNUMBER(SEARCH("tin cat",E546))),"Live Catch Traps",
OR(ISNUMBER(SEARCH("bait",E546)),ISNUMBER(SEARCH("poison",E546))),"Bait &amp; Poison",
ISNUMBER(SEARCH("repellent",E546)),"Repellents",
OR(ISNUMBER(SEARCH("fly trap",E546)),ISNUMBER(SEARCH("fly ribbon",E546)),ISNUMBER(SEARCH("fly stick",E546)),ISNUMBER(SEARCH("window fly",E546)),ISNUMBER(SEARCH("fly magnet",E546))),"Fly Traps",
OR(ISNUMBER(SEARCH("uv",E546)),ISNUMBER(SEARCH("fly light",E546)),ISNUMBER(SEARCH("plug-in",E546))),"UV Fly Traps",
ISNUMBER(SEARCH("roach",E546)),"Roach Traps",
ISNUMBER(SEARCH("ant",E546)),"Ant Traps",
ISNUMBER(SEARCH("spider",E546)),"Spider Traps",
ISNUMBER(SEARCH("mosquito",E546)),"Mosquito Traps",
ISNUMBER(SEARCH("beetle",E546)),"Beetle Traps",
ISNUMBER(SEARCH("lantern",E546)),"Lanternfly Control",
OR(ISNUMBER(SEARCH("tree shield",E546)),ISNUMBER(SEARCH("tree banding",E546)),ISNUMBER(SEARCH("insect barrier",E546))),"Tree Barriers",
OR(ISNUMBER(SEARCH("sun &amp; shade",E546)),ISNUMBER(SEARCH("sun and shade",E546))),"Sun &amp; Shade Mix",
ISNUMBER(SEARCH("tall fescue",E546)),"Tall Fescue",
ISNUMBER(SEARCH("bermudagrass",E546)),"Bermudagrass",
ISNUMBER(SEARCH("kentucky",E546)),"Kentucky Bluegrass",
ISNUMBER(SEARCH("zoysia",E546)),"Zoysia",
ISNUMBER(SEARCH("ryegrass",E546)),"Perennial Ryegrass",
ISNUMBER(SEARCH("centipede",E546)),"Centipede Grass",
ISNUMBER(SEARCH("dense shade",E546)),"Dense Shade Mix",
ISNUMBER(SEARCH("southern gold",E546)),"Southern Gold Mix",
ISNUMBER(SEARCH("heat-tolerant blue",E546)),"Heat-Tolerant Blue Mix",
ISNUMBER(SEARCH("high traffic",E546)),"High Traffic Mix",
ISNUMBER(SEARCH("quick fix",E546)),"Quick Fix Mix",
ISNUMBER(SEARCH("starter",E546)),"Starter Fertilizer",
ISNUMBER(SEARCH("weed &amp; feed",E546)),"Weed &amp; Feed",
ISNUMBER(SEARCH("lawn food",E546)),"Lawn Food",
ISNUMBER(SEARCH("triple action",E546)),"Triple Action Fertilizer",
ISNUMBER(SEARCH("green max",E546)),"Green Max Lawn Food",
ISNUMBER(SEARCH("patchmaster",E546)),"PatchMaster Repair",
ISNUMBER(SEARCH("ez seed",E546)),"EZ Seed Repair",
ISNUMBER(SEARCH("rapid grass",E546)),"Rapid Grass",
ISNUMBER(SEARCH("thick'r lawn",E546)),"Thick'R Lawn",
ISNUMBER(SEARCH("fungicide",E546)),"Fungicide",
ISNUMBER(SEARCH("moss",E546)),"Moss Control",
ISNUMBER(SEARCH("perlite",E546)),"Perlite",
ISNUMBER(SEARCH("plant food",E546)),"Plant Food",
ISNUMBER(SEARCH("spreader",E546)),"Spreader",
ISNUMBER(SEARCH("sprayer",E546)),"Sprayer",
ISNUMBER(SEARCH("mower",E546)),"Lawn Mower",
ISNUMBER(SEARCH("sweeper",E546)),"Lawn Sweeper",
OR(ISNUMBER(SEARCH("pruner",E546)),ISNUMBER(SEARCH("trimmer",E546)),ISNUMBER(SEARCH("pole saw",E546))),"Pruning Tools",
TRUE,"Other"
)</f>
        <v>Other</v>
      </c>
      <c r="J546" s="7" t="str">
        <f t="shared" si="140"/>
        <v>Rodent Control - Other</v>
      </c>
      <c r="K546" s="4">
        <v>50</v>
      </c>
      <c r="L546" s="4">
        <v>4.3</v>
      </c>
      <c r="M546" s="4">
        <v>372</v>
      </c>
      <c r="N546" s="4" t="s">
        <v>114</v>
      </c>
      <c r="O546" s="4">
        <f>VLOOKUP(A546,[9]Sheet1!$A:$M,2,0)</f>
        <v>0</v>
      </c>
      <c r="P546" s="4">
        <f>VLOOKUP(A546,[9]Sheet1!$A:$M,3,0)</f>
        <v>0</v>
      </c>
      <c r="Q546" s="4">
        <f>VLOOKUP(A546,[9]Sheet1!$A:$M,4,0)</f>
        <v>0</v>
      </c>
      <c r="R546" s="4">
        <f>VLOOKUP(A546,[9]Sheet1!$A:$M,5,0)</f>
        <v>50</v>
      </c>
      <c r="S546" s="4">
        <f>VLOOKUP(A546,[9]Sheet1!$A:$M,6,0)</f>
        <v>50</v>
      </c>
      <c r="T546" s="4">
        <f>VLOOKUP(A546,[9]Sheet1!$A:$M,7,0)</f>
        <v>50</v>
      </c>
      <c r="U546" s="4">
        <f>VLOOKUP(A546,[9]Sheet1!$A:$M,8,0)</f>
        <v>50</v>
      </c>
      <c r="V546" s="4">
        <f>VLOOKUP(A546,[9]Sheet1!$A:$M,9,0)</f>
        <v>50</v>
      </c>
      <c r="W546" s="4">
        <f>VLOOKUP(A546,[9]Sheet1!$A:$M,10,0)</f>
        <v>50</v>
      </c>
      <c r="X546" s="4">
        <f>VLOOKUP(A546,[9]Sheet1!$A:$M,11,0)</f>
        <v>0</v>
      </c>
      <c r="Y546" s="4">
        <f>VLOOKUP(A546,[9]Sheet1!$A:$M,12,0)</f>
        <v>0</v>
      </c>
      <c r="Z546" s="4">
        <f>VLOOKUP(A546,[9]Sheet1!$A:$M,13,0)</f>
        <v>0</v>
      </c>
      <c r="AA546" s="4">
        <f t="shared" si="153"/>
        <v>300</v>
      </c>
      <c r="AB546" s="7">
        <f t="shared" si="154"/>
        <v>25</v>
      </c>
      <c r="AC546" s="15">
        <f t="shared" si="155"/>
        <v>25</v>
      </c>
      <c r="AD546" s="16">
        <f t="shared" si="156"/>
        <v>10485</v>
      </c>
      <c r="AE546" s="16">
        <f t="shared" si="157"/>
        <v>873.75000000000011</v>
      </c>
      <c r="AF546" s="21">
        <v>6.02</v>
      </c>
      <c r="AG546" s="21">
        <v>34.950000000000003</v>
      </c>
      <c r="AH546" s="15">
        <f t="shared" si="158"/>
        <v>0.46400000000000019</v>
      </c>
      <c r="AI546" s="15">
        <f t="shared" si="159"/>
        <v>1.6240000000000003</v>
      </c>
      <c r="AJ546" s="10">
        <v>0.5</v>
      </c>
      <c r="AK546" s="10">
        <v>0.5</v>
      </c>
      <c r="AL546" s="21">
        <v>6.02</v>
      </c>
      <c r="AM546" s="9">
        <f t="shared" si="142"/>
        <v>5.2425000000000006</v>
      </c>
      <c r="AN546" s="9">
        <f t="shared" si="143"/>
        <v>1.0485</v>
      </c>
      <c r="AO546" s="9">
        <f t="shared" si="144"/>
        <v>6.9900000000000011</v>
      </c>
      <c r="AP546" s="9">
        <f t="shared" si="145"/>
        <v>0.69900000000000007</v>
      </c>
      <c r="AQ546" s="9">
        <f t="shared" si="146"/>
        <v>6.9900000000000011</v>
      </c>
      <c r="AR546" s="9">
        <f t="shared" si="147"/>
        <v>8.7375000000000007</v>
      </c>
      <c r="AS546" s="11">
        <f t="shared" si="148"/>
        <v>4.6400000000000015</v>
      </c>
      <c r="AT546" s="12">
        <f t="shared" si="149"/>
        <v>3.4750000000000014</v>
      </c>
    </row>
    <row r="547" spans="1:46" ht="16.5" x14ac:dyDescent="0.4">
      <c r="A547" s="4" t="s">
        <v>2478</v>
      </c>
      <c r="B547" s="4" t="s">
        <v>2479</v>
      </c>
      <c r="C547" s="4" t="s">
        <v>2481</v>
      </c>
      <c r="D547" s="4" t="s">
        <v>2484</v>
      </c>
      <c r="E547" s="4" t="s">
        <v>2487</v>
      </c>
      <c r="F547" s="4" t="s">
        <v>2490</v>
      </c>
      <c r="G547" s="7" t="str">
        <f>VLOOKUP(A547,[1]done!$A:$I,9,0)</f>
        <v>Other crawling insects</v>
      </c>
      <c r="H547" s="7" t="str" cm="1">
        <f t="array" ref="H547">_xlfn.IFS(
OR(ISNUMBER(SEARCH("mouse",E547)),ISNUMBER(SEARCH("rat",E547)),ISNUMBER(SEARCH("mice",E547)),ISNUMBER(SEARCH("rodent",E547))),"Rodent Control",
OR(ISNUMBER(SEARCH("fly",E547)),ISNUMBER(SEARCH("gnat",E547)),ISNUMBER(SEARCH("insect",E547)),ISNUMBER(SEARCH("mosquito",E547))),"Flying Insect Control",
OR(ISNUMBER(SEARCH("roach",E547)),ISNUMBER(SEARCH("ant",E547)),ISNUMBER(SEARCH("spider",E547)),ISNUMBER(SEARCH("cricket",E547)),ISNUMBER(SEARCH("scorpion",E547)),ISNUMBER(SEARCH("centipede",E547)),ISNUMBER(SEARCH("beetle",E547))),"Crawling Insect Control",
OR(ISNUMBER(SEARCH("tree",E547)),ISNUMBER(SEARCH("lantern",E547)),ISNUMBER(SEARCH("garden",E547)),ISNUMBER(SEARCH("plant",E547))),"Garden Pest Control",
OR(ISNUMBER(SEARCH("grass seed",E547)),ISNUMBER(SEARCH("seed mix",E547))),"Grass Seed",
OR(ISNUMBER(SEARCH("lawn food",E547)),ISNUMBER(SEARCH("fertilizer",E547))),"Lawn Fertilizer",
OR(ISNUMBER(SEARCH("patch",E547)),ISNUMBER(SEARCH("repair",E547)),ISNUMBER(SEARCH("thick'r",E547)),ISNUMBER(SEARCH("thick'r lawn",E547)),ISNUMBER(SEARCH("rapid grass",E547))),"Lawn Repair",
OR(ISNUMBER(SEARCH("weed",E547)),ISNUMBER(SEARCH("crabgrass",E547))),"Weed Control",
OR(ISNUMBER(SEARCH("fungicide",E547)),ISNUMBER(SEARCH("moss",E547))),"Disease &amp; Moss Control",
OR(ISNUMBER(SEARCH("plant food",E547)),ISNUMBER(SEARCH("miracid",E547))),"Plant Nutrition",
OR(ISNUMBER(SEARCH("perlite",E547))),"Soil Amendment",
OR(ISNUMBER(SEARCH("spreader",E547)),ISNUMBER(SEARCH("sprayer",E547)),ISNUMBER(SEARCH("mower",E547)),ISNUMBER(SEARCH("sweeper",E547)),ISNUMBER(SEARCH("pruner",E547)),ISNUMBER(SEARCH("trimmer",E547)),ISNUMBER(SEARCH("pole saw",E547))),"Garden Equipment",
TRUE,"Other"
)</f>
        <v>Crawling Insect Control</v>
      </c>
      <c r="I547" s="7" t="str" cm="1">
        <f t="array" ref="I547">_xlfn.IFS(
OR(ISNUMBER(SEARCH("glue trap",E547)),ISNUMBER(SEARCH("glue board",E547))),"Glue Traps",
OR(ISNUMBER(SEARCH("snap trap",E547)),ISNUMBER(SEARCH("power-kill",E547)),ISNUMBER(SEARCH("wide pedal",E547)),ISNUMBER(SEARCH("metal pedal",E547))),"Snap Traps",
OR(ISNUMBER(SEARCH("electronic",E547)),ISNUMBER(SEARCH("zapper",E547))),"Electronic Traps",
OR(ISNUMBER(SEARCH("live catch",E547)),ISNUMBER(SEARCH("multi-catch",E547)),ISNUMBER(SEARCH("catch &amp; hold",E547)),ISNUMBER(SEARCH("tin cat",E547))),"Live Catch Traps",
OR(ISNUMBER(SEARCH("bait",E547)),ISNUMBER(SEARCH("poison",E547))),"Bait &amp; Poison",
ISNUMBER(SEARCH("repellent",E547)),"Repellents",
OR(ISNUMBER(SEARCH("fly trap",E547)),ISNUMBER(SEARCH("fly ribbon",E547)),ISNUMBER(SEARCH("fly stick",E547)),ISNUMBER(SEARCH("window fly",E547)),ISNUMBER(SEARCH("fly magnet",E547))),"Fly Traps",
OR(ISNUMBER(SEARCH("uv",E547)),ISNUMBER(SEARCH("fly light",E547)),ISNUMBER(SEARCH("plug-in",E547))),"UV Fly Traps",
ISNUMBER(SEARCH("roach",E547)),"Roach Traps",
ISNUMBER(SEARCH("ant",E547)),"Ant Traps",
ISNUMBER(SEARCH("spider",E547)),"Spider Traps",
ISNUMBER(SEARCH("mosquito",E547)),"Mosquito Traps",
ISNUMBER(SEARCH("beetle",E547)),"Beetle Traps",
ISNUMBER(SEARCH("lantern",E547)),"Lanternfly Control",
OR(ISNUMBER(SEARCH("tree shield",E547)),ISNUMBER(SEARCH("tree banding",E547)),ISNUMBER(SEARCH("insect barrier",E547))),"Tree Barriers",
OR(ISNUMBER(SEARCH("sun &amp; shade",E547)),ISNUMBER(SEARCH("sun and shade",E547))),"Sun &amp; Shade Mix",
ISNUMBER(SEARCH("tall fescue",E547)),"Tall Fescue",
ISNUMBER(SEARCH("bermudagrass",E547)),"Bermudagrass",
ISNUMBER(SEARCH("kentucky",E547)),"Kentucky Bluegrass",
ISNUMBER(SEARCH("zoysia",E547)),"Zoysia",
ISNUMBER(SEARCH("ryegrass",E547)),"Perennial Ryegrass",
ISNUMBER(SEARCH("centipede",E547)),"Centipede Grass",
ISNUMBER(SEARCH("dense shade",E547)),"Dense Shade Mix",
ISNUMBER(SEARCH("southern gold",E547)),"Southern Gold Mix",
ISNUMBER(SEARCH("heat-tolerant blue",E547)),"Heat-Tolerant Blue Mix",
ISNUMBER(SEARCH("high traffic",E547)),"High Traffic Mix",
ISNUMBER(SEARCH("quick fix",E547)),"Quick Fix Mix",
ISNUMBER(SEARCH("starter",E547)),"Starter Fertilizer",
ISNUMBER(SEARCH("weed &amp; feed",E547)),"Weed &amp; Feed",
ISNUMBER(SEARCH("lawn food",E547)),"Lawn Food",
ISNUMBER(SEARCH("triple action",E547)),"Triple Action Fertilizer",
ISNUMBER(SEARCH("green max",E547)),"Green Max Lawn Food",
ISNUMBER(SEARCH("patchmaster",E547)),"PatchMaster Repair",
ISNUMBER(SEARCH("ez seed",E547)),"EZ Seed Repair",
ISNUMBER(SEARCH("rapid grass",E547)),"Rapid Grass",
ISNUMBER(SEARCH("thick'r lawn",E547)),"Thick'R Lawn",
ISNUMBER(SEARCH("fungicide",E547)),"Fungicide",
ISNUMBER(SEARCH("moss",E547)),"Moss Control",
ISNUMBER(SEARCH("perlite",E547)),"Perlite",
ISNUMBER(SEARCH("plant food",E547)),"Plant Food",
ISNUMBER(SEARCH("spreader",E547)),"Spreader",
ISNUMBER(SEARCH("sprayer",E547)),"Sprayer",
ISNUMBER(SEARCH("mower",E547)),"Lawn Mower",
ISNUMBER(SEARCH("sweeper",E547)),"Lawn Sweeper",
OR(ISNUMBER(SEARCH("pruner",E547)),ISNUMBER(SEARCH("trimmer",E547)),ISNUMBER(SEARCH("pole saw",E547))),"Pruning Tools",
TRUE,"Other"
)</f>
        <v>Bait &amp; Poison</v>
      </c>
      <c r="J547" s="7" t="str">
        <f t="shared" si="140"/>
        <v>Crawling Insect Control - Bait &amp; Poison</v>
      </c>
      <c r="K547" s="4">
        <v>50</v>
      </c>
      <c r="L547" s="4">
        <v>4.2</v>
      </c>
      <c r="M547" s="4">
        <v>210</v>
      </c>
      <c r="N547" s="4" t="s">
        <v>1094</v>
      </c>
      <c r="O547" s="4">
        <f>VLOOKUP(A547,[9]Sheet1!$A:$M,2,0)</f>
        <v>0</v>
      </c>
      <c r="P547" s="4">
        <f>VLOOKUP(A547,[9]Sheet1!$A:$M,3,0)</f>
        <v>0</v>
      </c>
      <c r="Q547" s="4">
        <f>VLOOKUP(A547,[9]Sheet1!$A:$M,4,0)</f>
        <v>0</v>
      </c>
      <c r="R547" s="4">
        <f>VLOOKUP(A547,[9]Sheet1!$A:$M,5,0)</f>
        <v>50</v>
      </c>
      <c r="S547" s="4">
        <f>VLOOKUP(A547,[9]Sheet1!$A:$M,6,0)</f>
        <v>50</v>
      </c>
      <c r="T547" s="4">
        <f>VLOOKUP(A547,[9]Sheet1!$A:$M,7,0)</f>
        <v>50</v>
      </c>
      <c r="U547" s="4">
        <f>VLOOKUP(A547,[9]Sheet1!$A:$M,8,0)</f>
        <v>50</v>
      </c>
      <c r="V547" s="4">
        <f>VLOOKUP(A547,[9]Sheet1!$A:$M,9,0)</f>
        <v>50</v>
      </c>
      <c r="W547" s="4">
        <f>VLOOKUP(A547,[9]Sheet1!$A:$M,10,0)</f>
        <v>50</v>
      </c>
      <c r="X547" s="4">
        <f>VLOOKUP(A547,[9]Sheet1!$A:$M,11,0)</f>
        <v>50</v>
      </c>
      <c r="Y547" s="4">
        <f>VLOOKUP(A547,[9]Sheet1!$A:$M,12,0)</f>
        <v>50</v>
      </c>
      <c r="Z547" s="4">
        <f>VLOOKUP(A547,[9]Sheet1!$A:$M,13,0)</f>
        <v>0</v>
      </c>
      <c r="AA547" s="4">
        <f t="shared" si="153"/>
        <v>400</v>
      </c>
      <c r="AB547" s="7">
        <f t="shared" si="154"/>
        <v>33</v>
      </c>
      <c r="AC547" s="15">
        <f t="shared" si="155"/>
        <v>33.333333333333336</v>
      </c>
      <c r="AD547" s="16">
        <f t="shared" si="156"/>
        <v>3196</v>
      </c>
      <c r="AE547" s="16">
        <f t="shared" si="157"/>
        <v>266.33333333333337</v>
      </c>
      <c r="AF547" s="21">
        <v>4.92</v>
      </c>
      <c r="AG547" s="21">
        <v>7.99</v>
      </c>
      <c r="AH547" s="15">
        <f t="shared" si="158"/>
        <v>-0.18160000000000001</v>
      </c>
      <c r="AI547" s="15">
        <f t="shared" si="159"/>
        <v>-0.63559999999999994</v>
      </c>
      <c r="AJ547" s="10">
        <v>0.5</v>
      </c>
      <c r="AK547" s="10">
        <v>0.5</v>
      </c>
      <c r="AL547" s="21">
        <v>4.92</v>
      </c>
      <c r="AM547" s="9">
        <f t="shared" si="142"/>
        <v>1.1984999999999999</v>
      </c>
      <c r="AN547" s="9">
        <f t="shared" si="143"/>
        <v>0.2397</v>
      </c>
      <c r="AO547" s="9">
        <f t="shared" si="144"/>
        <v>1.5980000000000001</v>
      </c>
      <c r="AP547" s="9">
        <f t="shared" si="145"/>
        <v>0.1598</v>
      </c>
      <c r="AQ547" s="9">
        <f t="shared" si="146"/>
        <v>1.5980000000000001</v>
      </c>
      <c r="AR547" s="9">
        <f t="shared" si="147"/>
        <v>1.9975000000000001</v>
      </c>
      <c r="AS547" s="11">
        <f t="shared" si="148"/>
        <v>-1.8160000000000001</v>
      </c>
      <c r="AT547" s="12">
        <f t="shared" si="149"/>
        <v>-2.0823333333333336</v>
      </c>
    </row>
    <row r="548" spans="1:46" ht="16.5" x14ac:dyDescent="0.4">
      <c r="A548" s="4" t="s">
        <v>2492</v>
      </c>
      <c r="B548" s="4" t="s">
        <v>2496</v>
      </c>
      <c r="C548" s="4" t="s">
        <v>2496</v>
      </c>
      <c r="D548" s="4" t="s">
        <v>2497</v>
      </c>
      <c r="E548" s="4" t="s">
        <v>2501</v>
      </c>
      <c r="F548" s="4" t="s">
        <v>2505</v>
      </c>
      <c r="G548" s="7" t="str">
        <f>VLOOKUP(A548,[1]done!$A:$I,9,0)</f>
        <v>All Other products</v>
      </c>
      <c r="H548" s="7" t="str" cm="1">
        <f t="array" ref="H548">_xlfn.IFS(
OR(ISNUMBER(SEARCH("mouse",E548)),ISNUMBER(SEARCH("rat",E548)),ISNUMBER(SEARCH("mice",E548)),ISNUMBER(SEARCH("rodent",E548))),"Rodent Control",
OR(ISNUMBER(SEARCH("fly",E548)),ISNUMBER(SEARCH("gnat",E548)),ISNUMBER(SEARCH("insect",E548)),ISNUMBER(SEARCH("mosquito",E548))),"Flying Insect Control",
OR(ISNUMBER(SEARCH("roach",E548)),ISNUMBER(SEARCH("ant",E548)),ISNUMBER(SEARCH("spider",E548)),ISNUMBER(SEARCH("cricket",E548)),ISNUMBER(SEARCH("scorpion",E548)),ISNUMBER(SEARCH("centipede",E548)),ISNUMBER(SEARCH("beetle",E548))),"Crawling Insect Control",
OR(ISNUMBER(SEARCH("tree",E548)),ISNUMBER(SEARCH("lantern",E548)),ISNUMBER(SEARCH("garden",E548)),ISNUMBER(SEARCH("plant",E548))),"Garden Pest Control",
OR(ISNUMBER(SEARCH("grass seed",E548)),ISNUMBER(SEARCH("seed mix",E548))),"Grass Seed",
OR(ISNUMBER(SEARCH("lawn food",E548)),ISNUMBER(SEARCH("fertilizer",E548))),"Lawn Fertilizer",
OR(ISNUMBER(SEARCH("patch",E548)),ISNUMBER(SEARCH("repair",E548)),ISNUMBER(SEARCH("thick'r",E548)),ISNUMBER(SEARCH("thick'r lawn",E548)),ISNUMBER(SEARCH("rapid grass",E548))),"Lawn Repair",
OR(ISNUMBER(SEARCH("weed",E548)),ISNUMBER(SEARCH("crabgrass",E548))),"Weed Control",
OR(ISNUMBER(SEARCH("fungicide",E548)),ISNUMBER(SEARCH("moss",E548))),"Disease &amp; Moss Control",
OR(ISNUMBER(SEARCH("plant food",E548)),ISNUMBER(SEARCH("miracid",E548))),"Plant Nutrition",
OR(ISNUMBER(SEARCH("perlite",E548))),"Soil Amendment",
OR(ISNUMBER(SEARCH("spreader",E548)),ISNUMBER(SEARCH("sprayer",E548)),ISNUMBER(SEARCH("mower",E548)),ISNUMBER(SEARCH("sweeper",E548)),ISNUMBER(SEARCH("pruner",E548)),ISNUMBER(SEARCH("trimmer",E548)),ISNUMBER(SEARCH("pole saw",E548))),"Garden Equipment",
TRUE,"Other"
)</f>
        <v>Other</v>
      </c>
      <c r="I548" s="7" t="str" cm="1">
        <f t="array" ref="I548">_xlfn.IFS(
OR(ISNUMBER(SEARCH("glue trap",E548)),ISNUMBER(SEARCH("glue board",E548))),"Glue Traps",
OR(ISNUMBER(SEARCH("snap trap",E548)),ISNUMBER(SEARCH("power-kill",E548)),ISNUMBER(SEARCH("wide pedal",E548)),ISNUMBER(SEARCH("metal pedal",E548))),"Snap Traps",
OR(ISNUMBER(SEARCH("electronic",E548)),ISNUMBER(SEARCH("zapper",E548))),"Electronic Traps",
OR(ISNUMBER(SEARCH("live catch",E548)),ISNUMBER(SEARCH("multi-catch",E548)),ISNUMBER(SEARCH("catch &amp; hold",E548)),ISNUMBER(SEARCH("tin cat",E548))),"Live Catch Traps",
OR(ISNUMBER(SEARCH("bait",E548)),ISNUMBER(SEARCH("poison",E548))),"Bait &amp; Poison",
ISNUMBER(SEARCH("repellent",E548)),"Repellents",
OR(ISNUMBER(SEARCH("fly trap",E548)),ISNUMBER(SEARCH("fly ribbon",E548)),ISNUMBER(SEARCH("fly stick",E548)),ISNUMBER(SEARCH("window fly",E548)),ISNUMBER(SEARCH("fly magnet",E548))),"Fly Traps",
OR(ISNUMBER(SEARCH("uv",E548)),ISNUMBER(SEARCH("fly light",E548)),ISNUMBER(SEARCH("plug-in",E548))),"UV Fly Traps",
ISNUMBER(SEARCH("roach",E548)),"Roach Traps",
ISNUMBER(SEARCH("ant",E548)),"Ant Traps",
ISNUMBER(SEARCH("spider",E548)),"Spider Traps",
ISNUMBER(SEARCH("mosquito",E548)),"Mosquito Traps",
ISNUMBER(SEARCH("beetle",E548)),"Beetle Traps",
ISNUMBER(SEARCH("lantern",E548)),"Lanternfly Control",
OR(ISNUMBER(SEARCH("tree shield",E548)),ISNUMBER(SEARCH("tree banding",E548)),ISNUMBER(SEARCH("insect barrier",E548))),"Tree Barriers",
OR(ISNUMBER(SEARCH("sun &amp; shade",E548)),ISNUMBER(SEARCH("sun and shade",E548))),"Sun &amp; Shade Mix",
ISNUMBER(SEARCH("tall fescue",E548)),"Tall Fescue",
ISNUMBER(SEARCH("bermudagrass",E548)),"Bermudagrass",
ISNUMBER(SEARCH("kentucky",E548)),"Kentucky Bluegrass",
ISNUMBER(SEARCH("zoysia",E548)),"Zoysia",
ISNUMBER(SEARCH("ryegrass",E548)),"Perennial Ryegrass",
ISNUMBER(SEARCH("centipede",E548)),"Centipede Grass",
ISNUMBER(SEARCH("dense shade",E548)),"Dense Shade Mix",
ISNUMBER(SEARCH("southern gold",E548)),"Southern Gold Mix",
ISNUMBER(SEARCH("heat-tolerant blue",E548)),"Heat-Tolerant Blue Mix",
ISNUMBER(SEARCH("high traffic",E548)),"High Traffic Mix",
ISNUMBER(SEARCH("quick fix",E548)),"Quick Fix Mix",
ISNUMBER(SEARCH("starter",E548)),"Starter Fertilizer",
ISNUMBER(SEARCH("weed &amp; feed",E548)),"Weed &amp; Feed",
ISNUMBER(SEARCH("lawn food",E548)),"Lawn Food",
ISNUMBER(SEARCH("triple action",E548)),"Triple Action Fertilizer",
ISNUMBER(SEARCH("green max",E548)),"Green Max Lawn Food",
ISNUMBER(SEARCH("patchmaster",E548)),"PatchMaster Repair",
ISNUMBER(SEARCH("ez seed",E548)),"EZ Seed Repair",
ISNUMBER(SEARCH("rapid grass",E548)),"Rapid Grass",
ISNUMBER(SEARCH("thick'r lawn",E548)),"Thick'R Lawn",
ISNUMBER(SEARCH("fungicide",E548)),"Fungicide",
ISNUMBER(SEARCH("moss",E548)),"Moss Control",
ISNUMBER(SEARCH("perlite",E548)),"Perlite",
ISNUMBER(SEARCH("plant food",E548)),"Plant Food",
ISNUMBER(SEARCH("spreader",E548)),"Spreader",
ISNUMBER(SEARCH("sprayer",E548)),"Sprayer",
ISNUMBER(SEARCH("mower",E548)),"Lawn Mower",
ISNUMBER(SEARCH("sweeper",E548)),"Lawn Sweeper",
OR(ISNUMBER(SEARCH("pruner",E548)),ISNUMBER(SEARCH("trimmer",E548)),ISNUMBER(SEARCH("pole saw",E548))),"Pruning Tools",
TRUE,"Other"
)</f>
        <v>Other</v>
      </c>
      <c r="J548" s="7" t="str">
        <f t="shared" si="140"/>
        <v>Other - Other</v>
      </c>
      <c r="K548" s="4">
        <v>200</v>
      </c>
      <c r="L548" s="4">
        <v>4.4000000000000004</v>
      </c>
      <c r="M548" s="4">
        <v>316</v>
      </c>
      <c r="O548" s="4">
        <f>VLOOKUP(A548,[10]Sheet1!$A:$M,2,0)</f>
        <v>100</v>
      </c>
      <c r="P548" s="4">
        <f>VLOOKUP(A548,[10]Sheet1!$A:$M,3,0)</f>
        <v>100</v>
      </c>
      <c r="Q548" s="4">
        <f>VLOOKUP(A548,[10]Sheet1!$A:$M,4,0)</f>
        <v>200</v>
      </c>
      <c r="R548" s="4">
        <f>VLOOKUP(A548,[10]Sheet1!$A:$M,5,0)</f>
        <v>200</v>
      </c>
      <c r="S548" s="4">
        <f>VLOOKUP(A548,[10]Sheet1!$A:$M,6,0)</f>
        <v>200</v>
      </c>
      <c r="T548" s="4">
        <f>VLOOKUP(A548,[10]Sheet1!$A:$M,7,0)</f>
        <v>300</v>
      </c>
      <c r="U548" s="4">
        <f>VLOOKUP(A548,[10]Sheet1!$A:$M,8,0)</f>
        <v>300</v>
      </c>
      <c r="V548" s="4">
        <f>VLOOKUP(A548,[10]Sheet1!$A:$M,9,0)</f>
        <v>400</v>
      </c>
      <c r="W548" s="4">
        <f>VLOOKUP(A548,[10]Sheet1!$A:$M,10,0)</f>
        <v>300</v>
      </c>
      <c r="X548" s="4">
        <f>VLOOKUP(A548,[10]Sheet1!$A:$M,11,0)</f>
        <v>400</v>
      </c>
      <c r="Y548" s="4">
        <f>VLOOKUP(A548,[10]Sheet1!$A:$M,12,0)</f>
        <v>300</v>
      </c>
      <c r="Z548" s="4">
        <f>VLOOKUP(A548,[10]Sheet1!$A:$M,13,0)</f>
        <v>200</v>
      </c>
      <c r="AA548" s="4">
        <f t="shared" ref="AA548:AA551" si="160">SUM(O548:Z548)</f>
        <v>3000</v>
      </c>
      <c r="AB548" s="7">
        <f t="shared" ref="AB548:AB551" si="161">ROUND(AA548/12,0)</f>
        <v>250</v>
      </c>
      <c r="AC548" s="15">
        <f t="shared" ref="AC548:AC551" si="162">AVERAGE(O548:Z548)</f>
        <v>250</v>
      </c>
      <c r="AD548" s="16">
        <f t="shared" ref="AD548:AD551" si="163">AG548*AA548</f>
        <v>29940</v>
      </c>
      <c r="AE548" s="16">
        <f t="shared" ref="AE548:AE551" si="164">AG548*AC548</f>
        <v>2495</v>
      </c>
      <c r="AF548" s="21">
        <v>3.01</v>
      </c>
      <c r="AG548" s="21">
        <v>9.98</v>
      </c>
      <c r="AH548" s="15">
        <f t="shared" si="158"/>
        <v>-1.1999999999999715E-3</v>
      </c>
      <c r="AI548" s="15">
        <f t="shared" si="159"/>
        <v>-4.1999999999999E-3</v>
      </c>
      <c r="AJ548" s="10">
        <v>0.5</v>
      </c>
      <c r="AK548" s="10">
        <v>0.5</v>
      </c>
      <c r="AL548" s="21">
        <v>3.01</v>
      </c>
      <c r="AM548" s="9">
        <f t="shared" si="142"/>
        <v>1.4970000000000001</v>
      </c>
      <c r="AN548" s="9">
        <f t="shared" si="143"/>
        <v>0.2994</v>
      </c>
      <c r="AO548" s="9">
        <f t="shared" si="144"/>
        <v>1.9960000000000002</v>
      </c>
      <c r="AP548" s="9">
        <f t="shared" si="145"/>
        <v>0.1996</v>
      </c>
      <c r="AQ548" s="9">
        <f t="shared" si="146"/>
        <v>1.9960000000000002</v>
      </c>
      <c r="AR548" s="9">
        <f t="shared" si="147"/>
        <v>2.4950000000000001</v>
      </c>
      <c r="AS548" s="11">
        <f t="shared" si="148"/>
        <v>-1.1999999999999714E-2</v>
      </c>
      <c r="AT548" s="12">
        <f t="shared" si="149"/>
        <v>-0.34466666666666629</v>
      </c>
    </row>
    <row r="549" spans="1:46" ht="16.5" x14ac:dyDescent="0.4">
      <c r="A549" s="4" t="s">
        <v>2493</v>
      </c>
      <c r="B549" s="4" t="s">
        <v>2496</v>
      </c>
      <c r="C549" s="4" t="s">
        <v>2496</v>
      </c>
      <c r="D549" s="4" t="s">
        <v>2498</v>
      </c>
      <c r="E549" s="4" t="s">
        <v>2502</v>
      </c>
      <c r="F549" s="4" t="s">
        <v>2506</v>
      </c>
      <c r="G549" s="7" t="str">
        <f>VLOOKUP(A549,[1]done!$A:$I,9,0)</f>
        <v>Rodent</v>
      </c>
      <c r="H549" s="7" t="str" cm="1">
        <f t="array" ref="H549">_xlfn.IFS(
OR(ISNUMBER(SEARCH("mouse",E549)),ISNUMBER(SEARCH("rat",E549)),ISNUMBER(SEARCH("mice",E549)),ISNUMBER(SEARCH("rodent",E549))),"Rodent Control",
OR(ISNUMBER(SEARCH("fly",E549)),ISNUMBER(SEARCH("gnat",E549)),ISNUMBER(SEARCH("insect",E549)),ISNUMBER(SEARCH("mosquito",E549))),"Flying Insect Control",
OR(ISNUMBER(SEARCH("roach",E549)),ISNUMBER(SEARCH("ant",E549)),ISNUMBER(SEARCH("spider",E549)),ISNUMBER(SEARCH("cricket",E549)),ISNUMBER(SEARCH("scorpion",E549)),ISNUMBER(SEARCH("centipede",E549)),ISNUMBER(SEARCH("beetle",E549))),"Crawling Insect Control",
OR(ISNUMBER(SEARCH("tree",E549)),ISNUMBER(SEARCH("lantern",E549)),ISNUMBER(SEARCH("garden",E549)),ISNUMBER(SEARCH("plant",E549))),"Garden Pest Control",
OR(ISNUMBER(SEARCH("grass seed",E549)),ISNUMBER(SEARCH("seed mix",E549))),"Grass Seed",
OR(ISNUMBER(SEARCH("lawn food",E549)),ISNUMBER(SEARCH("fertilizer",E549))),"Lawn Fertilizer",
OR(ISNUMBER(SEARCH("patch",E549)),ISNUMBER(SEARCH("repair",E549)),ISNUMBER(SEARCH("thick'r",E549)),ISNUMBER(SEARCH("thick'r lawn",E549)),ISNUMBER(SEARCH("rapid grass",E549))),"Lawn Repair",
OR(ISNUMBER(SEARCH("weed",E549)),ISNUMBER(SEARCH("crabgrass",E549))),"Weed Control",
OR(ISNUMBER(SEARCH("fungicide",E549)),ISNUMBER(SEARCH("moss",E549))),"Disease &amp; Moss Control",
OR(ISNUMBER(SEARCH("plant food",E549)),ISNUMBER(SEARCH("miracid",E549))),"Plant Nutrition",
OR(ISNUMBER(SEARCH("perlite",E549))),"Soil Amendment",
OR(ISNUMBER(SEARCH("spreader",E549)),ISNUMBER(SEARCH("sprayer",E549)),ISNUMBER(SEARCH("mower",E549)),ISNUMBER(SEARCH("sweeper",E549)),ISNUMBER(SEARCH("pruner",E549)),ISNUMBER(SEARCH("trimmer",E549)),ISNUMBER(SEARCH("pole saw",E549))),"Garden Equipment",
TRUE,"Other"
)</f>
        <v>Rodent Control</v>
      </c>
      <c r="I549" s="7" t="str" cm="1">
        <f t="array" ref="I549">_xlfn.IFS(
OR(ISNUMBER(SEARCH("glue trap",E549)),ISNUMBER(SEARCH("glue board",E549))),"Glue Traps",
OR(ISNUMBER(SEARCH("snap trap",E549)),ISNUMBER(SEARCH("power-kill",E549)),ISNUMBER(SEARCH("wide pedal",E549)),ISNUMBER(SEARCH("metal pedal",E549))),"Snap Traps",
OR(ISNUMBER(SEARCH("electronic",E549)),ISNUMBER(SEARCH("zapper",E549))),"Electronic Traps",
OR(ISNUMBER(SEARCH("live catch",E549)),ISNUMBER(SEARCH("multi-catch",E549)),ISNUMBER(SEARCH("catch &amp; hold",E549)),ISNUMBER(SEARCH("tin cat",E549))),"Live Catch Traps",
OR(ISNUMBER(SEARCH("bait",E549)),ISNUMBER(SEARCH("poison",E549))),"Bait &amp; Poison",
ISNUMBER(SEARCH("repellent",E549)),"Repellents",
OR(ISNUMBER(SEARCH("fly trap",E549)),ISNUMBER(SEARCH("fly ribbon",E549)),ISNUMBER(SEARCH("fly stick",E549)),ISNUMBER(SEARCH("window fly",E549)),ISNUMBER(SEARCH("fly magnet",E549))),"Fly Traps",
OR(ISNUMBER(SEARCH("uv",E549)),ISNUMBER(SEARCH("fly light",E549)),ISNUMBER(SEARCH("plug-in",E549))),"UV Fly Traps",
ISNUMBER(SEARCH("roach",E549)),"Roach Traps",
ISNUMBER(SEARCH("ant",E549)),"Ant Traps",
ISNUMBER(SEARCH("spider",E549)),"Spider Traps",
ISNUMBER(SEARCH("mosquito",E549)),"Mosquito Traps",
ISNUMBER(SEARCH("beetle",E549)),"Beetle Traps",
ISNUMBER(SEARCH("lantern",E549)),"Lanternfly Control",
OR(ISNUMBER(SEARCH("tree shield",E549)),ISNUMBER(SEARCH("tree banding",E549)),ISNUMBER(SEARCH("insect barrier",E549))),"Tree Barriers",
OR(ISNUMBER(SEARCH("sun &amp; shade",E549)),ISNUMBER(SEARCH("sun and shade",E549))),"Sun &amp; Shade Mix",
ISNUMBER(SEARCH("tall fescue",E549)),"Tall Fescue",
ISNUMBER(SEARCH("bermudagrass",E549)),"Bermudagrass",
ISNUMBER(SEARCH("kentucky",E549)),"Kentucky Bluegrass",
ISNUMBER(SEARCH("zoysia",E549)),"Zoysia",
ISNUMBER(SEARCH("ryegrass",E549)),"Perennial Ryegrass",
ISNUMBER(SEARCH("centipede",E549)),"Centipede Grass",
ISNUMBER(SEARCH("dense shade",E549)),"Dense Shade Mix",
ISNUMBER(SEARCH("southern gold",E549)),"Southern Gold Mix",
ISNUMBER(SEARCH("heat-tolerant blue",E549)),"Heat-Tolerant Blue Mix",
ISNUMBER(SEARCH("high traffic",E549)),"High Traffic Mix",
ISNUMBER(SEARCH("quick fix",E549)),"Quick Fix Mix",
ISNUMBER(SEARCH("starter",E549)),"Starter Fertilizer",
ISNUMBER(SEARCH("weed &amp; feed",E549)),"Weed &amp; Feed",
ISNUMBER(SEARCH("lawn food",E549)),"Lawn Food",
ISNUMBER(SEARCH("triple action",E549)),"Triple Action Fertilizer",
ISNUMBER(SEARCH("green max",E549)),"Green Max Lawn Food",
ISNUMBER(SEARCH("patchmaster",E549)),"PatchMaster Repair",
ISNUMBER(SEARCH("ez seed",E549)),"EZ Seed Repair",
ISNUMBER(SEARCH("rapid grass",E549)),"Rapid Grass",
ISNUMBER(SEARCH("thick'r lawn",E549)),"Thick'R Lawn",
ISNUMBER(SEARCH("fungicide",E549)),"Fungicide",
ISNUMBER(SEARCH("moss",E549)),"Moss Control",
ISNUMBER(SEARCH("perlite",E549)),"Perlite",
ISNUMBER(SEARCH("plant food",E549)),"Plant Food",
ISNUMBER(SEARCH("spreader",E549)),"Spreader",
ISNUMBER(SEARCH("sprayer",E549)),"Sprayer",
ISNUMBER(SEARCH("mower",E549)),"Lawn Mower",
ISNUMBER(SEARCH("sweeper",E549)),"Lawn Sweeper",
OR(ISNUMBER(SEARCH("pruner",E549)),ISNUMBER(SEARCH("trimmer",E549)),ISNUMBER(SEARCH("pole saw",E549))),"Pruning Tools",
TRUE,"Other"
)</f>
        <v>Repellents</v>
      </c>
      <c r="J549" s="7" t="str">
        <f t="shared" ref="J549:J556" si="165">H549&amp;" - "&amp;I549</f>
        <v>Rodent Control - Repellents</v>
      </c>
      <c r="K549" s="4">
        <v>50</v>
      </c>
      <c r="L549" s="4">
        <v>3.9</v>
      </c>
      <c r="M549" s="4">
        <v>281</v>
      </c>
      <c r="N549" s="4" t="s">
        <v>1527</v>
      </c>
      <c r="O549" s="4">
        <f>VLOOKUP(A549,[10]Sheet1!$A:$M,2,0)</f>
        <v>200</v>
      </c>
      <c r="P549" s="4">
        <f>VLOOKUP(A549,[10]Sheet1!$A:$M,3,0)</f>
        <v>50</v>
      </c>
      <c r="Q549" s="4">
        <f>VLOOKUP(A549,[10]Sheet1!$A:$M,4,0)</f>
        <v>100</v>
      </c>
      <c r="R549" s="4">
        <f>VLOOKUP(A549,[10]Sheet1!$A:$M,5,0)</f>
        <v>100</v>
      </c>
      <c r="S549" s="4">
        <f>VLOOKUP(A549,[10]Sheet1!$A:$M,6,0)</f>
        <v>100</v>
      </c>
      <c r="T549" s="4">
        <f>VLOOKUP(A549,[10]Sheet1!$A:$M,7,0)</f>
        <v>50</v>
      </c>
      <c r="U549" s="4">
        <f>VLOOKUP(A549,[10]Sheet1!$A:$M,8,0)</f>
        <v>50</v>
      </c>
      <c r="V549" s="4">
        <f>VLOOKUP(A549,[10]Sheet1!$A:$M,9,0)</f>
        <v>50</v>
      </c>
      <c r="W549" s="4">
        <f>VLOOKUP(A549,[10]Sheet1!$A:$M,10,0)</f>
        <v>50</v>
      </c>
      <c r="X549" s="4">
        <f>VLOOKUP(A549,[10]Sheet1!$A:$M,11,0)</f>
        <v>300</v>
      </c>
      <c r="Y549" s="4">
        <f>VLOOKUP(A549,[10]Sheet1!$A:$M,12,0)</f>
        <v>200</v>
      </c>
      <c r="Z549" s="4">
        <f>VLOOKUP(A549,[10]Sheet1!$A:$M,13,0)</f>
        <v>200</v>
      </c>
      <c r="AA549" s="4">
        <f t="shared" si="160"/>
        <v>1450</v>
      </c>
      <c r="AB549" s="7">
        <f t="shared" si="161"/>
        <v>121</v>
      </c>
      <c r="AC549" s="15">
        <f t="shared" si="162"/>
        <v>120.83333333333333</v>
      </c>
      <c r="AD549" s="16">
        <f t="shared" si="163"/>
        <v>40571</v>
      </c>
      <c r="AE549" s="16">
        <f t="shared" si="164"/>
        <v>3380.9166666666665</v>
      </c>
      <c r="AF549" s="21">
        <v>4.3499999999999996</v>
      </c>
      <c r="AG549" s="21">
        <v>27.98</v>
      </c>
      <c r="AH549" s="15">
        <f t="shared" si="158"/>
        <v>0.38946666666666674</v>
      </c>
      <c r="AI549" s="15">
        <f t="shared" si="159"/>
        <v>1.3631333333333335</v>
      </c>
      <c r="AJ549" s="10">
        <v>0.5</v>
      </c>
      <c r="AK549" s="10">
        <v>0.5</v>
      </c>
      <c r="AL549" s="21">
        <v>4.3499999999999996</v>
      </c>
      <c r="AM549" s="9">
        <f t="shared" si="142"/>
        <v>4.1970000000000001</v>
      </c>
      <c r="AN549" s="9">
        <f t="shared" si="143"/>
        <v>0.83940000000000003</v>
      </c>
      <c r="AO549" s="9">
        <f t="shared" si="144"/>
        <v>5.5960000000000001</v>
      </c>
      <c r="AP549" s="9">
        <f t="shared" si="145"/>
        <v>0.55959999999999999</v>
      </c>
      <c r="AQ549" s="9">
        <f t="shared" si="146"/>
        <v>5.5960000000000001</v>
      </c>
      <c r="AR549" s="9">
        <f t="shared" si="147"/>
        <v>6.9950000000000001</v>
      </c>
      <c r="AS549" s="11">
        <f t="shared" si="148"/>
        <v>3.8946666666666672</v>
      </c>
      <c r="AT549" s="12">
        <f t="shared" si="149"/>
        <v>2.9620000000000002</v>
      </c>
    </row>
    <row r="550" spans="1:46" ht="16.5" x14ac:dyDescent="0.4">
      <c r="A550" s="4" t="s">
        <v>2494</v>
      </c>
      <c r="B550" s="4" t="s">
        <v>2496</v>
      </c>
      <c r="C550" s="4" t="s">
        <v>2496</v>
      </c>
      <c r="D550" s="4" t="s">
        <v>2499</v>
      </c>
      <c r="E550" s="4" t="s">
        <v>2503</v>
      </c>
      <c r="F550" s="4" t="s">
        <v>2507</v>
      </c>
      <c r="G550" s="7" t="str">
        <f>VLOOKUP(A550,[1]done!$A:$I,9,0)</f>
        <v>Rodent</v>
      </c>
      <c r="H550" s="7" t="str" cm="1">
        <f t="array" ref="H550">_xlfn.IFS(
OR(ISNUMBER(SEARCH("mouse",E550)),ISNUMBER(SEARCH("rat",E550)),ISNUMBER(SEARCH("mice",E550)),ISNUMBER(SEARCH("rodent",E550))),"Rodent Control",
OR(ISNUMBER(SEARCH("fly",E550)),ISNUMBER(SEARCH("gnat",E550)),ISNUMBER(SEARCH("insect",E550)),ISNUMBER(SEARCH("mosquito",E550))),"Flying Insect Control",
OR(ISNUMBER(SEARCH("roach",E550)),ISNUMBER(SEARCH("ant",E550)),ISNUMBER(SEARCH("spider",E550)),ISNUMBER(SEARCH("cricket",E550)),ISNUMBER(SEARCH("scorpion",E550)),ISNUMBER(SEARCH("centipede",E550)),ISNUMBER(SEARCH("beetle",E550))),"Crawling Insect Control",
OR(ISNUMBER(SEARCH("tree",E550)),ISNUMBER(SEARCH("lantern",E550)),ISNUMBER(SEARCH("garden",E550)),ISNUMBER(SEARCH("plant",E550))),"Garden Pest Control",
OR(ISNUMBER(SEARCH("grass seed",E550)),ISNUMBER(SEARCH("seed mix",E550))),"Grass Seed",
OR(ISNUMBER(SEARCH("lawn food",E550)),ISNUMBER(SEARCH("fertilizer",E550))),"Lawn Fertilizer",
OR(ISNUMBER(SEARCH("patch",E550)),ISNUMBER(SEARCH("repair",E550)),ISNUMBER(SEARCH("thick'r",E550)),ISNUMBER(SEARCH("thick'r lawn",E550)),ISNUMBER(SEARCH("rapid grass",E550))),"Lawn Repair",
OR(ISNUMBER(SEARCH("weed",E550)),ISNUMBER(SEARCH("crabgrass",E550))),"Weed Control",
OR(ISNUMBER(SEARCH("fungicide",E550)),ISNUMBER(SEARCH("moss",E550))),"Disease &amp; Moss Control",
OR(ISNUMBER(SEARCH("plant food",E550)),ISNUMBER(SEARCH("miracid",E550))),"Plant Nutrition",
OR(ISNUMBER(SEARCH("perlite",E550))),"Soil Amendment",
OR(ISNUMBER(SEARCH("spreader",E550)),ISNUMBER(SEARCH("sprayer",E550)),ISNUMBER(SEARCH("mower",E550)),ISNUMBER(SEARCH("sweeper",E550)),ISNUMBER(SEARCH("pruner",E550)),ISNUMBER(SEARCH("trimmer",E550)),ISNUMBER(SEARCH("pole saw",E550))),"Garden Equipment",
TRUE,"Other"
)</f>
        <v>Rodent Control</v>
      </c>
      <c r="I550" s="7" t="str" cm="1">
        <f t="array" ref="I550">_xlfn.IFS(
OR(ISNUMBER(SEARCH("glue trap",E550)),ISNUMBER(SEARCH("glue board",E550))),"Glue Traps",
OR(ISNUMBER(SEARCH("snap trap",E550)),ISNUMBER(SEARCH("power-kill",E550)),ISNUMBER(SEARCH("wide pedal",E550)),ISNUMBER(SEARCH("metal pedal",E550))),"Snap Traps",
OR(ISNUMBER(SEARCH("electronic",E550)),ISNUMBER(SEARCH("zapper",E550))),"Electronic Traps",
OR(ISNUMBER(SEARCH("live catch",E550)),ISNUMBER(SEARCH("multi-catch",E550)),ISNUMBER(SEARCH("catch &amp; hold",E550)),ISNUMBER(SEARCH("tin cat",E550))),"Live Catch Traps",
OR(ISNUMBER(SEARCH("bait",E550)),ISNUMBER(SEARCH("poison",E550))),"Bait &amp; Poison",
ISNUMBER(SEARCH("repellent",E550)),"Repellents",
OR(ISNUMBER(SEARCH("fly trap",E550)),ISNUMBER(SEARCH("fly ribbon",E550)),ISNUMBER(SEARCH("fly stick",E550)),ISNUMBER(SEARCH("window fly",E550)),ISNUMBER(SEARCH("fly magnet",E550))),"Fly Traps",
OR(ISNUMBER(SEARCH("uv",E550)),ISNUMBER(SEARCH("fly light",E550)),ISNUMBER(SEARCH("plug-in",E550))),"UV Fly Traps",
ISNUMBER(SEARCH("roach",E550)),"Roach Traps",
ISNUMBER(SEARCH("ant",E550)),"Ant Traps",
ISNUMBER(SEARCH("spider",E550)),"Spider Traps",
ISNUMBER(SEARCH("mosquito",E550)),"Mosquito Traps",
ISNUMBER(SEARCH("beetle",E550)),"Beetle Traps",
ISNUMBER(SEARCH("lantern",E550)),"Lanternfly Control",
OR(ISNUMBER(SEARCH("tree shield",E550)),ISNUMBER(SEARCH("tree banding",E550)),ISNUMBER(SEARCH("insect barrier",E550))),"Tree Barriers",
OR(ISNUMBER(SEARCH("sun &amp; shade",E550)),ISNUMBER(SEARCH("sun and shade",E550))),"Sun &amp; Shade Mix",
ISNUMBER(SEARCH("tall fescue",E550)),"Tall Fescue",
ISNUMBER(SEARCH("bermudagrass",E550)),"Bermudagrass",
ISNUMBER(SEARCH("kentucky",E550)),"Kentucky Bluegrass",
ISNUMBER(SEARCH("zoysia",E550)),"Zoysia",
ISNUMBER(SEARCH("ryegrass",E550)),"Perennial Ryegrass",
ISNUMBER(SEARCH("centipede",E550)),"Centipede Grass",
ISNUMBER(SEARCH("dense shade",E550)),"Dense Shade Mix",
ISNUMBER(SEARCH("southern gold",E550)),"Southern Gold Mix",
ISNUMBER(SEARCH("heat-tolerant blue",E550)),"Heat-Tolerant Blue Mix",
ISNUMBER(SEARCH("high traffic",E550)),"High Traffic Mix",
ISNUMBER(SEARCH("quick fix",E550)),"Quick Fix Mix",
ISNUMBER(SEARCH("starter",E550)),"Starter Fertilizer",
ISNUMBER(SEARCH("weed &amp; feed",E550)),"Weed &amp; Feed",
ISNUMBER(SEARCH("lawn food",E550)),"Lawn Food",
ISNUMBER(SEARCH("triple action",E550)),"Triple Action Fertilizer",
ISNUMBER(SEARCH("green max",E550)),"Green Max Lawn Food",
ISNUMBER(SEARCH("patchmaster",E550)),"PatchMaster Repair",
ISNUMBER(SEARCH("ez seed",E550)),"EZ Seed Repair",
ISNUMBER(SEARCH("rapid grass",E550)),"Rapid Grass",
ISNUMBER(SEARCH("thick'r lawn",E550)),"Thick'R Lawn",
ISNUMBER(SEARCH("fungicide",E550)),"Fungicide",
ISNUMBER(SEARCH("moss",E550)),"Moss Control",
ISNUMBER(SEARCH("perlite",E550)),"Perlite",
ISNUMBER(SEARCH("plant food",E550)),"Plant Food",
ISNUMBER(SEARCH("spreader",E550)),"Spreader",
ISNUMBER(SEARCH("sprayer",E550)),"Sprayer",
ISNUMBER(SEARCH("mower",E550)),"Lawn Mower",
ISNUMBER(SEARCH("sweeper",E550)),"Lawn Sweeper",
OR(ISNUMBER(SEARCH("pruner",E550)),ISNUMBER(SEARCH("trimmer",E550)),ISNUMBER(SEARCH("pole saw",E550))),"Pruning Tools",
TRUE,"Other"
)</f>
        <v>Bait &amp; Poison</v>
      </c>
      <c r="J550" s="7" t="str">
        <f t="shared" si="165"/>
        <v>Rodent Control - Bait &amp; Poison</v>
      </c>
      <c r="K550" s="4">
        <v>50</v>
      </c>
      <c r="L550" s="4">
        <v>4.3</v>
      </c>
      <c r="M550" s="4">
        <v>60</v>
      </c>
      <c r="N550" s="4" t="s">
        <v>2509</v>
      </c>
      <c r="O550" s="4">
        <f>VLOOKUP(A550,[10]Sheet1!$A:$M,2,0)</f>
        <v>50</v>
      </c>
      <c r="P550" s="4">
        <f>VLOOKUP(A550,[10]Sheet1!$A:$M,3,0)</f>
        <v>0</v>
      </c>
      <c r="Q550" s="4">
        <f>VLOOKUP(A550,[10]Sheet1!$A:$M,4,0)</f>
        <v>0</v>
      </c>
      <c r="R550" s="4">
        <f>VLOOKUP(A550,[10]Sheet1!$A:$M,5,0)</f>
        <v>50</v>
      </c>
      <c r="S550" s="4">
        <f>VLOOKUP(A550,[10]Sheet1!$A:$M,6,0)</f>
        <v>50</v>
      </c>
      <c r="T550" s="4">
        <f>VLOOKUP(A550,[10]Sheet1!$A:$M,7,0)</f>
        <v>50</v>
      </c>
      <c r="U550" s="4">
        <f>VLOOKUP(A550,[10]Sheet1!$A:$M,8,0)</f>
        <v>0</v>
      </c>
      <c r="V550" s="4">
        <f>VLOOKUP(A550,[10]Sheet1!$A:$M,9,0)</f>
        <v>50</v>
      </c>
      <c r="W550" s="4">
        <f>VLOOKUP(A550,[10]Sheet1!$A:$M,10,0)</f>
        <v>0</v>
      </c>
      <c r="X550" s="4">
        <f>VLOOKUP(A550,[10]Sheet1!$A:$M,11,0)</f>
        <v>50</v>
      </c>
      <c r="Y550" s="4">
        <f>VLOOKUP(A550,[10]Sheet1!$A:$M,12,0)</f>
        <v>100</v>
      </c>
      <c r="Z550" s="4">
        <f>VLOOKUP(A550,[10]Sheet1!$A:$M,13,0)</f>
        <v>50</v>
      </c>
      <c r="AA550" s="4">
        <f t="shared" si="160"/>
        <v>450</v>
      </c>
      <c r="AB550" s="7">
        <f t="shared" si="161"/>
        <v>38</v>
      </c>
      <c r="AC550" s="15">
        <f t="shared" si="162"/>
        <v>37.5</v>
      </c>
      <c r="AD550" s="16">
        <f t="shared" si="163"/>
        <v>8545.5</v>
      </c>
      <c r="AE550" s="16">
        <f t="shared" si="164"/>
        <v>712.12499999999989</v>
      </c>
      <c r="AF550" s="21">
        <v>5.76</v>
      </c>
      <c r="AG550" s="21">
        <v>18.989999999999998</v>
      </c>
      <c r="AH550" s="15">
        <f t="shared" si="158"/>
        <v>5.5733333333333239E-2</v>
      </c>
      <c r="AI550" s="15">
        <f t="shared" si="159"/>
        <v>0.19506666666666631</v>
      </c>
      <c r="AJ550" s="10">
        <v>0.5</v>
      </c>
      <c r="AK550" s="10">
        <v>0.5</v>
      </c>
      <c r="AL550" s="21">
        <v>5.76</v>
      </c>
      <c r="AM550" s="9">
        <f t="shared" si="142"/>
        <v>2.8484999999999996</v>
      </c>
      <c r="AN550" s="9">
        <f t="shared" si="143"/>
        <v>0.56969999999999998</v>
      </c>
      <c r="AO550" s="9">
        <f t="shared" si="144"/>
        <v>3.798</v>
      </c>
      <c r="AP550" s="9">
        <f t="shared" si="145"/>
        <v>0.37979999999999997</v>
      </c>
      <c r="AQ550" s="9">
        <f t="shared" si="146"/>
        <v>3.798</v>
      </c>
      <c r="AR550" s="9">
        <f t="shared" si="147"/>
        <v>4.7474999999999996</v>
      </c>
      <c r="AS550" s="11">
        <f t="shared" si="148"/>
        <v>0.55733333333333235</v>
      </c>
      <c r="AT550" s="12">
        <f t="shared" si="149"/>
        <v>-7.5666666666667368E-2</v>
      </c>
    </row>
    <row r="551" spans="1:46" ht="16.5" x14ac:dyDescent="0.4">
      <c r="A551" s="4" t="s">
        <v>2495</v>
      </c>
      <c r="B551" s="4" t="s">
        <v>2496</v>
      </c>
      <c r="C551" s="4" t="s">
        <v>2496</v>
      </c>
      <c r="D551" s="4" t="s">
        <v>2500</v>
      </c>
      <c r="E551" s="4" t="s">
        <v>2504</v>
      </c>
      <c r="F551" s="4" t="s">
        <v>2508</v>
      </c>
      <c r="G551" s="7" t="str">
        <f>VLOOKUP(A551,[1]done!$A:$I,9,0)</f>
        <v>Cockroach</v>
      </c>
      <c r="H551" s="7" t="str" cm="1">
        <f t="array" ref="H551">_xlfn.IFS(
OR(ISNUMBER(SEARCH("mouse",E551)),ISNUMBER(SEARCH("rat",E551)),ISNUMBER(SEARCH("mice",E551)),ISNUMBER(SEARCH("rodent",E551))),"Rodent Control",
OR(ISNUMBER(SEARCH("fly",E551)),ISNUMBER(SEARCH("gnat",E551)),ISNUMBER(SEARCH("insect",E551)),ISNUMBER(SEARCH("mosquito",E551))),"Flying Insect Control",
OR(ISNUMBER(SEARCH("roach",E551)),ISNUMBER(SEARCH("ant",E551)),ISNUMBER(SEARCH("spider",E551)),ISNUMBER(SEARCH("cricket",E551)),ISNUMBER(SEARCH("scorpion",E551)),ISNUMBER(SEARCH("centipede",E551)),ISNUMBER(SEARCH("beetle",E551))),"Crawling Insect Control",
OR(ISNUMBER(SEARCH("tree",E551)),ISNUMBER(SEARCH("lantern",E551)),ISNUMBER(SEARCH("garden",E551)),ISNUMBER(SEARCH("plant",E551))),"Garden Pest Control",
OR(ISNUMBER(SEARCH("grass seed",E551)),ISNUMBER(SEARCH("seed mix",E551))),"Grass Seed",
OR(ISNUMBER(SEARCH("lawn food",E551)),ISNUMBER(SEARCH("fertilizer",E551))),"Lawn Fertilizer",
OR(ISNUMBER(SEARCH("patch",E551)),ISNUMBER(SEARCH("repair",E551)),ISNUMBER(SEARCH("thick'r",E551)),ISNUMBER(SEARCH("thick'r lawn",E551)),ISNUMBER(SEARCH("rapid grass",E551))),"Lawn Repair",
OR(ISNUMBER(SEARCH("weed",E551)),ISNUMBER(SEARCH("crabgrass",E551))),"Weed Control",
OR(ISNUMBER(SEARCH("fungicide",E551)),ISNUMBER(SEARCH("moss",E551))),"Disease &amp; Moss Control",
OR(ISNUMBER(SEARCH("plant food",E551)),ISNUMBER(SEARCH("miracid",E551))),"Plant Nutrition",
OR(ISNUMBER(SEARCH("perlite",E551))),"Soil Amendment",
OR(ISNUMBER(SEARCH("spreader",E551)),ISNUMBER(SEARCH("sprayer",E551)),ISNUMBER(SEARCH("mower",E551)),ISNUMBER(SEARCH("sweeper",E551)),ISNUMBER(SEARCH("pruner",E551)),ISNUMBER(SEARCH("trimmer",E551)),ISNUMBER(SEARCH("pole saw",E551))),"Garden Equipment",
TRUE,"Other"
)</f>
        <v>Flying Insect Control</v>
      </c>
      <c r="I551" s="7" t="str" cm="1">
        <f t="array" ref="I551">_xlfn.IFS(
OR(ISNUMBER(SEARCH("glue trap",E551)),ISNUMBER(SEARCH("glue board",E551))),"Glue Traps",
OR(ISNUMBER(SEARCH("snap trap",E551)),ISNUMBER(SEARCH("power-kill",E551)),ISNUMBER(SEARCH("wide pedal",E551)),ISNUMBER(SEARCH("metal pedal",E551))),"Snap Traps",
OR(ISNUMBER(SEARCH("electronic",E551)),ISNUMBER(SEARCH("zapper",E551))),"Electronic Traps",
OR(ISNUMBER(SEARCH("live catch",E551)),ISNUMBER(SEARCH("multi-catch",E551)),ISNUMBER(SEARCH("catch &amp; hold",E551)),ISNUMBER(SEARCH("tin cat",E551))),"Live Catch Traps",
OR(ISNUMBER(SEARCH("bait",E551)),ISNUMBER(SEARCH("poison",E551))),"Bait &amp; Poison",
ISNUMBER(SEARCH("repellent",E551)),"Repellents",
OR(ISNUMBER(SEARCH("fly trap",E551)),ISNUMBER(SEARCH("fly ribbon",E551)),ISNUMBER(SEARCH("fly stick",E551)),ISNUMBER(SEARCH("window fly",E551)),ISNUMBER(SEARCH("fly magnet",E551))),"Fly Traps",
OR(ISNUMBER(SEARCH("uv",E551)),ISNUMBER(SEARCH("fly light",E551)),ISNUMBER(SEARCH("plug-in",E551))),"UV Fly Traps",
ISNUMBER(SEARCH("roach",E551)),"Roach Traps",
ISNUMBER(SEARCH("ant",E551)),"Ant Traps",
ISNUMBER(SEARCH("spider",E551)),"Spider Traps",
ISNUMBER(SEARCH("mosquito",E551)),"Mosquito Traps",
ISNUMBER(SEARCH("beetle",E551)),"Beetle Traps",
ISNUMBER(SEARCH("lantern",E551)),"Lanternfly Control",
OR(ISNUMBER(SEARCH("tree shield",E551)),ISNUMBER(SEARCH("tree banding",E551)),ISNUMBER(SEARCH("insect barrier",E551))),"Tree Barriers",
OR(ISNUMBER(SEARCH("sun &amp; shade",E551)),ISNUMBER(SEARCH("sun and shade",E551))),"Sun &amp; Shade Mix",
ISNUMBER(SEARCH("tall fescue",E551)),"Tall Fescue",
ISNUMBER(SEARCH("bermudagrass",E551)),"Bermudagrass",
ISNUMBER(SEARCH("kentucky",E551)),"Kentucky Bluegrass",
ISNUMBER(SEARCH("zoysia",E551)),"Zoysia",
ISNUMBER(SEARCH("ryegrass",E551)),"Perennial Ryegrass",
ISNUMBER(SEARCH("centipede",E551)),"Centipede Grass",
ISNUMBER(SEARCH("dense shade",E551)),"Dense Shade Mix",
ISNUMBER(SEARCH("southern gold",E551)),"Southern Gold Mix",
ISNUMBER(SEARCH("heat-tolerant blue",E551)),"Heat-Tolerant Blue Mix",
ISNUMBER(SEARCH("high traffic",E551)),"High Traffic Mix",
ISNUMBER(SEARCH("quick fix",E551)),"Quick Fix Mix",
ISNUMBER(SEARCH("starter",E551)),"Starter Fertilizer",
ISNUMBER(SEARCH("weed &amp; feed",E551)),"Weed &amp; Feed",
ISNUMBER(SEARCH("lawn food",E551)),"Lawn Food",
ISNUMBER(SEARCH("triple action",E551)),"Triple Action Fertilizer",
ISNUMBER(SEARCH("green max",E551)),"Green Max Lawn Food",
ISNUMBER(SEARCH("patchmaster",E551)),"PatchMaster Repair",
ISNUMBER(SEARCH("ez seed",E551)),"EZ Seed Repair",
ISNUMBER(SEARCH("rapid grass",E551)),"Rapid Grass",
ISNUMBER(SEARCH("thick'r lawn",E551)),"Thick'R Lawn",
ISNUMBER(SEARCH("fungicide",E551)),"Fungicide",
ISNUMBER(SEARCH("moss",E551)),"Moss Control",
ISNUMBER(SEARCH("perlite",E551)),"Perlite",
ISNUMBER(SEARCH("plant food",E551)),"Plant Food",
ISNUMBER(SEARCH("spreader",E551)),"Spreader",
ISNUMBER(SEARCH("sprayer",E551)),"Sprayer",
ISNUMBER(SEARCH("mower",E551)),"Lawn Mower",
ISNUMBER(SEARCH("sweeper",E551)),"Lawn Sweeper",
OR(ISNUMBER(SEARCH("pruner",E551)),ISNUMBER(SEARCH("trimmer",E551)),ISNUMBER(SEARCH("pole saw",E551))),"Pruning Tools",
TRUE,"Other"
)</f>
        <v>Roach Traps</v>
      </c>
      <c r="J551" s="7" t="str">
        <f t="shared" si="165"/>
        <v>Flying Insect Control - Roach Traps</v>
      </c>
      <c r="K551" s="4">
        <v>50</v>
      </c>
      <c r="L551" s="4">
        <v>4</v>
      </c>
      <c r="M551" s="4">
        <v>96</v>
      </c>
      <c r="O551" s="4">
        <f>VLOOKUP(A551,[10]Sheet1!$A:$M,2,0)</f>
        <v>50</v>
      </c>
      <c r="P551" s="4">
        <f>VLOOKUP(A551,[10]Sheet1!$A:$M,3,0)</f>
        <v>50</v>
      </c>
      <c r="Q551" s="4">
        <f>VLOOKUP(A551,[10]Sheet1!$A:$M,4,0)</f>
        <v>100</v>
      </c>
      <c r="R551" s="4">
        <f>VLOOKUP(A551,[10]Sheet1!$A:$M,5,0)</f>
        <v>100</v>
      </c>
      <c r="S551" s="4">
        <f>VLOOKUP(A551,[10]Sheet1!$A:$M,6,0)</f>
        <v>100</v>
      </c>
      <c r="T551" s="4">
        <f>VLOOKUP(A551,[10]Sheet1!$A:$M,7,0)</f>
        <v>50</v>
      </c>
      <c r="U551" s="4">
        <f>VLOOKUP(A551,[10]Sheet1!$A:$M,8,0)</f>
        <v>100</v>
      </c>
      <c r="V551" s="4">
        <f>VLOOKUP(A551,[10]Sheet1!$A:$M,9,0)</f>
        <v>50</v>
      </c>
      <c r="W551" s="4">
        <f>VLOOKUP(A551,[10]Sheet1!$A:$M,10,0)</f>
        <v>50</v>
      </c>
      <c r="X551" s="4">
        <f>VLOOKUP(A551,[10]Sheet1!$A:$M,11,0)</f>
        <v>100</v>
      </c>
      <c r="Y551" s="4">
        <f>VLOOKUP(A551,[10]Sheet1!$A:$M,12,0)</f>
        <v>50</v>
      </c>
      <c r="Z551" s="4">
        <f>VLOOKUP(A551,[10]Sheet1!$A:$M,13,0)</f>
        <v>50</v>
      </c>
      <c r="AA551" s="4">
        <f t="shared" si="160"/>
        <v>850</v>
      </c>
      <c r="AB551" s="7">
        <f t="shared" si="161"/>
        <v>71</v>
      </c>
      <c r="AC551" s="15">
        <f t="shared" si="162"/>
        <v>70.833333333333329</v>
      </c>
      <c r="AD551" s="16">
        <f t="shared" si="163"/>
        <v>21241.5</v>
      </c>
      <c r="AE551" s="16">
        <f t="shared" si="164"/>
        <v>1770.1249999999998</v>
      </c>
      <c r="AF551" s="21">
        <v>5.22</v>
      </c>
      <c r="AG551" s="21">
        <v>24.99</v>
      </c>
      <c r="AH551" s="15">
        <f t="shared" si="158"/>
        <v>0.25173333333333314</v>
      </c>
      <c r="AI551" s="15">
        <f t="shared" si="159"/>
        <v>0.88106666666666589</v>
      </c>
      <c r="AJ551" s="10">
        <v>0.5</v>
      </c>
      <c r="AK551" s="10">
        <v>0.5</v>
      </c>
      <c r="AL551" s="21">
        <v>5.22</v>
      </c>
      <c r="AM551" s="9">
        <f t="shared" si="142"/>
        <v>3.7484999999999995</v>
      </c>
      <c r="AN551" s="9">
        <f t="shared" si="143"/>
        <v>0.74969999999999992</v>
      </c>
      <c r="AO551" s="9">
        <f t="shared" si="144"/>
        <v>4.9980000000000002</v>
      </c>
      <c r="AP551" s="9">
        <f t="shared" si="145"/>
        <v>0.49979999999999997</v>
      </c>
      <c r="AQ551" s="9">
        <f t="shared" si="146"/>
        <v>4.9980000000000002</v>
      </c>
      <c r="AR551" s="9">
        <f t="shared" si="147"/>
        <v>6.2474999999999996</v>
      </c>
      <c r="AS551" s="11">
        <f t="shared" si="148"/>
        <v>2.5173333333333314</v>
      </c>
      <c r="AT551" s="12">
        <f t="shared" si="149"/>
        <v>1.6843333333333319</v>
      </c>
    </row>
    <row r="552" spans="1:46" ht="16.5" x14ac:dyDescent="0.4">
      <c r="A552" s="4" t="s">
        <v>2510</v>
      </c>
      <c r="B552" s="4" t="s">
        <v>2516</v>
      </c>
      <c r="C552" s="4" t="s">
        <v>2517</v>
      </c>
      <c r="D552" s="4" t="s">
        <v>2518</v>
      </c>
      <c r="E552" s="4" t="s">
        <v>2524</v>
      </c>
      <c r="F552" s="4" t="s">
        <v>2530</v>
      </c>
      <c r="G552" s="7" t="str">
        <f>VLOOKUP(A552,[1]done!$A:$I,9,0)</f>
        <v>Cockroach</v>
      </c>
      <c r="H552" s="7" t="str" cm="1">
        <f t="array" ref="H552">_xlfn.IFS(
OR(ISNUMBER(SEARCH("mouse",E552)),ISNUMBER(SEARCH("rat",E552)),ISNUMBER(SEARCH("mice",E552)),ISNUMBER(SEARCH("rodent",E552))),"Rodent Control",
OR(ISNUMBER(SEARCH("fly",E552)),ISNUMBER(SEARCH("gnat",E552)),ISNUMBER(SEARCH("insect",E552)),ISNUMBER(SEARCH("mosquito",E552))),"Flying Insect Control",
OR(ISNUMBER(SEARCH("roach",E552)),ISNUMBER(SEARCH("ant",E552)),ISNUMBER(SEARCH("spider",E552)),ISNUMBER(SEARCH("cricket",E552)),ISNUMBER(SEARCH("scorpion",E552)),ISNUMBER(SEARCH("centipede",E552)),ISNUMBER(SEARCH("beetle",E552))),"Crawling Insect Control",
OR(ISNUMBER(SEARCH("tree",E552)),ISNUMBER(SEARCH("lantern",E552)),ISNUMBER(SEARCH("garden",E552)),ISNUMBER(SEARCH("plant",E552))),"Garden Pest Control",
OR(ISNUMBER(SEARCH("grass seed",E552)),ISNUMBER(SEARCH("seed mix",E552))),"Grass Seed",
OR(ISNUMBER(SEARCH("lawn food",E552)),ISNUMBER(SEARCH("fertilizer",E552))),"Lawn Fertilizer",
OR(ISNUMBER(SEARCH("patch",E552)),ISNUMBER(SEARCH("repair",E552)),ISNUMBER(SEARCH("thick'r",E552)),ISNUMBER(SEARCH("thick'r lawn",E552)),ISNUMBER(SEARCH("rapid grass",E552))),"Lawn Repair",
OR(ISNUMBER(SEARCH("weed",E552)),ISNUMBER(SEARCH("crabgrass",E552))),"Weed Control",
OR(ISNUMBER(SEARCH("fungicide",E552)),ISNUMBER(SEARCH("moss",E552))),"Disease &amp; Moss Control",
OR(ISNUMBER(SEARCH("plant food",E552)),ISNUMBER(SEARCH("miracid",E552))),"Plant Nutrition",
OR(ISNUMBER(SEARCH("perlite",E552))),"Soil Amendment",
OR(ISNUMBER(SEARCH("spreader",E552)),ISNUMBER(SEARCH("sprayer",E552)),ISNUMBER(SEARCH("mower",E552)),ISNUMBER(SEARCH("sweeper",E552)),ISNUMBER(SEARCH("pruner",E552)),ISNUMBER(SEARCH("trimmer",E552)),ISNUMBER(SEARCH("pole saw",E552))),"Garden Equipment",
TRUE,"Other"
)</f>
        <v>Crawling Insect Control</v>
      </c>
      <c r="I552" s="7" t="str" cm="1">
        <f t="array" ref="I552">_xlfn.IFS(
OR(ISNUMBER(SEARCH("glue trap",E552)),ISNUMBER(SEARCH("glue board",E552))),"Glue Traps",
OR(ISNUMBER(SEARCH("snap trap",E552)),ISNUMBER(SEARCH("power-kill",E552)),ISNUMBER(SEARCH("wide pedal",E552)),ISNUMBER(SEARCH("metal pedal",E552))),"Snap Traps",
OR(ISNUMBER(SEARCH("electronic",E552)),ISNUMBER(SEARCH("zapper",E552))),"Electronic Traps",
OR(ISNUMBER(SEARCH("live catch",E552)),ISNUMBER(SEARCH("multi-catch",E552)),ISNUMBER(SEARCH("catch &amp; hold",E552)),ISNUMBER(SEARCH("tin cat",E552))),"Live Catch Traps",
OR(ISNUMBER(SEARCH("bait",E552)),ISNUMBER(SEARCH("poison",E552))),"Bait &amp; Poison",
ISNUMBER(SEARCH("repellent",E552)),"Repellents",
OR(ISNUMBER(SEARCH("fly trap",E552)),ISNUMBER(SEARCH("fly ribbon",E552)),ISNUMBER(SEARCH("fly stick",E552)),ISNUMBER(SEARCH("window fly",E552)),ISNUMBER(SEARCH("fly magnet",E552))),"Fly Traps",
OR(ISNUMBER(SEARCH("uv",E552)),ISNUMBER(SEARCH("fly light",E552)),ISNUMBER(SEARCH("plug-in",E552))),"UV Fly Traps",
ISNUMBER(SEARCH("roach",E552)),"Roach Traps",
ISNUMBER(SEARCH("ant",E552)),"Ant Traps",
ISNUMBER(SEARCH("spider",E552)),"Spider Traps",
ISNUMBER(SEARCH("mosquito",E552)),"Mosquito Traps",
ISNUMBER(SEARCH("beetle",E552)),"Beetle Traps",
ISNUMBER(SEARCH("lantern",E552)),"Lanternfly Control",
OR(ISNUMBER(SEARCH("tree shield",E552)),ISNUMBER(SEARCH("tree banding",E552)),ISNUMBER(SEARCH("insect barrier",E552))),"Tree Barriers",
OR(ISNUMBER(SEARCH("sun &amp; shade",E552)),ISNUMBER(SEARCH("sun and shade",E552))),"Sun &amp; Shade Mix",
ISNUMBER(SEARCH("tall fescue",E552)),"Tall Fescue",
ISNUMBER(SEARCH("bermudagrass",E552)),"Bermudagrass",
ISNUMBER(SEARCH("kentucky",E552)),"Kentucky Bluegrass",
ISNUMBER(SEARCH("zoysia",E552)),"Zoysia",
ISNUMBER(SEARCH("ryegrass",E552)),"Perennial Ryegrass",
ISNUMBER(SEARCH("centipede",E552)),"Centipede Grass",
ISNUMBER(SEARCH("dense shade",E552)),"Dense Shade Mix",
ISNUMBER(SEARCH("southern gold",E552)),"Southern Gold Mix",
ISNUMBER(SEARCH("heat-tolerant blue",E552)),"Heat-Tolerant Blue Mix",
ISNUMBER(SEARCH("high traffic",E552)),"High Traffic Mix",
ISNUMBER(SEARCH("quick fix",E552)),"Quick Fix Mix",
ISNUMBER(SEARCH("starter",E552)),"Starter Fertilizer",
ISNUMBER(SEARCH("weed &amp; feed",E552)),"Weed &amp; Feed",
ISNUMBER(SEARCH("lawn food",E552)),"Lawn Food",
ISNUMBER(SEARCH("triple action",E552)),"Triple Action Fertilizer",
ISNUMBER(SEARCH("green max",E552)),"Green Max Lawn Food",
ISNUMBER(SEARCH("patchmaster",E552)),"PatchMaster Repair",
ISNUMBER(SEARCH("ez seed",E552)),"EZ Seed Repair",
ISNUMBER(SEARCH("rapid grass",E552)),"Rapid Grass",
ISNUMBER(SEARCH("thick'r lawn",E552)),"Thick'R Lawn",
ISNUMBER(SEARCH("fungicide",E552)),"Fungicide",
ISNUMBER(SEARCH("moss",E552)),"Moss Control",
ISNUMBER(SEARCH("perlite",E552)),"Perlite",
ISNUMBER(SEARCH("plant food",E552)),"Plant Food",
ISNUMBER(SEARCH("spreader",E552)),"Spreader",
ISNUMBER(SEARCH("sprayer",E552)),"Sprayer",
ISNUMBER(SEARCH("mower",E552)),"Lawn Mower",
ISNUMBER(SEARCH("sweeper",E552)),"Lawn Sweeper",
OR(ISNUMBER(SEARCH("pruner",E552)),ISNUMBER(SEARCH("trimmer",E552)),ISNUMBER(SEARCH("pole saw",E552))),"Pruning Tools",
TRUE,"Other"
)</f>
        <v>Glue Traps</v>
      </c>
      <c r="J552" s="7" t="str">
        <f t="shared" si="165"/>
        <v>Crawling Insect Control - Glue Traps</v>
      </c>
      <c r="K552" s="4">
        <v>7000</v>
      </c>
      <c r="L552" s="4">
        <v>4.5</v>
      </c>
      <c r="M552" s="4">
        <v>8349</v>
      </c>
      <c r="O552" s="4">
        <f>VLOOKUP(A552,[11]Sheet1!$A:$M,2,0)</f>
        <v>3000</v>
      </c>
      <c r="P552" s="4">
        <f>VLOOKUP(A552,[11]Sheet1!$A:$M,3,0)</f>
        <v>2000</v>
      </c>
      <c r="Q552" s="4">
        <f>VLOOKUP(A552,[11]Sheet1!$A:$M,4,0)</f>
        <v>3000</v>
      </c>
      <c r="R552" s="4">
        <f>VLOOKUP(A552,[11]Sheet1!$A:$M,5,0)</f>
        <v>5000</v>
      </c>
      <c r="S552" s="4">
        <f>VLOOKUP(A552,[11]Sheet1!$A:$M,6,0)</f>
        <v>6000</v>
      </c>
      <c r="T552" s="4">
        <f>VLOOKUP(A552,[11]Sheet1!$A:$M,7,0)</f>
        <v>6000</v>
      </c>
      <c r="U552" s="4">
        <f>VLOOKUP(A552,[11]Sheet1!$A:$M,8,0)</f>
        <v>6000</v>
      </c>
      <c r="V552" s="4">
        <f>VLOOKUP(A552,[11]Sheet1!$A:$M,9,0)</f>
        <v>8000</v>
      </c>
      <c r="W552" s="4">
        <f>VLOOKUP(A552,[11]Sheet1!$A:$M,10,0)</f>
        <v>7000</v>
      </c>
      <c r="X552" s="4">
        <f>VLOOKUP(A552,[11]Sheet1!$A:$M,11,0)</f>
        <v>5000</v>
      </c>
      <c r="Y552" s="4">
        <f>VLOOKUP(A552,[11]Sheet1!$A:$M,12,0)</f>
        <v>5000</v>
      </c>
      <c r="Z552" s="4">
        <f>VLOOKUP(A552,[11]Sheet1!$A:$M,13,0)</f>
        <v>4000</v>
      </c>
      <c r="AA552" s="4">
        <f t="shared" ref="AA552:AA557" si="166">SUM(O552:Z552)</f>
        <v>60000</v>
      </c>
      <c r="AB552" s="7">
        <f t="shared" ref="AB552:AB557" si="167">ROUND(AA552/12,0)</f>
        <v>5000</v>
      </c>
      <c r="AC552" s="15">
        <f t="shared" ref="AC552:AC557" si="168">AVERAGE(O552:Z552)</f>
        <v>5000</v>
      </c>
      <c r="AD552" s="16">
        <f t="shared" ref="AD552:AD557" si="169">AG552*AA552</f>
        <v>959400</v>
      </c>
      <c r="AE552" s="16">
        <f t="shared" ref="AE552:AE560" si="170">AG552*AC552</f>
        <v>79950</v>
      </c>
      <c r="AF552" s="21">
        <v>4.76</v>
      </c>
      <c r="AG552" s="21">
        <v>15.99</v>
      </c>
      <c r="AH552" s="15">
        <f t="shared" si="158"/>
        <v>4.2399999999999952E-2</v>
      </c>
      <c r="AI552" s="15">
        <f t="shared" si="159"/>
        <v>0.14839999999999981</v>
      </c>
      <c r="AJ552" s="10">
        <v>0.5</v>
      </c>
      <c r="AK552" s="10">
        <v>0.5</v>
      </c>
      <c r="AL552" s="21">
        <v>4.76</v>
      </c>
      <c r="AM552" s="9">
        <f t="shared" si="142"/>
        <v>2.3984999999999999</v>
      </c>
      <c r="AN552" s="9">
        <f t="shared" si="143"/>
        <v>0.47970000000000002</v>
      </c>
      <c r="AO552" s="9">
        <f t="shared" si="144"/>
        <v>3.1980000000000004</v>
      </c>
      <c r="AP552" s="9">
        <f t="shared" si="145"/>
        <v>0.31980000000000003</v>
      </c>
      <c r="AQ552" s="9">
        <f t="shared" si="146"/>
        <v>3.1980000000000004</v>
      </c>
      <c r="AR552" s="9">
        <f t="shared" si="147"/>
        <v>3.9975000000000001</v>
      </c>
      <c r="AS552" s="11">
        <f t="shared" si="148"/>
        <v>0.42399999999999949</v>
      </c>
      <c r="AT552" s="12">
        <f t="shared" si="149"/>
        <v>-0.10900000000000028</v>
      </c>
    </row>
    <row r="553" spans="1:46" ht="16.5" x14ac:dyDescent="0.4">
      <c r="A553" s="4" t="s">
        <v>2511</v>
      </c>
      <c r="B553" s="4" t="s">
        <v>2516</v>
      </c>
      <c r="C553" s="4" t="s">
        <v>2517</v>
      </c>
      <c r="D553" s="4" t="s">
        <v>2519</v>
      </c>
      <c r="E553" s="4" t="s">
        <v>2525</v>
      </c>
      <c r="F553" s="4" t="s">
        <v>2531</v>
      </c>
      <c r="G553" s="7" t="str">
        <f>VLOOKUP(A553,[1]done!$A:$I,9,0)</f>
        <v>Cockroach</v>
      </c>
      <c r="H553" s="7" t="str" cm="1">
        <f t="array" ref="H553">_xlfn.IFS(
OR(ISNUMBER(SEARCH("mouse",E553)),ISNUMBER(SEARCH("rat",E553)),ISNUMBER(SEARCH("mice",E553)),ISNUMBER(SEARCH("rodent",E553))),"Rodent Control",
OR(ISNUMBER(SEARCH("fly",E553)),ISNUMBER(SEARCH("gnat",E553)),ISNUMBER(SEARCH("insect",E553)),ISNUMBER(SEARCH("mosquito",E553))),"Flying Insect Control",
OR(ISNUMBER(SEARCH("roach",E553)),ISNUMBER(SEARCH("ant",E553)),ISNUMBER(SEARCH("spider",E553)),ISNUMBER(SEARCH("cricket",E553)),ISNUMBER(SEARCH("scorpion",E553)),ISNUMBER(SEARCH("centipede",E553)),ISNUMBER(SEARCH("beetle",E553))),"Crawling Insect Control",
OR(ISNUMBER(SEARCH("tree",E553)),ISNUMBER(SEARCH("lantern",E553)),ISNUMBER(SEARCH("garden",E553)),ISNUMBER(SEARCH("plant",E553))),"Garden Pest Control",
OR(ISNUMBER(SEARCH("grass seed",E553)),ISNUMBER(SEARCH("seed mix",E553))),"Grass Seed",
OR(ISNUMBER(SEARCH("lawn food",E553)),ISNUMBER(SEARCH("fertilizer",E553))),"Lawn Fertilizer",
OR(ISNUMBER(SEARCH("patch",E553)),ISNUMBER(SEARCH("repair",E553)),ISNUMBER(SEARCH("thick'r",E553)),ISNUMBER(SEARCH("thick'r lawn",E553)),ISNUMBER(SEARCH("rapid grass",E553))),"Lawn Repair",
OR(ISNUMBER(SEARCH("weed",E553)),ISNUMBER(SEARCH("crabgrass",E553))),"Weed Control",
OR(ISNUMBER(SEARCH("fungicide",E553)),ISNUMBER(SEARCH("moss",E553))),"Disease &amp; Moss Control",
OR(ISNUMBER(SEARCH("plant food",E553)),ISNUMBER(SEARCH("miracid",E553))),"Plant Nutrition",
OR(ISNUMBER(SEARCH("perlite",E553))),"Soil Amendment",
OR(ISNUMBER(SEARCH("spreader",E553)),ISNUMBER(SEARCH("sprayer",E553)),ISNUMBER(SEARCH("mower",E553)),ISNUMBER(SEARCH("sweeper",E553)),ISNUMBER(SEARCH("pruner",E553)),ISNUMBER(SEARCH("trimmer",E553)),ISNUMBER(SEARCH("pole saw",E553))),"Garden Equipment",
TRUE,"Other"
)</f>
        <v>Crawling Insect Control</v>
      </c>
      <c r="I553" s="7" t="str" cm="1">
        <f t="array" ref="I553">_xlfn.IFS(
OR(ISNUMBER(SEARCH("glue trap",E553)),ISNUMBER(SEARCH("glue board",E553))),"Glue Traps",
OR(ISNUMBER(SEARCH("snap trap",E553)),ISNUMBER(SEARCH("power-kill",E553)),ISNUMBER(SEARCH("wide pedal",E553)),ISNUMBER(SEARCH("metal pedal",E553))),"Snap Traps",
OR(ISNUMBER(SEARCH("electronic",E553)),ISNUMBER(SEARCH("zapper",E553))),"Electronic Traps",
OR(ISNUMBER(SEARCH("live catch",E553)),ISNUMBER(SEARCH("multi-catch",E553)),ISNUMBER(SEARCH("catch &amp; hold",E553)),ISNUMBER(SEARCH("tin cat",E553))),"Live Catch Traps",
OR(ISNUMBER(SEARCH("bait",E553)),ISNUMBER(SEARCH("poison",E553))),"Bait &amp; Poison",
ISNUMBER(SEARCH("repellent",E553)),"Repellents",
OR(ISNUMBER(SEARCH("fly trap",E553)),ISNUMBER(SEARCH("fly ribbon",E553)),ISNUMBER(SEARCH("fly stick",E553)),ISNUMBER(SEARCH("window fly",E553)),ISNUMBER(SEARCH("fly magnet",E553))),"Fly Traps",
OR(ISNUMBER(SEARCH("uv",E553)),ISNUMBER(SEARCH("fly light",E553)),ISNUMBER(SEARCH("plug-in",E553))),"UV Fly Traps",
ISNUMBER(SEARCH("roach",E553)),"Roach Traps",
ISNUMBER(SEARCH("ant",E553)),"Ant Traps",
ISNUMBER(SEARCH("spider",E553)),"Spider Traps",
ISNUMBER(SEARCH("mosquito",E553)),"Mosquito Traps",
ISNUMBER(SEARCH("beetle",E553)),"Beetle Traps",
ISNUMBER(SEARCH("lantern",E553)),"Lanternfly Control",
OR(ISNUMBER(SEARCH("tree shield",E553)),ISNUMBER(SEARCH("tree banding",E553)),ISNUMBER(SEARCH("insect barrier",E553))),"Tree Barriers",
OR(ISNUMBER(SEARCH("sun &amp; shade",E553)),ISNUMBER(SEARCH("sun and shade",E553))),"Sun &amp; Shade Mix",
ISNUMBER(SEARCH("tall fescue",E553)),"Tall Fescue",
ISNUMBER(SEARCH("bermudagrass",E553)),"Bermudagrass",
ISNUMBER(SEARCH("kentucky",E553)),"Kentucky Bluegrass",
ISNUMBER(SEARCH("zoysia",E553)),"Zoysia",
ISNUMBER(SEARCH("ryegrass",E553)),"Perennial Ryegrass",
ISNUMBER(SEARCH("centipede",E553)),"Centipede Grass",
ISNUMBER(SEARCH("dense shade",E553)),"Dense Shade Mix",
ISNUMBER(SEARCH("southern gold",E553)),"Southern Gold Mix",
ISNUMBER(SEARCH("heat-tolerant blue",E553)),"Heat-Tolerant Blue Mix",
ISNUMBER(SEARCH("high traffic",E553)),"High Traffic Mix",
ISNUMBER(SEARCH("quick fix",E553)),"Quick Fix Mix",
ISNUMBER(SEARCH("starter",E553)),"Starter Fertilizer",
ISNUMBER(SEARCH("weed &amp; feed",E553)),"Weed &amp; Feed",
ISNUMBER(SEARCH("lawn food",E553)),"Lawn Food",
ISNUMBER(SEARCH("triple action",E553)),"Triple Action Fertilizer",
ISNUMBER(SEARCH("green max",E553)),"Green Max Lawn Food",
ISNUMBER(SEARCH("patchmaster",E553)),"PatchMaster Repair",
ISNUMBER(SEARCH("ez seed",E553)),"EZ Seed Repair",
ISNUMBER(SEARCH("rapid grass",E553)),"Rapid Grass",
ISNUMBER(SEARCH("thick'r lawn",E553)),"Thick'R Lawn",
ISNUMBER(SEARCH("fungicide",E553)),"Fungicide",
ISNUMBER(SEARCH("moss",E553)),"Moss Control",
ISNUMBER(SEARCH("perlite",E553)),"Perlite",
ISNUMBER(SEARCH("plant food",E553)),"Plant Food",
ISNUMBER(SEARCH("spreader",E553)),"Spreader",
ISNUMBER(SEARCH("sprayer",E553)),"Sprayer",
ISNUMBER(SEARCH("mower",E553)),"Lawn Mower",
ISNUMBER(SEARCH("sweeper",E553)),"Lawn Sweeper",
OR(ISNUMBER(SEARCH("pruner",E553)),ISNUMBER(SEARCH("trimmer",E553)),ISNUMBER(SEARCH("pole saw",E553))),"Pruning Tools",
TRUE,"Other"
)</f>
        <v>Glue Traps</v>
      </c>
      <c r="J553" s="7" t="str">
        <f t="shared" si="165"/>
        <v>Crawling Insect Control - Glue Traps</v>
      </c>
      <c r="K553" s="4">
        <v>3000</v>
      </c>
      <c r="L553" s="4">
        <v>4.5</v>
      </c>
      <c r="M553" s="4">
        <v>8349</v>
      </c>
      <c r="N553" s="4" t="s">
        <v>2536</v>
      </c>
      <c r="O553" s="4">
        <f>VLOOKUP(A553,[11]Sheet1!$A:$M,2,0)</f>
        <v>3000</v>
      </c>
      <c r="P553" s="4">
        <f>VLOOKUP(A553,[11]Sheet1!$A:$M,3,0)</f>
        <v>2000</v>
      </c>
      <c r="Q553" s="4">
        <f>VLOOKUP(A553,[11]Sheet1!$A:$M,4,0)</f>
        <v>2000</v>
      </c>
      <c r="R553" s="4">
        <f>VLOOKUP(A553,[11]Sheet1!$A:$M,5,0)</f>
        <v>2000</v>
      </c>
      <c r="S553" s="4">
        <f>VLOOKUP(A553,[11]Sheet1!$A:$M,6,0)</f>
        <v>1000</v>
      </c>
      <c r="T553" s="4">
        <f>VLOOKUP(A553,[11]Sheet1!$A:$M,7,0)</f>
        <v>2000</v>
      </c>
      <c r="U553" s="4">
        <f>VLOOKUP(A553,[11]Sheet1!$A:$M,8,0)</f>
        <v>2000</v>
      </c>
      <c r="V553" s="4">
        <f>VLOOKUP(A553,[11]Sheet1!$A:$M,9,0)</f>
        <v>2000</v>
      </c>
      <c r="W553" s="4">
        <f>VLOOKUP(A553,[11]Sheet1!$A:$M,10,0)</f>
        <v>2000</v>
      </c>
      <c r="X553" s="4">
        <f>VLOOKUP(A553,[11]Sheet1!$A:$M,11,0)</f>
        <v>4000</v>
      </c>
      <c r="Y553" s="4">
        <f>VLOOKUP(A553,[11]Sheet1!$A:$M,12,0)</f>
        <v>4000</v>
      </c>
      <c r="Z553" s="4">
        <f>VLOOKUP(A553,[11]Sheet1!$A:$M,13,0)</f>
        <v>3000</v>
      </c>
      <c r="AA553" s="4">
        <f t="shared" si="166"/>
        <v>29000</v>
      </c>
      <c r="AB553" s="7">
        <f t="shared" si="167"/>
        <v>2417</v>
      </c>
      <c r="AC553" s="15">
        <f t="shared" si="168"/>
        <v>2416.6666666666665</v>
      </c>
      <c r="AD553" s="16">
        <f t="shared" si="169"/>
        <v>221560</v>
      </c>
      <c r="AE553" s="16">
        <f t="shared" si="170"/>
        <v>18463.333333333332</v>
      </c>
      <c r="AF553" s="21">
        <v>3.2</v>
      </c>
      <c r="AG553" s="21">
        <v>7.64</v>
      </c>
      <c r="AH553" s="15">
        <f t="shared" si="158"/>
        <v>-7.6266666666666705E-2</v>
      </c>
      <c r="AI553" s="15">
        <f t="shared" si="159"/>
        <v>-0.26693333333333347</v>
      </c>
      <c r="AJ553" s="10">
        <v>0.5</v>
      </c>
      <c r="AK553" s="10">
        <v>0.5</v>
      </c>
      <c r="AL553" s="21">
        <v>3.2</v>
      </c>
      <c r="AM553" s="9">
        <f t="shared" si="142"/>
        <v>1.1459999999999999</v>
      </c>
      <c r="AN553" s="9">
        <f t="shared" si="143"/>
        <v>0.22919999999999999</v>
      </c>
      <c r="AO553" s="9">
        <f t="shared" si="144"/>
        <v>1.528</v>
      </c>
      <c r="AP553" s="9">
        <f t="shared" si="145"/>
        <v>0.15279999999999999</v>
      </c>
      <c r="AQ553" s="9">
        <f t="shared" si="146"/>
        <v>1.528</v>
      </c>
      <c r="AR553" s="9">
        <f t="shared" si="147"/>
        <v>1.91</v>
      </c>
      <c r="AS553" s="11">
        <f t="shared" si="148"/>
        <v>-0.76266666666666705</v>
      </c>
      <c r="AT553" s="12">
        <f t="shared" si="149"/>
        <v>-1.0173333333333336</v>
      </c>
    </row>
    <row r="554" spans="1:46" ht="16.5" x14ac:dyDescent="0.4">
      <c r="A554" s="4" t="s">
        <v>2512</v>
      </c>
      <c r="B554" s="4" t="s">
        <v>2516</v>
      </c>
      <c r="C554" s="4" t="s">
        <v>2517</v>
      </c>
      <c r="D554" s="4" t="s">
        <v>2520</v>
      </c>
      <c r="E554" s="4" t="s">
        <v>2526</v>
      </c>
      <c r="F554" s="4" t="s">
        <v>2532</v>
      </c>
      <c r="G554" s="7" t="str">
        <f>VLOOKUP(A554,[1]done!$A:$I,9,0)</f>
        <v>Cockroach</v>
      </c>
      <c r="H554" s="7" t="str" cm="1">
        <f t="array" ref="H554">_xlfn.IFS(
OR(ISNUMBER(SEARCH("mouse",E554)),ISNUMBER(SEARCH("rat",E554)),ISNUMBER(SEARCH("mice",E554)),ISNUMBER(SEARCH("rodent",E554))),"Rodent Control",
OR(ISNUMBER(SEARCH("fly",E554)),ISNUMBER(SEARCH("gnat",E554)),ISNUMBER(SEARCH("insect",E554)),ISNUMBER(SEARCH("mosquito",E554))),"Flying Insect Control",
OR(ISNUMBER(SEARCH("roach",E554)),ISNUMBER(SEARCH("ant",E554)),ISNUMBER(SEARCH("spider",E554)),ISNUMBER(SEARCH("cricket",E554)),ISNUMBER(SEARCH("scorpion",E554)),ISNUMBER(SEARCH("centipede",E554)),ISNUMBER(SEARCH("beetle",E554))),"Crawling Insect Control",
OR(ISNUMBER(SEARCH("tree",E554)),ISNUMBER(SEARCH("lantern",E554)),ISNUMBER(SEARCH("garden",E554)),ISNUMBER(SEARCH("plant",E554))),"Garden Pest Control",
OR(ISNUMBER(SEARCH("grass seed",E554)),ISNUMBER(SEARCH("seed mix",E554))),"Grass Seed",
OR(ISNUMBER(SEARCH("lawn food",E554)),ISNUMBER(SEARCH("fertilizer",E554))),"Lawn Fertilizer",
OR(ISNUMBER(SEARCH("patch",E554)),ISNUMBER(SEARCH("repair",E554)),ISNUMBER(SEARCH("thick'r",E554)),ISNUMBER(SEARCH("thick'r lawn",E554)),ISNUMBER(SEARCH("rapid grass",E554))),"Lawn Repair",
OR(ISNUMBER(SEARCH("weed",E554)),ISNUMBER(SEARCH("crabgrass",E554))),"Weed Control",
OR(ISNUMBER(SEARCH("fungicide",E554)),ISNUMBER(SEARCH("moss",E554))),"Disease &amp; Moss Control",
OR(ISNUMBER(SEARCH("plant food",E554)),ISNUMBER(SEARCH("miracid",E554))),"Plant Nutrition",
OR(ISNUMBER(SEARCH("perlite",E554))),"Soil Amendment",
OR(ISNUMBER(SEARCH("spreader",E554)),ISNUMBER(SEARCH("sprayer",E554)),ISNUMBER(SEARCH("mower",E554)),ISNUMBER(SEARCH("sweeper",E554)),ISNUMBER(SEARCH("pruner",E554)),ISNUMBER(SEARCH("trimmer",E554)),ISNUMBER(SEARCH("pole saw",E554))),"Garden Equipment",
TRUE,"Other"
)</f>
        <v>Crawling Insect Control</v>
      </c>
      <c r="I554" s="7" t="str" cm="1">
        <f t="array" ref="I554">_xlfn.IFS(
OR(ISNUMBER(SEARCH("glue trap",E554)),ISNUMBER(SEARCH("glue board",E554))),"Glue Traps",
OR(ISNUMBER(SEARCH("snap trap",E554)),ISNUMBER(SEARCH("power-kill",E554)),ISNUMBER(SEARCH("wide pedal",E554)),ISNUMBER(SEARCH("metal pedal",E554))),"Snap Traps",
OR(ISNUMBER(SEARCH("electronic",E554)),ISNUMBER(SEARCH("zapper",E554))),"Electronic Traps",
OR(ISNUMBER(SEARCH("live catch",E554)),ISNUMBER(SEARCH("multi-catch",E554)),ISNUMBER(SEARCH("catch &amp; hold",E554)),ISNUMBER(SEARCH("tin cat",E554))),"Live Catch Traps",
OR(ISNUMBER(SEARCH("bait",E554)),ISNUMBER(SEARCH("poison",E554))),"Bait &amp; Poison",
ISNUMBER(SEARCH("repellent",E554)),"Repellents",
OR(ISNUMBER(SEARCH("fly trap",E554)),ISNUMBER(SEARCH("fly ribbon",E554)),ISNUMBER(SEARCH("fly stick",E554)),ISNUMBER(SEARCH("window fly",E554)),ISNUMBER(SEARCH("fly magnet",E554))),"Fly Traps",
OR(ISNUMBER(SEARCH("uv",E554)),ISNUMBER(SEARCH("fly light",E554)),ISNUMBER(SEARCH("plug-in",E554))),"UV Fly Traps",
ISNUMBER(SEARCH("roach",E554)),"Roach Traps",
ISNUMBER(SEARCH("ant",E554)),"Ant Traps",
ISNUMBER(SEARCH("spider",E554)),"Spider Traps",
ISNUMBER(SEARCH("mosquito",E554)),"Mosquito Traps",
ISNUMBER(SEARCH("beetle",E554)),"Beetle Traps",
ISNUMBER(SEARCH("lantern",E554)),"Lanternfly Control",
OR(ISNUMBER(SEARCH("tree shield",E554)),ISNUMBER(SEARCH("tree banding",E554)),ISNUMBER(SEARCH("insect barrier",E554))),"Tree Barriers",
OR(ISNUMBER(SEARCH("sun &amp; shade",E554)),ISNUMBER(SEARCH("sun and shade",E554))),"Sun &amp; Shade Mix",
ISNUMBER(SEARCH("tall fescue",E554)),"Tall Fescue",
ISNUMBER(SEARCH("bermudagrass",E554)),"Bermudagrass",
ISNUMBER(SEARCH("kentucky",E554)),"Kentucky Bluegrass",
ISNUMBER(SEARCH("zoysia",E554)),"Zoysia",
ISNUMBER(SEARCH("ryegrass",E554)),"Perennial Ryegrass",
ISNUMBER(SEARCH("centipede",E554)),"Centipede Grass",
ISNUMBER(SEARCH("dense shade",E554)),"Dense Shade Mix",
ISNUMBER(SEARCH("southern gold",E554)),"Southern Gold Mix",
ISNUMBER(SEARCH("heat-tolerant blue",E554)),"Heat-Tolerant Blue Mix",
ISNUMBER(SEARCH("high traffic",E554)),"High Traffic Mix",
ISNUMBER(SEARCH("quick fix",E554)),"Quick Fix Mix",
ISNUMBER(SEARCH("starter",E554)),"Starter Fertilizer",
ISNUMBER(SEARCH("weed &amp; feed",E554)),"Weed &amp; Feed",
ISNUMBER(SEARCH("lawn food",E554)),"Lawn Food",
ISNUMBER(SEARCH("triple action",E554)),"Triple Action Fertilizer",
ISNUMBER(SEARCH("green max",E554)),"Green Max Lawn Food",
ISNUMBER(SEARCH("patchmaster",E554)),"PatchMaster Repair",
ISNUMBER(SEARCH("ez seed",E554)),"EZ Seed Repair",
ISNUMBER(SEARCH("rapid grass",E554)),"Rapid Grass",
ISNUMBER(SEARCH("thick'r lawn",E554)),"Thick'R Lawn",
ISNUMBER(SEARCH("fungicide",E554)),"Fungicide",
ISNUMBER(SEARCH("moss",E554)),"Moss Control",
ISNUMBER(SEARCH("perlite",E554)),"Perlite",
ISNUMBER(SEARCH("plant food",E554)),"Plant Food",
ISNUMBER(SEARCH("spreader",E554)),"Spreader",
ISNUMBER(SEARCH("sprayer",E554)),"Sprayer",
ISNUMBER(SEARCH("mower",E554)),"Lawn Mower",
ISNUMBER(SEARCH("sweeper",E554)),"Lawn Sweeper",
OR(ISNUMBER(SEARCH("pruner",E554)),ISNUMBER(SEARCH("trimmer",E554)),ISNUMBER(SEARCH("pole saw",E554))),"Pruning Tools",
TRUE,"Other"
)</f>
        <v>Glue Traps</v>
      </c>
      <c r="J554" s="7" t="str">
        <f t="shared" si="165"/>
        <v>Crawling Insect Control - Glue Traps</v>
      </c>
      <c r="K554" s="4">
        <v>2000</v>
      </c>
      <c r="L554" s="4">
        <v>4.5</v>
      </c>
      <c r="M554" s="4">
        <v>8349</v>
      </c>
      <c r="O554" s="4">
        <f>VLOOKUP(A554,[11]Sheet1!$A:$M,2,0)</f>
        <v>1000</v>
      </c>
      <c r="P554" s="4">
        <f>VLOOKUP(A554,[11]Sheet1!$A:$M,3,0)</f>
        <v>800</v>
      </c>
      <c r="Q554" s="4">
        <f>VLOOKUP(A554,[11]Sheet1!$A:$M,4,0)</f>
        <v>1000</v>
      </c>
      <c r="R554" s="4">
        <f>VLOOKUP(A554,[11]Sheet1!$A:$M,5,0)</f>
        <v>1000</v>
      </c>
      <c r="S554" s="4">
        <f>VLOOKUP(A554,[11]Sheet1!$A:$M,6,0)</f>
        <v>1000</v>
      </c>
      <c r="T554" s="4">
        <f>VLOOKUP(A554,[11]Sheet1!$A:$M,7,0)</f>
        <v>1000</v>
      </c>
      <c r="U554" s="4">
        <f>VLOOKUP(A554,[11]Sheet1!$A:$M,8,0)</f>
        <v>1000</v>
      </c>
      <c r="V554" s="4">
        <f>VLOOKUP(A554,[11]Sheet1!$A:$M,9,0)</f>
        <v>2000</v>
      </c>
      <c r="W554" s="4">
        <f>VLOOKUP(A554,[11]Sheet1!$A:$M,10,0)</f>
        <v>1000</v>
      </c>
      <c r="X554" s="4">
        <f>VLOOKUP(A554,[11]Sheet1!$A:$M,11,0)</f>
        <v>1000</v>
      </c>
      <c r="Y554" s="4">
        <f>VLOOKUP(A554,[11]Sheet1!$A:$M,12,0)</f>
        <v>1000</v>
      </c>
      <c r="Z554" s="4">
        <f>VLOOKUP(A554,[11]Sheet1!$A:$M,13,0)</f>
        <v>1000</v>
      </c>
      <c r="AA554" s="4">
        <f t="shared" si="166"/>
        <v>12800</v>
      </c>
      <c r="AB554" s="7">
        <f t="shared" si="167"/>
        <v>1067</v>
      </c>
      <c r="AC554" s="15">
        <f t="shared" si="168"/>
        <v>1066.6666666666667</v>
      </c>
      <c r="AD554" s="16">
        <f t="shared" si="169"/>
        <v>358272</v>
      </c>
      <c r="AE554" s="16">
        <f t="shared" si="170"/>
        <v>29856</v>
      </c>
      <c r="AF554" s="21">
        <v>5.76</v>
      </c>
      <c r="AG554" s="21">
        <v>27.99</v>
      </c>
      <c r="AH554" s="15">
        <f t="shared" si="158"/>
        <v>0.29573333333333313</v>
      </c>
      <c r="AI554" s="15">
        <f t="shared" si="159"/>
        <v>1.0350666666666659</v>
      </c>
      <c r="AJ554" s="10">
        <v>0.5</v>
      </c>
      <c r="AK554" s="10">
        <v>0.5</v>
      </c>
      <c r="AL554" s="21">
        <v>5.76</v>
      </c>
      <c r="AM554" s="9">
        <f t="shared" si="142"/>
        <v>4.1984999999999992</v>
      </c>
      <c r="AN554" s="9">
        <f t="shared" si="143"/>
        <v>0.83969999999999989</v>
      </c>
      <c r="AO554" s="9">
        <f t="shared" si="144"/>
        <v>5.5979999999999999</v>
      </c>
      <c r="AP554" s="9">
        <f t="shared" si="145"/>
        <v>0.55979999999999996</v>
      </c>
      <c r="AQ554" s="9">
        <f t="shared" si="146"/>
        <v>5.5979999999999999</v>
      </c>
      <c r="AR554" s="9">
        <f t="shared" si="147"/>
        <v>6.9974999999999996</v>
      </c>
      <c r="AS554" s="11">
        <f t="shared" si="148"/>
        <v>2.9573333333333314</v>
      </c>
      <c r="AT554" s="12">
        <f t="shared" si="149"/>
        <v>2.0243333333333315</v>
      </c>
    </row>
    <row r="555" spans="1:46" ht="16.5" x14ac:dyDescent="0.4">
      <c r="A555" s="4" t="s">
        <v>2513</v>
      </c>
      <c r="B555" s="4" t="s">
        <v>2516</v>
      </c>
      <c r="C555" s="4" t="s">
        <v>2517</v>
      </c>
      <c r="D555" s="4" t="s">
        <v>2521</v>
      </c>
      <c r="E555" s="4" t="s">
        <v>2527</v>
      </c>
      <c r="F555" s="4" t="s">
        <v>2533</v>
      </c>
      <c r="G555" s="7" t="str">
        <f>VLOOKUP(A555,[1]done!$A:$I,9,0)</f>
        <v>Mosquito/Fly</v>
      </c>
      <c r="H555" s="7" t="str" cm="1">
        <f t="array" ref="H555">_xlfn.IFS(
OR(ISNUMBER(SEARCH("mouse",E555)),ISNUMBER(SEARCH("rat",E555)),ISNUMBER(SEARCH("mice",E555)),ISNUMBER(SEARCH("rodent",E555))),"Rodent Control",
OR(ISNUMBER(SEARCH("fly",E555)),ISNUMBER(SEARCH("gnat",E555)),ISNUMBER(SEARCH("insect",E555)),ISNUMBER(SEARCH("mosquito",E555))),"Flying Insect Control",
OR(ISNUMBER(SEARCH("roach",E555)),ISNUMBER(SEARCH("ant",E555)),ISNUMBER(SEARCH("spider",E555)),ISNUMBER(SEARCH("cricket",E555)),ISNUMBER(SEARCH("scorpion",E555)),ISNUMBER(SEARCH("centipede",E555)),ISNUMBER(SEARCH("beetle",E555))),"Crawling Insect Control",
OR(ISNUMBER(SEARCH("tree",E555)),ISNUMBER(SEARCH("lantern",E555)),ISNUMBER(SEARCH("garden",E555)),ISNUMBER(SEARCH("plant",E555))),"Garden Pest Control",
OR(ISNUMBER(SEARCH("grass seed",E555)),ISNUMBER(SEARCH("seed mix",E555))),"Grass Seed",
OR(ISNUMBER(SEARCH("lawn food",E555)),ISNUMBER(SEARCH("fertilizer",E555))),"Lawn Fertilizer",
OR(ISNUMBER(SEARCH("patch",E555)),ISNUMBER(SEARCH("repair",E555)),ISNUMBER(SEARCH("thick'r",E555)),ISNUMBER(SEARCH("thick'r lawn",E555)),ISNUMBER(SEARCH("rapid grass",E555))),"Lawn Repair",
OR(ISNUMBER(SEARCH("weed",E555)),ISNUMBER(SEARCH("crabgrass",E555))),"Weed Control",
OR(ISNUMBER(SEARCH("fungicide",E555)),ISNUMBER(SEARCH("moss",E555))),"Disease &amp; Moss Control",
OR(ISNUMBER(SEARCH("plant food",E555)),ISNUMBER(SEARCH("miracid",E555))),"Plant Nutrition",
OR(ISNUMBER(SEARCH("perlite",E555))),"Soil Amendment",
OR(ISNUMBER(SEARCH("spreader",E555)),ISNUMBER(SEARCH("sprayer",E555)),ISNUMBER(SEARCH("mower",E555)),ISNUMBER(SEARCH("sweeper",E555)),ISNUMBER(SEARCH("pruner",E555)),ISNUMBER(SEARCH("trimmer",E555)),ISNUMBER(SEARCH("pole saw",E555))),"Garden Equipment",
TRUE,"Other"
)</f>
        <v>Flying Insect Control</v>
      </c>
      <c r="I555" s="7" t="str" cm="1">
        <f t="array" ref="I555">_xlfn.IFS(
OR(ISNUMBER(SEARCH("glue trap",E555)),ISNUMBER(SEARCH("glue board",E555))),"Glue Traps",
OR(ISNUMBER(SEARCH("snap trap",E555)),ISNUMBER(SEARCH("power-kill",E555)),ISNUMBER(SEARCH("wide pedal",E555)),ISNUMBER(SEARCH("metal pedal",E555))),"Snap Traps",
OR(ISNUMBER(SEARCH("electronic",E555)),ISNUMBER(SEARCH("zapper",E555))),"Electronic Traps",
OR(ISNUMBER(SEARCH("live catch",E555)),ISNUMBER(SEARCH("multi-catch",E555)),ISNUMBER(SEARCH("catch &amp; hold",E555)),ISNUMBER(SEARCH("tin cat",E555))),"Live Catch Traps",
OR(ISNUMBER(SEARCH("bait",E555)),ISNUMBER(SEARCH("poison",E555))),"Bait &amp; Poison",
ISNUMBER(SEARCH("repellent",E555)),"Repellents",
OR(ISNUMBER(SEARCH("fly trap",E555)),ISNUMBER(SEARCH("fly ribbon",E555)),ISNUMBER(SEARCH("fly stick",E555)),ISNUMBER(SEARCH("window fly",E555)),ISNUMBER(SEARCH("fly magnet",E555))),"Fly Traps",
OR(ISNUMBER(SEARCH("uv",E555)),ISNUMBER(SEARCH("fly light",E555)),ISNUMBER(SEARCH("plug-in",E555))),"UV Fly Traps",
ISNUMBER(SEARCH("roach",E555)),"Roach Traps",
ISNUMBER(SEARCH("ant",E555)),"Ant Traps",
ISNUMBER(SEARCH("spider",E555)),"Spider Traps",
ISNUMBER(SEARCH("mosquito",E555)),"Mosquito Traps",
ISNUMBER(SEARCH("beetle",E555)),"Beetle Traps",
ISNUMBER(SEARCH("lantern",E555)),"Lanternfly Control",
OR(ISNUMBER(SEARCH("tree shield",E555)),ISNUMBER(SEARCH("tree banding",E555)),ISNUMBER(SEARCH("insect barrier",E555))),"Tree Barriers",
OR(ISNUMBER(SEARCH("sun &amp; shade",E555)),ISNUMBER(SEARCH("sun and shade",E555))),"Sun &amp; Shade Mix",
ISNUMBER(SEARCH("tall fescue",E555)),"Tall Fescue",
ISNUMBER(SEARCH("bermudagrass",E555)),"Bermudagrass",
ISNUMBER(SEARCH("kentucky",E555)),"Kentucky Bluegrass",
ISNUMBER(SEARCH("zoysia",E555)),"Zoysia",
ISNUMBER(SEARCH("ryegrass",E555)),"Perennial Ryegrass",
ISNUMBER(SEARCH("centipede",E555)),"Centipede Grass",
ISNUMBER(SEARCH("dense shade",E555)),"Dense Shade Mix",
ISNUMBER(SEARCH("southern gold",E555)),"Southern Gold Mix",
ISNUMBER(SEARCH("heat-tolerant blue",E555)),"Heat-Tolerant Blue Mix",
ISNUMBER(SEARCH("high traffic",E555)),"High Traffic Mix",
ISNUMBER(SEARCH("quick fix",E555)),"Quick Fix Mix",
ISNUMBER(SEARCH("starter",E555)),"Starter Fertilizer",
ISNUMBER(SEARCH("weed &amp; feed",E555)),"Weed &amp; Feed",
ISNUMBER(SEARCH("lawn food",E555)),"Lawn Food",
ISNUMBER(SEARCH("triple action",E555)),"Triple Action Fertilizer",
ISNUMBER(SEARCH("green max",E555)),"Green Max Lawn Food",
ISNUMBER(SEARCH("patchmaster",E555)),"PatchMaster Repair",
ISNUMBER(SEARCH("ez seed",E555)),"EZ Seed Repair",
ISNUMBER(SEARCH("rapid grass",E555)),"Rapid Grass",
ISNUMBER(SEARCH("thick'r lawn",E555)),"Thick'R Lawn",
ISNUMBER(SEARCH("fungicide",E555)),"Fungicide",
ISNUMBER(SEARCH("moss",E555)),"Moss Control",
ISNUMBER(SEARCH("perlite",E555)),"Perlite",
ISNUMBER(SEARCH("plant food",E555)),"Plant Food",
ISNUMBER(SEARCH("spreader",E555)),"Spreader",
ISNUMBER(SEARCH("sprayer",E555)),"Sprayer",
ISNUMBER(SEARCH("mower",E555)),"Lawn Mower",
ISNUMBER(SEARCH("sweeper",E555)),"Lawn Sweeper",
OR(ISNUMBER(SEARCH("pruner",E555)),ISNUMBER(SEARCH("trimmer",E555)),ISNUMBER(SEARCH("pole saw",E555))),"Pruning Tools",
TRUE,"Other"
)</f>
        <v>Fly Traps</v>
      </c>
      <c r="J555" s="7" t="str">
        <f t="shared" si="165"/>
        <v>Flying Insect Control - Fly Traps</v>
      </c>
      <c r="K555" s="4">
        <v>300</v>
      </c>
      <c r="L555" s="4">
        <v>3.6</v>
      </c>
      <c r="M555" s="4">
        <v>94</v>
      </c>
      <c r="O555" s="4">
        <f>VLOOKUP(A555,[11]Sheet1!$A:$M,2,0)</f>
        <v>0</v>
      </c>
      <c r="P555" s="4">
        <f>VLOOKUP(A555,[11]Sheet1!$A:$M,3,0)</f>
        <v>0</v>
      </c>
      <c r="Q555" s="4">
        <f>VLOOKUP(A555,[11]Sheet1!$A:$M,4,0)</f>
        <v>0</v>
      </c>
      <c r="R555" s="4">
        <f>VLOOKUP(A555,[11]Sheet1!$A:$M,5,0)</f>
        <v>0</v>
      </c>
      <c r="S555" s="4">
        <f>VLOOKUP(A555,[11]Sheet1!$A:$M,6,0)</f>
        <v>0</v>
      </c>
      <c r="T555" s="4">
        <f>VLOOKUP(A555,[11]Sheet1!$A:$M,7,0)</f>
        <v>0</v>
      </c>
      <c r="U555" s="4">
        <f>VLOOKUP(A555,[11]Sheet1!$A:$M,8,0)</f>
        <v>600</v>
      </c>
      <c r="V555" s="4">
        <f>VLOOKUP(A555,[11]Sheet1!$A:$M,9,0)</f>
        <v>300</v>
      </c>
      <c r="W555" s="4">
        <f>VLOOKUP(A555,[11]Sheet1!$A:$M,10,0)</f>
        <v>200</v>
      </c>
      <c r="X555" s="4">
        <f>VLOOKUP(A555,[11]Sheet1!$A:$M,11,0)</f>
        <v>0</v>
      </c>
      <c r="Y555" s="4">
        <f>VLOOKUP(A555,[11]Sheet1!$A:$M,12,0)</f>
        <v>0</v>
      </c>
      <c r="Z555" s="4">
        <f>VLOOKUP(A555,[11]Sheet1!$A:$M,13,0)</f>
        <v>0</v>
      </c>
      <c r="AA555" s="4">
        <f t="shared" si="166"/>
        <v>1100</v>
      </c>
      <c r="AB555" s="7">
        <f t="shared" si="167"/>
        <v>92</v>
      </c>
      <c r="AC555" s="15">
        <f t="shared" si="168"/>
        <v>91.666666666666671</v>
      </c>
      <c r="AD555" s="16">
        <f t="shared" si="169"/>
        <v>9889</v>
      </c>
      <c r="AE555" s="16">
        <f t="shared" si="170"/>
        <v>824.08333333333337</v>
      </c>
      <c r="AF555" s="21">
        <v>3.5</v>
      </c>
      <c r="AG555" s="21">
        <v>8.99</v>
      </c>
      <c r="AH555" s="15">
        <f t="shared" si="158"/>
        <v>-6.0266666666666663E-2</v>
      </c>
      <c r="AI555" s="15">
        <f t="shared" si="159"/>
        <v>-0.21093333333333328</v>
      </c>
      <c r="AJ555" s="10">
        <v>0.5</v>
      </c>
      <c r="AK555" s="10">
        <v>0.5</v>
      </c>
      <c r="AL555" s="21">
        <v>3.5</v>
      </c>
      <c r="AM555" s="9">
        <f t="shared" si="142"/>
        <v>1.3485</v>
      </c>
      <c r="AN555" s="9">
        <f t="shared" si="143"/>
        <v>0.2697</v>
      </c>
      <c r="AO555" s="9">
        <f t="shared" si="144"/>
        <v>1.798</v>
      </c>
      <c r="AP555" s="9">
        <f t="shared" si="145"/>
        <v>0.17980000000000002</v>
      </c>
      <c r="AQ555" s="9">
        <f t="shared" si="146"/>
        <v>1.798</v>
      </c>
      <c r="AR555" s="9">
        <f t="shared" si="147"/>
        <v>2.2475000000000001</v>
      </c>
      <c r="AS555" s="11">
        <f t="shared" si="148"/>
        <v>-0.60266666666666657</v>
      </c>
      <c r="AT555" s="12">
        <f t="shared" si="149"/>
        <v>-0.90233333333333332</v>
      </c>
    </row>
    <row r="556" spans="1:46" ht="16.5" x14ac:dyDescent="0.4">
      <c r="A556" s="4" t="s">
        <v>2514</v>
      </c>
      <c r="B556" s="4" t="s">
        <v>2516</v>
      </c>
      <c r="C556" s="4" t="s">
        <v>2517</v>
      </c>
      <c r="D556" s="4" t="s">
        <v>2522</v>
      </c>
      <c r="E556" s="4" t="s">
        <v>2528</v>
      </c>
      <c r="F556" s="4" t="s">
        <v>2534</v>
      </c>
      <c r="G556" s="7" t="str">
        <f>VLOOKUP(A556,[1]done!$A:$I,9,0)</f>
        <v>Rodent</v>
      </c>
      <c r="H556" s="7" t="str" cm="1">
        <f t="array" ref="H556">_xlfn.IFS(
OR(ISNUMBER(SEARCH("mouse",E556)),ISNUMBER(SEARCH("rat",E556)),ISNUMBER(SEARCH("mice",E556)),ISNUMBER(SEARCH("rodent",E556))),"Rodent Control",
OR(ISNUMBER(SEARCH("fly",E556)),ISNUMBER(SEARCH("gnat",E556)),ISNUMBER(SEARCH("insect",E556)),ISNUMBER(SEARCH("mosquito",E556))),"Flying Insect Control",
OR(ISNUMBER(SEARCH("roach",E556)),ISNUMBER(SEARCH("ant",E556)),ISNUMBER(SEARCH("spider",E556)),ISNUMBER(SEARCH("cricket",E556)),ISNUMBER(SEARCH("scorpion",E556)),ISNUMBER(SEARCH("centipede",E556)),ISNUMBER(SEARCH("beetle",E556))),"Crawling Insect Control",
OR(ISNUMBER(SEARCH("tree",E556)),ISNUMBER(SEARCH("lantern",E556)),ISNUMBER(SEARCH("garden",E556)),ISNUMBER(SEARCH("plant",E556))),"Garden Pest Control",
OR(ISNUMBER(SEARCH("grass seed",E556)),ISNUMBER(SEARCH("seed mix",E556))),"Grass Seed",
OR(ISNUMBER(SEARCH("lawn food",E556)),ISNUMBER(SEARCH("fertilizer",E556))),"Lawn Fertilizer",
OR(ISNUMBER(SEARCH("patch",E556)),ISNUMBER(SEARCH("repair",E556)),ISNUMBER(SEARCH("thick'r",E556)),ISNUMBER(SEARCH("thick'r lawn",E556)),ISNUMBER(SEARCH("rapid grass",E556))),"Lawn Repair",
OR(ISNUMBER(SEARCH("weed",E556)),ISNUMBER(SEARCH("crabgrass",E556))),"Weed Control",
OR(ISNUMBER(SEARCH("fungicide",E556)),ISNUMBER(SEARCH("moss",E556))),"Disease &amp; Moss Control",
OR(ISNUMBER(SEARCH("plant food",E556)),ISNUMBER(SEARCH("miracid",E556))),"Plant Nutrition",
OR(ISNUMBER(SEARCH("perlite",E556))),"Soil Amendment",
OR(ISNUMBER(SEARCH("spreader",E556)),ISNUMBER(SEARCH("sprayer",E556)),ISNUMBER(SEARCH("mower",E556)),ISNUMBER(SEARCH("sweeper",E556)),ISNUMBER(SEARCH("pruner",E556)),ISNUMBER(SEARCH("trimmer",E556)),ISNUMBER(SEARCH("pole saw",E556))),"Garden Equipment",
TRUE,"Other"
)</f>
        <v>Rodent Control</v>
      </c>
      <c r="I556" s="7" t="str" cm="1">
        <f t="array" ref="I556">_xlfn.IFS(
OR(ISNUMBER(SEARCH("glue trap",E556)),ISNUMBER(SEARCH("glue board",E556))),"Glue Traps",
OR(ISNUMBER(SEARCH("snap trap",E556)),ISNUMBER(SEARCH("power-kill",E556)),ISNUMBER(SEARCH("wide pedal",E556)),ISNUMBER(SEARCH("metal pedal",E556))),"Snap Traps",
OR(ISNUMBER(SEARCH("electronic",E556)),ISNUMBER(SEARCH("zapper",E556))),"Electronic Traps",
OR(ISNUMBER(SEARCH("live catch",E556)),ISNUMBER(SEARCH("multi-catch",E556)),ISNUMBER(SEARCH("catch &amp; hold",E556)),ISNUMBER(SEARCH("tin cat",E556))),"Live Catch Traps",
OR(ISNUMBER(SEARCH("bait",E556)),ISNUMBER(SEARCH("poison",E556))),"Bait &amp; Poison",
ISNUMBER(SEARCH("repellent",E556)),"Repellents",
OR(ISNUMBER(SEARCH("fly trap",E556)),ISNUMBER(SEARCH("fly ribbon",E556)),ISNUMBER(SEARCH("fly stick",E556)),ISNUMBER(SEARCH("window fly",E556)),ISNUMBER(SEARCH("fly magnet",E556))),"Fly Traps",
OR(ISNUMBER(SEARCH("uv",E556)),ISNUMBER(SEARCH("fly light",E556)),ISNUMBER(SEARCH("plug-in",E556))),"UV Fly Traps",
ISNUMBER(SEARCH("roach",E556)),"Roach Traps",
ISNUMBER(SEARCH("ant",E556)),"Ant Traps",
ISNUMBER(SEARCH("spider",E556)),"Spider Traps",
ISNUMBER(SEARCH("mosquito",E556)),"Mosquito Traps",
ISNUMBER(SEARCH("beetle",E556)),"Beetle Traps",
ISNUMBER(SEARCH("lantern",E556)),"Lanternfly Control",
OR(ISNUMBER(SEARCH("tree shield",E556)),ISNUMBER(SEARCH("tree banding",E556)),ISNUMBER(SEARCH("insect barrier",E556))),"Tree Barriers",
OR(ISNUMBER(SEARCH("sun &amp; shade",E556)),ISNUMBER(SEARCH("sun and shade",E556))),"Sun &amp; Shade Mix",
ISNUMBER(SEARCH("tall fescue",E556)),"Tall Fescue",
ISNUMBER(SEARCH("bermudagrass",E556)),"Bermudagrass",
ISNUMBER(SEARCH("kentucky",E556)),"Kentucky Bluegrass",
ISNUMBER(SEARCH("zoysia",E556)),"Zoysia",
ISNUMBER(SEARCH("ryegrass",E556)),"Perennial Ryegrass",
ISNUMBER(SEARCH("centipede",E556)),"Centipede Grass",
ISNUMBER(SEARCH("dense shade",E556)),"Dense Shade Mix",
ISNUMBER(SEARCH("southern gold",E556)),"Southern Gold Mix",
ISNUMBER(SEARCH("heat-tolerant blue",E556)),"Heat-Tolerant Blue Mix",
ISNUMBER(SEARCH("high traffic",E556)),"High Traffic Mix",
ISNUMBER(SEARCH("quick fix",E556)),"Quick Fix Mix",
ISNUMBER(SEARCH("starter",E556)),"Starter Fertilizer",
ISNUMBER(SEARCH("weed &amp; feed",E556)),"Weed &amp; Feed",
ISNUMBER(SEARCH("lawn food",E556)),"Lawn Food",
ISNUMBER(SEARCH("triple action",E556)),"Triple Action Fertilizer",
ISNUMBER(SEARCH("green max",E556)),"Green Max Lawn Food",
ISNUMBER(SEARCH("patchmaster",E556)),"PatchMaster Repair",
ISNUMBER(SEARCH("ez seed",E556)),"EZ Seed Repair",
ISNUMBER(SEARCH("rapid grass",E556)),"Rapid Grass",
ISNUMBER(SEARCH("thick'r lawn",E556)),"Thick'R Lawn",
ISNUMBER(SEARCH("fungicide",E556)),"Fungicide",
ISNUMBER(SEARCH("moss",E556)),"Moss Control",
ISNUMBER(SEARCH("perlite",E556)),"Perlite",
ISNUMBER(SEARCH("plant food",E556)),"Plant Food",
ISNUMBER(SEARCH("spreader",E556)),"Spreader",
ISNUMBER(SEARCH("sprayer",E556)),"Sprayer",
ISNUMBER(SEARCH("mower",E556)),"Lawn Mower",
ISNUMBER(SEARCH("sweeper",E556)),"Lawn Sweeper",
OR(ISNUMBER(SEARCH("pruner",E556)),ISNUMBER(SEARCH("trimmer",E556)),ISNUMBER(SEARCH("pole saw",E556))),"Pruning Tools",
TRUE,"Other"
)</f>
        <v>Other</v>
      </c>
      <c r="J556" s="7" t="str">
        <f t="shared" si="165"/>
        <v>Rodent Control - Other</v>
      </c>
      <c r="K556" s="4">
        <v>100</v>
      </c>
      <c r="L556" s="4">
        <v>4.3</v>
      </c>
      <c r="M556" s="4">
        <v>46</v>
      </c>
      <c r="O556" s="4">
        <f>VLOOKUP(A556,[11]Sheet1!$A:$M,2,0)</f>
        <v>0</v>
      </c>
      <c r="P556" s="4">
        <f>VLOOKUP(A556,[11]Sheet1!$A:$M,3,0)</f>
        <v>0</v>
      </c>
      <c r="Q556" s="4">
        <f>VLOOKUP(A556,[11]Sheet1!$A:$M,4,0)</f>
        <v>50</v>
      </c>
      <c r="R556" s="4">
        <f>VLOOKUP(A556,[11]Sheet1!$A:$M,5,0)</f>
        <v>50</v>
      </c>
      <c r="S556" s="4">
        <f>VLOOKUP(A556,[11]Sheet1!$A:$M,6,0)</f>
        <v>50</v>
      </c>
      <c r="T556" s="4">
        <f>VLOOKUP(A556,[11]Sheet1!$A:$M,7,0)</f>
        <v>0</v>
      </c>
      <c r="U556" s="4">
        <f>VLOOKUP(A556,[11]Sheet1!$A:$M,8,0)</f>
        <v>0</v>
      </c>
      <c r="V556" s="4">
        <f>VLOOKUP(A556,[11]Sheet1!$A:$M,9,0)</f>
        <v>50</v>
      </c>
      <c r="W556" s="4">
        <f>VLOOKUP(A556,[11]Sheet1!$A:$M,10,0)</f>
        <v>100</v>
      </c>
      <c r="X556" s="4">
        <f>VLOOKUP(A556,[11]Sheet1!$A:$M,11,0)</f>
        <v>0</v>
      </c>
      <c r="Y556" s="4">
        <f>VLOOKUP(A556,[11]Sheet1!$A:$M,12,0)</f>
        <v>0</v>
      </c>
      <c r="Z556" s="4">
        <f>VLOOKUP(A556,[11]Sheet1!$A:$M,13,0)</f>
        <v>0</v>
      </c>
      <c r="AA556" s="4">
        <f t="shared" si="166"/>
        <v>300</v>
      </c>
      <c r="AB556" s="7">
        <f t="shared" si="167"/>
        <v>25</v>
      </c>
      <c r="AC556" s="15">
        <f t="shared" si="168"/>
        <v>25</v>
      </c>
      <c r="AD556" s="16">
        <f t="shared" si="169"/>
        <v>5396.9999999999991</v>
      </c>
      <c r="AE556" s="16">
        <f t="shared" si="170"/>
        <v>449.74999999999994</v>
      </c>
      <c r="AF556" s="21">
        <v>5.76</v>
      </c>
      <c r="AG556" s="21">
        <v>17.989999999999998</v>
      </c>
      <c r="AH556" s="15">
        <f t="shared" si="158"/>
        <v>2.9066666666666602E-2</v>
      </c>
      <c r="AI556" s="15">
        <f t="shared" si="159"/>
        <v>0.10173333333333311</v>
      </c>
      <c r="AJ556" s="10">
        <v>0.5</v>
      </c>
      <c r="AK556" s="10">
        <v>0.5</v>
      </c>
      <c r="AL556" s="21">
        <v>5.76</v>
      </c>
      <c r="AM556" s="9">
        <f t="shared" si="142"/>
        <v>2.6984999999999997</v>
      </c>
      <c r="AN556" s="9">
        <f t="shared" si="143"/>
        <v>0.53969999999999996</v>
      </c>
      <c r="AO556" s="9">
        <f t="shared" si="144"/>
        <v>3.5979999999999999</v>
      </c>
      <c r="AP556" s="9">
        <f t="shared" si="145"/>
        <v>0.35979999999999995</v>
      </c>
      <c r="AQ556" s="9">
        <f t="shared" si="146"/>
        <v>3.5979999999999999</v>
      </c>
      <c r="AR556" s="9">
        <f t="shared" si="147"/>
        <v>4.4974999999999996</v>
      </c>
      <c r="AS556" s="11">
        <f t="shared" si="148"/>
        <v>0.29066666666666602</v>
      </c>
      <c r="AT556" s="12">
        <f t="shared" si="149"/>
        <v>-0.30900000000000044</v>
      </c>
    </row>
    <row r="557" spans="1:46" ht="16.5" x14ac:dyDescent="0.4">
      <c r="A557" s="4" t="s">
        <v>2515</v>
      </c>
      <c r="B557" s="4" t="s">
        <v>2516</v>
      </c>
      <c r="C557" s="4" t="s">
        <v>2517</v>
      </c>
      <c r="D557" s="4" t="s">
        <v>2523</v>
      </c>
      <c r="E557" s="4" t="s">
        <v>2529</v>
      </c>
      <c r="F557" s="4" t="s">
        <v>2535</v>
      </c>
      <c r="G557" s="7" t="str">
        <f>VLOOKUP(A557,[1]done!$A:$I,9,0)</f>
        <v>Mosquito/Fly</v>
      </c>
      <c r="H557" s="7" t="str" cm="1">
        <f t="array" ref="H557">_xlfn.IFS(
OR(ISNUMBER(SEARCH("mouse",E557)),ISNUMBER(SEARCH("rat",E557)),ISNUMBER(SEARCH("mice",E557)),ISNUMBER(SEARCH("rodent",E557))),"Rodent Control",
OR(ISNUMBER(SEARCH("fly",E557)),ISNUMBER(SEARCH("gnat",E557)),ISNUMBER(SEARCH("insect",E557)),ISNUMBER(SEARCH("mosquito",E557))),"Flying Insect Control",
OR(ISNUMBER(SEARCH("roach",E557)),ISNUMBER(SEARCH("ant",E557)),ISNUMBER(SEARCH("spider",E557)),ISNUMBER(SEARCH("cricket",E557)),ISNUMBER(SEARCH("scorpion",E557)),ISNUMBER(SEARCH("centipede",E557)),ISNUMBER(SEARCH("beetle",E557))),"Crawling Insect Control",
OR(ISNUMBER(SEARCH("tree",E557)),ISNUMBER(SEARCH("lantern",E557)),ISNUMBER(SEARCH("garden",E557)),ISNUMBER(SEARCH("plant",E557))),"Garden Pest Control",
OR(ISNUMBER(SEARCH("grass seed",E557)),ISNUMBER(SEARCH("seed mix",E557))),"Grass Seed",
OR(ISNUMBER(SEARCH("lawn food",E557)),ISNUMBER(SEARCH("fertilizer",E557))),"Lawn Fertilizer",
OR(ISNUMBER(SEARCH("patch",E557)),ISNUMBER(SEARCH("repair",E557)),ISNUMBER(SEARCH("thick'r",E557)),ISNUMBER(SEARCH("thick'r lawn",E557)),ISNUMBER(SEARCH("rapid grass",E557))),"Lawn Repair",
OR(ISNUMBER(SEARCH("weed",E557)),ISNUMBER(SEARCH("crabgrass",E557))),"Weed Control",
OR(ISNUMBER(SEARCH("fungicide",E557)),ISNUMBER(SEARCH("moss",E557))),"Disease &amp; Moss Control",
OR(ISNUMBER(SEARCH("plant food",E557)),ISNUMBER(SEARCH("miracid",E557))),"Plant Nutrition",
OR(ISNUMBER(SEARCH("perlite",E557))),"Soil Amendment",
OR(ISNUMBER(SEARCH("spreader",E557)),ISNUMBER(SEARCH("sprayer",E557)),ISNUMBER(SEARCH("mower",E557)),ISNUMBER(SEARCH("sweeper",E557)),ISNUMBER(SEARCH("pruner",E557)),ISNUMBER(SEARCH("trimmer",E557)),ISNUMBER(SEARCH("pole saw",E557))),"Garden Equipment",
TRUE,"Other"
)</f>
        <v>Flying Insect Control</v>
      </c>
      <c r="I557" s="7" t="str" cm="1">
        <f t="array" ref="I557">_xlfn.IFS(
OR(ISNUMBER(SEARCH("glue trap",E557)),ISNUMBER(SEARCH("glue board",E557))),"Glue Traps",
OR(ISNUMBER(SEARCH("snap trap",E557)),ISNUMBER(SEARCH("power-kill",E557)),ISNUMBER(SEARCH("wide pedal",E557)),ISNUMBER(SEARCH("metal pedal",E557))),"Snap Traps",
OR(ISNUMBER(SEARCH("electronic",E557)),ISNUMBER(SEARCH("zapper",E557))),"Electronic Traps",
OR(ISNUMBER(SEARCH("live catch",E557)),ISNUMBER(SEARCH("multi-catch",E557)),ISNUMBER(SEARCH("catch &amp; hold",E557)),ISNUMBER(SEARCH("tin cat",E557))),"Live Catch Traps",
OR(ISNUMBER(SEARCH("bait",E557)),ISNUMBER(SEARCH("poison",E557))),"Bait &amp; Poison",
ISNUMBER(SEARCH("repellent",E557)),"Repellents",
OR(ISNUMBER(SEARCH("fly trap",E557)),ISNUMBER(SEARCH("fly ribbon",E557)),ISNUMBER(SEARCH("fly stick",E557)),ISNUMBER(SEARCH("window fly",E557)),ISNUMBER(SEARCH("fly magnet",E557))),"Fly Traps",
OR(ISNUMBER(SEARCH("uv",E557)),ISNUMBER(SEARCH("fly light",E557)),ISNUMBER(SEARCH("plug-in",E557))),"UV Fly Traps",
ISNUMBER(SEARCH("roach",E557)),"Roach Traps",
ISNUMBER(SEARCH("ant",E557)),"Ant Traps",
ISNUMBER(SEARCH("spider",E557)),"Spider Traps",
ISNUMBER(SEARCH("mosquito",E557)),"Mosquito Traps",
ISNUMBER(SEARCH("beetle",E557)),"Beetle Traps",
ISNUMBER(SEARCH("lantern",E557)),"Lanternfly Control",
OR(ISNUMBER(SEARCH("tree shield",E557)),ISNUMBER(SEARCH("tree banding",E557)),ISNUMBER(SEARCH("insect barrier",E557))),"Tree Barriers",
OR(ISNUMBER(SEARCH("sun &amp; shade",E557)),ISNUMBER(SEARCH("sun and shade",E557))),"Sun &amp; Shade Mix",
ISNUMBER(SEARCH("tall fescue",E557)),"Tall Fescue",
ISNUMBER(SEARCH("bermudagrass",E557)),"Bermudagrass",
ISNUMBER(SEARCH("kentucky",E557)),"Kentucky Bluegrass",
ISNUMBER(SEARCH("zoysia",E557)),"Zoysia",
ISNUMBER(SEARCH("ryegrass",E557)),"Perennial Ryegrass",
ISNUMBER(SEARCH("centipede",E557)),"Centipede Grass",
ISNUMBER(SEARCH("dense shade",E557)),"Dense Shade Mix",
ISNUMBER(SEARCH("southern gold",E557)),"Southern Gold Mix",
ISNUMBER(SEARCH("heat-tolerant blue",E557)),"Heat-Tolerant Blue Mix",
ISNUMBER(SEARCH("high traffic",E557)),"High Traffic Mix",
ISNUMBER(SEARCH("quick fix",E557)),"Quick Fix Mix",
ISNUMBER(SEARCH("starter",E557)),"Starter Fertilizer",
ISNUMBER(SEARCH("weed &amp; feed",E557)),"Weed &amp; Feed",
ISNUMBER(SEARCH("lawn food",E557)),"Lawn Food",
ISNUMBER(SEARCH("triple action",E557)),"Triple Action Fertilizer",
ISNUMBER(SEARCH("green max",E557)),"Green Max Lawn Food",
ISNUMBER(SEARCH("patchmaster",E557)),"PatchMaster Repair",
ISNUMBER(SEARCH("ez seed",E557)),"EZ Seed Repair",
ISNUMBER(SEARCH("rapid grass",E557)),"Rapid Grass",
ISNUMBER(SEARCH("thick'r lawn",E557)),"Thick'R Lawn",
ISNUMBER(SEARCH("fungicide",E557)),"Fungicide",
ISNUMBER(SEARCH("moss",E557)),"Moss Control",
ISNUMBER(SEARCH("perlite",E557)),"Perlite",
ISNUMBER(SEARCH("plant food",E557)),"Plant Food",
ISNUMBER(SEARCH("spreader",E557)),"Spreader",
ISNUMBER(SEARCH("sprayer",E557)),"Sprayer",
ISNUMBER(SEARCH("mower",E557)),"Lawn Mower",
ISNUMBER(SEARCH("sweeper",E557)),"Lawn Sweeper",
OR(ISNUMBER(SEARCH("pruner",E557)),ISNUMBER(SEARCH("trimmer",E557)),ISNUMBER(SEARCH("pole saw",E557))),"Pruning Tools",
TRUE,"Other"
)</f>
        <v>Fly Traps</v>
      </c>
      <c r="J557" s="7" t="str">
        <f>H557&amp;" - "&amp;I557</f>
        <v>Flying Insect Control - Fly Traps</v>
      </c>
      <c r="K557" s="4">
        <v>50</v>
      </c>
      <c r="L557" s="4">
        <v>4.0999999999999996</v>
      </c>
      <c r="M557" s="4">
        <v>60</v>
      </c>
      <c r="O557" s="4">
        <f>VLOOKUP(A557,[11]Sheet1!$A:$M,2,0)</f>
        <v>100</v>
      </c>
      <c r="P557" s="4">
        <f>VLOOKUP(A557,[11]Sheet1!$A:$M,3,0)</f>
        <v>50</v>
      </c>
      <c r="Q557" s="4">
        <f>VLOOKUP(A557,[11]Sheet1!$A:$M,4,0)</f>
        <v>50</v>
      </c>
      <c r="R557" s="4">
        <f>VLOOKUP(A557,[11]Sheet1!$A:$M,5,0)</f>
        <v>100</v>
      </c>
      <c r="S557" s="4">
        <f>VLOOKUP(A557,[11]Sheet1!$A:$M,6,0)</f>
        <v>50</v>
      </c>
      <c r="T557" s="4">
        <f>VLOOKUP(A557,[11]Sheet1!$A:$M,7,0)</f>
        <v>0</v>
      </c>
      <c r="U557" s="4">
        <f>VLOOKUP(A557,[11]Sheet1!$A:$M,8,0)</f>
        <v>0</v>
      </c>
      <c r="V557" s="4">
        <f>VLOOKUP(A557,[11]Sheet1!$A:$M,9,0)</f>
        <v>50</v>
      </c>
      <c r="W557" s="4">
        <f>VLOOKUP(A557,[11]Sheet1!$A:$M,10,0)</f>
        <v>50</v>
      </c>
      <c r="X557" s="4">
        <f>VLOOKUP(A557,[11]Sheet1!$A:$M,11,0)</f>
        <v>50</v>
      </c>
      <c r="Y557" s="4">
        <f>VLOOKUP(A557,[11]Sheet1!$A:$M,12,0)</f>
        <v>100</v>
      </c>
      <c r="Z557" s="4">
        <f>VLOOKUP(A557,[11]Sheet1!$A:$M,13,0)</f>
        <v>100</v>
      </c>
      <c r="AA557" s="4">
        <f t="shared" si="166"/>
        <v>700</v>
      </c>
      <c r="AB557" s="7">
        <f t="shared" si="167"/>
        <v>58</v>
      </c>
      <c r="AC557" s="15">
        <f t="shared" si="168"/>
        <v>58.333333333333336</v>
      </c>
      <c r="AD557" s="16">
        <f t="shared" si="169"/>
        <v>5033</v>
      </c>
      <c r="AE557" s="16">
        <f t="shared" si="170"/>
        <v>419.41666666666669</v>
      </c>
      <c r="AF557" s="21">
        <v>3.01</v>
      </c>
      <c r="AG557" s="21">
        <v>7.19</v>
      </c>
      <c r="AH557" s="15">
        <f t="shared" si="158"/>
        <v>-7.5600000000000001E-2</v>
      </c>
      <c r="AI557" s="15">
        <f t="shared" si="159"/>
        <v>-0.26459999999999995</v>
      </c>
      <c r="AJ557" s="10">
        <v>0.5</v>
      </c>
      <c r="AK557" s="10">
        <v>0.5</v>
      </c>
      <c r="AL557" s="21">
        <v>3.01</v>
      </c>
      <c r="AM557" s="9">
        <f t="shared" si="142"/>
        <v>1.0785</v>
      </c>
      <c r="AN557" s="9">
        <f t="shared" si="143"/>
        <v>0.2157</v>
      </c>
      <c r="AO557" s="9">
        <f t="shared" si="144"/>
        <v>1.4380000000000002</v>
      </c>
      <c r="AP557" s="9">
        <f t="shared" si="145"/>
        <v>0.14380000000000001</v>
      </c>
      <c r="AQ557" s="9">
        <f t="shared" si="146"/>
        <v>1.4380000000000002</v>
      </c>
      <c r="AR557" s="9">
        <f t="shared" si="147"/>
        <v>1.7975000000000001</v>
      </c>
      <c r="AS557" s="11">
        <f t="shared" si="148"/>
        <v>-0.75599999999999989</v>
      </c>
      <c r="AT557" s="12">
        <f t="shared" si="149"/>
        <v>-0.99566666666666659</v>
      </c>
    </row>
    <row r="558" spans="1:46" ht="16.5" x14ac:dyDescent="0.4">
      <c r="A558" s="4" t="s">
        <v>2537</v>
      </c>
      <c r="B558" s="4" t="s">
        <v>2540</v>
      </c>
      <c r="C558" s="4" t="s">
        <v>2541</v>
      </c>
      <c r="D558" s="4" t="s">
        <v>2542</v>
      </c>
      <c r="E558" s="4" t="s">
        <v>2545</v>
      </c>
      <c r="F558" s="4" t="s">
        <v>2548</v>
      </c>
      <c r="G558" s="7" t="str">
        <f>VLOOKUP(A558,[1]done!$A:$I,9,0)</f>
        <v>Rodent</v>
      </c>
      <c r="H558" s="7" t="str" cm="1">
        <f t="array" ref="H558">_xlfn.IFS(
OR(ISNUMBER(SEARCH("mouse",E558)),ISNUMBER(SEARCH("rat",E558)),ISNUMBER(SEARCH("mice",E558)),ISNUMBER(SEARCH("rodent",E558))),"Rodent Control",
OR(ISNUMBER(SEARCH("fly",E558)),ISNUMBER(SEARCH("gnat",E558)),ISNUMBER(SEARCH("insect",E558)),ISNUMBER(SEARCH("mosquito",E558))),"Flying Insect Control",
OR(ISNUMBER(SEARCH("roach",E558)),ISNUMBER(SEARCH("ant",E558)),ISNUMBER(SEARCH("spider",E558)),ISNUMBER(SEARCH("cricket",E558)),ISNUMBER(SEARCH("scorpion",E558)),ISNUMBER(SEARCH("centipede",E558)),ISNUMBER(SEARCH("beetle",E558))),"Crawling Insect Control",
OR(ISNUMBER(SEARCH("tree",E558)),ISNUMBER(SEARCH("lantern",E558)),ISNUMBER(SEARCH("garden",E558)),ISNUMBER(SEARCH("plant",E558))),"Garden Pest Control",
OR(ISNUMBER(SEARCH("grass seed",E558)),ISNUMBER(SEARCH("seed mix",E558))),"Grass Seed",
OR(ISNUMBER(SEARCH("lawn food",E558)),ISNUMBER(SEARCH("fertilizer",E558))),"Lawn Fertilizer",
OR(ISNUMBER(SEARCH("patch",E558)),ISNUMBER(SEARCH("repair",E558)),ISNUMBER(SEARCH("thick'r",E558)),ISNUMBER(SEARCH("thick'r lawn",E558)),ISNUMBER(SEARCH("rapid grass",E558))),"Lawn Repair",
OR(ISNUMBER(SEARCH("weed",E558)),ISNUMBER(SEARCH("crabgrass",E558))),"Weed Control",
OR(ISNUMBER(SEARCH("fungicide",E558)),ISNUMBER(SEARCH("moss",E558))),"Disease &amp; Moss Control",
OR(ISNUMBER(SEARCH("plant food",E558)),ISNUMBER(SEARCH("miracid",E558))),"Plant Nutrition",
OR(ISNUMBER(SEARCH("perlite",E558))),"Soil Amendment",
OR(ISNUMBER(SEARCH("spreader",E558)),ISNUMBER(SEARCH("sprayer",E558)),ISNUMBER(SEARCH("mower",E558)),ISNUMBER(SEARCH("sweeper",E558)),ISNUMBER(SEARCH("pruner",E558)),ISNUMBER(SEARCH("trimmer",E558)),ISNUMBER(SEARCH("pole saw",E558))),"Garden Equipment",
TRUE,"Other"
)</f>
        <v>Rodent Control</v>
      </c>
      <c r="I558" s="7" t="str" cm="1">
        <f t="array" ref="I558">_xlfn.IFS(
OR(ISNUMBER(SEARCH("glue trap",E558)),ISNUMBER(SEARCH("glue board",E558))),"Glue Traps",
OR(ISNUMBER(SEARCH("snap trap",E558)),ISNUMBER(SEARCH("power-kill",E558)),ISNUMBER(SEARCH("wide pedal",E558)),ISNUMBER(SEARCH("metal pedal",E558))),"Snap Traps",
OR(ISNUMBER(SEARCH("electronic",E558)),ISNUMBER(SEARCH("zapper",E558))),"Electronic Traps",
OR(ISNUMBER(SEARCH("live catch",E558)),ISNUMBER(SEARCH("multi-catch",E558)),ISNUMBER(SEARCH("catch &amp; hold",E558)),ISNUMBER(SEARCH("tin cat",E558))),"Live Catch Traps",
OR(ISNUMBER(SEARCH("bait",E558)),ISNUMBER(SEARCH("poison",E558))),"Bait &amp; Poison",
ISNUMBER(SEARCH("repellent",E558)),"Repellents",
OR(ISNUMBER(SEARCH("fly trap",E558)),ISNUMBER(SEARCH("fly ribbon",E558)),ISNUMBER(SEARCH("fly stick",E558)),ISNUMBER(SEARCH("window fly",E558)),ISNUMBER(SEARCH("fly magnet",E558))),"Fly Traps",
OR(ISNUMBER(SEARCH("uv",E558)),ISNUMBER(SEARCH("fly light",E558)),ISNUMBER(SEARCH("plug-in",E558))),"UV Fly Traps",
ISNUMBER(SEARCH("roach",E558)),"Roach Traps",
ISNUMBER(SEARCH("ant",E558)),"Ant Traps",
ISNUMBER(SEARCH("spider",E558)),"Spider Traps",
ISNUMBER(SEARCH("mosquito",E558)),"Mosquito Traps",
ISNUMBER(SEARCH("beetle",E558)),"Beetle Traps",
ISNUMBER(SEARCH("lantern",E558)),"Lanternfly Control",
OR(ISNUMBER(SEARCH("tree shield",E558)),ISNUMBER(SEARCH("tree banding",E558)),ISNUMBER(SEARCH("insect barrier",E558))),"Tree Barriers",
OR(ISNUMBER(SEARCH("sun &amp; shade",E558)),ISNUMBER(SEARCH("sun and shade",E558))),"Sun &amp; Shade Mix",
ISNUMBER(SEARCH("tall fescue",E558)),"Tall Fescue",
ISNUMBER(SEARCH("bermudagrass",E558)),"Bermudagrass",
ISNUMBER(SEARCH("kentucky",E558)),"Kentucky Bluegrass",
ISNUMBER(SEARCH("zoysia",E558)),"Zoysia",
ISNUMBER(SEARCH("ryegrass",E558)),"Perennial Ryegrass",
ISNUMBER(SEARCH("centipede",E558)),"Centipede Grass",
ISNUMBER(SEARCH("dense shade",E558)),"Dense Shade Mix",
ISNUMBER(SEARCH("southern gold",E558)),"Southern Gold Mix",
ISNUMBER(SEARCH("heat-tolerant blue",E558)),"Heat-Tolerant Blue Mix",
ISNUMBER(SEARCH("high traffic",E558)),"High Traffic Mix",
ISNUMBER(SEARCH("quick fix",E558)),"Quick Fix Mix",
ISNUMBER(SEARCH("starter",E558)),"Starter Fertilizer",
ISNUMBER(SEARCH("weed &amp; feed",E558)),"Weed &amp; Feed",
ISNUMBER(SEARCH("lawn food",E558)),"Lawn Food",
ISNUMBER(SEARCH("triple action",E558)),"Triple Action Fertilizer",
ISNUMBER(SEARCH("green max",E558)),"Green Max Lawn Food",
ISNUMBER(SEARCH("patchmaster",E558)),"PatchMaster Repair",
ISNUMBER(SEARCH("ez seed",E558)),"EZ Seed Repair",
ISNUMBER(SEARCH("rapid grass",E558)),"Rapid Grass",
ISNUMBER(SEARCH("thick'r lawn",E558)),"Thick'R Lawn",
ISNUMBER(SEARCH("fungicide",E558)),"Fungicide",
ISNUMBER(SEARCH("moss",E558)),"Moss Control",
ISNUMBER(SEARCH("perlite",E558)),"Perlite",
ISNUMBER(SEARCH("plant food",E558)),"Plant Food",
ISNUMBER(SEARCH("spreader",E558)),"Spreader",
ISNUMBER(SEARCH("sprayer",E558)),"Sprayer",
ISNUMBER(SEARCH("mower",E558)),"Lawn Mower",
ISNUMBER(SEARCH("sweeper",E558)),"Lawn Sweeper",
OR(ISNUMBER(SEARCH("pruner",E558)),ISNUMBER(SEARCH("trimmer",E558)),ISNUMBER(SEARCH("pole saw",E558))),"Pruning Tools",
TRUE,"Other"
)</f>
        <v>Other</v>
      </c>
      <c r="J558" s="7" t="str">
        <f t="shared" ref="J558:J621" si="171">H558&amp;" - "&amp;I558</f>
        <v>Rodent Control - Other</v>
      </c>
      <c r="K558" s="4">
        <v>1000</v>
      </c>
      <c r="L558" s="4">
        <v>3.8</v>
      </c>
      <c r="M558" s="4">
        <v>12597</v>
      </c>
      <c r="O558" s="4">
        <f>VLOOKUP(A558,[12]Sheet1!$A:$M,2,0)</f>
        <v>400</v>
      </c>
      <c r="P558" s="4">
        <f>VLOOKUP(A558,[12]Sheet1!$A:$M,3,0)</f>
        <v>300</v>
      </c>
      <c r="Q558" s="4">
        <f>VLOOKUP(A558,[12]Sheet1!$A:$M,4,0)</f>
        <v>300</v>
      </c>
      <c r="R558" s="4">
        <f>VLOOKUP(A558,[12]Sheet1!$A:$M,5,0)</f>
        <v>1000</v>
      </c>
      <c r="S558" s="4">
        <f>VLOOKUP(A558,[12]Sheet1!$A:$M,6,0)</f>
        <v>1000</v>
      </c>
      <c r="T558" s="4">
        <f>VLOOKUP(A558,[12]Sheet1!$A:$M,7,0)</f>
        <v>1000</v>
      </c>
      <c r="U558" s="4">
        <f>VLOOKUP(A558,[12]Sheet1!$A:$M,8,0)</f>
        <v>2000</v>
      </c>
      <c r="V558" s="4">
        <f>VLOOKUP(A558,[12]Sheet1!$A:$M,9,0)</f>
        <v>1000</v>
      </c>
      <c r="W558" s="4">
        <f>VLOOKUP(A558,[12]Sheet1!$A:$M,10,0)</f>
        <v>1000</v>
      </c>
      <c r="X558" s="4">
        <f>VLOOKUP(A558,[12]Sheet1!$A:$M,11,0)</f>
        <v>800</v>
      </c>
      <c r="Y558" s="4">
        <f>VLOOKUP(A558,[12]Sheet1!$A:$M,12,0)</f>
        <v>700</v>
      </c>
      <c r="Z558" s="4">
        <f>VLOOKUP(A558,[12]Sheet1!$A:$M,13,0)</f>
        <v>300</v>
      </c>
      <c r="AA558" s="4">
        <f t="shared" ref="AA558:AA560" si="172">SUM(O558:Z558)</f>
        <v>9800</v>
      </c>
      <c r="AB558" s="7">
        <f t="shared" ref="AB558:AB560" si="173">ROUND(AA558/12,0)</f>
        <v>817</v>
      </c>
      <c r="AC558" s="15">
        <f t="shared" ref="AC558:AC560" si="174">AVERAGE(O558:Z558)</f>
        <v>816.66666666666663</v>
      </c>
      <c r="AD558" s="16">
        <f t="shared" ref="AD558:AD560" si="175">AG558*AA558</f>
        <v>260680</v>
      </c>
      <c r="AE558" s="16">
        <f t="shared" si="170"/>
        <v>21723.333333333332</v>
      </c>
      <c r="AF558" s="21">
        <v>7.46</v>
      </c>
      <c r="AG558" s="21">
        <v>26.6</v>
      </c>
      <c r="AH558" s="15">
        <f t="shared" si="158"/>
        <v>0.1453333333333334</v>
      </c>
      <c r="AI558" s="15">
        <f t="shared" si="159"/>
        <v>0.50866666666666682</v>
      </c>
      <c r="AJ558" s="10">
        <v>0.5</v>
      </c>
      <c r="AK558" s="10">
        <v>0.5</v>
      </c>
      <c r="AL558" s="21">
        <v>7.46</v>
      </c>
      <c r="AM558" s="9">
        <f t="shared" si="142"/>
        <v>3.99</v>
      </c>
      <c r="AN558" s="9">
        <f t="shared" si="143"/>
        <v>0.79800000000000004</v>
      </c>
      <c r="AO558" s="9">
        <f t="shared" si="144"/>
        <v>5.32</v>
      </c>
      <c r="AP558" s="9">
        <f t="shared" si="145"/>
        <v>0.53200000000000003</v>
      </c>
      <c r="AQ558" s="9">
        <f t="shared" si="146"/>
        <v>5.32</v>
      </c>
      <c r="AR558" s="9">
        <f t="shared" si="147"/>
        <v>6.65</v>
      </c>
      <c r="AS558" s="11">
        <f t="shared" si="148"/>
        <v>1.4533333333333338</v>
      </c>
      <c r="AT558" s="12">
        <f t="shared" si="149"/>
        <v>0.56666666666666698</v>
      </c>
    </row>
    <row r="559" spans="1:46" ht="16.5" x14ac:dyDescent="0.4">
      <c r="A559" s="4" t="s">
        <v>2538</v>
      </c>
      <c r="B559" s="4" t="s">
        <v>2540</v>
      </c>
      <c r="C559" s="4" t="s">
        <v>2541</v>
      </c>
      <c r="D559" s="4" t="s">
        <v>2543</v>
      </c>
      <c r="E559" s="4" t="s">
        <v>2546</v>
      </c>
      <c r="F559" s="4" t="s">
        <v>2549</v>
      </c>
      <c r="G559" s="7" t="str">
        <f>VLOOKUP(A559,[1]done!$A:$I,9,0)</f>
        <v>Rodent</v>
      </c>
      <c r="H559" s="7" t="str" cm="1">
        <f t="array" ref="H559">_xlfn.IFS(
OR(ISNUMBER(SEARCH("mouse",E559)),ISNUMBER(SEARCH("rat",E559)),ISNUMBER(SEARCH("mice",E559)),ISNUMBER(SEARCH("rodent",E559))),"Rodent Control",
OR(ISNUMBER(SEARCH("fly",E559)),ISNUMBER(SEARCH("gnat",E559)),ISNUMBER(SEARCH("insect",E559)),ISNUMBER(SEARCH("mosquito",E559))),"Flying Insect Control",
OR(ISNUMBER(SEARCH("roach",E559)),ISNUMBER(SEARCH("ant",E559)),ISNUMBER(SEARCH("spider",E559)),ISNUMBER(SEARCH("cricket",E559)),ISNUMBER(SEARCH("scorpion",E559)),ISNUMBER(SEARCH("centipede",E559)),ISNUMBER(SEARCH("beetle",E559))),"Crawling Insect Control",
OR(ISNUMBER(SEARCH("tree",E559)),ISNUMBER(SEARCH("lantern",E559)),ISNUMBER(SEARCH("garden",E559)),ISNUMBER(SEARCH("plant",E559))),"Garden Pest Control",
OR(ISNUMBER(SEARCH("grass seed",E559)),ISNUMBER(SEARCH("seed mix",E559))),"Grass Seed",
OR(ISNUMBER(SEARCH("lawn food",E559)),ISNUMBER(SEARCH("fertilizer",E559))),"Lawn Fertilizer",
OR(ISNUMBER(SEARCH("patch",E559)),ISNUMBER(SEARCH("repair",E559)),ISNUMBER(SEARCH("thick'r",E559)),ISNUMBER(SEARCH("thick'r lawn",E559)),ISNUMBER(SEARCH("rapid grass",E559))),"Lawn Repair",
OR(ISNUMBER(SEARCH("weed",E559)),ISNUMBER(SEARCH("crabgrass",E559))),"Weed Control",
OR(ISNUMBER(SEARCH("fungicide",E559)),ISNUMBER(SEARCH("moss",E559))),"Disease &amp; Moss Control",
OR(ISNUMBER(SEARCH("plant food",E559)),ISNUMBER(SEARCH("miracid",E559))),"Plant Nutrition",
OR(ISNUMBER(SEARCH("perlite",E559))),"Soil Amendment",
OR(ISNUMBER(SEARCH("spreader",E559)),ISNUMBER(SEARCH("sprayer",E559)),ISNUMBER(SEARCH("mower",E559)),ISNUMBER(SEARCH("sweeper",E559)),ISNUMBER(SEARCH("pruner",E559)),ISNUMBER(SEARCH("trimmer",E559)),ISNUMBER(SEARCH("pole saw",E559))),"Garden Equipment",
TRUE,"Other"
)</f>
        <v>Rodent Control</v>
      </c>
      <c r="I559" s="7" t="str" cm="1">
        <f t="array" ref="I559">_xlfn.IFS(
OR(ISNUMBER(SEARCH("glue trap",E559)),ISNUMBER(SEARCH("glue board",E559))),"Glue Traps",
OR(ISNUMBER(SEARCH("snap trap",E559)),ISNUMBER(SEARCH("power-kill",E559)),ISNUMBER(SEARCH("wide pedal",E559)),ISNUMBER(SEARCH("metal pedal",E559))),"Snap Traps",
OR(ISNUMBER(SEARCH("electronic",E559)),ISNUMBER(SEARCH("zapper",E559))),"Electronic Traps",
OR(ISNUMBER(SEARCH("live catch",E559)),ISNUMBER(SEARCH("multi-catch",E559)),ISNUMBER(SEARCH("catch &amp; hold",E559)),ISNUMBER(SEARCH("tin cat",E559))),"Live Catch Traps",
OR(ISNUMBER(SEARCH("bait",E559)),ISNUMBER(SEARCH("poison",E559))),"Bait &amp; Poison",
ISNUMBER(SEARCH("repellent",E559)),"Repellents",
OR(ISNUMBER(SEARCH("fly trap",E559)),ISNUMBER(SEARCH("fly ribbon",E559)),ISNUMBER(SEARCH("fly stick",E559)),ISNUMBER(SEARCH("window fly",E559)),ISNUMBER(SEARCH("fly magnet",E559))),"Fly Traps",
OR(ISNUMBER(SEARCH("uv",E559)),ISNUMBER(SEARCH("fly light",E559)),ISNUMBER(SEARCH("plug-in",E559))),"UV Fly Traps",
ISNUMBER(SEARCH("roach",E559)),"Roach Traps",
ISNUMBER(SEARCH("ant",E559)),"Ant Traps",
ISNUMBER(SEARCH("spider",E559)),"Spider Traps",
ISNUMBER(SEARCH("mosquito",E559)),"Mosquito Traps",
ISNUMBER(SEARCH("beetle",E559)),"Beetle Traps",
ISNUMBER(SEARCH("lantern",E559)),"Lanternfly Control",
OR(ISNUMBER(SEARCH("tree shield",E559)),ISNUMBER(SEARCH("tree banding",E559)),ISNUMBER(SEARCH("insect barrier",E559))),"Tree Barriers",
OR(ISNUMBER(SEARCH("sun &amp; shade",E559)),ISNUMBER(SEARCH("sun and shade",E559))),"Sun &amp; Shade Mix",
ISNUMBER(SEARCH("tall fescue",E559)),"Tall Fescue",
ISNUMBER(SEARCH("bermudagrass",E559)),"Bermudagrass",
ISNUMBER(SEARCH("kentucky",E559)),"Kentucky Bluegrass",
ISNUMBER(SEARCH("zoysia",E559)),"Zoysia",
ISNUMBER(SEARCH("ryegrass",E559)),"Perennial Ryegrass",
ISNUMBER(SEARCH("centipede",E559)),"Centipede Grass",
ISNUMBER(SEARCH("dense shade",E559)),"Dense Shade Mix",
ISNUMBER(SEARCH("southern gold",E559)),"Southern Gold Mix",
ISNUMBER(SEARCH("heat-tolerant blue",E559)),"Heat-Tolerant Blue Mix",
ISNUMBER(SEARCH("high traffic",E559)),"High Traffic Mix",
ISNUMBER(SEARCH("quick fix",E559)),"Quick Fix Mix",
ISNUMBER(SEARCH("starter",E559)),"Starter Fertilizer",
ISNUMBER(SEARCH("weed &amp; feed",E559)),"Weed &amp; Feed",
ISNUMBER(SEARCH("lawn food",E559)),"Lawn Food",
ISNUMBER(SEARCH("triple action",E559)),"Triple Action Fertilizer",
ISNUMBER(SEARCH("green max",E559)),"Green Max Lawn Food",
ISNUMBER(SEARCH("patchmaster",E559)),"PatchMaster Repair",
ISNUMBER(SEARCH("ez seed",E559)),"EZ Seed Repair",
ISNUMBER(SEARCH("rapid grass",E559)),"Rapid Grass",
ISNUMBER(SEARCH("thick'r lawn",E559)),"Thick'R Lawn",
ISNUMBER(SEARCH("fungicide",E559)),"Fungicide",
ISNUMBER(SEARCH("moss",E559)),"Moss Control",
ISNUMBER(SEARCH("perlite",E559)),"Perlite",
ISNUMBER(SEARCH("plant food",E559)),"Plant Food",
ISNUMBER(SEARCH("spreader",E559)),"Spreader",
ISNUMBER(SEARCH("sprayer",E559)),"Sprayer",
ISNUMBER(SEARCH("mower",E559)),"Lawn Mower",
ISNUMBER(SEARCH("sweeper",E559)),"Lawn Sweeper",
OR(ISNUMBER(SEARCH("pruner",E559)),ISNUMBER(SEARCH("trimmer",E559)),ISNUMBER(SEARCH("pole saw",E559))),"Pruning Tools",
TRUE,"Other"
)</f>
        <v>Other</v>
      </c>
      <c r="J559" s="7" t="str">
        <f t="shared" si="171"/>
        <v>Rodent Control - Other</v>
      </c>
      <c r="K559" s="4">
        <v>400</v>
      </c>
      <c r="L559" s="4">
        <v>3.8</v>
      </c>
      <c r="M559" s="4">
        <v>12599</v>
      </c>
      <c r="O559" s="4">
        <f>VLOOKUP(A559,[12]Sheet1!$A:$M,2,0)</f>
        <v>900</v>
      </c>
      <c r="P559" s="4">
        <f>VLOOKUP(A559,[12]Sheet1!$A:$M,3,0)</f>
        <v>300</v>
      </c>
      <c r="Q559" s="4">
        <f>VLOOKUP(A559,[12]Sheet1!$A:$M,4,0)</f>
        <v>100</v>
      </c>
      <c r="R559" s="4">
        <f>VLOOKUP(A559,[12]Sheet1!$A:$M,5,0)</f>
        <v>300</v>
      </c>
      <c r="S559" s="4">
        <f>VLOOKUP(A559,[12]Sheet1!$A:$M,6,0)</f>
        <v>400</v>
      </c>
      <c r="T559" s="4">
        <f>VLOOKUP(A559,[12]Sheet1!$A:$M,7,0)</f>
        <v>500</v>
      </c>
      <c r="U559" s="4">
        <f>VLOOKUP(A559,[12]Sheet1!$A:$M,8,0)</f>
        <v>600</v>
      </c>
      <c r="V559" s="4">
        <f>VLOOKUP(A559,[12]Sheet1!$A:$M,9,0)</f>
        <v>600</v>
      </c>
      <c r="W559" s="4">
        <f>VLOOKUP(A559,[12]Sheet1!$A:$M,10,0)</f>
        <v>400</v>
      </c>
      <c r="X559" s="4">
        <f>VLOOKUP(A559,[12]Sheet1!$A:$M,11,0)</f>
        <v>800</v>
      </c>
      <c r="Y559" s="4">
        <f>VLOOKUP(A559,[12]Sheet1!$A:$M,12,0)</f>
        <v>900</v>
      </c>
      <c r="Z559" s="4">
        <f>VLOOKUP(A559,[12]Sheet1!$A:$M,13,0)</f>
        <v>1000</v>
      </c>
      <c r="AA559" s="4">
        <f t="shared" si="172"/>
        <v>6800</v>
      </c>
      <c r="AB559" s="7">
        <f t="shared" si="173"/>
        <v>567</v>
      </c>
      <c r="AC559" s="15">
        <f t="shared" si="174"/>
        <v>566.66666666666663</v>
      </c>
      <c r="AD559" s="16">
        <f t="shared" si="175"/>
        <v>135864</v>
      </c>
      <c r="AE559" s="16">
        <f t="shared" si="170"/>
        <v>11322</v>
      </c>
      <c r="AF559" s="21">
        <v>6.48</v>
      </c>
      <c r="AG559" s="21">
        <v>19.98</v>
      </c>
      <c r="AH559" s="15">
        <f t="shared" si="158"/>
        <v>3.4133333333333245E-2</v>
      </c>
      <c r="AI559" s="15">
        <f t="shared" si="159"/>
        <v>0.11946666666666635</v>
      </c>
      <c r="AJ559" s="10">
        <v>0.5</v>
      </c>
      <c r="AK559" s="10">
        <v>0.5</v>
      </c>
      <c r="AL559" s="21">
        <v>6.48</v>
      </c>
      <c r="AM559" s="9">
        <f t="shared" si="142"/>
        <v>2.9969999999999999</v>
      </c>
      <c r="AN559" s="9">
        <f t="shared" si="143"/>
        <v>0.59940000000000004</v>
      </c>
      <c r="AO559" s="9">
        <f t="shared" si="144"/>
        <v>3.9960000000000004</v>
      </c>
      <c r="AP559" s="9">
        <f t="shared" si="145"/>
        <v>0.39960000000000001</v>
      </c>
      <c r="AQ559" s="9">
        <f t="shared" si="146"/>
        <v>3.9960000000000004</v>
      </c>
      <c r="AR559" s="9">
        <f t="shared" si="147"/>
        <v>4.9950000000000001</v>
      </c>
      <c r="AS559" s="11">
        <f t="shared" si="148"/>
        <v>0.34133333333333243</v>
      </c>
      <c r="AT559" s="12">
        <f t="shared" si="149"/>
        <v>-0.32466666666666733</v>
      </c>
    </row>
    <row r="560" spans="1:46" ht="16.5" x14ac:dyDescent="0.4">
      <c r="A560" s="4" t="s">
        <v>2539</v>
      </c>
      <c r="B560" s="4" t="s">
        <v>2540</v>
      </c>
      <c r="C560" s="4" t="s">
        <v>2540</v>
      </c>
      <c r="D560" s="4" t="s">
        <v>2544</v>
      </c>
      <c r="E560" s="4" t="s">
        <v>2547</v>
      </c>
      <c r="F560" s="4" t="s">
        <v>2550</v>
      </c>
      <c r="G560" s="7" t="str">
        <f>VLOOKUP(A560,[1]done!$A:$I,9,0)</f>
        <v>Rodent</v>
      </c>
      <c r="H560" s="7" t="str" cm="1">
        <f t="array" ref="H560">_xlfn.IFS(
OR(ISNUMBER(SEARCH("mouse",E560)),ISNUMBER(SEARCH("rat",E560)),ISNUMBER(SEARCH("mice",E560)),ISNUMBER(SEARCH("rodent",E560))),"Rodent Control",
OR(ISNUMBER(SEARCH("fly",E560)),ISNUMBER(SEARCH("gnat",E560)),ISNUMBER(SEARCH("insect",E560)),ISNUMBER(SEARCH("mosquito",E560))),"Flying Insect Control",
OR(ISNUMBER(SEARCH("roach",E560)),ISNUMBER(SEARCH("ant",E560)),ISNUMBER(SEARCH("spider",E560)),ISNUMBER(SEARCH("cricket",E560)),ISNUMBER(SEARCH("scorpion",E560)),ISNUMBER(SEARCH("centipede",E560)),ISNUMBER(SEARCH("beetle",E560))),"Crawling Insect Control",
OR(ISNUMBER(SEARCH("tree",E560)),ISNUMBER(SEARCH("lantern",E560)),ISNUMBER(SEARCH("garden",E560)),ISNUMBER(SEARCH("plant",E560))),"Garden Pest Control",
OR(ISNUMBER(SEARCH("grass seed",E560)),ISNUMBER(SEARCH("seed mix",E560))),"Grass Seed",
OR(ISNUMBER(SEARCH("lawn food",E560)),ISNUMBER(SEARCH("fertilizer",E560))),"Lawn Fertilizer",
OR(ISNUMBER(SEARCH("patch",E560)),ISNUMBER(SEARCH("repair",E560)),ISNUMBER(SEARCH("thick'r",E560)),ISNUMBER(SEARCH("thick'r lawn",E560)),ISNUMBER(SEARCH("rapid grass",E560))),"Lawn Repair",
OR(ISNUMBER(SEARCH("weed",E560)),ISNUMBER(SEARCH("crabgrass",E560))),"Weed Control",
OR(ISNUMBER(SEARCH("fungicide",E560)),ISNUMBER(SEARCH("moss",E560))),"Disease &amp; Moss Control",
OR(ISNUMBER(SEARCH("plant food",E560)),ISNUMBER(SEARCH("miracid",E560))),"Plant Nutrition",
OR(ISNUMBER(SEARCH("perlite",E560))),"Soil Amendment",
OR(ISNUMBER(SEARCH("spreader",E560)),ISNUMBER(SEARCH("sprayer",E560)),ISNUMBER(SEARCH("mower",E560)),ISNUMBER(SEARCH("sweeper",E560)),ISNUMBER(SEARCH("pruner",E560)),ISNUMBER(SEARCH("trimmer",E560)),ISNUMBER(SEARCH("pole saw",E560))),"Garden Equipment",
TRUE,"Other"
)</f>
        <v>Rodent Control</v>
      </c>
      <c r="I560" s="7" t="str" cm="1">
        <f t="array" ref="I560">_xlfn.IFS(
OR(ISNUMBER(SEARCH("glue trap",E560)),ISNUMBER(SEARCH("glue board",E560))),"Glue Traps",
OR(ISNUMBER(SEARCH("snap trap",E560)),ISNUMBER(SEARCH("power-kill",E560)),ISNUMBER(SEARCH("wide pedal",E560)),ISNUMBER(SEARCH("metal pedal",E560))),"Snap Traps",
OR(ISNUMBER(SEARCH("electronic",E560)),ISNUMBER(SEARCH("zapper",E560))),"Electronic Traps",
OR(ISNUMBER(SEARCH("live catch",E560)),ISNUMBER(SEARCH("multi-catch",E560)),ISNUMBER(SEARCH("catch &amp; hold",E560)),ISNUMBER(SEARCH("tin cat",E560))),"Live Catch Traps",
OR(ISNUMBER(SEARCH("bait",E560)),ISNUMBER(SEARCH("poison",E560))),"Bait &amp; Poison",
ISNUMBER(SEARCH("repellent",E560)),"Repellents",
OR(ISNUMBER(SEARCH("fly trap",E560)),ISNUMBER(SEARCH("fly ribbon",E560)),ISNUMBER(SEARCH("fly stick",E560)),ISNUMBER(SEARCH("window fly",E560)),ISNUMBER(SEARCH("fly magnet",E560))),"Fly Traps",
OR(ISNUMBER(SEARCH("uv",E560)),ISNUMBER(SEARCH("fly light",E560)),ISNUMBER(SEARCH("plug-in",E560))),"UV Fly Traps",
ISNUMBER(SEARCH("roach",E560)),"Roach Traps",
ISNUMBER(SEARCH("ant",E560)),"Ant Traps",
ISNUMBER(SEARCH("spider",E560)),"Spider Traps",
ISNUMBER(SEARCH("mosquito",E560)),"Mosquito Traps",
ISNUMBER(SEARCH("beetle",E560)),"Beetle Traps",
ISNUMBER(SEARCH("lantern",E560)),"Lanternfly Control",
OR(ISNUMBER(SEARCH("tree shield",E560)),ISNUMBER(SEARCH("tree banding",E560)),ISNUMBER(SEARCH("insect barrier",E560))),"Tree Barriers",
OR(ISNUMBER(SEARCH("sun &amp; shade",E560)),ISNUMBER(SEARCH("sun and shade",E560))),"Sun &amp; Shade Mix",
ISNUMBER(SEARCH("tall fescue",E560)),"Tall Fescue",
ISNUMBER(SEARCH("bermudagrass",E560)),"Bermudagrass",
ISNUMBER(SEARCH("kentucky",E560)),"Kentucky Bluegrass",
ISNUMBER(SEARCH("zoysia",E560)),"Zoysia",
ISNUMBER(SEARCH("ryegrass",E560)),"Perennial Ryegrass",
ISNUMBER(SEARCH("centipede",E560)),"Centipede Grass",
ISNUMBER(SEARCH("dense shade",E560)),"Dense Shade Mix",
ISNUMBER(SEARCH("southern gold",E560)),"Southern Gold Mix",
ISNUMBER(SEARCH("heat-tolerant blue",E560)),"Heat-Tolerant Blue Mix",
ISNUMBER(SEARCH("high traffic",E560)),"High Traffic Mix",
ISNUMBER(SEARCH("quick fix",E560)),"Quick Fix Mix",
ISNUMBER(SEARCH("starter",E560)),"Starter Fertilizer",
ISNUMBER(SEARCH("weed &amp; feed",E560)),"Weed &amp; Feed",
ISNUMBER(SEARCH("lawn food",E560)),"Lawn Food",
ISNUMBER(SEARCH("triple action",E560)),"Triple Action Fertilizer",
ISNUMBER(SEARCH("green max",E560)),"Green Max Lawn Food",
ISNUMBER(SEARCH("patchmaster",E560)),"PatchMaster Repair",
ISNUMBER(SEARCH("ez seed",E560)),"EZ Seed Repair",
ISNUMBER(SEARCH("rapid grass",E560)),"Rapid Grass",
ISNUMBER(SEARCH("thick'r lawn",E560)),"Thick'R Lawn",
ISNUMBER(SEARCH("fungicide",E560)),"Fungicide",
ISNUMBER(SEARCH("moss",E560)),"Moss Control",
ISNUMBER(SEARCH("perlite",E560)),"Perlite",
ISNUMBER(SEARCH("plant food",E560)),"Plant Food",
ISNUMBER(SEARCH("spreader",E560)),"Spreader",
ISNUMBER(SEARCH("sprayer",E560)),"Sprayer",
ISNUMBER(SEARCH("mower",E560)),"Lawn Mower",
ISNUMBER(SEARCH("sweeper",E560)),"Lawn Sweeper",
OR(ISNUMBER(SEARCH("pruner",E560)),ISNUMBER(SEARCH("trimmer",E560)),ISNUMBER(SEARCH("pole saw",E560))),"Pruning Tools",
TRUE,"Other"
)</f>
        <v>Other</v>
      </c>
      <c r="J560" s="7" t="str">
        <f t="shared" si="171"/>
        <v>Rodent Control - Other</v>
      </c>
      <c r="K560" s="4">
        <v>50</v>
      </c>
      <c r="L560" s="4">
        <v>3.4</v>
      </c>
      <c r="M560" s="4">
        <v>653</v>
      </c>
      <c r="N560" s="4" t="s">
        <v>453</v>
      </c>
      <c r="O560" s="4">
        <f>VLOOKUP(A560,[12]Sheet1!$A:$M,2,0)</f>
        <v>50</v>
      </c>
      <c r="P560" s="4">
        <f>VLOOKUP(A560,[12]Sheet1!$A:$M,3,0)</f>
        <v>50</v>
      </c>
      <c r="Q560" s="4">
        <f>VLOOKUP(A560,[12]Sheet1!$A:$M,4,0)</f>
        <v>50</v>
      </c>
      <c r="R560" s="4">
        <f>VLOOKUP(A560,[12]Sheet1!$A:$M,5,0)</f>
        <v>0</v>
      </c>
      <c r="S560" s="4">
        <f>VLOOKUP(A560,[12]Sheet1!$A:$M,6,0)</f>
        <v>100</v>
      </c>
      <c r="T560" s="4">
        <f>VLOOKUP(A560,[12]Sheet1!$A:$M,7,0)</f>
        <v>100</v>
      </c>
      <c r="U560" s="4">
        <f>VLOOKUP(A560,[12]Sheet1!$A:$M,8,0)</f>
        <v>100</v>
      </c>
      <c r="V560" s="4">
        <f>VLOOKUP(A560,[12]Sheet1!$A:$M,9,0)</f>
        <v>100</v>
      </c>
      <c r="W560" s="4">
        <f>VLOOKUP(A560,[12]Sheet1!$A:$M,10,0)</f>
        <v>50</v>
      </c>
      <c r="X560" s="4">
        <f>VLOOKUP(A560,[12]Sheet1!$A:$M,11,0)</f>
        <v>300</v>
      </c>
      <c r="Y560" s="4">
        <f>VLOOKUP(A560,[12]Sheet1!$A:$M,12,0)</f>
        <v>300</v>
      </c>
      <c r="Z560" s="4">
        <f>VLOOKUP(A560,[12]Sheet1!$A:$M,13,0)</f>
        <v>200</v>
      </c>
      <c r="AA560" s="4">
        <f t="shared" si="172"/>
        <v>1400</v>
      </c>
      <c r="AB560" s="7">
        <f t="shared" si="173"/>
        <v>117</v>
      </c>
      <c r="AC560" s="15">
        <f t="shared" si="174"/>
        <v>116.66666666666667</v>
      </c>
      <c r="AD560" s="16">
        <f t="shared" si="175"/>
        <v>48986</v>
      </c>
      <c r="AE560" s="16">
        <f t="shared" si="170"/>
        <v>4082.166666666667</v>
      </c>
      <c r="AF560" s="21">
        <v>5.22</v>
      </c>
      <c r="AG560" s="21">
        <v>34.99</v>
      </c>
      <c r="AH560" s="15">
        <f t="shared" si="158"/>
        <v>0.51840000000000008</v>
      </c>
      <c r="AI560" s="15">
        <f t="shared" si="159"/>
        <v>1.8144</v>
      </c>
      <c r="AJ560" s="10">
        <v>0.5</v>
      </c>
      <c r="AK560" s="10">
        <v>0.5</v>
      </c>
      <c r="AL560" s="21">
        <v>5.22</v>
      </c>
      <c r="AM560" s="9">
        <f t="shared" si="142"/>
        <v>5.2484999999999999</v>
      </c>
      <c r="AN560" s="9">
        <f t="shared" si="143"/>
        <v>1.0497000000000001</v>
      </c>
      <c r="AO560" s="9">
        <f t="shared" si="144"/>
        <v>6.9980000000000011</v>
      </c>
      <c r="AP560" s="9">
        <f t="shared" si="145"/>
        <v>0.69980000000000009</v>
      </c>
      <c r="AQ560" s="9">
        <f t="shared" si="146"/>
        <v>6.9980000000000011</v>
      </c>
      <c r="AR560" s="9">
        <f t="shared" si="147"/>
        <v>8.7475000000000005</v>
      </c>
      <c r="AS560" s="11">
        <f t="shared" si="148"/>
        <v>5.1840000000000002</v>
      </c>
      <c r="AT560" s="12">
        <f t="shared" si="149"/>
        <v>4.0176666666666669</v>
      </c>
    </row>
    <row r="561" spans="1:46" ht="16.5" x14ac:dyDescent="0.4">
      <c r="A561" s="4" t="s">
        <v>2551</v>
      </c>
      <c r="B561" s="4" t="s">
        <v>2710</v>
      </c>
      <c r="C561" s="4" t="s">
        <v>2712</v>
      </c>
      <c r="D561" s="4" t="s">
        <v>2730</v>
      </c>
      <c r="E561" s="4" t="s">
        <v>2889</v>
      </c>
      <c r="F561" s="4" t="s">
        <v>3048</v>
      </c>
      <c r="G561" s="7" t="str">
        <f>VLOOKUP(A561,[1]done!$A:$I,9,0)</f>
        <v>Oil based pest repellent</v>
      </c>
      <c r="H561" s="7" t="str" cm="1">
        <f t="array" ref="H561">_xlfn.IFS(
OR(ISNUMBER(SEARCH("mouse",E561)),ISNUMBER(SEARCH("rat",E561)),ISNUMBER(SEARCH("mice",E561)),ISNUMBER(SEARCH("rodent",E561))),"Rodent Control",
OR(ISNUMBER(SEARCH("fly",E561)),ISNUMBER(SEARCH("gnat",E561)),ISNUMBER(SEARCH("insect",E561)),ISNUMBER(SEARCH("mosquito",E561))),"Flying Insect Control",
OR(ISNUMBER(SEARCH("roach",E561)),ISNUMBER(SEARCH("ant",E561)),ISNUMBER(SEARCH("spider",E561)),ISNUMBER(SEARCH("cricket",E561)),ISNUMBER(SEARCH("scorpion",E561)),ISNUMBER(SEARCH("centipede",E561)),ISNUMBER(SEARCH("beetle",E561))),"Crawling Insect Control",
OR(ISNUMBER(SEARCH("tree",E561)),ISNUMBER(SEARCH("lantern",E561)),ISNUMBER(SEARCH("garden",E561)),ISNUMBER(SEARCH("plant",E561))),"Garden Pest Control",
OR(ISNUMBER(SEARCH("grass seed",E561)),ISNUMBER(SEARCH("seed mix",E561))),"Grass Seed",
OR(ISNUMBER(SEARCH("lawn food",E561)),ISNUMBER(SEARCH("fertilizer",E561))),"Lawn Fertilizer",
OR(ISNUMBER(SEARCH("patch",E561)),ISNUMBER(SEARCH("repair",E561)),ISNUMBER(SEARCH("thick'r",E561)),ISNUMBER(SEARCH("thick'r lawn",E561)),ISNUMBER(SEARCH("rapid grass",E561))),"Lawn Repair",
OR(ISNUMBER(SEARCH("weed",E561)),ISNUMBER(SEARCH("crabgrass",E561))),"Weed Control",
OR(ISNUMBER(SEARCH("fungicide",E561)),ISNUMBER(SEARCH("moss",E561))),"Disease &amp; Moss Control",
OR(ISNUMBER(SEARCH("plant food",E561)),ISNUMBER(SEARCH("miracid",E561))),"Plant Nutrition",
OR(ISNUMBER(SEARCH("perlite",E561))),"Soil Amendment",
OR(ISNUMBER(SEARCH("spreader",E561)),ISNUMBER(SEARCH("sprayer",E561)),ISNUMBER(SEARCH("mower",E561)),ISNUMBER(SEARCH("sweeper",E561)),ISNUMBER(SEARCH("pruner",E561)),ISNUMBER(SEARCH("trimmer",E561)),ISNUMBER(SEARCH("pole saw",E561))),"Garden Equipment",
TRUE,"Other"
)</f>
        <v>Other</v>
      </c>
      <c r="I561" s="7" t="str" cm="1">
        <f t="array" ref="I561">_xlfn.IFS(
OR(ISNUMBER(SEARCH("glue trap",E561)),ISNUMBER(SEARCH("glue board",E561))),"Glue Traps",
OR(ISNUMBER(SEARCH("snap trap",E561)),ISNUMBER(SEARCH("power-kill",E561)),ISNUMBER(SEARCH("wide pedal",E561)),ISNUMBER(SEARCH("metal pedal",E561))),"Snap Traps",
OR(ISNUMBER(SEARCH("electronic",E561)),ISNUMBER(SEARCH("zapper",E561))),"Electronic Traps",
OR(ISNUMBER(SEARCH("live catch",E561)),ISNUMBER(SEARCH("multi-catch",E561)),ISNUMBER(SEARCH("catch &amp; hold",E561)),ISNUMBER(SEARCH("tin cat",E561))),"Live Catch Traps",
OR(ISNUMBER(SEARCH("bait",E561)),ISNUMBER(SEARCH("poison",E561))),"Bait &amp; Poison",
ISNUMBER(SEARCH("repellent",E561)),"Repellents",
OR(ISNUMBER(SEARCH("fly trap",E561)),ISNUMBER(SEARCH("fly ribbon",E561)),ISNUMBER(SEARCH("fly stick",E561)),ISNUMBER(SEARCH("window fly",E561)),ISNUMBER(SEARCH("fly magnet",E561))),"Fly Traps",
OR(ISNUMBER(SEARCH("uv",E561)),ISNUMBER(SEARCH("fly light",E561)),ISNUMBER(SEARCH("plug-in",E561))),"UV Fly Traps",
ISNUMBER(SEARCH("roach",E561)),"Roach Traps",
ISNUMBER(SEARCH("ant",E561)),"Ant Traps",
ISNUMBER(SEARCH("spider",E561)),"Spider Traps",
ISNUMBER(SEARCH("mosquito",E561)),"Mosquito Traps",
ISNUMBER(SEARCH("beetle",E561)),"Beetle Traps",
ISNUMBER(SEARCH("lantern",E561)),"Lanternfly Control",
OR(ISNUMBER(SEARCH("tree shield",E561)),ISNUMBER(SEARCH("tree banding",E561)),ISNUMBER(SEARCH("insect barrier",E561))),"Tree Barriers",
OR(ISNUMBER(SEARCH("sun &amp; shade",E561)),ISNUMBER(SEARCH("sun and shade",E561))),"Sun &amp; Shade Mix",
ISNUMBER(SEARCH("tall fescue",E561)),"Tall Fescue",
ISNUMBER(SEARCH("bermudagrass",E561)),"Bermudagrass",
ISNUMBER(SEARCH("kentucky",E561)),"Kentucky Bluegrass",
ISNUMBER(SEARCH("zoysia",E561)),"Zoysia",
ISNUMBER(SEARCH("ryegrass",E561)),"Perennial Ryegrass",
ISNUMBER(SEARCH("centipede",E561)),"Centipede Grass",
ISNUMBER(SEARCH("dense shade",E561)),"Dense Shade Mix",
ISNUMBER(SEARCH("southern gold",E561)),"Southern Gold Mix",
ISNUMBER(SEARCH("heat-tolerant blue",E561)),"Heat-Tolerant Blue Mix",
ISNUMBER(SEARCH("high traffic",E561)),"High Traffic Mix",
ISNUMBER(SEARCH("quick fix",E561)),"Quick Fix Mix",
ISNUMBER(SEARCH("starter",E561)),"Starter Fertilizer",
ISNUMBER(SEARCH("weed &amp; feed",E561)),"Weed &amp; Feed",
ISNUMBER(SEARCH("lawn food",E561)),"Lawn Food",
ISNUMBER(SEARCH("triple action",E561)),"Triple Action Fertilizer",
ISNUMBER(SEARCH("green max",E561)),"Green Max Lawn Food",
ISNUMBER(SEARCH("patchmaster",E561)),"PatchMaster Repair",
ISNUMBER(SEARCH("ez seed",E561)),"EZ Seed Repair",
ISNUMBER(SEARCH("rapid grass",E561)),"Rapid Grass",
ISNUMBER(SEARCH("thick'r lawn",E561)),"Thick'R Lawn",
ISNUMBER(SEARCH("fungicide",E561)),"Fungicide",
ISNUMBER(SEARCH("moss",E561)),"Moss Control",
ISNUMBER(SEARCH("perlite",E561)),"Perlite",
ISNUMBER(SEARCH("plant food",E561)),"Plant Food",
ISNUMBER(SEARCH("spreader",E561)),"Spreader",
ISNUMBER(SEARCH("sprayer",E561)),"Sprayer",
ISNUMBER(SEARCH("mower",E561)),"Lawn Mower",
ISNUMBER(SEARCH("sweeper",E561)),"Lawn Sweeper",
OR(ISNUMBER(SEARCH("pruner",E561)),ISNUMBER(SEARCH("trimmer",E561)),ISNUMBER(SEARCH("pole saw",E561))),"Pruning Tools",
TRUE,"Other"
)</f>
        <v>Other</v>
      </c>
      <c r="J561" s="7" t="str">
        <f t="shared" si="171"/>
        <v>Other - Other</v>
      </c>
      <c r="K561" s="4">
        <v>30000</v>
      </c>
      <c r="L561" s="4">
        <v>4.3</v>
      </c>
      <c r="M561" s="4">
        <v>49945</v>
      </c>
      <c r="N561" s="4" t="s">
        <v>3207</v>
      </c>
      <c r="O561" s="4">
        <f>VLOOKUP(A561,[13]Sheet1!$A:$M,2,0)</f>
        <v>0</v>
      </c>
      <c r="P561" s="4">
        <f>VLOOKUP(A561,[13]Sheet1!$A:$M,3,0)</f>
        <v>10000</v>
      </c>
      <c r="Q561" s="4">
        <f>VLOOKUP(A561,[13]Sheet1!$A:$M,4,0)</f>
        <v>20000</v>
      </c>
      <c r="R561" s="4">
        <f>VLOOKUP(A561,[13]Sheet1!$A:$M,5,0)</f>
        <v>30000</v>
      </c>
      <c r="S561" s="4">
        <f>VLOOKUP(A561,[13]Sheet1!$A:$M,6,0)</f>
        <v>50000</v>
      </c>
      <c r="T561" s="4">
        <f>VLOOKUP(A561,[13]Sheet1!$A:$M,7,0)</f>
        <v>81000</v>
      </c>
      <c r="U561" s="4">
        <f>VLOOKUP(A561,[13]Sheet1!$A:$M,8,0)</f>
        <v>71000</v>
      </c>
      <c r="V561" s="4">
        <f>VLOOKUP(A561,[13]Sheet1!$A:$M,9,0)</f>
        <v>41000</v>
      </c>
      <c r="W561" s="4">
        <f>VLOOKUP(A561,[13]Sheet1!$A:$M,10,0)</f>
        <v>31000</v>
      </c>
      <c r="X561" s="4">
        <f>VLOOKUP(A561,[13]Sheet1!$A:$M,11,0)</f>
        <v>0</v>
      </c>
      <c r="Y561" s="4">
        <f>VLOOKUP(A561,[13]Sheet1!$A:$M,12,0)</f>
        <v>0</v>
      </c>
      <c r="Z561" s="4">
        <f>VLOOKUP(A561,[13]Sheet1!$A:$M,13,0)</f>
        <v>0</v>
      </c>
      <c r="AA561" s="4">
        <f t="shared" ref="AA561:AA624" si="176">SUM(O561:Z561)</f>
        <v>334000</v>
      </c>
      <c r="AB561" s="7">
        <f t="shared" ref="AB561:AB624" si="177">ROUND(AA561/12,0)</f>
        <v>27833</v>
      </c>
      <c r="AC561" s="15">
        <f t="shared" ref="AC561:AC624" si="178">AVERAGE(O561:Z561)</f>
        <v>27833.333333333332</v>
      </c>
      <c r="AD561" s="16">
        <f t="shared" ref="AD561:AD624" si="179">AG561*AA561</f>
        <v>3830980</v>
      </c>
      <c r="AE561" s="16">
        <f t="shared" ref="AE561:AE624" si="180">AG561*AC561</f>
        <v>319248.33333333331</v>
      </c>
      <c r="AF561" s="21">
        <v>6.31</v>
      </c>
      <c r="AG561" s="21">
        <v>11.47</v>
      </c>
      <c r="AH561" s="15">
        <f t="shared" si="158"/>
        <v>-0.18146666666666661</v>
      </c>
      <c r="AI561" s="15">
        <f t="shared" si="159"/>
        <v>-0.63513333333333311</v>
      </c>
      <c r="AJ561" s="10">
        <v>0.5</v>
      </c>
      <c r="AK561" s="10">
        <v>0.5</v>
      </c>
      <c r="AL561" s="21">
        <v>6.31</v>
      </c>
      <c r="AM561" s="9">
        <f t="shared" si="142"/>
        <v>1.7205000000000001</v>
      </c>
      <c r="AN561" s="9">
        <f t="shared" si="143"/>
        <v>0.34410000000000002</v>
      </c>
      <c r="AO561" s="9">
        <f t="shared" si="144"/>
        <v>2.294</v>
      </c>
      <c r="AP561" s="9">
        <f t="shared" si="145"/>
        <v>0.22940000000000002</v>
      </c>
      <c r="AQ561" s="9">
        <f t="shared" si="146"/>
        <v>2.294</v>
      </c>
      <c r="AR561" s="9">
        <f t="shared" si="147"/>
        <v>2.8675000000000002</v>
      </c>
      <c r="AS561" s="11">
        <f t="shared" si="148"/>
        <v>-1.814666666666666</v>
      </c>
      <c r="AT561" s="12">
        <f t="shared" si="149"/>
        <v>-2.1969999999999996</v>
      </c>
    </row>
    <row r="562" spans="1:46" ht="16.5" x14ac:dyDescent="0.4">
      <c r="A562" s="4" t="s">
        <v>2552</v>
      </c>
      <c r="B562" s="4" t="s">
        <v>2710</v>
      </c>
      <c r="C562" s="4" t="s">
        <v>2710</v>
      </c>
      <c r="D562" s="4" t="s">
        <v>2731</v>
      </c>
      <c r="E562" s="4" t="s">
        <v>2890</v>
      </c>
      <c r="F562" s="4" t="s">
        <v>3049</v>
      </c>
      <c r="G562" s="7" t="str">
        <f>VLOOKUP(A562,[1]done!$A:$I,9,0)</f>
        <v>Insecticide/Fungicide</v>
      </c>
      <c r="H562" s="7" t="str" cm="1">
        <f t="array" ref="H562">_xlfn.IFS(
OR(ISNUMBER(SEARCH("mouse",E562)),ISNUMBER(SEARCH("rat",E562)),ISNUMBER(SEARCH("mice",E562)),ISNUMBER(SEARCH("rodent",E562))),"Rodent Control",
OR(ISNUMBER(SEARCH("fly",E562)),ISNUMBER(SEARCH("gnat",E562)),ISNUMBER(SEARCH("insect",E562)),ISNUMBER(SEARCH("mosquito",E562))),"Flying Insect Control",
OR(ISNUMBER(SEARCH("roach",E562)),ISNUMBER(SEARCH("ant",E562)),ISNUMBER(SEARCH("spider",E562)),ISNUMBER(SEARCH("cricket",E562)),ISNUMBER(SEARCH("scorpion",E562)),ISNUMBER(SEARCH("centipede",E562)),ISNUMBER(SEARCH("beetle",E562))),"Crawling Insect Control",
OR(ISNUMBER(SEARCH("tree",E562)),ISNUMBER(SEARCH("lantern",E562)),ISNUMBER(SEARCH("garden",E562)),ISNUMBER(SEARCH("plant",E562))),"Garden Pest Control",
OR(ISNUMBER(SEARCH("grass seed",E562)),ISNUMBER(SEARCH("seed mix",E562))),"Grass Seed",
OR(ISNUMBER(SEARCH("lawn food",E562)),ISNUMBER(SEARCH("fertilizer",E562))),"Lawn Fertilizer",
OR(ISNUMBER(SEARCH("patch",E562)),ISNUMBER(SEARCH("repair",E562)),ISNUMBER(SEARCH("thick'r",E562)),ISNUMBER(SEARCH("thick'r lawn",E562)),ISNUMBER(SEARCH("rapid grass",E562))),"Lawn Repair",
OR(ISNUMBER(SEARCH("weed",E562)),ISNUMBER(SEARCH("crabgrass",E562))),"Weed Control",
OR(ISNUMBER(SEARCH("fungicide",E562)),ISNUMBER(SEARCH("moss",E562))),"Disease &amp; Moss Control",
OR(ISNUMBER(SEARCH("plant food",E562)),ISNUMBER(SEARCH("miracid",E562))),"Plant Nutrition",
OR(ISNUMBER(SEARCH("perlite",E562))),"Soil Amendment",
OR(ISNUMBER(SEARCH("spreader",E562)),ISNUMBER(SEARCH("sprayer",E562)),ISNUMBER(SEARCH("mower",E562)),ISNUMBER(SEARCH("sweeper",E562)),ISNUMBER(SEARCH("pruner",E562)),ISNUMBER(SEARCH("trimmer",E562)),ISNUMBER(SEARCH("pole saw",E562))),"Garden Equipment",
TRUE,"Other"
)</f>
        <v>Crawling Insect Control</v>
      </c>
      <c r="I562" s="7" t="str" cm="1">
        <f t="array" ref="I562">_xlfn.IFS(
OR(ISNUMBER(SEARCH("glue trap",E562)),ISNUMBER(SEARCH("glue board",E562))),"Glue Traps",
OR(ISNUMBER(SEARCH("snap trap",E562)),ISNUMBER(SEARCH("power-kill",E562)),ISNUMBER(SEARCH("wide pedal",E562)),ISNUMBER(SEARCH("metal pedal",E562))),"Snap Traps",
OR(ISNUMBER(SEARCH("electronic",E562)),ISNUMBER(SEARCH("zapper",E562))),"Electronic Traps",
OR(ISNUMBER(SEARCH("live catch",E562)),ISNUMBER(SEARCH("multi-catch",E562)),ISNUMBER(SEARCH("catch &amp; hold",E562)),ISNUMBER(SEARCH("tin cat",E562))),"Live Catch Traps",
OR(ISNUMBER(SEARCH("bait",E562)),ISNUMBER(SEARCH("poison",E562))),"Bait &amp; Poison",
ISNUMBER(SEARCH("repellent",E562)),"Repellents",
OR(ISNUMBER(SEARCH("fly trap",E562)),ISNUMBER(SEARCH("fly ribbon",E562)),ISNUMBER(SEARCH("fly stick",E562)),ISNUMBER(SEARCH("window fly",E562)),ISNUMBER(SEARCH("fly magnet",E562))),"Fly Traps",
OR(ISNUMBER(SEARCH("uv",E562)),ISNUMBER(SEARCH("fly light",E562)),ISNUMBER(SEARCH("plug-in",E562))),"UV Fly Traps",
ISNUMBER(SEARCH("roach",E562)),"Roach Traps",
ISNUMBER(SEARCH("ant",E562)),"Ant Traps",
ISNUMBER(SEARCH("spider",E562)),"Spider Traps",
ISNUMBER(SEARCH("mosquito",E562)),"Mosquito Traps",
ISNUMBER(SEARCH("beetle",E562)),"Beetle Traps",
ISNUMBER(SEARCH("lantern",E562)),"Lanternfly Control",
OR(ISNUMBER(SEARCH("tree shield",E562)),ISNUMBER(SEARCH("tree banding",E562)),ISNUMBER(SEARCH("insect barrier",E562))),"Tree Barriers",
OR(ISNUMBER(SEARCH("sun &amp; shade",E562)),ISNUMBER(SEARCH("sun and shade",E562))),"Sun &amp; Shade Mix",
ISNUMBER(SEARCH("tall fescue",E562)),"Tall Fescue",
ISNUMBER(SEARCH("bermudagrass",E562)),"Bermudagrass",
ISNUMBER(SEARCH("kentucky",E562)),"Kentucky Bluegrass",
ISNUMBER(SEARCH("zoysia",E562)),"Zoysia",
ISNUMBER(SEARCH("ryegrass",E562)),"Perennial Ryegrass",
ISNUMBER(SEARCH("centipede",E562)),"Centipede Grass",
ISNUMBER(SEARCH("dense shade",E562)),"Dense Shade Mix",
ISNUMBER(SEARCH("southern gold",E562)),"Southern Gold Mix",
ISNUMBER(SEARCH("heat-tolerant blue",E562)),"Heat-Tolerant Blue Mix",
ISNUMBER(SEARCH("high traffic",E562)),"High Traffic Mix",
ISNUMBER(SEARCH("quick fix",E562)),"Quick Fix Mix",
ISNUMBER(SEARCH("starter",E562)),"Starter Fertilizer",
ISNUMBER(SEARCH("weed &amp; feed",E562)),"Weed &amp; Feed",
ISNUMBER(SEARCH("lawn food",E562)),"Lawn Food",
ISNUMBER(SEARCH("triple action",E562)),"Triple Action Fertilizer",
ISNUMBER(SEARCH("green max",E562)),"Green Max Lawn Food",
ISNUMBER(SEARCH("patchmaster",E562)),"PatchMaster Repair",
ISNUMBER(SEARCH("ez seed",E562)),"EZ Seed Repair",
ISNUMBER(SEARCH("rapid grass",E562)),"Rapid Grass",
ISNUMBER(SEARCH("thick'r lawn",E562)),"Thick'R Lawn",
ISNUMBER(SEARCH("fungicide",E562)),"Fungicide",
ISNUMBER(SEARCH("moss",E562)),"Moss Control",
ISNUMBER(SEARCH("perlite",E562)),"Perlite",
ISNUMBER(SEARCH("plant food",E562)),"Plant Food",
ISNUMBER(SEARCH("spreader",E562)),"Spreader",
ISNUMBER(SEARCH("sprayer",E562)),"Sprayer",
ISNUMBER(SEARCH("mower",E562)),"Lawn Mower",
ISNUMBER(SEARCH("sweeper",E562)),"Lawn Sweeper",
OR(ISNUMBER(SEARCH("pruner",E562)),ISNUMBER(SEARCH("trimmer",E562)),ISNUMBER(SEARCH("pole saw",E562))),"Pruning Tools",
TRUE,"Other"
)</f>
        <v>Ant Traps</v>
      </c>
      <c r="J562" s="7" t="str">
        <f t="shared" si="171"/>
        <v>Crawling Insect Control - Ant Traps</v>
      </c>
      <c r="K562" s="4">
        <v>10000</v>
      </c>
      <c r="L562" s="4">
        <v>4.5</v>
      </c>
      <c r="M562" s="4">
        <v>8464</v>
      </c>
      <c r="N562" s="4" t="s">
        <v>3208</v>
      </c>
      <c r="O562" s="4">
        <f>VLOOKUP(A562,[13]Sheet1!$A:$M,2,0)</f>
        <v>4000</v>
      </c>
      <c r="P562" s="4">
        <f>VLOOKUP(A562,[13]Sheet1!$A:$M,3,0)</f>
        <v>5000</v>
      </c>
      <c r="Q562" s="4">
        <f>VLOOKUP(A562,[13]Sheet1!$A:$M,4,0)</f>
        <v>7000</v>
      </c>
      <c r="R562" s="4">
        <f>VLOOKUP(A562,[13]Sheet1!$A:$M,5,0)</f>
        <v>10000</v>
      </c>
      <c r="S562" s="4">
        <f>VLOOKUP(A562,[13]Sheet1!$A:$M,6,0)</f>
        <v>10000</v>
      </c>
      <c r="T562" s="4">
        <f>VLOOKUP(A562,[13]Sheet1!$A:$M,7,0)</f>
        <v>20000</v>
      </c>
      <c r="U562" s="4">
        <f>VLOOKUP(A562,[13]Sheet1!$A:$M,8,0)</f>
        <v>20000</v>
      </c>
      <c r="V562" s="4">
        <f>VLOOKUP(A562,[13]Sheet1!$A:$M,9,0)</f>
        <v>20000</v>
      </c>
      <c r="W562" s="4">
        <f>VLOOKUP(A562,[13]Sheet1!$A:$M,10,0)</f>
        <v>10000</v>
      </c>
      <c r="X562" s="4">
        <f>VLOOKUP(A562,[13]Sheet1!$A:$M,11,0)</f>
        <v>9000</v>
      </c>
      <c r="Y562" s="4">
        <f>VLOOKUP(A562,[13]Sheet1!$A:$M,12,0)</f>
        <v>5000</v>
      </c>
      <c r="Z562" s="4">
        <f>VLOOKUP(A562,[13]Sheet1!$A:$M,13,0)</f>
        <v>4000</v>
      </c>
      <c r="AA562" s="4">
        <f t="shared" si="176"/>
        <v>124000</v>
      </c>
      <c r="AB562" s="7">
        <f t="shared" si="177"/>
        <v>10333</v>
      </c>
      <c r="AC562" s="15">
        <f t="shared" si="178"/>
        <v>10333.333333333334</v>
      </c>
      <c r="AD562" s="16">
        <f t="shared" si="179"/>
        <v>964720</v>
      </c>
      <c r="AE562" s="16">
        <f t="shared" si="180"/>
        <v>80393.333333333343</v>
      </c>
      <c r="AF562" s="21">
        <v>5.46</v>
      </c>
      <c r="AG562" s="21">
        <v>7.78</v>
      </c>
      <c r="AH562" s="15">
        <f t="shared" si="158"/>
        <v>-0.22319999999999998</v>
      </c>
      <c r="AI562" s="15">
        <f t="shared" si="159"/>
        <v>-0.78119999999999989</v>
      </c>
      <c r="AJ562" s="10">
        <v>0.5</v>
      </c>
      <c r="AK562" s="10">
        <v>0.5</v>
      </c>
      <c r="AL562" s="21">
        <v>5.46</v>
      </c>
      <c r="AM562" s="9">
        <f t="shared" si="142"/>
        <v>1.167</v>
      </c>
      <c r="AN562" s="9">
        <f t="shared" si="143"/>
        <v>0.2334</v>
      </c>
      <c r="AO562" s="9">
        <f t="shared" si="144"/>
        <v>1.556</v>
      </c>
      <c r="AP562" s="9">
        <f t="shared" si="145"/>
        <v>0.15560000000000002</v>
      </c>
      <c r="AQ562" s="9">
        <f t="shared" si="146"/>
        <v>1.556</v>
      </c>
      <c r="AR562" s="9">
        <f t="shared" si="147"/>
        <v>1.9450000000000001</v>
      </c>
      <c r="AS562" s="11">
        <f t="shared" si="148"/>
        <v>-2.2319999999999998</v>
      </c>
      <c r="AT562" s="12">
        <f t="shared" si="149"/>
        <v>-2.4913333333333334</v>
      </c>
    </row>
    <row r="563" spans="1:46" ht="16.5" x14ac:dyDescent="0.4">
      <c r="A563" s="4" t="s">
        <v>2553</v>
      </c>
      <c r="B563" s="4" t="s">
        <v>2710</v>
      </c>
      <c r="C563" s="4" t="s">
        <v>2712</v>
      </c>
      <c r="D563" s="4" t="s">
        <v>2732</v>
      </c>
      <c r="E563" s="4" t="s">
        <v>2891</v>
      </c>
      <c r="F563" s="4" t="s">
        <v>3050</v>
      </c>
      <c r="G563" s="7" t="str">
        <f>VLOOKUP(A563,[1]done!$A:$I,9,0)</f>
        <v>Insecticide/Fungicide</v>
      </c>
      <c r="H563" s="7" t="str" cm="1">
        <f t="array" ref="H563">_xlfn.IFS(
OR(ISNUMBER(SEARCH("mouse",E563)),ISNUMBER(SEARCH("rat",E563)),ISNUMBER(SEARCH("mice",E563)),ISNUMBER(SEARCH("rodent",E563))),"Rodent Control",
OR(ISNUMBER(SEARCH("fly",E563)),ISNUMBER(SEARCH("gnat",E563)),ISNUMBER(SEARCH("insect",E563)),ISNUMBER(SEARCH("mosquito",E563))),"Flying Insect Control",
OR(ISNUMBER(SEARCH("roach",E563)),ISNUMBER(SEARCH("ant",E563)),ISNUMBER(SEARCH("spider",E563)),ISNUMBER(SEARCH("cricket",E563)),ISNUMBER(SEARCH("scorpion",E563)),ISNUMBER(SEARCH("centipede",E563)),ISNUMBER(SEARCH("beetle",E563))),"Crawling Insect Control",
OR(ISNUMBER(SEARCH("tree",E563)),ISNUMBER(SEARCH("lantern",E563)),ISNUMBER(SEARCH("garden",E563)),ISNUMBER(SEARCH("plant",E563))),"Garden Pest Control",
OR(ISNUMBER(SEARCH("grass seed",E563)),ISNUMBER(SEARCH("seed mix",E563))),"Grass Seed",
OR(ISNUMBER(SEARCH("lawn food",E563)),ISNUMBER(SEARCH("fertilizer",E563))),"Lawn Fertilizer",
OR(ISNUMBER(SEARCH("patch",E563)),ISNUMBER(SEARCH("repair",E563)),ISNUMBER(SEARCH("thick'r",E563)),ISNUMBER(SEARCH("thick'r lawn",E563)),ISNUMBER(SEARCH("rapid grass",E563))),"Lawn Repair",
OR(ISNUMBER(SEARCH("weed",E563)),ISNUMBER(SEARCH("crabgrass",E563))),"Weed Control",
OR(ISNUMBER(SEARCH("fungicide",E563)),ISNUMBER(SEARCH("moss",E563))),"Disease &amp; Moss Control",
OR(ISNUMBER(SEARCH("plant food",E563)),ISNUMBER(SEARCH("miracid",E563))),"Plant Nutrition",
OR(ISNUMBER(SEARCH("perlite",E563))),"Soil Amendment",
OR(ISNUMBER(SEARCH("spreader",E563)),ISNUMBER(SEARCH("sprayer",E563)),ISNUMBER(SEARCH("mower",E563)),ISNUMBER(SEARCH("sweeper",E563)),ISNUMBER(SEARCH("pruner",E563)),ISNUMBER(SEARCH("trimmer",E563)),ISNUMBER(SEARCH("pole saw",E563))),"Garden Equipment",
TRUE,"Other"
)</f>
        <v>Other</v>
      </c>
      <c r="I563" s="7" t="str" cm="1">
        <f t="array" ref="I563">_xlfn.IFS(
OR(ISNUMBER(SEARCH("glue trap",E563)),ISNUMBER(SEARCH("glue board",E563))),"Glue Traps",
OR(ISNUMBER(SEARCH("snap trap",E563)),ISNUMBER(SEARCH("power-kill",E563)),ISNUMBER(SEARCH("wide pedal",E563)),ISNUMBER(SEARCH("metal pedal",E563))),"Snap Traps",
OR(ISNUMBER(SEARCH("electronic",E563)),ISNUMBER(SEARCH("zapper",E563))),"Electronic Traps",
OR(ISNUMBER(SEARCH("live catch",E563)),ISNUMBER(SEARCH("multi-catch",E563)),ISNUMBER(SEARCH("catch &amp; hold",E563)),ISNUMBER(SEARCH("tin cat",E563))),"Live Catch Traps",
OR(ISNUMBER(SEARCH("bait",E563)),ISNUMBER(SEARCH("poison",E563))),"Bait &amp; Poison",
ISNUMBER(SEARCH("repellent",E563)),"Repellents",
OR(ISNUMBER(SEARCH("fly trap",E563)),ISNUMBER(SEARCH("fly ribbon",E563)),ISNUMBER(SEARCH("fly stick",E563)),ISNUMBER(SEARCH("window fly",E563)),ISNUMBER(SEARCH("fly magnet",E563))),"Fly Traps",
OR(ISNUMBER(SEARCH("uv",E563)),ISNUMBER(SEARCH("fly light",E563)),ISNUMBER(SEARCH("plug-in",E563))),"UV Fly Traps",
ISNUMBER(SEARCH("roach",E563)),"Roach Traps",
ISNUMBER(SEARCH("ant",E563)),"Ant Traps",
ISNUMBER(SEARCH("spider",E563)),"Spider Traps",
ISNUMBER(SEARCH("mosquito",E563)),"Mosquito Traps",
ISNUMBER(SEARCH("beetle",E563)),"Beetle Traps",
ISNUMBER(SEARCH("lantern",E563)),"Lanternfly Control",
OR(ISNUMBER(SEARCH("tree shield",E563)),ISNUMBER(SEARCH("tree banding",E563)),ISNUMBER(SEARCH("insect barrier",E563))),"Tree Barriers",
OR(ISNUMBER(SEARCH("sun &amp; shade",E563)),ISNUMBER(SEARCH("sun and shade",E563))),"Sun &amp; Shade Mix",
ISNUMBER(SEARCH("tall fescue",E563)),"Tall Fescue",
ISNUMBER(SEARCH("bermudagrass",E563)),"Bermudagrass",
ISNUMBER(SEARCH("kentucky",E563)),"Kentucky Bluegrass",
ISNUMBER(SEARCH("zoysia",E563)),"Zoysia",
ISNUMBER(SEARCH("ryegrass",E563)),"Perennial Ryegrass",
ISNUMBER(SEARCH("centipede",E563)),"Centipede Grass",
ISNUMBER(SEARCH("dense shade",E563)),"Dense Shade Mix",
ISNUMBER(SEARCH("southern gold",E563)),"Southern Gold Mix",
ISNUMBER(SEARCH("heat-tolerant blue",E563)),"Heat-Tolerant Blue Mix",
ISNUMBER(SEARCH("high traffic",E563)),"High Traffic Mix",
ISNUMBER(SEARCH("quick fix",E563)),"Quick Fix Mix",
ISNUMBER(SEARCH("starter",E563)),"Starter Fertilizer",
ISNUMBER(SEARCH("weed &amp; feed",E563)),"Weed &amp; Feed",
ISNUMBER(SEARCH("lawn food",E563)),"Lawn Food",
ISNUMBER(SEARCH("triple action",E563)),"Triple Action Fertilizer",
ISNUMBER(SEARCH("green max",E563)),"Green Max Lawn Food",
ISNUMBER(SEARCH("patchmaster",E563)),"PatchMaster Repair",
ISNUMBER(SEARCH("ez seed",E563)),"EZ Seed Repair",
ISNUMBER(SEARCH("rapid grass",E563)),"Rapid Grass",
ISNUMBER(SEARCH("thick'r lawn",E563)),"Thick'R Lawn",
ISNUMBER(SEARCH("fungicide",E563)),"Fungicide",
ISNUMBER(SEARCH("moss",E563)),"Moss Control",
ISNUMBER(SEARCH("perlite",E563)),"Perlite",
ISNUMBER(SEARCH("plant food",E563)),"Plant Food",
ISNUMBER(SEARCH("spreader",E563)),"Spreader",
ISNUMBER(SEARCH("sprayer",E563)),"Sprayer",
ISNUMBER(SEARCH("mower",E563)),"Lawn Mower",
ISNUMBER(SEARCH("sweeper",E563)),"Lawn Sweeper",
OR(ISNUMBER(SEARCH("pruner",E563)),ISNUMBER(SEARCH("trimmer",E563)),ISNUMBER(SEARCH("pole saw",E563))),"Pruning Tools",
TRUE,"Other"
)</f>
        <v>Other</v>
      </c>
      <c r="J563" s="7" t="str">
        <f t="shared" si="171"/>
        <v>Other - Other</v>
      </c>
      <c r="K563" s="4">
        <v>10000</v>
      </c>
      <c r="L563" s="4">
        <v>4.5999999999999996</v>
      </c>
      <c r="M563" s="4">
        <v>5194</v>
      </c>
      <c r="N563" s="4" t="s">
        <v>3209</v>
      </c>
      <c r="O563" s="4">
        <f>VLOOKUP(A563,[13]Sheet1!$A:$M,2,0)</f>
        <v>1000</v>
      </c>
      <c r="P563" s="4">
        <f>VLOOKUP(A563,[13]Sheet1!$A:$M,3,0)</f>
        <v>1000</v>
      </c>
      <c r="Q563" s="4">
        <f>VLOOKUP(A563,[13]Sheet1!$A:$M,4,0)</f>
        <v>1000</v>
      </c>
      <c r="R563" s="4">
        <f>VLOOKUP(A563,[13]Sheet1!$A:$M,5,0)</f>
        <v>4000</v>
      </c>
      <c r="S563" s="4">
        <f>VLOOKUP(A563,[13]Sheet1!$A:$M,6,0)</f>
        <v>10000</v>
      </c>
      <c r="T563" s="4">
        <f>VLOOKUP(A563,[13]Sheet1!$A:$M,7,0)</f>
        <v>10000</v>
      </c>
      <c r="U563" s="4">
        <f>VLOOKUP(A563,[13]Sheet1!$A:$M,8,0)</f>
        <v>10000</v>
      </c>
      <c r="V563" s="4">
        <f>VLOOKUP(A563,[13]Sheet1!$A:$M,9,0)</f>
        <v>10000</v>
      </c>
      <c r="W563" s="4">
        <f>VLOOKUP(A563,[13]Sheet1!$A:$M,10,0)</f>
        <v>10000</v>
      </c>
      <c r="X563" s="4">
        <f>VLOOKUP(A563,[13]Sheet1!$A:$M,11,0)</f>
        <v>4000</v>
      </c>
      <c r="Y563" s="4">
        <f>VLOOKUP(A563,[13]Sheet1!$A:$M,12,0)</f>
        <v>1000</v>
      </c>
      <c r="Z563" s="4">
        <f>VLOOKUP(A563,[13]Sheet1!$A:$M,13,0)</f>
        <v>1000</v>
      </c>
      <c r="AA563" s="4">
        <f t="shared" si="176"/>
        <v>63000</v>
      </c>
      <c r="AB563" s="7">
        <f t="shared" si="177"/>
        <v>5250</v>
      </c>
      <c r="AC563" s="15">
        <f t="shared" si="178"/>
        <v>5250</v>
      </c>
      <c r="AD563" s="16">
        <f t="shared" si="179"/>
        <v>815850</v>
      </c>
      <c r="AE563" s="16">
        <f t="shared" si="180"/>
        <v>67987.5</v>
      </c>
      <c r="AF563" s="21">
        <v>6.31</v>
      </c>
      <c r="AG563" s="21">
        <v>12.95</v>
      </c>
      <c r="AH563" s="15">
        <f t="shared" si="158"/>
        <v>-0.14199999999999999</v>
      </c>
      <c r="AI563" s="15">
        <f t="shared" si="159"/>
        <v>-0.49699999999999994</v>
      </c>
      <c r="AJ563" s="10">
        <v>0.5</v>
      </c>
      <c r="AK563" s="10">
        <v>0.5</v>
      </c>
      <c r="AL563" s="21">
        <v>6.31</v>
      </c>
      <c r="AM563" s="9">
        <f t="shared" si="142"/>
        <v>1.9424999999999999</v>
      </c>
      <c r="AN563" s="9">
        <f t="shared" si="143"/>
        <v>0.38849999999999996</v>
      </c>
      <c r="AO563" s="9">
        <f t="shared" si="144"/>
        <v>2.59</v>
      </c>
      <c r="AP563" s="9">
        <f t="shared" si="145"/>
        <v>0.25900000000000001</v>
      </c>
      <c r="AQ563" s="9">
        <f t="shared" si="146"/>
        <v>2.59</v>
      </c>
      <c r="AR563" s="9">
        <f t="shared" si="147"/>
        <v>3.2374999999999998</v>
      </c>
      <c r="AS563" s="11">
        <f t="shared" si="148"/>
        <v>-1.42</v>
      </c>
      <c r="AT563" s="12">
        <f t="shared" si="149"/>
        <v>-1.8516666666666666</v>
      </c>
    </row>
    <row r="564" spans="1:46" ht="16.5" x14ac:dyDescent="0.4">
      <c r="A564" s="4" t="s">
        <v>2554</v>
      </c>
      <c r="B564" s="4" t="s">
        <v>2710</v>
      </c>
      <c r="C564" s="4" t="s">
        <v>2712</v>
      </c>
      <c r="D564" s="4" t="s">
        <v>2733</v>
      </c>
      <c r="E564" s="4" t="s">
        <v>2892</v>
      </c>
      <c r="F564" s="4" t="s">
        <v>3051</v>
      </c>
      <c r="G564" s="7" t="str">
        <f>VLOOKUP(A564,[1]done!$A:$I,9,0)</f>
        <v>Insecticide/Fungicide</v>
      </c>
      <c r="H564" s="7" t="str" cm="1">
        <f t="array" ref="H564">_xlfn.IFS(
OR(ISNUMBER(SEARCH("mouse",E564)),ISNUMBER(SEARCH("rat",E564)),ISNUMBER(SEARCH("mice",E564)),ISNUMBER(SEARCH("rodent",E564))),"Rodent Control",
OR(ISNUMBER(SEARCH("fly",E564)),ISNUMBER(SEARCH("gnat",E564)),ISNUMBER(SEARCH("insect",E564)),ISNUMBER(SEARCH("mosquito",E564))),"Flying Insect Control",
OR(ISNUMBER(SEARCH("roach",E564)),ISNUMBER(SEARCH("ant",E564)),ISNUMBER(SEARCH("spider",E564)),ISNUMBER(SEARCH("cricket",E564)),ISNUMBER(SEARCH("scorpion",E564)),ISNUMBER(SEARCH("centipede",E564)),ISNUMBER(SEARCH("beetle",E564))),"Crawling Insect Control",
OR(ISNUMBER(SEARCH("tree",E564)),ISNUMBER(SEARCH("lantern",E564)),ISNUMBER(SEARCH("garden",E564)),ISNUMBER(SEARCH("plant",E564))),"Garden Pest Control",
OR(ISNUMBER(SEARCH("grass seed",E564)),ISNUMBER(SEARCH("seed mix",E564))),"Grass Seed",
OR(ISNUMBER(SEARCH("lawn food",E564)),ISNUMBER(SEARCH("fertilizer",E564))),"Lawn Fertilizer",
OR(ISNUMBER(SEARCH("patch",E564)),ISNUMBER(SEARCH("repair",E564)),ISNUMBER(SEARCH("thick'r",E564)),ISNUMBER(SEARCH("thick'r lawn",E564)),ISNUMBER(SEARCH("rapid grass",E564))),"Lawn Repair",
OR(ISNUMBER(SEARCH("weed",E564)),ISNUMBER(SEARCH("crabgrass",E564))),"Weed Control",
OR(ISNUMBER(SEARCH("fungicide",E564)),ISNUMBER(SEARCH("moss",E564))),"Disease &amp; Moss Control",
OR(ISNUMBER(SEARCH("plant food",E564)),ISNUMBER(SEARCH("miracid",E564))),"Plant Nutrition",
OR(ISNUMBER(SEARCH("perlite",E564))),"Soil Amendment",
OR(ISNUMBER(SEARCH("spreader",E564)),ISNUMBER(SEARCH("sprayer",E564)),ISNUMBER(SEARCH("mower",E564)),ISNUMBER(SEARCH("sweeper",E564)),ISNUMBER(SEARCH("pruner",E564)),ISNUMBER(SEARCH("trimmer",E564)),ISNUMBER(SEARCH("pole saw",E564))),"Garden Equipment",
TRUE,"Other"
)</f>
        <v>Flying Insect Control</v>
      </c>
      <c r="I564" s="7" t="str" cm="1">
        <f t="array" ref="I564">_xlfn.IFS(
OR(ISNUMBER(SEARCH("glue trap",E564)),ISNUMBER(SEARCH("glue board",E564))),"Glue Traps",
OR(ISNUMBER(SEARCH("snap trap",E564)),ISNUMBER(SEARCH("power-kill",E564)),ISNUMBER(SEARCH("wide pedal",E564)),ISNUMBER(SEARCH("metal pedal",E564))),"Snap Traps",
OR(ISNUMBER(SEARCH("electronic",E564)),ISNUMBER(SEARCH("zapper",E564))),"Electronic Traps",
OR(ISNUMBER(SEARCH("live catch",E564)),ISNUMBER(SEARCH("multi-catch",E564)),ISNUMBER(SEARCH("catch &amp; hold",E564)),ISNUMBER(SEARCH("tin cat",E564))),"Live Catch Traps",
OR(ISNUMBER(SEARCH("bait",E564)),ISNUMBER(SEARCH("poison",E564))),"Bait &amp; Poison",
ISNUMBER(SEARCH("repellent",E564)),"Repellents",
OR(ISNUMBER(SEARCH("fly trap",E564)),ISNUMBER(SEARCH("fly ribbon",E564)),ISNUMBER(SEARCH("fly stick",E564)),ISNUMBER(SEARCH("window fly",E564)),ISNUMBER(SEARCH("fly magnet",E564))),"Fly Traps",
OR(ISNUMBER(SEARCH("uv",E564)),ISNUMBER(SEARCH("fly light",E564)),ISNUMBER(SEARCH("plug-in",E564))),"UV Fly Traps",
ISNUMBER(SEARCH("roach",E564)),"Roach Traps",
ISNUMBER(SEARCH("ant",E564)),"Ant Traps",
ISNUMBER(SEARCH("spider",E564)),"Spider Traps",
ISNUMBER(SEARCH("mosquito",E564)),"Mosquito Traps",
ISNUMBER(SEARCH("beetle",E564)),"Beetle Traps",
ISNUMBER(SEARCH("lantern",E564)),"Lanternfly Control",
OR(ISNUMBER(SEARCH("tree shield",E564)),ISNUMBER(SEARCH("tree banding",E564)),ISNUMBER(SEARCH("insect barrier",E564))),"Tree Barriers",
OR(ISNUMBER(SEARCH("sun &amp; shade",E564)),ISNUMBER(SEARCH("sun and shade",E564))),"Sun &amp; Shade Mix",
ISNUMBER(SEARCH("tall fescue",E564)),"Tall Fescue",
ISNUMBER(SEARCH("bermudagrass",E564)),"Bermudagrass",
ISNUMBER(SEARCH("kentucky",E564)),"Kentucky Bluegrass",
ISNUMBER(SEARCH("zoysia",E564)),"Zoysia",
ISNUMBER(SEARCH("ryegrass",E564)),"Perennial Ryegrass",
ISNUMBER(SEARCH("centipede",E564)),"Centipede Grass",
ISNUMBER(SEARCH("dense shade",E564)),"Dense Shade Mix",
ISNUMBER(SEARCH("southern gold",E564)),"Southern Gold Mix",
ISNUMBER(SEARCH("heat-tolerant blue",E564)),"Heat-Tolerant Blue Mix",
ISNUMBER(SEARCH("high traffic",E564)),"High Traffic Mix",
ISNUMBER(SEARCH("quick fix",E564)),"Quick Fix Mix",
ISNUMBER(SEARCH("starter",E564)),"Starter Fertilizer",
ISNUMBER(SEARCH("weed &amp; feed",E564)),"Weed &amp; Feed",
ISNUMBER(SEARCH("lawn food",E564)),"Lawn Food",
ISNUMBER(SEARCH("triple action",E564)),"Triple Action Fertilizer",
ISNUMBER(SEARCH("green max",E564)),"Green Max Lawn Food",
ISNUMBER(SEARCH("patchmaster",E564)),"PatchMaster Repair",
ISNUMBER(SEARCH("ez seed",E564)),"EZ Seed Repair",
ISNUMBER(SEARCH("rapid grass",E564)),"Rapid Grass",
ISNUMBER(SEARCH("thick'r lawn",E564)),"Thick'R Lawn",
ISNUMBER(SEARCH("fungicide",E564)),"Fungicide",
ISNUMBER(SEARCH("moss",E564)),"Moss Control",
ISNUMBER(SEARCH("perlite",E564)),"Perlite",
ISNUMBER(SEARCH("plant food",E564)),"Plant Food",
ISNUMBER(SEARCH("spreader",E564)),"Spreader",
ISNUMBER(SEARCH("sprayer",E564)),"Sprayer",
ISNUMBER(SEARCH("mower",E564)),"Lawn Mower",
ISNUMBER(SEARCH("sweeper",E564)),"Lawn Sweeper",
OR(ISNUMBER(SEARCH("pruner",E564)),ISNUMBER(SEARCH("trimmer",E564)),ISNUMBER(SEARCH("pole saw",E564))),"Pruning Tools",
TRUE,"Other"
)</f>
        <v>Other</v>
      </c>
      <c r="J564" s="7" t="str">
        <f t="shared" si="171"/>
        <v>Flying Insect Control - Other</v>
      </c>
      <c r="K564" s="4">
        <v>9000</v>
      </c>
      <c r="L564" s="4">
        <v>4.4000000000000004</v>
      </c>
      <c r="M564" s="4">
        <v>4112</v>
      </c>
      <c r="N564" s="4" t="s">
        <v>3210</v>
      </c>
      <c r="O564" s="4">
        <f>VLOOKUP(A564,[13]Sheet1!$A:$M,2,0)</f>
        <v>3000</v>
      </c>
      <c r="P564" s="4">
        <f>VLOOKUP(A564,[13]Sheet1!$A:$M,3,0)</f>
        <v>4000</v>
      </c>
      <c r="Q564" s="4">
        <f>VLOOKUP(A564,[13]Sheet1!$A:$M,4,0)</f>
        <v>4000</v>
      </c>
      <c r="R564" s="4">
        <f>VLOOKUP(A564,[13]Sheet1!$A:$M,5,0)</f>
        <v>5000</v>
      </c>
      <c r="S564" s="4">
        <f>VLOOKUP(A564,[13]Sheet1!$A:$M,6,0)</f>
        <v>5000</v>
      </c>
      <c r="T564" s="4">
        <f>VLOOKUP(A564,[13]Sheet1!$A:$M,7,0)</f>
        <v>9000</v>
      </c>
      <c r="U564" s="4">
        <f>VLOOKUP(A564,[13]Sheet1!$A:$M,8,0)</f>
        <v>10000</v>
      </c>
      <c r="V564" s="4">
        <f>VLOOKUP(A564,[13]Sheet1!$A:$M,9,0)</f>
        <v>10000</v>
      </c>
      <c r="W564" s="4">
        <f>VLOOKUP(A564,[13]Sheet1!$A:$M,10,0)</f>
        <v>9000</v>
      </c>
      <c r="X564" s="4">
        <f>VLOOKUP(A564,[13]Sheet1!$A:$M,11,0)</f>
        <v>6000</v>
      </c>
      <c r="Y564" s="4">
        <f>VLOOKUP(A564,[13]Sheet1!$A:$M,12,0)</f>
        <v>5000</v>
      </c>
      <c r="Z564" s="4">
        <f>VLOOKUP(A564,[13]Sheet1!$A:$M,13,0)</f>
        <v>3000</v>
      </c>
      <c r="AA564" s="4">
        <f t="shared" si="176"/>
        <v>73000</v>
      </c>
      <c r="AB564" s="7">
        <f t="shared" si="177"/>
        <v>6083</v>
      </c>
      <c r="AC564" s="15">
        <f t="shared" si="178"/>
        <v>6083.333333333333</v>
      </c>
      <c r="AD564" s="16">
        <f t="shared" si="179"/>
        <v>729270</v>
      </c>
      <c r="AE564" s="16">
        <f t="shared" si="180"/>
        <v>60772.5</v>
      </c>
      <c r="AF564" s="21">
        <v>5.46</v>
      </c>
      <c r="AG564" s="21">
        <v>9.99</v>
      </c>
      <c r="AH564" s="15">
        <f t="shared" si="158"/>
        <v>-0.1642666666666667</v>
      </c>
      <c r="AI564" s="15">
        <f t="shared" si="159"/>
        <v>-0.57493333333333341</v>
      </c>
      <c r="AJ564" s="10">
        <v>0.5</v>
      </c>
      <c r="AK564" s="10">
        <v>0.5</v>
      </c>
      <c r="AL564" s="21">
        <v>5.46</v>
      </c>
      <c r="AM564" s="9">
        <f t="shared" si="142"/>
        <v>1.4984999999999999</v>
      </c>
      <c r="AN564" s="9">
        <f t="shared" si="143"/>
        <v>0.29970000000000002</v>
      </c>
      <c r="AO564" s="9">
        <f t="shared" si="144"/>
        <v>1.9980000000000002</v>
      </c>
      <c r="AP564" s="9">
        <f t="shared" si="145"/>
        <v>0.19980000000000001</v>
      </c>
      <c r="AQ564" s="9">
        <f t="shared" si="146"/>
        <v>1.9980000000000002</v>
      </c>
      <c r="AR564" s="9">
        <f t="shared" si="147"/>
        <v>2.4975000000000001</v>
      </c>
      <c r="AS564" s="11">
        <f t="shared" si="148"/>
        <v>-1.6426666666666669</v>
      </c>
      <c r="AT564" s="12">
        <f t="shared" si="149"/>
        <v>-1.9756666666666669</v>
      </c>
    </row>
    <row r="565" spans="1:46" ht="16.5" x14ac:dyDescent="0.4">
      <c r="A565" s="4" t="s">
        <v>2555</v>
      </c>
      <c r="B565" s="4" t="s">
        <v>2710</v>
      </c>
      <c r="C565" s="4" t="s">
        <v>2710</v>
      </c>
      <c r="D565" s="4" t="s">
        <v>2734</v>
      </c>
      <c r="E565" s="4" t="s">
        <v>2893</v>
      </c>
      <c r="F565" s="4" t="s">
        <v>3052</v>
      </c>
      <c r="G565" s="7" t="str">
        <f>VLOOKUP(A565,[1]done!$A:$I,9,0)</f>
        <v>Other crawling insects</v>
      </c>
      <c r="H565" s="7" t="str" cm="1">
        <f t="array" ref="H565">_xlfn.IFS(
OR(ISNUMBER(SEARCH("mouse",E565)),ISNUMBER(SEARCH("rat",E565)),ISNUMBER(SEARCH("mice",E565)),ISNUMBER(SEARCH("rodent",E565))),"Rodent Control",
OR(ISNUMBER(SEARCH("fly",E565)),ISNUMBER(SEARCH("gnat",E565)),ISNUMBER(SEARCH("insect",E565)),ISNUMBER(SEARCH("mosquito",E565))),"Flying Insect Control",
OR(ISNUMBER(SEARCH("roach",E565)),ISNUMBER(SEARCH("ant",E565)),ISNUMBER(SEARCH("spider",E565)),ISNUMBER(SEARCH("cricket",E565)),ISNUMBER(SEARCH("scorpion",E565)),ISNUMBER(SEARCH("centipede",E565)),ISNUMBER(SEARCH("beetle",E565))),"Crawling Insect Control",
OR(ISNUMBER(SEARCH("tree",E565)),ISNUMBER(SEARCH("lantern",E565)),ISNUMBER(SEARCH("garden",E565)),ISNUMBER(SEARCH("plant",E565))),"Garden Pest Control",
OR(ISNUMBER(SEARCH("grass seed",E565)),ISNUMBER(SEARCH("seed mix",E565))),"Grass Seed",
OR(ISNUMBER(SEARCH("lawn food",E565)),ISNUMBER(SEARCH("fertilizer",E565))),"Lawn Fertilizer",
OR(ISNUMBER(SEARCH("patch",E565)),ISNUMBER(SEARCH("repair",E565)),ISNUMBER(SEARCH("thick'r",E565)),ISNUMBER(SEARCH("thick'r lawn",E565)),ISNUMBER(SEARCH("rapid grass",E565))),"Lawn Repair",
OR(ISNUMBER(SEARCH("weed",E565)),ISNUMBER(SEARCH("crabgrass",E565))),"Weed Control",
OR(ISNUMBER(SEARCH("fungicide",E565)),ISNUMBER(SEARCH("moss",E565))),"Disease &amp; Moss Control",
OR(ISNUMBER(SEARCH("plant food",E565)),ISNUMBER(SEARCH("miracid",E565))),"Plant Nutrition",
OR(ISNUMBER(SEARCH("perlite",E565))),"Soil Amendment",
OR(ISNUMBER(SEARCH("spreader",E565)),ISNUMBER(SEARCH("sprayer",E565)),ISNUMBER(SEARCH("mower",E565)),ISNUMBER(SEARCH("sweeper",E565)),ISNUMBER(SEARCH("pruner",E565)),ISNUMBER(SEARCH("trimmer",E565)),ISNUMBER(SEARCH("pole saw",E565))),"Garden Equipment",
TRUE,"Other"
)</f>
        <v>Flying Insect Control</v>
      </c>
      <c r="I565" s="7" t="str" cm="1">
        <f t="array" ref="I565">_xlfn.IFS(
OR(ISNUMBER(SEARCH("glue trap",E565)),ISNUMBER(SEARCH("glue board",E565))),"Glue Traps",
OR(ISNUMBER(SEARCH("snap trap",E565)),ISNUMBER(SEARCH("power-kill",E565)),ISNUMBER(SEARCH("wide pedal",E565)),ISNUMBER(SEARCH("metal pedal",E565))),"Snap Traps",
OR(ISNUMBER(SEARCH("electronic",E565)),ISNUMBER(SEARCH("zapper",E565))),"Electronic Traps",
OR(ISNUMBER(SEARCH("live catch",E565)),ISNUMBER(SEARCH("multi-catch",E565)),ISNUMBER(SEARCH("catch &amp; hold",E565)),ISNUMBER(SEARCH("tin cat",E565))),"Live Catch Traps",
OR(ISNUMBER(SEARCH("bait",E565)),ISNUMBER(SEARCH("poison",E565))),"Bait &amp; Poison",
ISNUMBER(SEARCH("repellent",E565)),"Repellents",
OR(ISNUMBER(SEARCH("fly trap",E565)),ISNUMBER(SEARCH("fly ribbon",E565)),ISNUMBER(SEARCH("fly stick",E565)),ISNUMBER(SEARCH("window fly",E565)),ISNUMBER(SEARCH("fly magnet",E565))),"Fly Traps",
OR(ISNUMBER(SEARCH("uv",E565)),ISNUMBER(SEARCH("fly light",E565)),ISNUMBER(SEARCH("plug-in",E565))),"UV Fly Traps",
ISNUMBER(SEARCH("roach",E565)),"Roach Traps",
ISNUMBER(SEARCH("ant",E565)),"Ant Traps",
ISNUMBER(SEARCH("spider",E565)),"Spider Traps",
ISNUMBER(SEARCH("mosquito",E565)),"Mosquito Traps",
ISNUMBER(SEARCH("beetle",E565)),"Beetle Traps",
ISNUMBER(SEARCH("lantern",E565)),"Lanternfly Control",
OR(ISNUMBER(SEARCH("tree shield",E565)),ISNUMBER(SEARCH("tree banding",E565)),ISNUMBER(SEARCH("insect barrier",E565))),"Tree Barriers",
OR(ISNUMBER(SEARCH("sun &amp; shade",E565)),ISNUMBER(SEARCH("sun and shade",E565))),"Sun &amp; Shade Mix",
ISNUMBER(SEARCH("tall fescue",E565)),"Tall Fescue",
ISNUMBER(SEARCH("bermudagrass",E565)),"Bermudagrass",
ISNUMBER(SEARCH("kentucky",E565)),"Kentucky Bluegrass",
ISNUMBER(SEARCH("zoysia",E565)),"Zoysia",
ISNUMBER(SEARCH("ryegrass",E565)),"Perennial Ryegrass",
ISNUMBER(SEARCH("centipede",E565)),"Centipede Grass",
ISNUMBER(SEARCH("dense shade",E565)),"Dense Shade Mix",
ISNUMBER(SEARCH("southern gold",E565)),"Southern Gold Mix",
ISNUMBER(SEARCH("heat-tolerant blue",E565)),"Heat-Tolerant Blue Mix",
ISNUMBER(SEARCH("high traffic",E565)),"High Traffic Mix",
ISNUMBER(SEARCH("quick fix",E565)),"Quick Fix Mix",
ISNUMBER(SEARCH("starter",E565)),"Starter Fertilizer",
ISNUMBER(SEARCH("weed &amp; feed",E565)),"Weed &amp; Feed",
ISNUMBER(SEARCH("lawn food",E565)),"Lawn Food",
ISNUMBER(SEARCH("triple action",E565)),"Triple Action Fertilizer",
ISNUMBER(SEARCH("green max",E565)),"Green Max Lawn Food",
ISNUMBER(SEARCH("patchmaster",E565)),"PatchMaster Repair",
ISNUMBER(SEARCH("ez seed",E565)),"EZ Seed Repair",
ISNUMBER(SEARCH("rapid grass",E565)),"Rapid Grass",
ISNUMBER(SEARCH("thick'r lawn",E565)),"Thick'R Lawn",
ISNUMBER(SEARCH("fungicide",E565)),"Fungicide",
ISNUMBER(SEARCH("moss",E565)),"Moss Control",
ISNUMBER(SEARCH("perlite",E565)),"Perlite",
ISNUMBER(SEARCH("plant food",E565)),"Plant Food",
ISNUMBER(SEARCH("spreader",E565)),"Spreader",
ISNUMBER(SEARCH("sprayer",E565)),"Sprayer",
ISNUMBER(SEARCH("mower",E565)),"Lawn Mower",
ISNUMBER(SEARCH("sweeper",E565)),"Lawn Sweeper",
OR(ISNUMBER(SEARCH("pruner",E565)),ISNUMBER(SEARCH("trimmer",E565)),ISNUMBER(SEARCH("pole saw",E565))),"Pruning Tools",
TRUE,"Other"
)</f>
        <v>Ant Traps</v>
      </c>
      <c r="J565" s="7" t="str">
        <f t="shared" si="171"/>
        <v>Flying Insect Control - Ant Traps</v>
      </c>
      <c r="K565" s="4">
        <v>8000</v>
      </c>
      <c r="L565" s="4">
        <v>4.4000000000000004</v>
      </c>
      <c r="M565" s="4">
        <v>16927</v>
      </c>
      <c r="N565" s="4" t="s">
        <v>3211</v>
      </c>
      <c r="O565" s="4">
        <f>VLOOKUP(A565,[13]Sheet1!$A:$M,2,0)</f>
        <v>6100</v>
      </c>
      <c r="P565" s="4">
        <f>VLOOKUP(A565,[13]Sheet1!$A:$M,3,0)</f>
        <v>4000</v>
      </c>
      <c r="Q565" s="4">
        <f>VLOOKUP(A565,[13]Sheet1!$A:$M,4,0)</f>
        <v>7000</v>
      </c>
      <c r="R565" s="4">
        <f>VLOOKUP(A565,[13]Sheet1!$A:$M,5,0)</f>
        <v>7000</v>
      </c>
      <c r="S565" s="4">
        <f>VLOOKUP(A565,[13]Sheet1!$A:$M,6,0)</f>
        <v>7000</v>
      </c>
      <c r="T565" s="4">
        <f>VLOOKUP(A565,[13]Sheet1!$A:$M,7,0)</f>
        <v>8100</v>
      </c>
      <c r="U565" s="4">
        <f>VLOOKUP(A565,[13]Sheet1!$A:$M,8,0)</f>
        <v>8600</v>
      </c>
      <c r="V565" s="4">
        <f>VLOOKUP(A565,[13]Sheet1!$A:$M,9,0)</f>
        <v>8100</v>
      </c>
      <c r="W565" s="4">
        <f>VLOOKUP(A565,[13]Sheet1!$A:$M,10,0)</f>
        <v>8000</v>
      </c>
      <c r="X565" s="4">
        <f>VLOOKUP(A565,[13]Sheet1!$A:$M,11,0)</f>
        <v>10100</v>
      </c>
      <c r="Y565" s="4">
        <f>VLOOKUP(A565,[13]Sheet1!$A:$M,12,0)</f>
        <v>10100</v>
      </c>
      <c r="Z565" s="4">
        <f>VLOOKUP(A565,[13]Sheet1!$A:$M,13,0)</f>
        <v>6100</v>
      </c>
      <c r="AA565" s="4">
        <f t="shared" si="176"/>
        <v>90200</v>
      </c>
      <c r="AB565" s="7">
        <f t="shared" si="177"/>
        <v>7517</v>
      </c>
      <c r="AC565" s="15">
        <f t="shared" si="178"/>
        <v>7516.666666666667</v>
      </c>
      <c r="AD565" s="16">
        <f t="shared" si="179"/>
        <v>1167188</v>
      </c>
      <c r="AE565" s="16">
        <f t="shared" si="180"/>
        <v>97265.666666666672</v>
      </c>
      <c r="AF565" s="21">
        <v>4.3499999999999996</v>
      </c>
      <c r="AG565" s="21">
        <v>12.94</v>
      </c>
      <c r="AH565" s="15">
        <f t="shared" si="158"/>
        <v>-1.1600000000000027E-2</v>
      </c>
      <c r="AI565" s="15">
        <f t="shared" si="159"/>
        <v>-4.0600000000000087E-2</v>
      </c>
      <c r="AJ565" s="10">
        <v>0.5</v>
      </c>
      <c r="AK565" s="10">
        <v>0.5</v>
      </c>
      <c r="AL565" s="21">
        <v>4.3499999999999996</v>
      </c>
      <c r="AM565" s="9">
        <f t="shared" si="142"/>
        <v>1.9409999999999998</v>
      </c>
      <c r="AN565" s="9">
        <f t="shared" si="143"/>
        <v>0.38819999999999999</v>
      </c>
      <c r="AO565" s="9">
        <f t="shared" si="144"/>
        <v>2.5880000000000001</v>
      </c>
      <c r="AP565" s="9">
        <f t="shared" si="145"/>
        <v>0.25879999999999997</v>
      </c>
      <c r="AQ565" s="9">
        <f t="shared" si="146"/>
        <v>2.5880000000000001</v>
      </c>
      <c r="AR565" s="9">
        <f t="shared" si="147"/>
        <v>3.2349999999999999</v>
      </c>
      <c r="AS565" s="11">
        <f t="shared" si="148"/>
        <v>-0.11600000000000026</v>
      </c>
      <c r="AT565" s="12">
        <f t="shared" si="149"/>
        <v>-0.54733333333333345</v>
      </c>
    </row>
    <row r="566" spans="1:46" ht="16.5" x14ac:dyDescent="0.4">
      <c r="A566" s="4" t="s">
        <v>2556</v>
      </c>
      <c r="B566" s="4" t="s">
        <v>2710</v>
      </c>
      <c r="C566" s="4" t="s">
        <v>2712</v>
      </c>
      <c r="D566" s="4" t="s">
        <v>2735</v>
      </c>
      <c r="E566" s="4" t="s">
        <v>2894</v>
      </c>
      <c r="F566" s="4" t="s">
        <v>3053</v>
      </c>
      <c r="G566" s="7" t="str">
        <f>VLOOKUP(A566,[1]done!$A:$I,9,0)</f>
        <v>Insecticide/Fungicide</v>
      </c>
      <c r="H566" s="7" t="str" cm="1">
        <f t="array" ref="H566">_xlfn.IFS(
OR(ISNUMBER(SEARCH("mouse",E566)),ISNUMBER(SEARCH("rat",E566)),ISNUMBER(SEARCH("mice",E566)),ISNUMBER(SEARCH("rodent",E566))),"Rodent Control",
OR(ISNUMBER(SEARCH("fly",E566)),ISNUMBER(SEARCH("gnat",E566)),ISNUMBER(SEARCH("insect",E566)),ISNUMBER(SEARCH("mosquito",E566))),"Flying Insect Control",
OR(ISNUMBER(SEARCH("roach",E566)),ISNUMBER(SEARCH("ant",E566)),ISNUMBER(SEARCH("spider",E566)),ISNUMBER(SEARCH("cricket",E566)),ISNUMBER(SEARCH("scorpion",E566)),ISNUMBER(SEARCH("centipede",E566)),ISNUMBER(SEARCH("beetle",E566))),"Crawling Insect Control",
OR(ISNUMBER(SEARCH("tree",E566)),ISNUMBER(SEARCH("lantern",E566)),ISNUMBER(SEARCH("garden",E566)),ISNUMBER(SEARCH("plant",E566))),"Garden Pest Control",
OR(ISNUMBER(SEARCH("grass seed",E566)),ISNUMBER(SEARCH("seed mix",E566))),"Grass Seed",
OR(ISNUMBER(SEARCH("lawn food",E566)),ISNUMBER(SEARCH("fertilizer",E566))),"Lawn Fertilizer",
OR(ISNUMBER(SEARCH("patch",E566)),ISNUMBER(SEARCH("repair",E566)),ISNUMBER(SEARCH("thick'r",E566)),ISNUMBER(SEARCH("thick'r lawn",E566)),ISNUMBER(SEARCH("rapid grass",E566))),"Lawn Repair",
OR(ISNUMBER(SEARCH("weed",E566)),ISNUMBER(SEARCH("crabgrass",E566))),"Weed Control",
OR(ISNUMBER(SEARCH("fungicide",E566)),ISNUMBER(SEARCH("moss",E566))),"Disease &amp; Moss Control",
OR(ISNUMBER(SEARCH("plant food",E566)),ISNUMBER(SEARCH("miracid",E566))),"Plant Nutrition",
OR(ISNUMBER(SEARCH("perlite",E566))),"Soil Amendment",
OR(ISNUMBER(SEARCH("spreader",E566)),ISNUMBER(SEARCH("sprayer",E566)),ISNUMBER(SEARCH("mower",E566)),ISNUMBER(SEARCH("sweeper",E566)),ISNUMBER(SEARCH("pruner",E566)),ISNUMBER(SEARCH("trimmer",E566)),ISNUMBER(SEARCH("pole saw",E566))),"Garden Equipment",
TRUE,"Other"
)</f>
        <v>Crawling Insect Control</v>
      </c>
      <c r="I566" s="7" t="str" cm="1">
        <f t="array" ref="I566">_xlfn.IFS(
OR(ISNUMBER(SEARCH("glue trap",E566)),ISNUMBER(SEARCH("glue board",E566))),"Glue Traps",
OR(ISNUMBER(SEARCH("snap trap",E566)),ISNUMBER(SEARCH("power-kill",E566)),ISNUMBER(SEARCH("wide pedal",E566)),ISNUMBER(SEARCH("metal pedal",E566))),"Snap Traps",
OR(ISNUMBER(SEARCH("electronic",E566)),ISNUMBER(SEARCH("zapper",E566))),"Electronic Traps",
OR(ISNUMBER(SEARCH("live catch",E566)),ISNUMBER(SEARCH("multi-catch",E566)),ISNUMBER(SEARCH("catch &amp; hold",E566)),ISNUMBER(SEARCH("tin cat",E566))),"Live Catch Traps",
OR(ISNUMBER(SEARCH("bait",E566)),ISNUMBER(SEARCH("poison",E566))),"Bait &amp; Poison",
ISNUMBER(SEARCH("repellent",E566)),"Repellents",
OR(ISNUMBER(SEARCH("fly trap",E566)),ISNUMBER(SEARCH("fly ribbon",E566)),ISNUMBER(SEARCH("fly stick",E566)),ISNUMBER(SEARCH("window fly",E566)),ISNUMBER(SEARCH("fly magnet",E566))),"Fly Traps",
OR(ISNUMBER(SEARCH("uv",E566)),ISNUMBER(SEARCH("fly light",E566)),ISNUMBER(SEARCH("plug-in",E566))),"UV Fly Traps",
ISNUMBER(SEARCH("roach",E566)),"Roach Traps",
ISNUMBER(SEARCH("ant",E566)),"Ant Traps",
ISNUMBER(SEARCH("spider",E566)),"Spider Traps",
ISNUMBER(SEARCH("mosquito",E566)),"Mosquito Traps",
ISNUMBER(SEARCH("beetle",E566)),"Beetle Traps",
ISNUMBER(SEARCH("lantern",E566)),"Lanternfly Control",
OR(ISNUMBER(SEARCH("tree shield",E566)),ISNUMBER(SEARCH("tree banding",E566)),ISNUMBER(SEARCH("insect barrier",E566))),"Tree Barriers",
OR(ISNUMBER(SEARCH("sun &amp; shade",E566)),ISNUMBER(SEARCH("sun and shade",E566))),"Sun &amp; Shade Mix",
ISNUMBER(SEARCH("tall fescue",E566)),"Tall Fescue",
ISNUMBER(SEARCH("bermudagrass",E566)),"Bermudagrass",
ISNUMBER(SEARCH("kentucky",E566)),"Kentucky Bluegrass",
ISNUMBER(SEARCH("zoysia",E566)),"Zoysia",
ISNUMBER(SEARCH("ryegrass",E566)),"Perennial Ryegrass",
ISNUMBER(SEARCH("centipede",E566)),"Centipede Grass",
ISNUMBER(SEARCH("dense shade",E566)),"Dense Shade Mix",
ISNUMBER(SEARCH("southern gold",E566)),"Southern Gold Mix",
ISNUMBER(SEARCH("heat-tolerant blue",E566)),"Heat-Tolerant Blue Mix",
ISNUMBER(SEARCH("high traffic",E566)),"High Traffic Mix",
ISNUMBER(SEARCH("quick fix",E566)),"Quick Fix Mix",
ISNUMBER(SEARCH("starter",E566)),"Starter Fertilizer",
ISNUMBER(SEARCH("weed &amp; feed",E566)),"Weed &amp; Feed",
ISNUMBER(SEARCH("lawn food",E566)),"Lawn Food",
ISNUMBER(SEARCH("triple action",E566)),"Triple Action Fertilizer",
ISNUMBER(SEARCH("green max",E566)),"Green Max Lawn Food",
ISNUMBER(SEARCH("patchmaster",E566)),"PatchMaster Repair",
ISNUMBER(SEARCH("ez seed",E566)),"EZ Seed Repair",
ISNUMBER(SEARCH("rapid grass",E566)),"Rapid Grass",
ISNUMBER(SEARCH("thick'r lawn",E566)),"Thick'R Lawn",
ISNUMBER(SEARCH("fungicide",E566)),"Fungicide",
ISNUMBER(SEARCH("moss",E566)),"Moss Control",
ISNUMBER(SEARCH("perlite",E566)),"Perlite",
ISNUMBER(SEARCH("plant food",E566)),"Plant Food",
ISNUMBER(SEARCH("spreader",E566)),"Spreader",
ISNUMBER(SEARCH("sprayer",E566)),"Sprayer",
ISNUMBER(SEARCH("mower",E566)),"Lawn Mower",
ISNUMBER(SEARCH("sweeper",E566)),"Lawn Sweeper",
OR(ISNUMBER(SEARCH("pruner",E566)),ISNUMBER(SEARCH("trimmer",E566)),ISNUMBER(SEARCH("pole saw",E566))),"Pruning Tools",
TRUE,"Other"
)</f>
        <v>Ant Traps</v>
      </c>
      <c r="J566" s="7" t="str">
        <f t="shared" si="171"/>
        <v>Crawling Insect Control - Ant Traps</v>
      </c>
      <c r="K566" s="4">
        <v>8000</v>
      </c>
      <c r="L566" s="4">
        <v>4.4000000000000004</v>
      </c>
      <c r="M566" s="4">
        <v>15822</v>
      </c>
      <c r="N566" s="4" t="s">
        <v>3212</v>
      </c>
      <c r="O566" s="4">
        <f>VLOOKUP(A566,[13]Sheet1!$A:$M,2,0)</f>
        <v>5000</v>
      </c>
      <c r="P566" s="4">
        <f>VLOOKUP(A566,[13]Sheet1!$A:$M,3,0)</f>
        <v>5000</v>
      </c>
      <c r="Q566" s="4">
        <f>VLOOKUP(A566,[13]Sheet1!$A:$M,4,0)</f>
        <v>10000</v>
      </c>
      <c r="R566" s="4">
        <f>VLOOKUP(A566,[13]Sheet1!$A:$M,5,0)</f>
        <v>10000</v>
      </c>
      <c r="S566" s="4">
        <f>VLOOKUP(A566,[13]Sheet1!$A:$M,6,0)</f>
        <v>10000</v>
      </c>
      <c r="T566" s="4">
        <f>VLOOKUP(A566,[13]Sheet1!$A:$M,7,0)</f>
        <v>10000</v>
      </c>
      <c r="U566" s="4">
        <f>VLOOKUP(A566,[13]Sheet1!$A:$M,8,0)</f>
        <v>10000</v>
      </c>
      <c r="V566" s="4">
        <f>VLOOKUP(A566,[13]Sheet1!$A:$M,9,0)</f>
        <v>10000</v>
      </c>
      <c r="W566" s="4">
        <f>VLOOKUP(A566,[13]Sheet1!$A:$M,10,0)</f>
        <v>8000</v>
      </c>
      <c r="X566" s="4">
        <f>VLOOKUP(A566,[13]Sheet1!$A:$M,11,0)</f>
        <v>5000</v>
      </c>
      <c r="Y566" s="4">
        <f>VLOOKUP(A566,[13]Sheet1!$A:$M,12,0)</f>
        <v>5000</v>
      </c>
      <c r="Z566" s="4">
        <f>VLOOKUP(A566,[13]Sheet1!$A:$M,13,0)</f>
        <v>4000</v>
      </c>
      <c r="AA566" s="4">
        <f t="shared" si="176"/>
        <v>92000</v>
      </c>
      <c r="AB566" s="7">
        <f t="shared" si="177"/>
        <v>7667</v>
      </c>
      <c r="AC566" s="15">
        <f t="shared" si="178"/>
        <v>7666.666666666667</v>
      </c>
      <c r="AD566" s="16">
        <f t="shared" si="179"/>
        <v>735080</v>
      </c>
      <c r="AE566" s="16">
        <f t="shared" si="180"/>
        <v>61256.666666666672</v>
      </c>
      <c r="AF566" s="21">
        <v>3.01</v>
      </c>
      <c r="AG566" s="21">
        <v>7.99</v>
      </c>
      <c r="AH566" s="15">
        <f t="shared" si="158"/>
        <v>-5.4266666666666685E-2</v>
      </c>
      <c r="AI566" s="15">
        <f t="shared" si="159"/>
        <v>-0.1899333333333334</v>
      </c>
      <c r="AJ566" s="10">
        <v>0.5</v>
      </c>
      <c r="AK566" s="10">
        <v>0.5</v>
      </c>
      <c r="AL566" s="21">
        <v>3.01</v>
      </c>
      <c r="AM566" s="9">
        <f t="shared" si="142"/>
        <v>1.1984999999999999</v>
      </c>
      <c r="AN566" s="9">
        <f t="shared" si="143"/>
        <v>0.2397</v>
      </c>
      <c r="AO566" s="9">
        <f t="shared" si="144"/>
        <v>1.5980000000000001</v>
      </c>
      <c r="AP566" s="9">
        <f t="shared" si="145"/>
        <v>0.1598</v>
      </c>
      <c r="AQ566" s="9">
        <f t="shared" si="146"/>
        <v>1.5980000000000001</v>
      </c>
      <c r="AR566" s="9">
        <f t="shared" si="147"/>
        <v>1.9975000000000001</v>
      </c>
      <c r="AS566" s="11">
        <f t="shared" si="148"/>
        <v>-0.54266666666666685</v>
      </c>
      <c r="AT566" s="12">
        <f t="shared" si="149"/>
        <v>-0.80900000000000016</v>
      </c>
    </row>
    <row r="567" spans="1:46" ht="16.5" x14ac:dyDescent="0.4">
      <c r="A567" s="4" t="s">
        <v>2557</v>
      </c>
      <c r="B567" s="4" t="s">
        <v>2710</v>
      </c>
      <c r="C567" s="4" t="s">
        <v>2710</v>
      </c>
      <c r="D567" s="4" t="s">
        <v>2736</v>
      </c>
      <c r="E567" s="4" t="s">
        <v>2895</v>
      </c>
      <c r="F567" s="4" t="s">
        <v>3054</v>
      </c>
      <c r="G567" s="7" t="str">
        <f>VLOOKUP(A567,[1]done!$A:$I,9,0)</f>
        <v>Insecticide/Fungicide</v>
      </c>
      <c r="H567" s="7" t="str" cm="1">
        <f t="array" ref="H567">_xlfn.IFS(
OR(ISNUMBER(SEARCH("mouse",E567)),ISNUMBER(SEARCH("rat",E567)),ISNUMBER(SEARCH("mice",E567)),ISNUMBER(SEARCH("rodent",E567))),"Rodent Control",
OR(ISNUMBER(SEARCH("fly",E567)),ISNUMBER(SEARCH("gnat",E567)),ISNUMBER(SEARCH("insect",E567)),ISNUMBER(SEARCH("mosquito",E567))),"Flying Insect Control",
OR(ISNUMBER(SEARCH("roach",E567)),ISNUMBER(SEARCH("ant",E567)),ISNUMBER(SEARCH("spider",E567)),ISNUMBER(SEARCH("cricket",E567)),ISNUMBER(SEARCH("scorpion",E567)),ISNUMBER(SEARCH("centipede",E567)),ISNUMBER(SEARCH("beetle",E567))),"Crawling Insect Control",
OR(ISNUMBER(SEARCH("tree",E567)),ISNUMBER(SEARCH("lantern",E567)),ISNUMBER(SEARCH("garden",E567)),ISNUMBER(SEARCH("plant",E567))),"Garden Pest Control",
OR(ISNUMBER(SEARCH("grass seed",E567)),ISNUMBER(SEARCH("seed mix",E567))),"Grass Seed",
OR(ISNUMBER(SEARCH("lawn food",E567)),ISNUMBER(SEARCH("fertilizer",E567))),"Lawn Fertilizer",
OR(ISNUMBER(SEARCH("patch",E567)),ISNUMBER(SEARCH("repair",E567)),ISNUMBER(SEARCH("thick'r",E567)),ISNUMBER(SEARCH("thick'r lawn",E567)),ISNUMBER(SEARCH("rapid grass",E567))),"Lawn Repair",
OR(ISNUMBER(SEARCH("weed",E567)),ISNUMBER(SEARCH("crabgrass",E567))),"Weed Control",
OR(ISNUMBER(SEARCH("fungicide",E567)),ISNUMBER(SEARCH("moss",E567))),"Disease &amp; Moss Control",
OR(ISNUMBER(SEARCH("plant food",E567)),ISNUMBER(SEARCH("miracid",E567))),"Plant Nutrition",
OR(ISNUMBER(SEARCH("perlite",E567))),"Soil Amendment",
OR(ISNUMBER(SEARCH("spreader",E567)),ISNUMBER(SEARCH("sprayer",E567)),ISNUMBER(SEARCH("mower",E567)),ISNUMBER(SEARCH("sweeper",E567)),ISNUMBER(SEARCH("pruner",E567)),ISNUMBER(SEARCH("trimmer",E567)),ISNUMBER(SEARCH("pole saw",E567))),"Garden Equipment",
TRUE,"Other"
)</f>
        <v>Flying Insect Control</v>
      </c>
      <c r="I567" s="7" t="str" cm="1">
        <f t="array" ref="I567">_xlfn.IFS(
OR(ISNUMBER(SEARCH("glue trap",E567)),ISNUMBER(SEARCH("glue board",E567))),"Glue Traps",
OR(ISNUMBER(SEARCH("snap trap",E567)),ISNUMBER(SEARCH("power-kill",E567)),ISNUMBER(SEARCH("wide pedal",E567)),ISNUMBER(SEARCH("metal pedal",E567))),"Snap Traps",
OR(ISNUMBER(SEARCH("electronic",E567)),ISNUMBER(SEARCH("zapper",E567))),"Electronic Traps",
OR(ISNUMBER(SEARCH("live catch",E567)),ISNUMBER(SEARCH("multi-catch",E567)),ISNUMBER(SEARCH("catch &amp; hold",E567)),ISNUMBER(SEARCH("tin cat",E567))),"Live Catch Traps",
OR(ISNUMBER(SEARCH("bait",E567)),ISNUMBER(SEARCH("poison",E567))),"Bait &amp; Poison",
ISNUMBER(SEARCH("repellent",E567)),"Repellents",
OR(ISNUMBER(SEARCH("fly trap",E567)),ISNUMBER(SEARCH("fly ribbon",E567)),ISNUMBER(SEARCH("fly stick",E567)),ISNUMBER(SEARCH("window fly",E567)),ISNUMBER(SEARCH("fly magnet",E567))),"Fly Traps",
OR(ISNUMBER(SEARCH("uv",E567)),ISNUMBER(SEARCH("fly light",E567)),ISNUMBER(SEARCH("plug-in",E567))),"UV Fly Traps",
ISNUMBER(SEARCH("roach",E567)),"Roach Traps",
ISNUMBER(SEARCH("ant",E567)),"Ant Traps",
ISNUMBER(SEARCH("spider",E567)),"Spider Traps",
ISNUMBER(SEARCH("mosquito",E567)),"Mosquito Traps",
ISNUMBER(SEARCH("beetle",E567)),"Beetle Traps",
ISNUMBER(SEARCH("lantern",E567)),"Lanternfly Control",
OR(ISNUMBER(SEARCH("tree shield",E567)),ISNUMBER(SEARCH("tree banding",E567)),ISNUMBER(SEARCH("insect barrier",E567))),"Tree Barriers",
OR(ISNUMBER(SEARCH("sun &amp; shade",E567)),ISNUMBER(SEARCH("sun and shade",E567))),"Sun &amp; Shade Mix",
ISNUMBER(SEARCH("tall fescue",E567)),"Tall Fescue",
ISNUMBER(SEARCH("bermudagrass",E567)),"Bermudagrass",
ISNUMBER(SEARCH("kentucky",E567)),"Kentucky Bluegrass",
ISNUMBER(SEARCH("zoysia",E567)),"Zoysia",
ISNUMBER(SEARCH("ryegrass",E567)),"Perennial Ryegrass",
ISNUMBER(SEARCH("centipede",E567)),"Centipede Grass",
ISNUMBER(SEARCH("dense shade",E567)),"Dense Shade Mix",
ISNUMBER(SEARCH("southern gold",E567)),"Southern Gold Mix",
ISNUMBER(SEARCH("heat-tolerant blue",E567)),"Heat-Tolerant Blue Mix",
ISNUMBER(SEARCH("high traffic",E567)),"High Traffic Mix",
ISNUMBER(SEARCH("quick fix",E567)),"Quick Fix Mix",
ISNUMBER(SEARCH("starter",E567)),"Starter Fertilizer",
ISNUMBER(SEARCH("weed &amp; feed",E567)),"Weed &amp; Feed",
ISNUMBER(SEARCH("lawn food",E567)),"Lawn Food",
ISNUMBER(SEARCH("triple action",E567)),"Triple Action Fertilizer",
ISNUMBER(SEARCH("green max",E567)),"Green Max Lawn Food",
ISNUMBER(SEARCH("patchmaster",E567)),"PatchMaster Repair",
ISNUMBER(SEARCH("ez seed",E567)),"EZ Seed Repair",
ISNUMBER(SEARCH("rapid grass",E567)),"Rapid Grass",
ISNUMBER(SEARCH("thick'r lawn",E567)),"Thick'R Lawn",
ISNUMBER(SEARCH("fungicide",E567)),"Fungicide",
ISNUMBER(SEARCH("moss",E567)),"Moss Control",
ISNUMBER(SEARCH("perlite",E567)),"Perlite",
ISNUMBER(SEARCH("plant food",E567)),"Plant Food",
ISNUMBER(SEARCH("spreader",E567)),"Spreader",
ISNUMBER(SEARCH("sprayer",E567)),"Sprayer",
ISNUMBER(SEARCH("mower",E567)),"Lawn Mower",
ISNUMBER(SEARCH("sweeper",E567)),"Lawn Sweeper",
OR(ISNUMBER(SEARCH("pruner",E567)),ISNUMBER(SEARCH("trimmer",E567)),ISNUMBER(SEARCH("pole saw",E567))),"Pruning Tools",
TRUE,"Other"
)</f>
        <v>Other</v>
      </c>
      <c r="J567" s="7" t="str">
        <f t="shared" si="171"/>
        <v>Flying Insect Control - Other</v>
      </c>
      <c r="K567" s="4">
        <v>8000</v>
      </c>
      <c r="L567" s="4">
        <v>4.4000000000000004</v>
      </c>
      <c r="M567" s="4">
        <v>7848</v>
      </c>
      <c r="N567" s="4" t="s">
        <v>3207</v>
      </c>
      <c r="O567" s="4">
        <f>VLOOKUP(A567,[13]Sheet1!$A:$M,2,0)</f>
        <v>0</v>
      </c>
      <c r="P567" s="4">
        <f>VLOOKUP(A567,[13]Sheet1!$A:$M,3,0)</f>
        <v>0</v>
      </c>
      <c r="Q567" s="4">
        <f>VLOOKUP(A567,[13]Sheet1!$A:$M,4,0)</f>
        <v>3000</v>
      </c>
      <c r="R567" s="4">
        <f>VLOOKUP(A567,[13]Sheet1!$A:$M,5,0)</f>
        <v>5000</v>
      </c>
      <c r="S567" s="4">
        <f>VLOOKUP(A567,[13]Sheet1!$A:$M,6,0)</f>
        <v>8000</v>
      </c>
      <c r="T567" s="4">
        <f>VLOOKUP(A567,[13]Sheet1!$A:$M,7,0)</f>
        <v>10000</v>
      </c>
      <c r="U567" s="4">
        <f>VLOOKUP(A567,[13]Sheet1!$A:$M,8,0)</f>
        <v>10000</v>
      </c>
      <c r="V567" s="4">
        <f>VLOOKUP(A567,[13]Sheet1!$A:$M,9,0)</f>
        <v>10000</v>
      </c>
      <c r="W567" s="4">
        <f>VLOOKUP(A567,[13]Sheet1!$A:$M,10,0)</f>
        <v>8000</v>
      </c>
      <c r="X567" s="4">
        <f>VLOOKUP(A567,[13]Sheet1!$A:$M,11,0)</f>
        <v>0</v>
      </c>
      <c r="Y567" s="4">
        <f>VLOOKUP(A567,[13]Sheet1!$A:$M,12,0)</f>
        <v>0</v>
      </c>
      <c r="Z567" s="4">
        <f>VLOOKUP(A567,[13]Sheet1!$A:$M,13,0)</f>
        <v>0</v>
      </c>
      <c r="AA567" s="4">
        <f t="shared" si="176"/>
        <v>54000</v>
      </c>
      <c r="AB567" s="7">
        <f t="shared" si="177"/>
        <v>4500</v>
      </c>
      <c r="AC567" s="15">
        <f t="shared" si="178"/>
        <v>4500</v>
      </c>
      <c r="AD567" s="16">
        <f t="shared" si="179"/>
        <v>699300</v>
      </c>
      <c r="AE567" s="16">
        <f t="shared" si="180"/>
        <v>58275</v>
      </c>
      <c r="AF567" s="21">
        <v>6.31</v>
      </c>
      <c r="AG567" s="21">
        <v>12.95</v>
      </c>
      <c r="AH567" s="15">
        <f t="shared" si="158"/>
        <v>-0.14199999999999999</v>
      </c>
      <c r="AI567" s="15">
        <f t="shared" si="159"/>
        <v>-0.49699999999999994</v>
      </c>
      <c r="AJ567" s="10">
        <v>0.5</v>
      </c>
      <c r="AK567" s="10">
        <v>0.5</v>
      </c>
      <c r="AL567" s="21">
        <v>6.31</v>
      </c>
      <c r="AM567" s="9">
        <f t="shared" si="142"/>
        <v>1.9424999999999999</v>
      </c>
      <c r="AN567" s="9">
        <f t="shared" si="143"/>
        <v>0.38849999999999996</v>
      </c>
      <c r="AO567" s="9">
        <f t="shared" si="144"/>
        <v>2.59</v>
      </c>
      <c r="AP567" s="9">
        <f t="shared" si="145"/>
        <v>0.25900000000000001</v>
      </c>
      <c r="AQ567" s="9">
        <f t="shared" si="146"/>
        <v>2.59</v>
      </c>
      <c r="AR567" s="9">
        <f t="shared" si="147"/>
        <v>3.2374999999999998</v>
      </c>
      <c r="AS567" s="11">
        <f t="shared" si="148"/>
        <v>-1.42</v>
      </c>
      <c r="AT567" s="12">
        <f t="shared" si="149"/>
        <v>-1.8516666666666666</v>
      </c>
    </row>
    <row r="568" spans="1:46" ht="16.5" x14ac:dyDescent="0.4">
      <c r="A568" s="4" t="s">
        <v>2558</v>
      </c>
      <c r="B568" s="4" t="s">
        <v>2710</v>
      </c>
      <c r="C568" s="4" t="s">
        <v>2712</v>
      </c>
      <c r="D568" s="4" t="s">
        <v>2737</v>
      </c>
      <c r="E568" s="4" t="s">
        <v>2896</v>
      </c>
      <c r="F568" s="4" t="s">
        <v>3055</v>
      </c>
      <c r="G568" s="7" t="str">
        <f>VLOOKUP(A568,[1]done!$A:$I,9,0)</f>
        <v>Deer &amp; Rabbit control</v>
      </c>
      <c r="H568" s="7" t="str" cm="1">
        <f t="array" ref="H568">_xlfn.IFS(
OR(ISNUMBER(SEARCH("mouse",E568)),ISNUMBER(SEARCH("rat",E568)),ISNUMBER(SEARCH("mice",E568)),ISNUMBER(SEARCH("rodent",E568))),"Rodent Control",
OR(ISNUMBER(SEARCH("fly",E568)),ISNUMBER(SEARCH("gnat",E568)),ISNUMBER(SEARCH("insect",E568)),ISNUMBER(SEARCH("mosquito",E568))),"Flying Insect Control",
OR(ISNUMBER(SEARCH("roach",E568)),ISNUMBER(SEARCH("ant",E568)),ISNUMBER(SEARCH("spider",E568)),ISNUMBER(SEARCH("cricket",E568)),ISNUMBER(SEARCH("scorpion",E568)),ISNUMBER(SEARCH("centipede",E568)),ISNUMBER(SEARCH("beetle",E568))),"Crawling Insect Control",
OR(ISNUMBER(SEARCH("tree",E568)),ISNUMBER(SEARCH("lantern",E568)),ISNUMBER(SEARCH("garden",E568)),ISNUMBER(SEARCH("plant",E568))),"Garden Pest Control",
OR(ISNUMBER(SEARCH("grass seed",E568)),ISNUMBER(SEARCH("seed mix",E568))),"Grass Seed",
OR(ISNUMBER(SEARCH("lawn food",E568)),ISNUMBER(SEARCH("fertilizer",E568))),"Lawn Fertilizer",
OR(ISNUMBER(SEARCH("patch",E568)),ISNUMBER(SEARCH("repair",E568)),ISNUMBER(SEARCH("thick'r",E568)),ISNUMBER(SEARCH("thick'r lawn",E568)),ISNUMBER(SEARCH("rapid grass",E568))),"Lawn Repair",
OR(ISNUMBER(SEARCH("weed",E568)),ISNUMBER(SEARCH("crabgrass",E568))),"Weed Control",
OR(ISNUMBER(SEARCH("fungicide",E568)),ISNUMBER(SEARCH("moss",E568))),"Disease &amp; Moss Control",
OR(ISNUMBER(SEARCH("plant food",E568)),ISNUMBER(SEARCH("miracid",E568))),"Plant Nutrition",
OR(ISNUMBER(SEARCH("perlite",E568))),"Soil Amendment",
OR(ISNUMBER(SEARCH("spreader",E568)),ISNUMBER(SEARCH("sprayer",E568)),ISNUMBER(SEARCH("mower",E568)),ISNUMBER(SEARCH("sweeper",E568)),ISNUMBER(SEARCH("pruner",E568)),ISNUMBER(SEARCH("trimmer",E568)),ISNUMBER(SEARCH("pole saw",E568))),"Garden Equipment",
TRUE,"Other"
)</f>
        <v>Garden Pest Control</v>
      </c>
      <c r="I568" s="7" t="str" cm="1">
        <f t="array" ref="I568">_xlfn.IFS(
OR(ISNUMBER(SEARCH("glue trap",E568)),ISNUMBER(SEARCH("glue board",E568))),"Glue Traps",
OR(ISNUMBER(SEARCH("snap trap",E568)),ISNUMBER(SEARCH("power-kill",E568)),ISNUMBER(SEARCH("wide pedal",E568)),ISNUMBER(SEARCH("metal pedal",E568))),"Snap Traps",
OR(ISNUMBER(SEARCH("electronic",E568)),ISNUMBER(SEARCH("zapper",E568))),"Electronic Traps",
OR(ISNUMBER(SEARCH("live catch",E568)),ISNUMBER(SEARCH("multi-catch",E568)),ISNUMBER(SEARCH("catch &amp; hold",E568)),ISNUMBER(SEARCH("tin cat",E568))),"Live Catch Traps",
OR(ISNUMBER(SEARCH("bait",E568)),ISNUMBER(SEARCH("poison",E568))),"Bait &amp; Poison",
ISNUMBER(SEARCH("repellent",E568)),"Repellents",
OR(ISNUMBER(SEARCH("fly trap",E568)),ISNUMBER(SEARCH("fly ribbon",E568)),ISNUMBER(SEARCH("fly stick",E568)),ISNUMBER(SEARCH("window fly",E568)),ISNUMBER(SEARCH("fly magnet",E568))),"Fly Traps",
OR(ISNUMBER(SEARCH("uv",E568)),ISNUMBER(SEARCH("fly light",E568)),ISNUMBER(SEARCH("plug-in",E568))),"UV Fly Traps",
ISNUMBER(SEARCH("roach",E568)),"Roach Traps",
ISNUMBER(SEARCH("ant",E568)),"Ant Traps",
ISNUMBER(SEARCH("spider",E568)),"Spider Traps",
ISNUMBER(SEARCH("mosquito",E568)),"Mosquito Traps",
ISNUMBER(SEARCH("beetle",E568)),"Beetle Traps",
ISNUMBER(SEARCH("lantern",E568)),"Lanternfly Control",
OR(ISNUMBER(SEARCH("tree shield",E568)),ISNUMBER(SEARCH("tree banding",E568)),ISNUMBER(SEARCH("insect barrier",E568))),"Tree Barriers",
OR(ISNUMBER(SEARCH("sun &amp; shade",E568)),ISNUMBER(SEARCH("sun and shade",E568))),"Sun &amp; Shade Mix",
ISNUMBER(SEARCH("tall fescue",E568)),"Tall Fescue",
ISNUMBER(SEARCH("bermudagrass",E568)),"Bermudagrass",
ISNUMBER(SEARCH("kentucky",E568)),"Kentucky Bluegrass",
ISNUMBER(SEARCH("zoysia",E568)),"Zoysia",
ISNUMBER(SEARCH("ryegrass",E568)),"Perennial Ryegrass",
ISNUMBER(SEARCH("centipede",E568)),"Centipede Grass",
ISNUMBER(SEARCH("dense shade",E568)),"Dense Shade Mix",
ISNUMBER(SEARCH("southern gold",E568)),"Southern Gold Mix",
ISNUMBER(SEARCH("heat-tolerant blue",E568)),"Heat-Tolerant Blue Mix",
ISNUMBER(SEARCH("high traffic",E568)),"High Traffic Mix",
ISNUMBER(SEARCH("quick fix",E568)),"Quick Fix Mix",
ISNUMBER(SEARCH("starter",E568)),"Starter Fertilizer",
ISNUMBER(SEARCH("weed &amp; feed",E568)),"Weed &amp; Feed",
ISNUMBER(SEARCH("lawn food",E568)),"Lawn Food",
ISNUMBER(SEARCH("triple action",E568)),"Triple Action Fertilizer",
ISNUMBER(SEARCH("green max",E568)),"Green Max Lawn Food",
ISNUMBER(SEARCH("patchmaster",E568)),"PatchMaster Repair",
ISNUMBER(SEARCH("ez seed",E568)),"EZ Seed Repair",
ISNUMBER(SEARCH("rapid grass",E568)),"Rapid Grass",
ISNUMBER(SEARCH("thick'r lawn",E568)),"Thick'R Lawn",
ISNUMBER(SEARCH("fungicide",E568)),"Fungicide",
ISNUMBER(SEARCH("moss",E568)),"Moss Control",
ISNUMBER(SEARCH("perlite",E568)),"Perlite",
ISNUMBER(SEARCH("plant food",E568)),"Plant Food",
ISNUMBER(SEARCH("spreader",E568)),"Spreader",
ISNUMBER(SEARCH("sprayer",E568)),"Sprayer",
ISNUMBER(SEARCH("mower",E568)),"Lawn Mower",
ISNUMBER(SEARCH("sweeper",E568)),"Lawn Sweeper",
OR(ISNUMBER(SEARCH("pruner",E568)),ISNUMBER(SEARCH("trimmer",E568)),ISNUMBER(SEARCH("pole saw",E568))),"Pruning Tools",
TRUE,"Other"
)</f>
        <v>Repellents</v>
      </c>
      <c r="J568" s="7" t="str">
        <f t="shared" si="171"/>
        <v>Garden Pest Control - Repellents</v>
      </c>
      <c r="K568" s="4">
        <v>6000</v>
      </c>
      <c r="L568" s="4">
        <v>3.6</v>
      </c>
      <c r="M568" s="4">
        <v>16789</v>
      </c>
      <c r="N568" s="4" t="s">
        <v>3213</v>
      </c>
      <c r="O568" s="4">
        <f>VLOOKUP(A568,[13]Sheet1!$A:$M,2,0)</f>
        <v>2000</v>
      </c>
      <c r="P568" s="4">
        <f>VLOOKUP(A568,[13]Sheet1!$A:$M,3,0)</f>
        <v>2000</v>
      </c>
      <c r="Q568" s="4">
        <f>VLOOKUP(A568,[13]Sheet1!$A:$M,4,0)</f>
        <v>3000</v>
      </c>
      <c r="R568" s="4">
        <f>VLOOKUP(A568,[13]Sheet1!$A:$M,5,0)</f>
        <v>6000</v>
      </c>
      <c r="S568" s="4">
        <f>VLOOKUP(A568,[13]Sheet1!$A:$M,6,0)</f>
        <v>10000</v>
      </c>
      <c r="T568" s="4">
        <f>VLOOKUP(A568,[13]Sheet1!$A:$M,7,0)</f>
        <v>10000</v>
      </c>
      <c r="U568" s="4">
        <f>VLOOKUP(A568,[13]Sheet1!$A:$M,8,0)</f>
        <v>10000</v>
      </c>
      <c r="V568" s="4">
        <f>VLOOKUP(A568,[13]Sheet1!$A:$M,9,0)</f>
        <v>7000</v>
      </c>
      <c r="W568" s="4">
        <f>VLOOKUP(A568,[13]Sheet1!$A:$M,10,0)</f>
        <v>6000</v>
      </c>
      <c r="X568" s="4">
        <f>VLOOKUP(A568,[13]Sheet1!$A:$M,11,0)</f>
        <v>5000</v>
      </c>
      <c r="Y568" s="4">
        <f>VLOOKUP(A568,[13]Sheet1!$A:$M,12,0)</f>
        <v>4000</v>
      </c>
      <c r="Z568" s="4">
        <f>VLOOKUP(A568,[13]Sheet1!$A:$M,13,0)</f>
        <v>3000</v>
      </c>
      <c r="AA568" s="4">
        <f t="shared" si="176"/>
        <v>68000</v>
      </c>
      <c r="AB568" s="7">
        <f t="shared" si="177"/>
        <v>5667</v>
      </c>
      <c r="AC568" s="15">
        <f t="shared" si="178"/>
        <v>5666.666666666667</v>
      </c>
      <c r="AD568" s="16">
        <f t="shared" si="179"/>
        <v>998240</v>
      </c>
      <c r="AE568" s="16">
        <f t="shared" si="180"/>
        <v>83186.666666666672</v>
      </c>
      <c r="AF568" s="21">
        <v>7.38</v>
      </c>
      <c r="AG568" s="21">
        <v>14.68</v>
      </c>
      <c r="AH568" s="15">
        <f t="shared" si="158"/>
        <v>-0.16720000000000002</v>
      </c>
      <c r="AI568" s="15">
        <f t="shared" si="159"/>
        <v>-0.58519999999999994</v>
      </c>
      <c r="AJ568" s="10">
        <v>0.5</v>
      </c>
      <c r="AK568" s="10">
        <v>0.5</v>
      </c>
      <c r="AL568" s="21">
        <v>7.38</v>
      </c>
      <c r="AM568" s="9">
        <f t="shared" si="142"/>
        <v>2.202</v>
      </c>
      <c r="AN568" s="9">
        <f t="shared" si="143"/>
        <v>0.44039999999999996</v>
      </c>
      <c r="AO568" s="9">
        <f t="shared" si="144"/>
        <v>2.9359999999999999</v>
      </c>
      <c r="AP568" s="9">
        <f t="shared" si="145"/>
        <v>0.29360000000000003</v>
      </c>
      <c r="AQ568" s="9">
        <f t="shared" si="146"/>
        <v>2.9359999999999999</v>
      </c>
      <c r="AR568" s="9">
        <f t="shared" si="147"/>
        <v>3.67</v>
      </c>
      <c r="AS568" s="11">
        <f t="shared" si="148"/>
        <v>-1.6719999999999999</v>
      </c>
      <c r="AT568" s="12">
        <f t="shared" si="149"/>
        <v>-2.1613333333333333</v>
      </c>
    </row>
    <row r="569" spans="1:46" ht="16.5" x14ac:dyDescent="0.4">
      <c r="A569" s="4" t="s">
        <v>2559</v>
      </c>
      <c r="B569" s="4" t="s">
        <v>2710</v>
      </c>
      <c r="C569" s="4" t="s">
        <v>2712</v>
      </c>
      <c r="D569" s="4" t="s">
        <v>2738</v>
      </c>
      <c r="E569" s="4" t="s">
        <v>2897</v>
      </c>
      <c r="F569" s="4" t="s">
        <v>3056</v>
      </c>
      <c r="G569" s="7" t="str">
        <f>VLOOKUP(A569,[1]done!$A:$I,9,0)</f>
        <v>Other crawling insects</v>
      </c>
      <c r="H569" s="7" t="str" cm="1">
        <f t="array" ref="H569">_xlfn.IFS(
OR(ISNUMBER(SEARCH("mouse",E569)),ISNUMBER(SEARCH("rat",E569)),ISNUMBER(SEARCH("mice",E569)),ISNUMBER(SEARCH("rodent",E569))),"Rodent Control",
OR(ISNUMBER(SEARCH("fly",E569)),ISNUMBER(SEARCH("gnat",E569)),ISNUMBER(SEARCH("insect",E569)),ISNUMBER(SEARCH("mosquito",E569))),"Flying Insect Control",
OR(ISNUMBER(SEARCH("roach",E569)),ISNUMBER(SEARCH("ant",E569)),ISNUMBER(SEARCH("spider",E569)),ISNUMBER(SEARCH("cricket",E569)),ISNUMBER(SEARCH("scorpion",E569)),ISNUMBER(SEARCH("centipede",E569)),ISNUMBER(SEARCH("beetle",E569))),"Crawling Insect Control",
OR(ISNUMBER(SEARCH("tree",E569)),ISNUMBER(SEARCH("lantern",E569)),ISNUMBER(SEARCH("garden",E569)),ISNUMBER(SEARCH("plant",E569))),"Garden Pest Control",
OR(ISNUMBER(SEARCH("grass seed",E569)),ISNUMBER(SEARCH("seed mix",E569))),"Grass Seed",
OR(ISNUMBER(SEARCH("lawn food",E569)),ISNUMBER(SEARCH("fertilizer",E569))),"Lawn Fertilizer",
OR(ISNUMBER(SEARCH("patch",E569)),ISNUMBER(SEARCH("repair",E569)),ISNUMBER(SEARCH("thick'r",E569)),ISNUMBER(SEARCH("thick'r lawn",E569)),ISNUMBER(SEARCH("rapid grass",E569))),"Lawn Repair",
OR(ISNUMBER(SEARCH("weed",E569)),ISNUMBER(SEARCH("crabgrass",E569))),"Weed Control",
OR(ISNUMBER(SEARCH("fungicide",E569)),ISNUMBER(SEARCH("moss",E569))),"Disease &amp; Moss Control",
OR(ISNUMBER(SEARCH("plant food",E569)),ISNUMBER(SEARCH("miracid",E569))),"Plant Nutrition",
OR(ISNUMBER(SEARCH("perlite",E569))),"Soil Amendment",
OR(ISNUMBER(SEARCH("spreader",E569)),ISNUMBER(SEARCH("sprayer",E569)),ISNUMBER(SEARCH("mower",E569)),ISNUMBER(SEARCH("sweeper",E569)),ISNUMBER(SEARCH("pruner",E569)),ISNUMBER(SEARCH("trimmer",E569)),ISNUMBER(SEARCH("pole saw",E569))),"Garden Equipment",
TRUE,"Other"
)</f>
        <v>Crawling Insect Control</v>
      </c>
      <c r="I569" s="7" t="str" cm="1">
        <f t="array" ref="I569">_xlfn.IFS(
OR(ISNUMBER(SEARCH("glue trap",E569)),ISNUMBER(SEARCH("glue board",E569))),"Glue Traps",
OR(ISNUMBER(SEARCH("snap trap",E569)),ISNUMBER(SEARCH("power-kill",E569)),ISNUMBER(SEARCH("wide pedal",E569)),ISNUMBER(SEARCH("metal pedal",E569))),"Snap Traps",
OR(ISNUMBER(SEARCH("electronic",E569)),ISNUMBER(SEARCH("zapper",E569))),"Electronic Traps",
OR(ISNUMBER(SEARCH("live catch",E569)),ISNUMBER(SEARCH("multi-catch",E569)),ISNUMBER(SEARCH("catch &amp; hold",E569)),ISNUMBER(SEARCH("tin cat",E569))),"Live Catch Traps",
OR(ISNUMBER(SEARCH("bait",E569)),ISNUMBER(SEARCH("poison",E569))),"Bait &amp; Poison",
ISNUMBER(SEARCH("repellent",E569)),"Repellents",
OR(ISNUMBER(SEARCH("fly trap",E569)),ISNUMBER(SEARCH("fly ribbon",E569)),ISNUMBER(SEARCH("fly stick",E569)),ISNUMBER(SEARCH("window fly",E569)),ISNUMBER(SEARCH("fly magnet",E569))),"Fly Traps",
OR(ISNUMBER(SEARCH("uv",E569)),ISNUMBER(SEARCH("fly light",E569)),ISNUMBER(SEARCH("plug-in",E569))),"UV Fly Traps",
ISNUMBER(SEARCH("roach",E569)),"Roach Traps",
ISNUMBER(SEARCH("ant",E569)),"Ant Traps",
ISNUMBER(SEARCH("spider",E569)),"Spider Traps",
ISNUMBER(SEARCH("mosquito",E569)),"Mosquito Traps",
ISNUMBER(SEARCH("beetle",E569)),"Beetle Traps",
ISNUMBER(SEARCH("lantern",E569)),"Lanternfly Control",
OR(ISNUMBER(SEARCH("tree shield",E569)),ISNUMBER(SEARCH("tree banding",E569)),ISNUMBER(SEARCH("insect barrier",E569))),"Tree Barriers",
OR(ISNUMBER(SEARCH("sun &amp; shade",E569)),ISNUMBER(SEARCH("sun and shade",E569))),"Sun &amp; Shade Mix",
ISNUMBER(SEARCH("tall fescue",E569)),"Tall Fescue",
ISNUMBER(SEARCH("bermudagrass",E569)),"Bermudagrass",
ISNUMBER(SEARCH("kentucky",E569)),"Kentucky Bluegrass",
ISNUMBER(SEARCH("zoysia",E569)),"Zoysia",
ISNUMBER(SEARCH("ryegrass",E569)),"Perennial Ryegrass",
ISNUMBER(SEARCH("centipede",E569)),"Centipede Grass",
ISNUMBER(SEARCH("dense shade",E569)),"Dense Shade Mix",
ISNUMBER(SEARCH("southern gold",E569)),"Southern Gold Mix",
ISNUMBER(SEARCH("heat-tolerant blue",E569)),"Heat-Tolerant Blue Mix",
ISNUMBER(SEARCH("high traffic",E569)),"High Traffic Mix",
ISNUMBER(SEARCH("quick fix",E569)),"Quick Fix Mix",
ISNUMBER(SEARCH("starter",E569)),"Starter Fertilizer",
ISNUMBER(SEARCH("weed &amp; feed",E569)),"Weed &amp; Feed",
ISNUMBER(SEARCH("lawn food",E569)),"Lawn Food",
ISNUMBER(SEARCH("triple action",E569)),"Triple Action Fertilizer",
ISNUMBER(SEARCH("green max",E569)),"Green Max Lawn Food",
ISNUMBER(SEARCH("patchmaster",E569)),"PatchMaster Repair",
ISNUMBER(SEARCH("ez seed",E569)),"EZ Seed Repair",
ISNUMBER(SEARCH("rapid grass",E569)),"Rapid Grass",
ISNUMBER(SEARCH("thick'r lawn",E569)),"Thick'R Lawn",
ISNUMBER(SEARCH("fungicide",E569)),"Fungicide",
ISNUMBER(SEARCH("moss",E569)),"Moss Control",
ISNUMBER(SEARCH("perlite",E569)),"Perlite",
ISNUMBER(SEARCH("plant food",E569)),"Plant Food",
ISNUMBER(SEARCH("spreader",E569)),"Spreader",
ISNUMBER(SEARCH("sprayer",E569)),"Sprayer",
ISNUMBER(SEARCH("mower",E569)),"Lawn Mower",
ISNUMBER(SEARCH("sweeper",E569)),"Lawn Sweeper",
OR(ISNUMBER(SEARCH("pruner",E569)),ISNUMBER(SEARCH("trimmer",E569)),ISNUMBER(SEARCH("pole saw",E569))),"Pruning Tools",
TRUE,"Other"
)</f>
        <v>Spider Traps</v>
      </c>
      <c r="J569" s="7" t="str">
        <f t="shared" si="171"/>
        <v>Crawling Insect Control - Spider Traps</v>
      </c>
      <c r="K569" s="4">
        <v>5000</v>
      </c>
      <c r="L569" s="4">
        <v>4.4000000000000004</v>
      </c>
      <c r="M569" s="4">
        <v>850</v>
      </c>
      <c r="N569" s="4" t="s">
        <v>3214</v>
      </c>
      <c r="O569" s="4">
        <f>VLOOKUP(A569,[13]Sheet1!$A:$M,2,0)</f>
        <v>100</v>
      </c>
      <c r="P569" s="4">
        <f>VLOOKUP(A569,[13]Sheet1!$A:$M,3,0)</f>
        <v>0</v>
      </c>
      <c r="Q569" s="4">
        <f>VLOOKUP(A569,[13]Sheet1!$A:$M,4,0)</f>
        <v>100</v>
      </c>
      <c r="R569" s="4">
        <f>VLOOKUP(A569,[13]Sheet1!$A:$M,5,0)</f>
        <v>700</v>
      </c>
      <c r="S569" s="4">
        <f>VLOOKUP(A569,[13]Sheet1!$A:$M,6,0)</f>
        <v>700</v>
      </c>
      <c r="T569" s="4">
        <f>VLOOKUP(A569,[13]Sheet1!$A:$M,7,0)</f>
        <v>900</v>
      </c>
      <c r="U569" s="4">
        <f>VLOOKUP(A569,[13]Sheet1!$A:$M,8,0)</f>
        <v>1000</v>
      </c>
      <c r="V569" s="4">
        <f>VLOOKUP(A569,[13]Sheet1!$A:$M,9,0)</f>
        <v>3000</v>
      </c>
      <c r="W569" s="4">
        <f>VLOOKUP(A569,[13]Sheet1!$A:$M,10,0)</f>
        <v>5000</v>
      </c>
      <c r="X569" s="4">
        <f>VLOOKUP(A569,[13]Sheet1!$A:$M,11,0)</f>
        <v>4000</v>
      </c>
      <c r="Y569" s="4">
        <f>VLOOKUP(A569,[13]Sheet1!$A:$M,12,0)</f>
        <v>1000</v>
      </c>
      <c r="Z569" s="4">
        <f>VLOOKUP(A569,[13]Sheet1!$A:$M,13,0)</f>
        <v>100</v>
      </c>
      <c r="AA569" s="4">
        <f t="shared" si="176"/>
        <v>16600</v>
      </c>
      <c r="AB569" s="7">
        <f t="shared" si="177"/>
        <v>1383</v>
      </c>
      <c r="AC569" s="15">
        <f t="shared" si="178"/>
        <v>1383.3333333333333</v>
      </c>
      <c r="AD569" s="16">
        <f t="shared" si="179"/>
        <v>149234</v>
      </c>
      <c r="AE569" s="16">
        <f t="shared" si="180"/>
        <v>12436.166666666666</v>
      </c>
      <c r="AF569" s="21">
        <v>3.5</v>
      </c>
      <c r="AG569" s="21">
        <v>8.99</v>
      </c>
      <c r="AH569" s="15">
        <f t="shared" si="158"/>
        <v>-6.0266666666666663E-2</v>
      </c>
      <c r="AI569" s="15">
        <f t="shared" si="159"/>
        <v>-0.21093333333333328</v>
      </c>
      <c r="AJ569" s="10">
        <v>0.5</v>
      </c>
      <c r="AK569" s="10">
        <v>0.5</v>
      </c>
      <c r="AL569" s="21">
        <v>3.5</v>
      </c>
      <c r="AM569" s="9">
        <f t="shared" si="142"/>
        <v>1.3485</v>
      </c>
      <c r="AN569" s="9">
        <f t="shared" si="143"/>
        <v>0.2697</v>
      </c>
      <c r="AO569" s="9">
        <f t="shared" si="144"/>
        <v>1.798</v>
      </c>
      <c r="AP569" s="9">
        <f t="shared" si="145"/>
        <v>0.17980000000000002</v>
      </c>
      <c r="AQ569" s="9">
        <f t="shared" si="146"/>
        <v>1.798</v>
      </c>
      <c r="AR569" s="9">
        <f t="shared" si="147"/>
        <v>2.2475000000000001</v>
      </c>
      <c r="AS569" s="11">
        <f t="shared" si="148"/>
        <v>-0.60266666666666657</v>
      </c>
      <c r="AT569" s="12">
        <f t="shared" si="149"/>
        <v>-0.90233333333333332</v>
      </c>
    </row>
    <row r="570" spans="1:46" ht="16.5" x14ac:dyDescent="0.4">
      <c r="A570" s="4" t="s">
        <v>2560</v>
      </c>
      <c r="B570" s="4" t="s">
        <v>2710</v>
      </c>
      <c r="C570" s="4" t="s">
        <v>2713</v>
      </c>
      <c r="D570" s="4" t="s">
        <v>2739</v>
      </c>
      <c r="E570" s="4" t="s">
        <v>2898</v>
      </c>
      <c r="F570" s="4" t="s">
        <v>3057</v>
      </c>
      <c r="G570" s="7" t="str">
        <f>VLOOKUP(A570,[1]done!$A:$I,9,0)</f>
        <v>Mole Repellent</v>
      </c>
      <c r="H570" s="7" t="str" cm="1">
        <f t="array" ref="H570">_xlfn.IFS(
OR(ISNUMBER(SEARCH("mouse",E570)),ISNUMBER(SEARCH("rat",E570)),ISNUMBER(SEARCH("mice",E570)),ISNUMBER(SEARCH("rodent",E570))),"Rodent Control",
OR(ISNUMBER(SEARCH("fly",E570)),ISNUMBER(SEARCH("gnat",E570)),ISNUMBER(SEARCH("insect",E570)),ISNUMBER(SEARCH("mosquito",E570))),"Flying Insect Control",
OR(ISNUMBER(SEARCH("roach",E570)),ISNUMBER(SEARCH("ant",E570)),ISNUMBER(SEARCH("spider",E570)),ISNUMBER(SEARCH("cricket",E570)),ISNUMBER(SEARCH("scorpion",E570)),ISNUMBER(SEARCH("centipede",E570)),ISNUMBER(SEARCH("beetle",E570))),"Crawling Insect Control",
OR(ISNUMBER(SEARCH("tree",E570)),ISNUMBER(SEARCH("lantern",E570)),ISNUMBER(SEARCH("garden",E570)),ISNUMBER(SEARCH("plant",E570))),"Garden Pest Control",
OR(ISNUMBER(SEARCH("grass seed",E570)),ISNUMBER(SEARCH("seed mix",E570))),"Grass Seed",
OR(ISNUMBER(SEARCH("lawn food",E570)),ISNUMBER(SEARCH("fertilizer",E570))),"Lawn Fertilizer",
OR(ISNUMBER(SEARCH("patch",E570)),ISNUMBER(SEARCH("repair",E570)),ISNUMBER(SEARCH("thick'r",E570)),ISNUMBER(SEARCH("thick'r lawn",E570)),ISNUMBER(SEARCH("rapid grass",E570))),"Lawn Repair",
OR(ISNUMBER(SEARCH("weed",E570)),ISNUMBER(SEARCH("crabgrass",E570))),"Weed Control",
OR(ISNUMBER(SEARCH("fungicide",E570)),ISNUMBER(SEARCH("moss",E570))),"Disease &amp; Moss Control",
OR(ISNUMBER(SEARCH("plant food",E570)),ISNUMBER(SEARCH("miracid",E570))),"Plant Nutrition",
OR(ISNUMBER(SEARCH("perlite",E570))),"Soil Amendment",
OR(ISNUMBER(SEARCH("spreader",E570)),ISNUMBER(SEARCH("sprayer",E570)),ISNUMBER(SEARCH("mower",E570)),ISNUMBER(SEARCH("sweeper",E570)),ISNUMBER(SEARCH("pruner",E570)),ISNUMBER(SEARCH("trimmer",E570)),ISNUMBER(SEARCH("pole saw",E570))),"Garden Equipment",
TRUE,"Other"
)</f>
        <v>Garden Pest Control</v>
      </c>
      <c r="I570" s="7" t="str" cm="1">
        <f t="array" ref="I570">_xlfn.IFS(
OR(ISNUMBER(SEARCH("glue trap",E570)),ISNUMBER(SEARCH("glue board",E570))),"Glue Traps",
OR(ISNUMBER(SEARCH("snap trap",E570)),ISNUMBER(SEARCH("power-kill",E570)),ISNUMBER(SEARCH("wide pedal",E570)),ISNUMBER(SEARCH("metal pedal",E570))),"Snap Traps",
OR(ISNUMBER(SEARCH("electronic",E570)),ISNUMBER(SEARCH("zapper",E570))),"Electronic Traps",
OR(ISNUMBER(SEARCH("live catch",E570)),ISNUMBER(SEARCH("multi-catch",E570)),ISNUMBER(SEARCH("catch &amp; hold",E570)),ISNUMBER(SEARCH("tin cat",E570))),"Live Catch Traps",
OR(ISNUMBER(SEARCH("bait",E570)),ISNUMBER(SEARCH("poison",E570))),"Bait &amp; Poison",
ISNUMBER(SEARCH("repellent",E570)),"Repellents",
OR(ISNUMBER(SEARCH("fly trap",E570)),ISNUMBER(SEARCH("fly ribbon",E570)),ISNUMBER(SEARCH("fly stick",E570)),ISNUMBER(SEARCH("window fly",E570)),ISNUMBER(SEARCH("fly magnet",E570))),"Fly Traps",
OR(ISNUMBER(SEARCH("uv",E570)),ISNUMBER(SEARCH("fly light",E570)),ISNUMBER(SEARCH("plug-in",E570))),"UV Fly Traps",
ISNUMBER(SEARCH("roach",E570)),"Roach Traps",
ISNUMBER(SEARCH("ant",E570)),"Ant Traps",
ISNUMBER(SEARCH("spider",E570)),"Spider Traps",
ISNUMBER(SEARCH("mosquito",E570)),"Mosquito Traps",
ISNUMBER(SEARCH("beetle",E570)),"Beetle Traps",
ISNUMBER(SEARCH("lantern",E570)),"Lanternfly Control",
OR(ISNUMBER(SEARCH("tree shield",E570)),ISNUMBER(SEARCH("tree banding",E570)),ISNUMBER(SEARCH("insect barrier",E570))),"Tree Barriers",
OR(ISNUMBER(SEARCH("sun &amp; shade",E570)),ISNUMBER(SEARCH("sun and shade",E570))),"Sun &amp; Shade Mix",
ISNUMBER(SEARCH("tall fescue",E570)),"Tall Fescue",
ISNUMBER(SEARCH("bermudagrass",E570)),"Bermudagrass",
ISNUMBER(SEARCH("kentucky",E570)),"Kentucky Bluegrass",
ISNUMBER(SEARCH("zoysia",E570)),"Zoysia",
ISNUMBER(SEARCH("ryegrass",E570)),"Perennial Ryegrass",
ISNUMBER(SEARCH("centipede",E570)),"Centipede Grass",
ISNUMBER(SEARCH("dense shade",E570)),"Dense Shade Mix",
ISNUMBER(SEARCH("southern gold",E570)),"Southern Gold Mix",
ISNUMBER(SEARCH("heat-tolerant blue",E570)),"Heat-Tolerant Blue Mix",
ISNUMBER(SEARCH("high traffic",E570)),"High Traffic Mix",
ISNUMBER(SEARCH("quick fix",E570)),"Quick Fix Mix",
ISNUMBER(SEARCH("starter",E570)),"Starter Fertilizer",
ISNUMBER(SEARCH("weed &amp; feed",E570)),"Weed &amp; Feed",
ISNUMBER(SEARCH("lawn food",E570)),"Lawn Food",
ISNUMBER(SEARCH("triple action",E570)),"Triple Action Fertilizer",
ISNUMBER(SEARCH("green max",E570)),"Green Max Lawn Food",
ISNUMBER(SEARCH("patchmaster",E570)),"PatchMaster Repair",
ISNUMBER(SEARCH("ez seed",E570)),"EZ Seed Repair",
ISNUMBER(SEARCH("rapid grass",E570)),"Rapid Grass",
ISNUMBER(SEARCH("thick'r lawn",E570)),"Thick'R Lawn",
ISNUMBER(SEARCH("fungicide",E570)),"Fungicide",
ISNUMBER(SEARCH("moss",E570)),"Moss Control",
ISNUMBER(SEARCH("perlite",E570)),"Perlite",
ISNUMBER(SEARCH("plant food",E570)),"Plant Food",
ISNUMBER(SEARCH("spreader",E570)),"Spreader",
ISNUMBER(SEARCH("sprayer",E570)),"Sprayer",
ISNUMBER(SEARCH("mower",E570)),"Lawn Mower",
ISNUMBER(SEARCH("sweeper",E570)),"Lawn Sweeper",
OR(ISNUMBER(SEARCH("pruner",E570)),ISNUMBER(SEARCH("trimmer",E570)),ISNUMBER(SEARCH("pole saw",E570))),"Pruning Tools",
TRUE,"Other"
)</f>
        <v>Repellents</v>
      </c>
      <c r="J570" s="7" t="str">
        <f t="shared" si="171"/>
        <v>Garden Pest Control - Repellents</v>
      </c>
      <c r="K570" s="4">
        <v>4000</v>
      </c>
      <c r="L570" s="4">
        <v>3.7</v>
      </c>
      <c r="M570" s="4">
        <v>6295</v>
      </c>
      <c r="N570" s="4" t="s">
        <v>3215</v>
      </c>
      <c r="O570" s="4">
        <f>VLOOKUP(A570,[13]Sheet1!$A:$M,2,0)</f>
        <v>1000</v>
      </c>
      <c r="P570" s="4">
        <f>VLOOKUP(A570,[13]Sheet1!$A:$M,3,0)</f>
        <v>1000</v>
      </c>
      <c r="Q570" s="4">
        <f>VLOOKUP(A570,[13]Sheet1!$A:$M,4,0)</f>
        <v>4000</v>
      </c>
      <c r="R570" s="4">
        <f>VLOOKUP(A570,[13]Sheet1!$A:$M,5,0)</f>
        <v>5000</v>
      </c>
      <c r="S570" s="4">
        <f>VLOOKUP(A570,[13]Sheet1!$A:$M,6,0)</f>
        <v>7000</v>
      </c>
      <c r="T570" s="4">
        <f>VLOOKUP(A570,[13]Sheet1!$A:$M,7,0)</f>
        <v>7000</v>
      </c>
      <c r="U570" s="4">
        <f>VLOOKUP(A570,[13]Sheet1!$A:$M,8,0)</f>
        <v>6000</v>
      </c>
      <c r="V570" s="4">
        <f>VLOOKUP(A570,[13]Sheet1!$A:$M,9,0)</f>
        <v>5000</v>
      </c>
      <c r="W570" s="4">
        <f>VLOOKUP(A570,[13]Sheet1!$A:$M,10,0)</f>
        <v>5000</v>
      </c>
      <c r="X570" s="4">
        <f>VLOOKUP(A570,[13]Sheet1!$A:$M,11,0)</f>
        <v>4000</v>
      </c>
      <c r="Y570" s="4">
        <f>VLOOKUP(A570,[13]Sheet1!$A:$M,12,0)</f>
        <v>3000</v>
      </c>
      <c r="Z570" s="4">
        <f>VLOOKUP(A570,[13]Sheet1!$A:$M,13,0)</f>
        <v>2000</v>
      </c>
      <c r="AA570" s="4">
        <f t="shared" si="176"/>
        <v>50000</v>
      </c>
      <c r="AB570" s="7">
        <f t="shared" si="177"/>
        <v>4167</v>
      </c>
      <c r="AC570" s="15">
        <f t="shared" si="178"/>
        <v>4166.666666666667</v>
      </c>
      <c r="AD570" s="16">
        <f t="shared" si="179"/>
        <v>783500</v>
      </c>
      <c r="AE570" s="16">
        <f t="shared" si="180"/>
        <v>65291.666666666672</v>
      </c>
      <c r="AF570" s="21">
        <v>9.6999999999999993</v>
      </c>
      <c r="AG570" s="21">
        <v>15.67</v>
      </c>
      <c r="AH570" s="15">
        <f t="shared" si="158"/>
        <v>-0.29546666666666671</v>
      </c>
      <c r="AI570" s="15">
        <f t="shared" si="159"/>
        <v>-1.0341333333333333</v>
      </c>
      <c r="AJ570" s="10">
        <v>0.5</v>
      </c>
      <c r="AK570" s="10">
        <v>0.5</v>
      </c>
      <c r="AL570" s="21">
        <v>9.6999999999999993</v>
      </c>
      <c r="AM570" s="9">
        <f t="shared" si="142"/>
        <v>2.3504999999999998</v>
      </c>
      <c r="AN570" s="9">
        <f t="shared" si="143"/>
        <v>0.47009999999999996</v>
      </c>
      <c r="AO570" s="9">
        <f t="shared" si="144"/>
        <v>3.1340000000000003</v>
      </c>
      <c r="AP570" s="9">
        <f t="shared" si="145"/>
        <v>0.31340000000000001</v>
      </c>
      <c r="AQ570" s="9">
        <f t="shared" si="146"/>
        <v>3.1340000000000003</v>
      </c>
      <c r="AR570" s="9">
        <f t="shared" si="147"/>
        <v>3.9175</v>
      </c>
      <c r="AS570" s="11">
        <f t="shared" si="148"/>
        <v>-2.9546666666666668</v>
      </c>
      <c r="AT570" s="12">
        <f t="shared" si="149"/>
        <v>-3.4770000000000003</v>
      </c>
    </row>
    <row r="571" spans="1:46" ht="16.5" x14ac:dyDescent="0.4">
      <c r="A571" s="4" t="s">
        <v>2561</v>
      </c>
      <c r="B571" s="4" t="s">
        <v>2710</v>
      </c>
      <c r="C571" s="4" t="s">
        <v>2712</v>
      </c>
      <c r="D571" s="4" t="s">
        <v>2740</v>
      </c>
      <c r="E571" s="4" t="s">
        <v>2899</v>
      </c>
      <c r="F571" s="4" t="s">
        <v>3058</v>
      </c>
      <c r="G571" s="7" t="str">
        <f>VLOOKUP(A571,[1]done!$A:$I,9,0)</f>
        <v>Insecticide/Fungicide</v>
      </c>
      <c r="H571" s="7" t="str" cm="1">
        <f t="array" ref="H571">_xlfn.IFS(
OR(ISNUMBER(SEARCH("mouse",E571)),ISNUMBER(SEARCH("rat",E571)),ISNUMBER(SEARCH("mice",E571)),ISNUMBER(SEARCH("rodent",E571))),"Rodent Control",
OR(ISNUMBER(SEARCH("fly",E571)),ISNUMBER(SEARCH("gnat",E571)),ISNUMBER(SEARCH("insect",E571)),ISNUMBER(SEARCH("mosquito",E571))),"Flying Insect Control",
OR(ISNUMBER(SEARCH("roach",E571)),ISNUMBER(SEARCH("ant",E571)),ISNUMBER(SEARCH("spider",E571)),ISNUMBER(SEARCH("cricket",E571)),ISNUMBER(SEARCH("scorpion",E571)),ISNUMBER(SEARCH("centipede",E571)),ISNUMBER(SEARCH("beetle",E571))),"Crawling Insect Control",
OR(ISNUMBER(SEARCH("tree",E571)),ISNUMBER(SEARCH("lantern",E571)),ISNUMBER(SEARCH("garden",E571)),ISNUMBER(SEARCH("plant",E571))),"Garden Pest Control",
OR(ISNUMBER(SEARCH("grass seed",E571)),ISNUMBER(SEARCH("seed mix",E571))),"Grass Seed",
OR(ISNUMBER(SEARCH("lawn food",E571)),ISNUMBER(SEARCH("fertilizer",E571))),"Lawn Fertilizer",
OR(ISNUMBER(SEARCH("patch",E571)),ISNUMBER(SEARCH("repair",E571)),ISNUMBER(SEARCH("thick'r",E571)),ISNUMBER(SEARCH("thick'r lawn",E571)),ISNUMBER(SEARCH("rapid grass",E571))),"Lawn Repair",
OR(ISNUMBER(SEARCH("weed",E571)),ISNUMBER(SEARCH("crabgrass",E571))),"Weed Control",
OR(ISNUMBER(SEARCH("fungicide",E571)),ISNUMBER(SEARCH("moss",E571))),"Disease &amp; Moss Control",
OR(ISNUMBER(SEARCH("plant food",E571)),ISNUMBER(SEARCH("miracid",E571))),"Plant Nutrition",
OR(ISNUMBER(SEARCH("perlite",E571))),"Soil Amendment",
OR(ISNUMBER(SEARCH("spreader",E571)),ISNUMBER(SEARCH("sprayer",E571)),ISNUMBER(SEARCH("mower",E571)),ISNUMBER(SEARCH("sweeper",E571)),ISNUMBER(SEARCH("pruner",E571)),ISNUMBER(SEARCH("trimmer",E571)),ISNUMBER(SEARCH("pole saw",E571))),"Garden Equipment",
TRUE,"Other"
)</f>
        <v>Flying Insect Control</v>
      </c>
      <c r="I571" s="7" t="str" cm="1">
        <f t="array" ref="I571">_xlfn.IFS(
OR(ISNUMBER(SEARCH("glue trap",E571)),ISNUMBER(SEARCH("glue board",E571))),"Glue Traps",
OR(ISNUMBER(SEARCH("snap trap",E571)),ISNUMBER(SEARCH("power-kill",E571)),ISNUMBER(SEARCH("wide pedal",E571)),ISNUMBER(SEARCH("metal pedal",E571))),"Snap Traps",
OR(ISNUMBER(SEARCH("electronic",E571)),ISNUMBER(SEARCH("zapper",E571))),"Electronic Traps",
OR(ISNUMBER(SEARCH("live catch",E571)),ISNUMBER(SEARCH("multi-catch",E571)),ISNUMBER(SEARCH("catch &amp; hold",E571)),ISNUMBER(SEARCH("tin cat",E571))),"Live Catch Traps",
OR(ISNUMBER(SEARCH("bait",E571)),ISNUMBER(SEARCH("poison",E571))),"Bait &amp; Poison",
ISNUMBER(SEARCH("repellent",E571)),"Repellents",
OR(ISNUMBER(SEARCH("fly trap",E571)),ISNUMBER(SEARCH("fly ribbon",E571)),ISNUMBER(SEARCH("fly stick",E571)),ISNUMBER(SEARCH("window fly",E571)),ISNUMBER(SEARCH("fly magnet",E571))),"Fly Traps",
OR(ISNUMBER(SEARCH("uv",E571)),ISNUMBER(SEARCH("fly light",E571)),ISNUMBER(SEARCH("plug-in",E571))),"UV Fly Traps",
ISNUMBER(SEARCH("roach",E571)),"Roach Traps",
ISNUMBER(SEARCH("ant",E571)),"Ant Traps",
ISNUMBER(SEARCH("spider",E571)),"Spider Traps",
ISNUMBER(SEARCH("mosquito",E571)),"Mosquito Traps",
ISNUMBER(SEARCH("beetle",E571)),"Beetle Traps",
ISNUMBER(SEARCH("lantern",E571)),"Lanternfly Control",
OR(ISNUMBER(SEARCH("tree shield",E571)),ISNUMBER(SEARCH("tree banding",E571)),ISNUMBER(SEARCH("insect barrier",E571))),"Tree Barriers",
OR(ISNUMBER(SEARCH("sun &amp; shade",E571)),ISNUMBER(SEARCH("sun and shade",E571))),"Sun &amp; Shade Mix",
ISNUMBER(SEARCH("tall fescue",E571)),"Tall Fescue",
ISNUMBER(SEARCH("bermudagrass",E571)),"Bermudagrass",
ISNUMBER(SEARCH("kentucky",E571)),"Kentucky Bluegrass",
ISNUMBER(SEARCH("zoysia",E571)),"Zoysia",
ISNUMBER(SEARCH("ryegrass",E571)),"Perennial Ryegrass",
ISNUMBER(SEARCH("centipede",E571)),"Centipede Grass",
ISNUMBER(SEARCH("dense shade",E571)),"Dense Shade Mix",
ISNUMBER(SEARCH("southern gold",E571)),"Southern Gold Mix",
ISNUMBER(SEARCH("heat-tolerant blue",E571)),"Heat-Tolerant Blue Mix",
ISNUMBER(SEARCH("high traffic",E571)),"High Traffic Mix",
ISNUMBER(SEARCH("quick fix",E571)),"Quick Fix Mix",
ISNUMBER(SEARCH("starter",E571)),"Starter Fertilizer",
ISNUMBER(SEARCH("weed &amp; feed",E571)),"Weed &amp; Feed",
ISNUMBER(SEARCH("lawn food",E571)),"Lawn Food",
ISNUMBER(SEARCH("triple action",E571)),"Triple Action Fertilizer",
ISNUMBER(SEARCH("green max",E571)),"Green Max Lawn Food",
ISNUMBER(SEARCH("patchmaster",E571)),"PatchMaster Repair",
ISNUMBER(SEARCH("ez seed",E571)),"EZ Seed Repair",
ISNUMBER(SEARCH("rapid grass",E571)),"Rapid Grass",
ISNUMBER(SEARCH("thick'r lawn",E571)),"Thick'R Lawn",
ISNUMBER(SEARCH("fungicide",E571)),"Fungicide",
ISNUMBER(SEARCH("moss",E571)),"Moss Control",
ISNUMBER(SEARCH("perlite",E571)),"Perlite",
ISNUMBER(SEARCH("plant food",E571)),"Plant Food",
ISNUMBER(SEARCH("spreader",E571)),"Spreader",
ISNUMBER(SEARCH("sprayer",E571)),"Sprayer",
ISNUMBER(SEARCH("mower",E571)),"Lawn Mower",
ISNUMBER(SEARCH("sweeper",E571)),"Lawn Sweeper",
OR(ISNUMBER(SEARCH("pruner",E571)),ISNUMBER(SEARCH("trimmer",E571)),ISNUMBER(SEARCH("pole saw",E571))),"Pruning Tools",
TRUE,"Other"
)</f>
        <v>Ant Traps</v>
      </c>
      <c r="J571" s="7" t="str">
        <f t="shared" si="171"/>
        <v>Flying Insect Control - Ant Traps</v>
      </c>
      <c r="K571" s="4">
        <v>4000</v>
      </c>
      <c r="L571" s="4">
        <v>4.5</v>
      </c>
      <c r="M571" s="4">
        <v>2138</v>
      </c>
      <c r="N571" s="4" t="s">
        <v>1400</v>
      </c>
      <c r="O571" s="4">
        <f>VLOOKUP(A571,[13]Sheet1!$A:$M,2,0)</f>
        <v>1000</v>
      </c>
      <c r="P571" s="4">
        <f>VLOOKUP(A571,[13]Sheet1!$A:$M,3,0)</f>
        <v>1000</v>
      </c>
      <c r="Q571" s="4">
        <f>VLOOKUP(A571,[13]Sheet1!$A:$M,4,0)</f>
        <v>1000</v>
      </c>
      <c r="R571" s="4">
        <f>VLOOKUP(A571,[13]Sheet1!$A:$M,5,0)</f>
        <v>3000</v>
      </c>
      <c r="S571" s="4">
        <f>VLOOKUP(A571,[13]Sheet1!$A:$M,6,0)</f>
        <v>4000</v>
      </c>
      <c r="T571" s="4">
        <f>VLOOKUP(A571,[13]Sheet1!$A:$M,7,0)</f>
        <v>7000</v>
      </c>
      <c r="U571" s="4">
        <f>VLOOKUP(A571,[13]Sheet1!$A:$M,8,0)</f>
        <v>10000</v>
      </c>
      <c r="V571" s="4">
        <f>VLOOKUP(A571,[13]Sheet1!$A:$M,9,0)</f>
        <v>6000</v>
      </c>
      <c r="W571" s="4">
        <f>VLOOKUP(A571,[13]Sheet1!$A:$M,10,0)</f>
        <v>4000</v>
      </c>
      <c r="X571" s="4">
        <f>VLOOKUP(A571,[13]Sheet1!$A:$M,11,0)</f>
        <v>3000</v>
      </c>
      <c r="Y571" s="4">
        <f>VLOOKUP(A571,[13]Sheet1!$A:$M,12,0)</f>
        <v>2000</v>
      </c>
      <c r="Z571" s="4">
        <f>VLOOKUP(A571,[13]Sheet1!$A:$M,13,0)</f>
        <v>1000</v>
      </c>
      <c r="AA571" s="4">
        <f t="shared" si="176"/>
        <v>43000</v>
      </c>
      <c r="AB571" s="7">
        <f t="shared" si="177"/>
        <v>3583</v>
      </c>
      <c r="AC571" s="15">
        <f t="shared" si="178"/>
        <v>3583.3333333333335</v>
      </c>
      <c r="AD571" s="16">
        <f t="shared" si="179"/>
        <v>471710</v>
      </c>
      <c r="AE571" s="16">
        <f t="shared" si="180"/>
        <v>39309.166666666672</v>
      </c>
      <c r="AF571" s="21">
        <v>6.31</v>
      </c>
      <c r="AG571" s="21">
        <v>10.97</v>
      </c>
      <c r="AH571" s="15">
        <f t="shared" si="158"/>
        <v>-0.19480000000000003</v>
      </c>
      <c r="AI571" s="15">
        <f t="shared" si="159"/>
        <v>-0.68180000000000007</v>
      </c>
      <c r="AJ571" s="10">
        <v>0.5</v>
      </c>
      <c r="AK571" s="10">
        <v>0.5</v>
      </c>
      <c r="AL571" s="21">
        <v>6.31</v>
      </c>
      <c r="AM571" s="9">
        <f t="shared" si="142"/>
        <v>1.6455</v>
      </c>
      <c r="AN571" s="9">
        <f t="shared" si="143"/>
        <v>0.3291</v>
      </c>
      <c r="AO571" s="9">
        <f t="shared" si="144"/>
        <v>2.1940000000000004</v>
      </c>
      <c r="AP571" s="9">
        <f t="shared" si="145"/>
        <v>0.21940000000000001</v>
      </c>
      <c r="AQ571" s="9">
        <f t="shared" si="146"/>
        <v>2.1940000000000004</v>
      </c>
      <c r="AR571" s="9">
        <f t="shared" si="147"/>
        <v>2.7425000000000002</v>
      </c>
      <c r="AS571" s="11">
        <f t="shared" si="148"/>
        <v>-1.9480000000000002</v>
      </c>
      <c r="AT571" s="12">
        <f t="shared" si="149"/>
        <v>-2.3136666666666668</v>
      </c>
    </row>
    <row r="572" spans="1:46" ht="16.5" x14ac:dyDescent="0.4">
      <c r="A572" s="4" t="s">
        <v>2562</v>
      </c>
      <c r="B572" s="4" t="s">
        <v>2710</v>
      </c>
      <c r="C572" s="4" t="s">
        <v>2714</v>
      </c>
      <c r="D572" s="4" t="s">
        <v>2741</v>
      </c>
      <c r="E572" s="4" t="s">
        <v>2900</v>
      </c>
      <c r="F572" s="4" t="s">
        <v>3059</v>
      </c>
      <c r="G572" s="7" t="str">
        <f>VLOOKUP(A572,[1]done!$A:$I,9,0)</f>
        <v>Deer &amp; Rabbit control</v>
      </c>
      <c r="H572" s="7" t="str" cm="1">
        <f t="array" ref="H572">_xlfn.IFS(
OR(ISNUMBER(SEARCH("mouse",E572)),ISNUMBER(SEARCH("rat",E572)),ISNUMBER(SEARCH("mice",E572)),ISNUMBER(SEARCH("rodent",E572))),"Rodent Control",
OR(ISNUMBER(SEARCH("fly",E572)),ISNUMBER(SEARCH("gnat",E572)),ISNUMBER(SEARCH("insect",E572)),ISNUMBER(SEARCH("mosquito",E572))),"Flying Insect Control",
OR(ISNUMBER(SEARCH("roach",E572)),ISNUMBER(SEARCH("ant",E572)),ISNUMBER(SEARCH("spider",E572)),ISNUMBER(SEARCH("cricket",E572)),ISNUMBER(SEARCH("scorpion",E572)),ISNUMBER(SEARCH("centipede",E572)),ISNUMBER(SEARCH("beetle",E572))),"Crawling Insect Control",
OR(ISNUMBER(SEARCH("tree",E572)),ISNUMBER(SEARCH("lantern",E572)),ISNUMBER(SEARCH("garden",E572)),ISNUMBER(SEARCH("plant",E572))),"Garden Pest Control",
OR(ISNUMBER(SEARCH("grass seed",E572)),ISNUMBER(SEARCH("seed mix",E572))),"Grass Seed",
OR(ISNUMBER(SEARCH("lawn food",E572)),ISNUMBER(SEARCH("fertilizer",E572))),"Lawn Fertilizer",
OR(ISNUMBER(SEARCH("patch",E572)),ISNUMBER(SEARCH("repair",E572)),ISNUMBER(SEARCH("thick'r",E572)),ISNUMBER(SEARCH("thick'r lawn",E572)),ISNUMBER(SEARCH("rapid grass",E572))),"Lawn Repair",
OR(ISNUMBER(SEARCH("weed",E572)),ISNUMBER(SEARCH("crabgrass",E572))),"Weed Control",
OR(ISNUMBER(SEARCH("fungicide",E572)),ISNUMBER(SEARCH("moss",E572))),"Disease &amp; Moss Control",
OR(ISNUMBER(SEARCH("plant food",E572)),ISNUMBER(SEARCH("miracid",E572))),"Plant Nutrition",
OR(ISNUMBER(SEARCH("perlite",E572))),"Soil Amendment",
OR(ISNUMBER(SEARCH("spreader",E572)),ISNUMBER(SEARCH("sprayer",E572)),ISNUMBER(SEARCH("mower",E572)),ISNUMBER(SEARCH("sweeper",E572)),ISNUMBER(SEARCH("pruner",E572)),ISNUMBER(SEARCH("trimmer",E572)),ISNUMBER(SEARCH("pole saw",E572))),"Garden Equipment",
TRUE,"Other"
)</f>
        <v>Garden Pest Control</v>
      </c>
      <c r="I572" s="7" t="str" cm="1">
        <f t="array" ref="I572">_xlfn.IFS(
OR(ISNUMBER(SEARCH("glue trap",E572)),ISNUMBER(SEARCH("glue board",E572))),"Glue Traps",
OR(ISNUMBER(SEARCH("snap trap",E572)),ISNUMBER(SEARCH("power-kill",E572)),ISNUMBER(SEARCH("wide pedal",E572)),ISNUMBER(SEARCH("metal pedal",E572))),"Snap Traps",
OR(ISNUMBER(SEARCH("electronic",E572)),ISNUMBER(SEARCH("zapper",E572))),"Electronic Traps",
OR(ISNUMBER(SEARCH("live catch",E572)),ISNUMBER(SEARCH("multi-catch",E572)),ISNUMBER(SEARCH("catch &amp; hold",E572)),ISNUMBER(SEARCH("tin cat",E572))),"Live Catch Traps",
OR(ISNUMBER(SEARCH("bait",E572)),ISNUMBER(SEARCH("poison",E572))),"Bait &amp; Poison",
ISNUMBER(SEARCH("repellent",E572)),"Repellents",
OR(ISNUMBER(SEARCH("fly trap",E572)),ISNUMBER(SEARCH("fly ribbon",E572)),ISNUMBER(SEARCH("fly stick",E572)),ISNUMBER(SEARCH("window fly",E572)),ISNUMBER(SEARCH("fly magnet",E572))),"Fly Traps",
OR(ISNUMBER(SEARCH("uv",E572)),ISNUMBER(SEARCH("fly light",E572)),ISNUMBER(SEARCH("plug-in",E572))),"UV Fly Traps",
ISNUMBER(SEARCH("roach",E572)),"Roach Traps",
ISNUMBER(SEARCH("ant",E572)),"Ant Traps",
ISNUMBER(SEARCH("spider",E572)),"Spider Traps",
ISNUMBER(SEARCH("mosquito",E572)),"Mosquito Traps",
ISNUMBER(SEARCH("beetle",E572)),"Beetle Traps",
ISNUMBER(SEARCH("lantern",E572)),"Lanternfly Control",
OR(ISNUMBER(SEARCH("tree shield",E572)),ISNUMBER(SEARCH("tree banding",E572)),ISNUMBER(SEARCH("insect barrier",E572))),"Tree Barriers",
OR(ISNUMBER(SEARCH("sun &amp; shade",E572)),ISNUMBER(SEARCH("sun and shade",E572))),"Sun &amp; Shade Mix",
ISNUMBER(SEARCH("tall fescue",E572)),"Tall Fescue",
ISNUMBER(SEARCH("bermudagrass",E572)),"Bermudagrass",
ISNUMBER(SEARCH("kentucky",E572)),"Kentucky Bluegrass",
ISNUMBER(SEARCH("zoysia",E572)),"Zoysia",
ISNUMBER(SEARCH("ryegrass",E572)),"Perennial Ryegrass",
ISNUMBER(SEARCH("centipede",E572)),"Centipede Grass",
ISNUMBER(SEARCH("dense shade",E572)),"Dense Shade Mix",
ISNUMBER(SEARCH("southern gold",E572)),"Southern Gold Mix",
ISNUMBER(SEARCH("heat-tolerant blue",E572)),"Heat-Tolerant Blue Mix",
ISNUMBER(SEARCH("high traffic",E572)),"High Traffic Mix",
ISNUMBER(SEARCH("quick fix",E572)),"Quick Fix Mix",
ISNUMBER(SEARCH("starter",E572)),"Starter Fertilizer",
ISNUMBER(SEARCH("weed &amp; feed",E572)),"Weed &amp; Feed",
ISNUMBER(SEARCH("lawn food",E572)),"Lawn Food",
ISNUMBER(SEARCH("triple action",E572)),"Triple Action Fertilizer",
ISNUMBER(SEARCH("green max",E572)),"Green Max Lawn Food",
ISNUMBER(SEARCH("patchmaster",E572)),"PatchMaster Repair",
ISNUMBER(SEARCH("ez seed",E572)),"EZ Seed Repair",
ISNUMBER(SEARCH("rapid grass",E572)),"Rapid Grass",
ISNUMBER(SEARCH("thick'r lawn",E572)),"Thick'R Lawn",
ISNUMBER(SEARCH("fungicide",E572)),"Fungicide",
ISNUMBER(SEARCH("moss",E572)),"Moss Control",
ISNUMBER(SEARCH("perlite",E572)),"Perlite",
ISNUMBER(SEARCH("plant food",E572)),"Plant Food",
ISNUMBER(SEARCH("spreader",E572)),"Spreader",
ISNUMBER(SEARCH("sprayer",E572)),"Sprayer",
ISNUMBER(SEARCH("mower",E572)),"Lawn Mower",
ISNUMBER(SEARCH("sweeper",E572)),"Lawn Sweeper",
OR(ISNUMBER(SEARCH("pruner",E572)),ISNUMBER(SEARCH("trimmer",E572)),ISNUMBER(SEARCH("pole saw",E572))),"Pruning Tools",
TRUE,"Other"
)</f>
        <v>Repellents</v>
      </c>
      <c r="J572" s="7" t="str">
        <f t="shared" si="171"/>
        <v>Garden Pest Control - Repellents</v>
      </c>
      <c r="K572" s="4">
        <v>4000</v>
      </c>
      <c r="L572" s="4">
        <v>3.8</v>
      </c>
      <c r="M572" s="4">
        <v>7407</v>
      </c>
      <c r="N572" s="4" t="s">
        <v>3216</v>
      </c>
      <c r="O572" s="4">
        <f>VLOOKUP(A572,[13]Sheet1!$A:$M,2,0)</f>
        <v>1000</v>
      </c>
      <c r="P572" s="4">
        <f>VLOOKUP(A572,[13]Sheet1!$A:$M,3,0)</f>
        <v>1000</v>
      </c>
      <c r="Q572" s="4">
        <f>VLOOKUP(A572,[13]Sheet1!$A:$M,4,0)</f>
        <v>2000</v>
      </c>
      <c r="R572" s="4">
        <f>VLOOKUP(A572,[13]Sheet1!$A:$M,5,0)</f>
        <v>5000</v>
      </c>
      <c r="S572" s="4">
        <f>VLOOKUP(A572,[13]Sheet1!$A:$M,6,0)</f>
        <v>7000</v>
      </c>
      <c r="T572" s="4">
        <f>VLOOKUP(A572,[13]Sheet1!$A:$M,7,0)</f>
        <v>10000</v>
      </c>
      <c r="U572" s="4">
        <f>VLOOKUP(A572,[13]Sheet1!$A:$M,8,0)</f>
        <v>8000</v>
      </c>
      <c r="V572" s="4">
        <f>VLOOKUP(A572,[13]Sheet1!$A:$M,9,0)</f>
        <v>5000</v>
      </c>
      <c r="W572" s="4">
        <f>VLOOKUP(A572,[13]Sheet1!$A:$M,10,0)</f>
        <v>4000</v>
      </c>
      <c r="X572" s="4">
        <f>VLOOKUP(A572,[13]Sheet1!$A:$M,11,0)</f>
        <v>3000</v>
      </c>
      <c r="Y572" s="4">
        <f>VLOOKUP(A572,[13]Sheet1!$A:$M,12,0)</f>
        <v>2000</v>
      </c>
      <c r="Z572" s="4">
        <f>VLOOKUP(A572,[13]Sheet1!$A:$M,13,0)</f>
        <v>1000</v>
      </c>
      <c r="AA572" s="4">
        <f t="shared" si="176"/>
        <v>49000</v>
      </c>
      <c r="AB572" s="7">
        <f t="shared" si="177"/>
        <v>4083</v>
      </c>
      <c r="AC572" s="15">
        <f t="shared" si="178"/>
        <v>4083.3333333333335</v>
      </c>
      <c r="AD572" s="16">
        <f t="shared" si="179"/>
        <v>674730</v>
      </c>
      <c r="AE572" s="16">
        <f t="shared" si="180"/>
        <v>56227.5</v>
      </c>
      <c r="AF572" s="21">
        <v>6.31</v>
      </c>
      <c r="AG572" s="21">
        <v>13.77</v>
      </c>
      <c r="AH572" s="15">
        <f t="shared" si="158"/>
        <v>-0.12013333333333341</v>
      </c>
      <c r="AI572" s="15">
        <f t="shared" si="159"/>
        <v>-0.42046666666666688</v>
      </c>
      <c r="AJ572" s="10">
        <v>0.5</v>
      </c>
      <c r="AK572" s="10">
        <v>0.5</v>
      </c>
      <c r="AL572" s="21">
        <v>6.31</v>
      </c>
      <c r="AM572" s="9">
        <f t="shared" si="142"/>
        <v>2.0654999999999997</v>
      </c>
      <c r="AN572" s="9">
        <f t="shared" si="143"/>
        <v>0.41309999999999997</v>
      </c>
      <c r="AO572" s="9">
        <f t="shared" si="144"/>
        <v>2.754</v>
      </c>
      <c r="AP572" s="9">
        <f t="shared" si="145"/>
        <v>0.27539999999999998</v>
      </c>
      <c r="AQ572" s="9">
        <f t="shared" si="146"/>
        <v>2.754</v>
      </c>
      <c r="AR572" s="9">
        <f t="shared" si="147"/>
        <v>3.4424999999999999</v>
      </c>
      <c r="AS572" s="11">
        <f t="shared" si="148"/>
        <v>-1.201333333333334</v>
      </c>
      <c r="AT572" s="12">
        <f t="shared" si="149"/>
        <v>-1.6603333333333339</v>
      </c>
    </row>
    <row r="573" spans="1:46" ht="16.5" x14ac:dyDescent="0.4">
      <c r="A573" s="4" t="s">
        <v>2563</v>
      </c>
      <c r="B573" s="4" t="s">
        <v>2710</v>
      </c>
      <c r="C573" s="4" t="s">
        <v>2715</v>
      </c>
      <c r="D573" s="4" t="s">
        <v>2742</v>
      </c>
      <c r="E573" s="4" t="s">
        <v>2901</v>
      </c>
      <c r="F573" s="4" t="s">
        <v>3060</v>
      </c>
      <c r="G573" s="7" t="str">
        <f>VLOOKUP(A573,[1]done!$A:$I,9,0)</f>
        <v>Oil based pest repellent</v>
      </c>
      <c r="H573" s="7" t="str" cm="1">
        <f t="array" ref="H573">_xlfn.IFS(
OR(ISNUMBER(SEARCH("mouse",E573)),ISNUMBER(SEARCH("rat",E573)),ISNUMBER(SEARCH("mice",E573)),ISNUMBER(SEARCH("rodent",E573))),"Rodent Control",
OR(ISNUMBER(SEARCH("fly",E573)),ISNUMBER(SEARCH("gnat",E573)),ISNUMBER(SEARCH("insect",E573)),ISNUMBER(SEARCH("mosquito",E573))),"Flying Insect Control",
OR(ISNUMBER(SEARCH("roach",E573)),ISNUMBER(SEARCH("ant",E573)),ISNUMBER(SEARCH("spider",E573)),ISNUMBER(SEARCH("cricket",E573)),ISNUMBER(SEARCH("scorpion",E573)),ISNUMBER(SEARCH("centipede",E573)),ISNUMBER(SEARCH("beetle",E573))),"Crawling Insect Control",
OR(ISNUMBER(SEARCH("tree",E573)),ISNUMBER(SEARCH("lantern",E573)),ISNUMBER(SEARCH("garden",E573)),ISNUMBER(SEARCH("plant",E573))),"Garden Pest Control",
OR(ISNUMBER(SEARCH("grass seed",E573)),ISNUMBER(SEARCH("seed mix",E573))),"Grass Seed",
OR(ISNUMBER(SEARCH("lawn food",E573)),ISNUMBER(SEARCH("fertilizer",E573))),"Lawn Fertilizer",
OR(ISNUMBER(SEARCH("patch",E573)),ISNUMBER(SEARCH("repair",E573)),ISNUMBER(SEARCH("thick'r",E573)),ISNUMBER(SEARCH("thick'r lawn",E573)),ISNUMBER(SEARCH("rapid grass",E573))),"Lawn Repair",
OR(ISNUMBER(SEARCH("weed",E573)),ISNUMBER(SEARCH("crabgrass",E573))),"Weed Control",
OR(ISNUMBER(SEARCH("fungicide",E573)),ISNUMBER(SEARCH("moss",E573))),"Disease &amp; Moss Control",
OR(ISNUMBER(SEARCH("plant food",E573)),ISNUMBER(SEARCH("miracid",E573))),"Plant Nutrition",
OR(ISNUMBER(SEARCH("perlite",E573))),"Soil Amendment",
OR(ISNUMBER(SEARCH("spreader",E573)),ISNUMBER(SEARCH("sprayer",E573)),ISNUMBER(SEARCH("mower",E573)),ISNUMBER(SEARCH("sweeper",E573)),ISNUMBER(SEARCH("pruner",E573)),ISNUMBER(SEARCH("trimmer",E573)),ISNUMBER(SEARCH("pole saw",E573))),"Garden Equipment",
TRUE,"Other"
)</f>
        <v>Rodent Control</v>
      </c>
      <c r="I573" s="7" t="str" cm="1">
        <f t="array" ref="I573">_xlfn.IFS(
OR(ISNUMBER(SEARCH("glue trap",E573)),ISNUMBER(SEARCH("glue board",E573))),"Glue Traps",
OR(ISNUMBER(SEARCH("snap trap",E573)),ISNUMBER(SEARCH("power-kill",E573)),ISNUMBER(SEARCH("wide pedal",E573)),ISNUMBER(SEARCH("metal pedal",E573))),"Snap Traps",
OR(ISNUMBER(SEARCH("electronic",E573)),ISNUMBER(SEARCH("zapper",E573))),"Electronic Traps",
OR(ISNUMBER(SEARCH("live catch",E573)),ISNUMBER(SEARCH("multi-catch",E573)),ISNUMBER(SEARCH("catch &amp; hold",E573)),ISNUMBER(SEARCH("tin cat",E573))),"Live Catch Traps",
OR(ISNUMBER(SEARCH("bait",E573)),ISNUMBER(SEARCH("poison",E573))),"Bait &amp; Poison",
ISNUMBER(SEARCH("repellent",E573)),"Repellents",
OR(ISNUMBER(SEARCH("fly trap",E573)),ISNUMBER(SEARCH("fly ribbon",E573)),ISNUMBER(SEARCH("fly stick",E573)),ISNUMBER(SEARCH("window fly",E573)),ISNUMBER(SEARCH("fly magnet",E573))),"Fly Traps",
OR(ISNUMBER(SEARCH("uv",E573)),ISNUMBER(SEARCH("fly light",E573)),ISNUMBER(SEARCH("plug-in",E573))),"UV Fly Traps",
ISNUMBER(SEARCH("roach",E573)),"Roach Traps",
ISNUMBER(SEARCH("ant",E573)),"Ant Traps",
ISNUMBER(SEARCH("spider",E573)),"Spider Traps",
ISNUMBER(SEARCH("mosquito",E573)),"Mosquito Traps",
ISNUMBER(SEARCH("beetle",E573)),"Beetle Traps",
ISNUMBER(SEARCH("lantern",E573)),"Lanternfly Control",
OR(ISNUMBER(SEARCH("tree shield",E573)),ISNUMBER(SEARCH("tree banding",E573)),ISNUMBER(SEARCH("insect barrier",E573))),"Tree Barriers",
OR(ISNUMBER(SEARCH("sun &amp; shade",E573)),ISNUMBER(SEARCH("sun and shade",E573))),"Sun &amp; Shade Mix",
ISNUMBER(SEARCH("tall fescue",E573)),"Tall Fescue",
ISNUMBER(SEARCH("bermudagrass",E573)),"Bermudagrass",
ISNUMBER(SEARCH("kentucky",E573)),"Kentucky Bluegrass",
ISNUMBER(SEARCH("zoysia",E573)),"Zoysia",
ISNUMBER(SEARCH("ryegrass",E573)),"Perennial Ryegrass",
ISNUMBER(SEARCH("centipede",E573)),"Centipede Grass",
ISNUMBER(SEARCH("dense shade",E573)),"Dense Shade Mix",
ISNUMBER(SEARCH("southern gold",E573)),"Southern Gold Mix",
ISNUMBER(SEARCH("heat-tolerant blue",E573)),"Heat-Tolerant Blue Mix",
ISNUMBER(SEARCH("high traffic",E573)),"High Traffic Mix",
ISNUMBER(SEARCH("quick fix",E573)),"Quick Fix Mix",
ISNUMBER(SEARCH("starter",E573)),"Starter Fertilizer",
ISNUMBER(SEARCH("weed &amp; feed",E573)),"Weed &amp; Feed",
ISNUMBER(SEARCH("lawn food",E573)),"Lawn Food",
ISNUMBER(SEARCH("triple action",E573)),"Triple Action Fertilizer",
ISNUMBER(SEARCH("green max",E573)),"Green Max Lawn Food",
ISNUMBER(SEARCH("patchmaster",E573)),"PatchMaster Repair",
ISNUMBER(SEARCH("ez seed",E573)),"EZ Seed Repair",
ISNUMBER(SEARCH("rapid grass",E573)),"Rapid Grass",
ISNUMBER(SEARCH("thick'r lawn",E573)),"Thick'R Lawn",
ISNUMBER(SEARCH("fungicide",E573)),"Fungicide",
ISNUMBER(SEARCH("moss",E573)),"Moss Control",
ISNUMBER(SEARCH("perlite",E573)),"Perlite",
ISNUMBER(SEARCH("plant food",E573)),"Plant Food",
ISNUMBER(SEARCH("spreader",E573)),"Spreader",
ISNUMBER(SEARCH("sprayer",E573)),"Sprayer",
ISNUMBER(SEARCH("mower",E573)),"Lawn Mower",
ISNUMBER(SEARCH("sweeper",E573)),"Lawn Sweeper",
OR(ISNUMBER(SEARCH("pruner",E573)),ISNUMBER(SEARCH("trimmer",E573)),ISNUMBER(SEARCH("pole saw",E573))),"Pruning Tools",
TRUE,"Other"
)</f>
        <v>Fungicide</v>
      </c>
      <c r="J573" s="7" t="str">
        <f t="shared" si="171"/>
        <v>Rodent Control - Fungicide</v>
      </c>
      <c r="K573" s="4">
        <v>3000</v>
      </c>
      <c r="L573" s="4">
        <v>4.5999999999999996</v>
      </c>
      <c r="M573" s="4">
        <v>5259</v>
      </c>
      <c r="N573" s="4" t="s">
        <v>3217</v>
      </c>
      <c r="O573" s="4">
        <f>VLOOKUP(A573,[13]Sheet1!$A:$M,2,0)</f>
        <v>1000</v>
      </c>
      <c r="P573" s="4">
        <f>VLOOKUP(A573,[13]Sheet1!$A:$M,3,0)</f>
        <v>1000</v>
      </c>
      <c r="Q573" s="4">
        <f>VLOOKUP(A573,[13]Sheet1!$A:$M,4,0)</f>
        <v>2000</v>
      </c>
      <c r="R573" s="4">
        <f>VLOOKUP(A573,[13]Sheet1!$A:$M,5,0)</f>
        <v>4000</v>
      </c>
      <c r="S573" s="4">
        <f>VLOOKUP(A573,[13]Sheet1!$A:$M,6,0)</f>
        <v>6000</v>
      </c>
      <c r="T573" s="4">
        <f>VLOOKUP(A573,[13]Sheet1!$A:$M,7,0)</f>
        <v>9000</v>
      </c>
      <c r="U573" s="4">
        <f>VLOOKUP(A573,[13]Sheet1!$A:$M,8,0)</f>
        <v>9600</v>
      </c>
      <c r="V573" s="4">
        <f>VLOOKUP(A573,[13]Sheet1!$A:$M,9,0)</f>
        <v>5000</v>
      </c>
      <c r="W573" s="4">
        <f>VLOOKUP(A573,[13]Sheet1!$A:$M,10,0)</f>
        <v>3000</v>
      </c>
      <c r="X573" s="4">
        <f>VLOOKUP(A573,[13]Sheet1!$A:$M,11,0)</f>
        <v>2000</v>
      </c>
      <c r="Y573" s="4">
        <f>VLOOKUP(A573,[13]Sheet1!$A:$M,12,0)</f>
        <v>1000</v>
      </c>
      <c r="Z573" s="4">
        <f>VLOOKUP(A573,[13]Sheet1!$A:$M,13,0)</f>
        <v>1000</v>
      </c>
      <c r="AA573" s="4">
        <f t="shared" si="176"/>
        <v>44600</v>
      </c>
      <c r="AB573" s="7">
        <f t="shared" si="177"/>
        <v>3717</v>
      </c>
      <c r="AC573" s="15">
        <f t="shared" si="178"/>
        <v>3716.6666666666665</v>
      </c>
      <c r="AD573" s="16">
        <f t="shared" si="179"/>
        <v>842048</v>
      </c>
      <c r="AE573" s="16">
        <f t="shared" si="180"/>
        <v>70170.666666666657</v>
      </c>
      <c r="AF573" s="21">
        <v>5.22</v>
      </c>
      <c r="AG573" s="21">
        <v>18.88</v>
      </c>
      <c r="AH573" s="15">
        <f t="shared" si="158"/>
        <v>8.879999999999999E-2</v>
      </c>
      <c r="AI573" s="15">
        <f t="shared" si="159"/>
        <v>0.31079999999999997</v>
      </c>
      <c r="AJ573" s="10">
        <v>0.5</v>
      </c>
      <c r="AK573" s="10">
        <v>0.5</v>
      </c>
      <c r="AL573" s="21">
        <v>5.22</v>
      </c>
      <c r="AM573" s="9">
        <f t="shared" si="142"/>
        <v>2.8319999999999999</v>
      </c>
      <c r="AN573" s="9">
        <f t="shared" si="143"/>
        <v>0.5663999999999999</v>
      </c>
      <c r="AO573" s="9">
        <f t="shared" si="144"/>
        <v>3.7759999999999998</v>
      </c>
      <c r="AP573" s="9">
        <f t="shared" si="145"/>
        <v>0.37759999999999999</v>
      </c>
      <c r="AQ573" s="9">
        <f t="shared" si="146"/>
        <v>3.7759999999999998</v>
      </c>
      <c r="AR573" s="9">
        <f t="shared" si="147"/>
        <v>4.72</v>
      </c>
      <c r="AS573" s="11">
        <f t="shared" si="148"/>
        <v>0.8879999999999999</v>
      </c>
      <c r="AT573" s="12">
        <f t="shared" si="149"/>
        <v>0.2586666666666666</v>
      </c>
    </row>
    <row r="574" spans="1:46" ht="16.5" x14ac:dyDescent="0.4">
      <c r="A574" s="4" t="s">
        <v>2564</v>
      </c>
      <c r="B574" s="4" t="s">
        <v>2710</v>
      </c>
      <c r="C574" s="4" t="s">
        <v>2712</v>
      </c>
      <c r="D574" s="4" t="s">
        <v>2743</v>
      </c>
      <c r="E574" s="4" t="s">
        <v>2902</v>
      </c>
      <c r="F574" s="4" t="s">
        <v>3061</v>
      </c>
      <c r="G574" s="7" t="str">
        <f>VLOOKUP(A574,[1]done!$A:$I,9,0)</f>
        <v>Insecticide/Fungicide</v>
      </c>
      <c r="H574" s="7" t="str" cm="1">
        <f t="array" ref="H574">_xlfn.IFS(
OR(ISNUMBER(SEARCH("mouse",E574)),ISNUMBER(SEARCH("rat",E574)),ISNUMBER(SEARCH("mice",E574)),ISNUMBER(SEARCH("rodent",E574))),"Rodent Control",
OR(ISNUMBER(SEARCH("fly",E574)),ISNUMBER(SEARCH("gnat",E574)),ISNUMBER(SEARCH("insect",E574)),ISNUMBER(SEARCH("mosquito",E574))),"Flying Insect Control",
OR(ISNUMBER(SEARCH("roach",E574)),ISNUMBER(SEARCH("ant",E574)),ISNUMBER(SEARCH("spider",E574)),ISNUMBER(SEARCH("cricket",E574)),ISNUMBER(SEARCH("scorpion",E574)),ISNUMBER(SEARCH("centipede",E574)),ISNUMBER(SEARCH("beetle",E574))),"Crawling Insect Control",
OR(ISNUMBER(SEARCH("tree",E574)),ISNUMBER(SEARCH("lantern",E574)),ISNUMBER(SEARCH("garden",E574)),ISNUMBER(SEARCH("plant",E574))),"Garden Pest Control",
OR(ISNUMBER(SEARCH("grass seed",E574)),ISNUMBER(SEARCH("seed mix",E574))),"Grass Seed",
OR(ISNUMBER(SEARCH("lawn food",E574)),ISNUMBER(SEARCH("fertilizer",E574))),"Lawn Fertilizer",
OR(ISNUMBER(SEARCH("patch",E574)),ISNUMBER(SEARCH("repair",E574)),ISNUMBER(SEARCH("thick'r",E574)),ISNUMBER(SEARCH("thick'r lawn",E574)),ISNUMBER(SEARCH("rapid grass",E574))),"Lawn Repair",
OR(ISNUMBER(SEARCH("weed",E574)),ISNUMBER(SEARCH("crabgrass",E574))),"Weed Control",
OR(ISNUMBER(SEARCH("fungicide",E574)),ISNUMBER(SEARCH("moss",E574))),"Disease &amp; Moss Control",
OR(ISNUMBER(SEARCH("plant food",E574)),ISNUMBER(SEARCH("miracid",E574))),"Plant Nutrition",
OR(ISNUMBER(SEARCH("perlite",E574))),"Soil Amendment",
OR(ISNUMBER(SEARCH("spreader",E574)),ISNUMBER(SEARCH("sprayer",E574)),ISNUMBER(SEARCH("mower",E574)),ISNUMBER(SEARCH("sweeper",E574)),ISNUMBER(SEARCH("pruner",E574)),ISNUMBER(SEARCH("trimmer",E574)),ISNUMBER(SEARCH("pole saw",E574))),"Garden Equipment",
TRUE,"Other"
)</f>
        <v>Rodent Control</v>
      </c>
      <c r="I574" s="7" t="str" cm="1">
        <f t="array" ref="I574">_xlfn.IFS(
OR(ISNUMBER(SEARCH("glue trap",E574)),ISNUMBER(SEARCH("glue board",E574))),"Glue Traps",
OR(ISNUMBER(SEARCH("snap trap",E574)),ISNUMBER(SEARCH("power-kill",E574)),ISNUMBER(SEARCH("wide pedal",E574)),ISNUMBER(SEARCH("metal pedal",E574))),"Snap Traps",
OR(ISNUMBER(SEARCH("electronic",E574)),ISNUMBER(SEARCH("zapper",E574))),"Electronic Traps",
OR(ISNUMBER(SEARCH("live catch",E574)),ISNUMBER(SEARCH("multi-catch",E574)),ISNUMBER(SEARCH("catch &amp; hold",E574)),ISNUMBER(SEARCH("tin cat",E574))),"Live Catch Traps",
OR(ISNUMBER(SEARCH("bait",E574)),ISNUMBER(SEARCH("poison",E574))),"Bait &amp; Poison",
ISNUMBER(SEARCH("repellent",E574)),"Repellents",
OR(ISNUMBER(SEARCH("fly trap",E574)),ISNUMBER(SEARCH("fly ribbon",E574)),ISNUMBER(SEARCH("fly stick",E574)),ISNUMBER(SEARCH("window fly",E574)),ISNUMBER(SEARCH("fly magnet",E574))),"Fly Traps",
OR(ISNUMBER(SEARCH("uv",E574)),ISNUMBER(SEARCH("fly light",E574)),ISNUMBER(SEARCH("plug-in",E574))),"UV Fly Traps",
ISNUMBER(SEARCH("roach",E574)),"Roach Traps",
ISNUMBER(SEARCH("ant",E574)),"Ant Traps",
ISNUMBER(SEARCH("spider",E574)),"Spider Traps",
ISNUMBER(SEARCH("mosquito",E574)),"Mosquito Traps",
ISNUMBER(SEARCH("beetle",E574)),"Beetle Traps",
ISNUMBER(SEARCH("lantern",E574)),"Lanternfly Control",
OR(ISNUMBER(SEARCH("tree shield",E574)),ISNUMBER(SEARCH("tree banding",E574)),ISNUMBER(SEARCH("insect barrier",E574))),"Tree Barriers",
OR(ISNUMBER(SEARCH("sun &amp; shade",E574)),ISNUMBER(SEARCH("sun and shade",E574))),"Sun &amp; Shade Mix",
ISNUMBER(SEARCH("tall fescue",E574)),"Tall Fescue",
ISNUMBER(SEARCH("bermudagrass",E574)),"Bermudagrass",
ISNUMBER(SEARCH("kentucky",E574)),"Kentucky Bluegrass",
ISNUMBER(SEARCH("zoysia",E574)),"Zoysia",
ISNUMBER(SEARCH("ryegrass",E574)),"Perennial Ryegrass",
ISNUMBER(SEARCH("centipede",E574)),"Centipede Grass",
ISNUMBER(SEARCH("dense shade",E574)),"Dense Shade Mix",
ISNUMBER(SEARCH("southern gold",E574)),"Southern Gold Mix",
ISNUMBER(SEARCH("heat-tolerant blue",E574)),"Heat-Tolerant Blue Mix",
ISNUMBER(SEARCH("high traffic",E574)),"High Traffic Mix",
ISNUMBER(SEARCH("quick fix",E574)),"Quick Fix Mix",
ISNUMBER(SEARCH("starter",E574)),"Starter Fertilizer",
ISNUMBER(SEARCH("weed &amp; feed",E574)),"Weed &amp; Feed",
ISNUMBER(SEARCH("lawn food",E574)),"Lawn Food",
ISNUMBER(SEARCH("triple action",E574)),"Triple Action Fertilizer",
ISNUMBER(SEARCH("green max",E574)),"Green Max Lawn Food",
ISNUMBER(SEARCH("patchmaster",E574)),"PatchMaster Repair",
ISNUMBER(SEARCH("ez seed",E574)),"EZ Seed Repair",
ISNUMBER(SEARCH("rapid grass",E574)),"Rapid Grass",
ISNUMBER(SEARCH("thick'r lawn",E574)),"Thick'R Lawn",
ISNUMBER(SEARCH("fungicide",E574)),"Fungicide",
ISNUMBER(SEARCH("moss",E574)),"Moss Control",
ISNUMBER(SEARCH("perlite",E574)),"Perlite",
ISNUMBER(SEARCH("plant food",E574)),"Plant Food",
ISNUMBER(SEARCH("spreader",E574)),"Spreader",
ISNUMBER(SEARCH("sprayer",E574)),"Sprayer",
ISNUMBER(SEARCH("mower",E574)),"Lawn Mower",
ISNUMBER(SEARCH("sweeper",E574)),"Lawn Sweeper",
OR(ISNUMBER(SEARCH("pruner",E574)),ISNUMBER(SEARCH("trimmer",E574)),ISNUMBER(SEARCH("pole saw",E574))),"Pruning Tools",
TRUE,"Other"
)</f>
        <v>Other</v>
      </c>
      <c r="J574" s="7" t="str">
        <f t="shared" si="171"/>
        <v>Rodent Control - Other</v>
      </c>
      <c r="K574" s="4">
        <v>3000</v>
      </c>
      <c r="L574" s="4">
        <v>4.5999999999999996</v>
      </c>
      <c r="M574" s="4">
        <v>5943</v>
      </c>
      <c r="N574" s="4" t="s">
        <v>3217</v>
      </c>
      <c r="O574" s="4">
        <f>VLOOKUP(A574,[13]Sheet1!$A:$M,2,0)</f>
        <v>400</v>
      </c>
      <c r="P574" s="4">
        <f>VLOOKUP(A574,[13]Sheet1!$A:$M,3,0)</f>
        <v>0</v>
      </c>
      <c r="Q574" s="4">
        <f>VLOOKUP(A574,[13]Sheet1!$A:$M,4,0)</f>
        <v>0</v>
      </c>
      <c r="R574" s="4">
        <f>VLOOKUP(A574,[13]Sheet1!$A:$M,5,0)</f>
        <v>1000</v>
      </c>
      <c r="S574" s="4">
        <f>VLOOKUP(A574,[13]Sheet1!$A:$M,6,0)</f>
        <v>2000</v>
      </c>
      <c r="T574" s="4">
        <f>VLOOKUP(A574,[13]Sheet1!$A:$M,7,0)</f>
        <v>3000</v>
      </c>
      <c r="U574" s="4">
        <f>VLOOKUP(A574,[13]Sheet1!$A:$M,8,0)</f>
        <v>3000</v>
      </c>
      <c r="V574" s="4">
        <f>VLOOKUP(A574,[13]Sheet1!$A:$M,9,0)</f>
        <v>2000</v>
      </c>
      <c r="W574" s="4">
        <f>VLOOKUP(A574,[13]Sheet1!$A:$M,10,0)</f>
        <v>3000</v>
      </c>
      <c r="X574" s="4">
        <f>VLOOKUP(A574,[13]Sheet1!$A:$M,11,0)</f>
        <v>50</v>
      </c>
      <c r="Y574" s="4">
        <f>VLOOKUP(A574,[13]Sheet1!$A:$M,12,0)</f>
        <v>500</v>
      </c>
      <c r="Z574" s="4">
        <f>VLOOKUP(A574,[13]Sheet1!$A:$M,13,0)</f>
        <v>400</v>
      </c>
      <c r="AA574" s="4">
        <f t="shared" si="176"/>
        <v>15350</v>
      </c>
      <c r="AB574" s="7">
        <f t="shared" si="177"/>
        <v>1279</v>
      </c>
      <c r="AC574" s="15">
        <f t="shared" si="178"/>
        <v>1279.1666666666667</v>
      </c>
      <c r="AD574" s="16">
        <f t="shared" si="179"/>
        <v>185735</v>
      </c>
      <c r="AE574" s="16">
        <f t="shared" si="180"/>
        <v>15477.916666666668</v>
      </c>
      <c r="AF574" s="21">
        <v>5.61</v>
      </c>
      <c r="AG574" s="21">
        <v>12.1</v>
      </c>
      <c r="AH574" s="15">
        <f t="shared" si="158"/>
        <v>-0.11800000000000005</v>
      </c>
      <c r="AI574" s="15">
        <f t="shared" si="159"/>
        <v>-0.41300000000000009</v>
      </c>
      <c r="AJ574" s="10">
        <v>0.5</v>
      </c>
      <c r="AK574" s="10">
        <v>0.5</v>
      </c>
      <c r="AL574" s="21">
        <v>5.61</v>
      </c>
      <c r="AM574" s="9">
        <f t="shared" si="142"/>
        <v>1.8149999999999999</v>
      </c>
      <c r="AN574" s="9">
        <f t="shared" si="143"/>
        <v>0.36299999999999999</v>
      </c>
      <c r="AO574" s="9">
        <f t="shared" si="144"/>
        <v>2.42</v>
      </c>
      <c r="AP574" s="9">
        <f t="shared" si="145"/>
        <v>0.24199999999999999</v>
      </c>
      <c r="AQ574" s="9">
        <f t="shared" si="146"/>
        <v>2.42</v>
      </c>
      <c r="AR574" s="9">
        <f t="shared" si="147"/>
        <v>3.0249999999999999</v>
      </c>
      <c r="AS574" s="11">
        <f t="shared" si="148"/>
        <v>-1.1800000000000004</v>
      </c>
      <c r="AT574" s="12">
        <f t="shared" si="149"/>
        <v>-1.5833333333333337</v>
      </c>
    </row>
    <row r="575" spans="1:46" ht="16.5" x14ac:dyDescent="0.4">
      <c r="A575" s="4" t="s">
        <v>2565</v>
      </c>
      <c r="B575" s="4" t="s">
        <v>2710</v>
      </c>
      <c r="C575" s="4" t="s">
        <v>2712</v>
      </c>
      <c r="D575" s="4" t="s">
        <v>2744</v>
      </c>
      <c r="E575" s="4" t="s">
        <v>2903</v>
      </c>
      <c r="F575" s="4" t="s">
        <v>3062</v>
      </c>
      <c r="G575" s="7" t="str">
        <f>VLOOKUP(A575,[1]done!$A:$I,9,0)</f>
        <v>Other crawling insects</v>
      </c>
      <c r="H575" s="7" t="str" cm="1">
        <f t="array" ref="H575">_xlfn.IFS(
OR(ISNUMBER(SEARCH("mouse",E575)),ISNUMBER(SEARCH("rat",E575)),ISNUMBER(SEARCH("mice",E575)),ISNUMBER(SEARCH("rodent",E575))),"Rodent Control",
OR(ISNUMBER(SEARCH("fly",E575)),ISNUMBER(SEARCH("gnat",E575)),ISNUMBER(SEARCH("insect",E575)),ISNUMBER(SEARCH("mosquito",E575))),"Flying Insect Control",
OR(ISNUMBER(SEARCH("roach",E575)),ISNUMBER(SEARCH("ant",E575)),ISNUMBER(SEARCH("spider",E575)),ISNUMBER(SEARCH("cricket",E575)),ISNUMBER(SEARCH("scorpion",E575)),ISNUMBER(SEARCH("centipede",E575)),ISNUMBER(SEARCH("beetle",E575))),"Crawling Insect Control",
OR(ISNUMBER(SEARCH("tree",E575)),ISNUMBER(SEARCH("lantern",E575)),ISNUMBER(SEARCH("garden",E575)),ISNUMBER(SEARCH("plant",E575))),"Garden Pest Control",
OR(ISNUMBER(SEARCH("grass seed",E575)),ISNUMBER(SEARCH("seed mix",E575))),"Grass Seed",
OR(ISNUMBER(SEARCH("lawn food",E575)),ISNUMBER(SEARCH("fertilizer",E575))),"Lawn Fertilizer",
OR(ISNUMBER(SEARCH("patch",E575)),ISNUMBER(SEARCH("repair",E575)),ISNUMBER(SEARCH("thick'r",E575)),ISNUMBER(SEARCH("thick'r lawn",E575)),ISNUMBER(SEARCH("rapid grass",E575))),"Lawn Repair",
OR(ISNUMBER(SEARCH("weed",E575)),ISNUMBER(SEARCH("crabgrass",E575))),"Weed Control",
OR(ISNUMBER(SEARCH("fungicide",E575)),ISNUMBER(SEARCH("moss",E575))),"Disease &amp; Moss Control",
OR(ISNUMBER(SEARCH("plant food",E575)),ISNUMBER(SEARCH("miracid",E575))),"Plant Nutrition",
OR(ISNUMBER(SEARCH("perlite",E575))),"Soil Amendment",
OR(ISNUMBER(SEARCH("spreader",E575)),ISNUMBER(SEARCH("sprayer",E575)),ISNUMBER(SEARCH("mower",E575)),ISNUMBER(SEARCH("sweeper",E575)),ISNUMBER(SEARCH("pruner",E575)),ISNUMBER(SEARCH("trimmer",E575)),ISNUMBER(SEARCH("pole saw",E575))),"Garden Equipment",
TRUE,"Other"
)</f>
        <v>Rodent Control</v>
      </c>
      <c r="I575" s="7" t="str" cm="1">
        <f t="array" ref="I575">_xlfn.IFS(
OR(ISNUMBER(SEARCH("glue trap",E575)),ISNUMBER(SEARCH("glue board",E575))),"Glue Traps",
OR(ISNUMBER(SEARCH("snap trap",E575)),ISNUMBER(SEARCH("power-kill",E575)),ISNUMBER(SEARCH("wide pedal",E575)),ISNUMBER(SEARCH("metal pedal",E575))),"Snap Traps",
OR(ISNUMBER(SEARCH("electronic",E575)),ISNUMBER(SEARCH("zapper",E575))),"Electronic Traps",
OR(ISNUMBER(SEARCH("live catch",E575)),ISNUMBER(SEARCH("multi-catch",E575)),ISNUMBER(SEARCH("catch &amp; hold",E575)),ISNUMBER(SEARCH("tin cat",E575))),"Live Catch Traps",
OR(ISNUMBER(SEARCH("bait",E575)),ISNUMBER(SEARCH("poison",E575))),"Bait &amp; Poison",
ISNUMBER(SEARCH("repellent",E575)),"Repellents",
OR(ISNUMBER(SEARCH("fly trap",E575)),ISNUMBER(SEARCH("fly ribbon",E575)),ISNUMBER(SEARCH("fly stick",E575)),ISNUMBER(SEARCH("window fly",E575)),ISNUMBER(SEARCH("fly magnet",E575))),"Fly Traps",
OR(ISNUMBER(SEARCH("uv",E575)),ISNUMBER(SEARCH("fly light",E575)),ISNUMBER(SEARCH("plug-in",E575))),"UV Fly Traps",
ISNUMBER(SEARCH("roach",E575)),"Roach Traps",
ISNUMBER(SEARCH("ant",E575)),"Ant Traps",
ISNUMBER(SEARCH("spider",E575)),"Spider Traps",
ISNUMBER(SEARCH("mosquito",E575)),"Mosquito Traps",
ISNUMBER(SEARCH("beetle",E575)),"Beetle Traps",
ISNUMBER(SEARCH("lantern",E575)),"Lanternfly Control",
OR(ISNUMBER(SEARCH("tree shield",E575)),ISNUMBER(SEARCH("tree banding",E575)),ISNUMBER(SEARCH("insect barrier",E575))),"Tree Barriers",
OR(ISNUMBER(SEARCH("sun &amp; shade",E575)),ISNUMBER(SEARCH("sun and shade",E575))),"Sun &amp; Shade Mix",
ISNUMBER(SEARCH("tall fescue",E575)),"Tall Fescue",
ISNUMBER(SEARCH("bermudagrass",E575)),"Bermudagrass",
ISNUMBER(SEARCH("kentucky",E575)),"Kentucky Bluegrass",
ISNUMBER(SEARCH("zoysia",E575)),"Zoysia",
ISNUMBER(SEARCH("ryegrass",E575)),"Perennial Ryegrass",
ISNUMBER(SEARCH("centipede",E575)),"Centipede Grass",
ISNUMBER(SEARCH("dense shade",E575)),"Dense Shade Mix",
ISNUMBER(SEARCH("southern gold",E575)),"Southern Gold Mix",
ISNUMBER(SEARCH("heat-tolerant blue",E575)),"Heat-Tolerant Blue Mix",
ISNUMBER(SEARCH("high traffic",E575)),"High Traffic Mix",
ISNUMBER(SEARCH("quick fix",E575)),"Quick Fix Mix",
ISNUMBER(SEARCH("starter",E575)),"Starter Fertilizer",
ISNUMBER(SEARCH("weed &amp; feed",E575)),"Weed &amp; Feed",
ISNUMBER(SEARCH("lawn food",E575)),"Lawn Food",
ISNUMBER(SEARCH("triple action",E575)),"Triple Action Fertilizer",
ISNUMBER(SEARCH("green max",E575)),"Green Max Lawn Food",
ISNUMBER(SEARCH("patchmaster",E575)),"PatchMaster Repair",
ISNUMBER(SEARCH("ez seed",E575)),"EZ Seed Repair",
ISNUMBER(SEARCH("rapid grass",E575)),"Rapid Grass",
ISNUMBER(SEARCH("thick'r lawn",E575)),"Thick'R Lawn",
ISNUMBER(SEARCH("fungicide",E575)),"Fungicide",
ISNUMBER(SEARCH("moss",E575)),"Moss Control",
ISNUMBER(SEARCH("perlite",E575)),"Perlite",
ISNUMBER(SEARCH("plant food",E575)),"Plant Food",
ISNUMBER(SEARCH("spreader",E575)),"Spreader",
ISNUMBER(SEARCH("sprayer",E575)),"Sprayer",
ISNUMBER(SEARCH("mower",E575)),"Lawn Mower",
ISNUMBER(SEARCH("sweeper",E575)),"Lawn Sweeper",
OR(ISNUMBER(SEARCH("pruner",E575)),ISNUMBER(SEARCH("trimmer",E575)),ISNUMBER(SEARCH("pole saw",E575))),"Pruning Tools",
TRUE,"Other"
)</f>
        <v>Ant Traps</v>
      </c>
      <c r="J575" s="7" t="str">
        <f t="shared" si="171"/>
        <v>Rodent Control - Ant Traps</v>
      </c>
      <c r="K575" s="4">
        <v>3000</v>
      </c>
      <c r="L575" s="4">
        <v>4.5999999999999996</v>
      </c>
      <c r="M575" s="4">
        <v>10465</v>
      </c>
      <c r="N575" s="4" t="s">
        <v>3218</v>
      </c>
      <c r="O575" s="4">
        <f>VLOOKUP(A575,[13]Sheet1!$A:$M,2,0)</f>
        <v>1000</v>
      </c>
      <c r="P575" s="4">
        <f>VLOOKUP(A575,[13]Sheet1!$A:$M,3,0)</f>
        <v>3000</v>
      </c>
      <c r="Q575" s="4">
        <f>VLOOKUP(A575,[13]Sheet1!$A:$M,4,0)</f>
        <v>6000</v>
      </c>
      <c r="R575" s="4">
        <f>VLOOKUP(A575,[13]Sheet1!$A:$M,5,0)</f>
        <v>6000</v>
      </c>
      <c r="S575" s="4">
        <f>VLOOKUP(A575,[13]Sheet1!$A:$M,6,0)</f>
        <v>7000</v>
      </c>
      <c r="T575" s="4">
        <f>VLOOKUP(A575,[13]Sheet1!$A:$M,7,0)</f>
        <v>10000</v>
      </c>
      <c r="U575" s="4">
        <f>VLOOKUP(A575,[13]Sheet1!$A:$M,8,0)</f>
        <v>10000</v>
      </c>
      <c r="V575" s="4">
        <f>VLOOKUP(A575,[13]Sheet1!$A:$M,9,0)</f>
        <v>9600</v>
      </c>
      <c r="W575" s="4">
        <f>VLOOKUP(A575,[13]Sheet1!$A:$M,10,0)</f>
        <v>3000</v>
      </c>
      <c r="X575" s="4">
        <f>VLOOKUP(A575,[13]Sheet1!$A:$M,11,0)</f>
        <v>3000</v>
      </c>
      <c r="Y575" s="4">
        <f>VLOOKUP(A575,[13]Sheet1!$A:$M,12,0)</f>
        <v>2000</v>
      </c>
      <c r="Z575" s="4">
        <f>VLOOKUP(A575,[13]Sheet1!$A:$M,13,0)</f>
        <v>0</v>
      </c>
      <c r="AA575" s="4">
        <f t="shared" si="176"/>
        <v>60600</v>
      </c>
      <c r="AB575" s="7">
        <f t="shared" si="177"/>
        <v>5050</v>
      </c>
      <c r="AC575" s="15">
        <f t="shared" si="178"/>
        <v>5050</v>
      </c>
      <c r="AD575" s="16">
        <f t="shared" si="179"/>
        <v>1090194</v>
      </c>
      <c r="AE575" s="16">
        <f t="shared" si="180"/>
        <v>90849.499999999985</v>
      </c>
      <c r="AF575" s="21">
        <v>5.61</v>
      </c>
      <c r="AG575" s="21">
        <v>17.989999999999998</v>
      </c>
      <c r="AH575" s="15">
        <f t="shared" si="158"/>
        <v>3.9066666666666569E-2</v>
      </c>
      <c r="AI575" s="15">
        <f t="shared" si="159"/>
        <v>0.13673333333333298</v>
      </c>
      <c r="AJ575" s="10">
        <v>0.5</v>
      </c>
      <c r="AK575" s="10">
        <v>0.5</v>
      </c>
      <c r="AL575" s="21">
        <v>5.61</v>
      </c>
      <c r="AM575" s="9">
        <f t="shared" si="142"/>
        <v>2.6984999999999997</v>
      </c>
      <c r="AN575" s="9">
        <f t="shared" si="143"/>
        <v>0.53969999999999996</v>
      </c>
      <c r="AO575" s="9">
        <f t="shared" si="144"/>
        <v>3.5979999999999999</v>
      </c>
      <c r="AP575" s="9">
        <f t="shared" si="145"/>
        <v>0.35979999999999995</v>
      </c>
      <c r="AQ575" s="9">
        <f t="shared" si="146"/>
        <v>3.5979999999999999</v>
      </c>
      <c r="AR575" s="9">
        <f t="shared" si="147"/>
        <v>4.4974999999999996</v>
      </c>
      <c r="AS575" s="11">
        <f t="shared" si="148"/>
        <v>0.39066666666666566</v>
      </c>
      <c r="AT575" s="12">
        <f t="shared" si="149"/>
        <v>-0.20900000000000082</v>
      </c>
    </row>
    <row r="576" spans="1:46" ht="16.5" x14ac:dyDescent="0.4">
      <c r="A576" s="4" t="s">
        <v>2566</v>
      </c>
      <c r="B576" s="4" t="s">
        <v>2710</v>
      </c>
      <c r="C576" s="4" t="s">
        <v>2712</v>
      </c>
      <c r="D576" s="4" t="s">
        <v>2745</v>
      </c>
      <c r="E576" s="4" t="s">
        <v>2904</v>
      </c>
      <c r="F576" s="4" t="s">
        <v>3063</v>
      </c>
      <c r="G576" s="7" t="str">
        <f>VLOOKUP(A576,[1]done!$A:$I,9,0)</f>
        <v>Oil based pest repellent</v>
      </c>
      <c r="H576" s="7" t="str" cm="1">
        <f t="array" ref="H576">_xlfn.IFS(
OR(ISNUMBER(SEARCH("mouse",E576)),ISNUMBER(SEARCH("rat",E576)),ISNUMBER(SEARCH("mice",E576)),ISNUMBER(SEARCH("rodent",E576))),"Rodent Control",
OR(ISNUMBER(SEARCH("fly",E576)),ISNUMBER(SEARCH("gnat",E576)),ISNUMBER(SEARCH("insect",E576)),ISNUMBER(SEARCH("mosquito",E576))),"Flying Insect Control",
OR(ISNUMBER(SEARCH("roach",E576)),ISNUMBER(SEARCH("ant",E576)),ISNUMBER(SEARCH("spider",E576)),ISNUMBER(SEARCH("cricket",E576)),ISNUMBER(SEARCH("scorpion",E576)),ISNUMBER(SEARCH("centipede",E576)),ISNUMBER(SEARCH("beetle",E576))),"Crawling Insect Control",
OR(ISNUMBER(SEARCH("tree",E576)),ISNUMBER(SEARCH("lantern",E576)),ISNUMBER(SEARCH("garden",E576)),ISNUMBER(SEARCH("plant",E576))),"Garden Pest Control",
OR(ISNUMBER(SEARCH("grass seed",E576)),ISNUMBER(SEARCH("seed mix",E576))),"Grass Seed",
OR(ISNUMBER(SEARCH("lawn food",E576)),ISNUMBER(SEARCH("fertilizer",E576))),"Lawn Fertilizer",
OR(ISNUMBER(SEARCH("patch",E576)),ISNUMBER(SEARCH("repair",E576)),ISNUMBER(SEARCH("thick'r",E576)),ISNUMBER(SEARCH("thick'r lawn",E576)),ISNUMBER(SEARCH("rapid grass",E576))),"Lawn Repair",
OR(ISNUMBER(SEARCH("weed",E576)),ISNUMBER(SEARCH("crabgrass",E576))),"Weed Control",
OR(ISNUMBER(SEARCH("fungicide",E576)),ISNUMBER(SEARCH("moss",E576))),"Disease &amp; Moss Control",
OR(ISNUMBER(SEARCH("plant food",E576)),ISNUMBER(SEARCH("miracid",E576))),"Plant Nutrition",
OR(ISNUMBER(SEARCH("perlite",E576))),"Soil Amendment",
OR(ISNUMBER(SEARCH("spreader",E576)),ISNUMBER(SEARCH("sprayer",E576)),ISNUMBER(SEARCH("mower",E576)),ISNUMBER(SEARCH("sweeper",E576)),ISNUMBER(SEARCH("pruner",E576)),ISNUMBER(SEARCH("trimmer",E576)),ISNUMBER(SEARCH("pole saw",E576))),"Garden Equipment",
TRUE,"Other"
)</f>
        <v>Flying Insect Control</v>
      </c>
      <c r="I576" s="7" t="str" cm="1">
        <f t="array" ref="I576">_xlfn.IFS(
OR(ISNUMBER(SEARCH("glue trap",E576)),ISNUMBER(SEARCH("glue board",E576))),"Glue Traps",
OR(ISNUMBER(SEARCH("snap trap",E576)),ISNUMBER(SEARCH("power-kill",E576)),ISNUMBER(SEARCH("wide pedal",E576)),ISNUMBER(SEARCH("metal pedal",E576))),"Snap Traps",
OR(ISNUMBER(SEARCH("electronic",E576)),ISNUMBER(SEARCH("zapper",E576))),"Electronic Traps",
OR(ISNUMBER(SEARCH("live catch",E576)),ISNUMBER(SEARCH("multi-catch",E576)),ISNUMBER(SEARCH("catch &amp; hold",E576)),ISNUMBER(SEARCH("tin cat",E576))),"Live Catch Traps",
OR(ISNUMBER(SEARCH("bait",E576)),ISNUMBER(SEARCH("poison",E576))),"Bait &amp; Poison",
ISNUMBER(SEARCH("repellent",E576)),"Repellents",
OR(ISNUMBER(SEARCH("fly trap",E576)),ISNUMBER(SEARCH("fly ribbon",E576)),ISNUMBER(SEARCH("fly stick",E576)),ISNUMBER(SEARCH("window fly",E576)),ISNUMBER(SEARCH("fly magnet",E576))),"Fly Traps",
OR(ISNUMBER(SEARCH("uv",E576)),ISNUMBER(SEARCH("fly light",E576)),ISNUMBER(SEARCH("plug-in",E576))),"UV Fly Traps",
ISNUMBER(SEARCH("roach",E576)),"Roach Traps",
ISNUMBER(SEARCH("ant",E576)),"Ant Traps",
ISNUMBER(SEARCH("spider",E576)),"Spider Traps",
ISNUMBER(SEARCH("mosquito",E576)),"Mosquito Traps",
ISNUMBER(SEARCH("beetle",E576)),"Beetle Traps",
ISNUMBER(SEARCH("lantern",E576)),"Lanternfly Control",
OR(ISNUMBER(SEARCH("tree shield",E576)),ISNUMBER(SEARCH("tree banding",E576)),ISNUMBER(SEARCH("insect barrier",E576))),"Tree Barriers",
OR(ISNUMBER(SEARCH("sun &amp; shade",E576)),ISNUMBER(SEARCH("sun and shade",E576))),"Sun &amp; Shade Mix",
ISNUMBER(SEARCH("tall fescue",E576)),"Tall Fescue",
ISNUMBER(SEARCH("bermudagrass",E576)),"Bermudagrass",
ISNUMBER(SEARCH("kentucky",E576)),"Kentucky Bluegrass",
ISNUMBER(SEARCH("zoysia",E576)),"Zoysia",
ISNUMBER(SEARCH("ryegrass",E576)),"Perennial Ryegrass",
ISNUMBER(SEARCH("centipede",E576)),"Centipede Grass",
ISNUMBER(SEARCH("dense shade",E576)),"Dense Shade Mix",
ISNUMBER(SEARCH("southern gold",E576)),"Southern Gold Mix",
ISNUMBER(SEARCH("heat-tolerant blue",E576)),"Heat-Tolerant Blue Mix",
ISNUMBER(SEARCH("high traffic",E576)),"High Traffic Mix",
ISNUMBER(SEARCH("quick fix",E576)),"Quick Fix Mix",
ISNUMBER(SEARCH("starter",E576)),"Starter Fertilizer",
ISNUMBER(SEARCH("weed &amp; feed",E576)),"Weed &amp; Feed",
ISNUMBER(SEARCH("lawn food",E576)),"Lawn Food",
ISNUMBER(SEARCH("triple action",E576)),"Triple Action Fertilizer",
ISNUMBER(SEARCH("green max",E576)),"Green Max Lawn Food",
ISNUMBER(SEARCH("patchmaster",E576)),"PatchMaster Repair",
ISNUMBER(SEARCH("ez seed",E576)),"EZ Seed Repair",
ISNUMBER(SEARCH("rapid grass",E576)),"Rapid Grass",
ISNUMBER(SEARCH("thick'r lawn",E576)),"Thick'R Lawn",
ISNUMBER(SEARCH("fungicide",E576)),"Fungicide",
ISNUMBER(SEARCH("moss",E576)),"Moss Control",
ISNUMBER(SEARCH("perlite",E576)),"Perlite",
ISNUMBER(SEARCH("plant food",E576)),"Plant Food",
ISNUMBER(SEARCH("spreader",E576)),"Spreader",
ISNUMBER(SEARCH("sprayer",E576)),"Sprayer",
ISNUMBER(SEARCH("mower",E576)),"Lawn Mower",
ISNUMBER(SEARCH("sweeper",E576)),"Lawn Sweeper",
OR(ISNUMBER(SEARCH("pruner",E576)),ISNUMBER(SEARCH("trimmer",E576)),ISNUMBER(SEARCH("pole saw",E576))),"Pruning Tools",
TRUE,"Other"
)</f>
        <v>Fungicide</v>
      </c>
      <c r="J576" s="7" t="str">
        <f t="shared" si="171"/>
        <v>Flying Insect Control - Fungicide</v>
      </c>
      <c r="K576" s="4">
        <v>2000</v>
      </c>
      <c r="L576" s="4">
        <v>4.3</v>
      </c>
      <c r="M576" s="4">
        <v>49945</v>
      </c>
      <c r="N576" s="4" t="s">
        <v>3219</v>
      </c>
      <c r="O576" s="4">
        <f>VLOOKUP(A576,[13]Sheet1!$A:$M,2,0)</f>
        <v>700</v>
      </c>
      <c r="P576" s="4">
        <f>VLOOKUP(A576,[13]Sheet1!$A:$M,3,0)</f>
        <v>900</v>
      </c>
      <c r="Q576" s="4">
        <f>VLOOKUP(A576,[13]Sheet1!$A:$M,4,0)</f>
        <v>1000</v>
      </c>
      <c r="R576" s="4">
        <f>VLOOKUP(A576,[13]Sheet1!$A:$M,5,0)</f>
        <v>2000</v>
      </c>
      <c r="S576" s="4">
        <f>VLOOKUP(A576,[13]Sheet1!$A:$M,6,0)</f>
        <v>3000</v>
      </c>
      <c r="T576" s="4">
        <f>VLOOKUP(A576,[13]Sheet1!$A:$M,7,0)</f>
        <v>6000</v>
      </c>
      <c r="U576" s="4">
        <f>VLOOKUP(A576,[13]Sheet1!$A:$M,8,0)</f>
        <v>5000</v>
      </c>
      <c r="V576" s="4">
        <f>VLOOKUP(A576,[13]Sheet1!$A:$M,9,0)</f>
        <v>3000</v>
      </c>
      <c r="W576" s="4">
        <f>VLOOKUP(A576,[13]Sheet1!$A:$M,10,0)</f>
        <v>2000</v>
      </c>
      <c r="X576" s="4">
        <f>VLOOKUP(A576,[13]Sheet1!$A:$M,11,0)</f>
        <v>1000</v>
      </c>
      <c r="Y576" s="4">
        <f>VLOOKUP(A576,[13]Sheet1!$A:$M,12,0)</f>
        <v>1000</v>
      </c>
      <c r="Z576" s="4">
        <f>VLOOKUP(A576,[13]Sheet1!$A:$M,13,0)</f>
        <v>600</v>
      </c>
      <c r="AA576" s="4">
        <f t="shared" si="176"/>
        <v>26200</v>
      </c>
      <c r="AB576" s="7">
        <f t="shared" si="177"/>
        <v>2183</v>
      </c>
      <c r="AC576" s="15">
        <f t="shared" si="178"/>
        <v>2183.3333333333335</v>
      </c>
      <c r="AD576" s="16">
        <f t="shared" si="179"/>
        <v>917524.00000000012</v>
      </c>
      <c r="AE576" s="16">
        <f t="shared" si="180"/>
        <v>76460.333333333343</v>
      </c>
      <c r="AF576" s="21">
        <v>9.1999999999999993</v>
      </c>
      <c r="AG576" s="21">
        <v>35.020000000000003</v>
      </c>
      <c r="AH576" s="15">
        <f t="shared" si="158"/>
        <v>0.25386666666666663</v>
      </c>
      <c r="AI576" s="15">
        <f t="shared" si="159"/>
        <v>0.88853333333333318</v>
      </c>
      <c r="AJ576" s="10">
        <v>0.5</v>
      </c>
      <c r="AK576" s="10">
        <v>0.5</v>
      </c>
      <c r="AL576" s="21">
        <v>9.1999999999999993</v>
      </c>
      <c r="AM576" s="9">
        <f t="shared" si="142"/>
        <v>5.2530000000000001</v>
      </c>
      <c r="AN576" s="9">
        <f t="shared" si="143"/>
        <v>1.0506</v>
      </c>
      <c r="AO576" s="9">
        <f t="shared" si="144"/>
        <v>7.0040000000000013</v>
      </c>
      <c r="AP576" s="9">
        <f t="shared" si="145"/>
        <v>0.70040000000000002</v>
      </c>
      <c r="AQ576" s="9">
        <f t="shared" si="146"/>
        <v>7.0040000000000013</v>
      </c>
      <c r="AR576" s="9">
        <f t="shared" si="147"/>
        <v>8.7550000000000008</v>
      </c>
      <c r="AS576" s="11">
        <f t="shared" si="148"/>
        <v>2.5386666666666664</v>
      </c>
      <c r="AT576" s="12">
        <f t="shared" si="149"/>
        <v>1.3713333333333335</v>
      </c>
    </row>
    <row r="577" spans="1:46" ht="16.5" x14ac:dyDescent="0.4">
      <c r="A577" s="4" t="s">
        <v>2567</v>
      </c>
      <c r="B577" s="4" t="s">
        <v>2710</v>
      </c>
      <c r="C577" s="4" t="s">
        <v>2716</v>
      </c>
      <c r="D577" s="4" t="s">
        <v>2746</v>
      </c>
      <c r="E577" s="4" t="s">
        <v>2905</v>
      </c>
      <c r="F577" s="4" t="s">
        <v>3064</v>
      </c>
      <c r="G577" s="7" t="str">
        <f>VLOOKUP(A577,[1]done!$A:$I,9,0)</f>
        <v>Insecticide/Fungicide</v>
      </c>
      <c r="H577" s="7" t="str" cm="1">
        <f t="array" ref="H577">_xlfn.IFS(
OR(ISNUMBER(SEARCH("mouse",E577)),ISNUMBER(SEARCH("rat",E577)),ISNUMBER(SEARCH("mice",E577)),ISNUMBER(SEARCH("rodent",E577))),"Rodent Control",
OR(ISNUMBER(SEARCH("fly",E577)),ISNUMBER(SEARCH("gnat",E577)),ISNUMBER(SEARCH("insect",E577)),ISNUMBER(SEARCH("mosquito",E577))),"Flying Insect Control",
OR(ISNUMBER(SEARCH("roach",E577)),ISNUMBER(SEARCH("ant",E577)),ISNUMBER(SEARCH("spider",E577)),ISNUMBER(SEARCH("cricket",E577)),ISNUMBER(SEARCH("scorpion",E577)),ISNUMBER(SEARCH("centipede",E577)),ISNUMBER(SEARCH("beetle",E577))),"Crawling Insect Control",
OR(ISNUMBER(SEARCH("tree",E577)),ISNUMBER(SEARCH("lantern",E577)),ISNUMBER(SEARCH("garden",E577)),ISNUMBER(SEARCH("plant",E577))),"Garden Pest Control",
OR(ISNUMBER(SEARCH("grass seed",E577)),ISNUMBER(SEARCH("seed mix",E577))),"Grass Seed",
OR(ISNUMBER(SEARCH("lawn food",E577)),ISNUMBER(SEARCH("fertilizer",E577))),"Lawn Fertilizer",
OR(ISNUMBER(SEARCH("patch",E577)),ISNUMBER(SEARCH("repair",E577)),ISNUMBER(SEARCH("thick'r",E577)),ISNUMBER(SEARCH("thick'r lawn",E577)),ISNUMBER(SEARCH("rapid grass",E577))),"Lawn Repair",
OR(ISNUMBER(SEARCH("weed",E577)),ISNUMBER(SEARCH("crabgrass",E577))),"Weed Control",
OR(ISNUMBER(SEARCH("fungicide",E577)),ISNUMBER(SEARCH("moss",E577))),"Disease &amp; Moss Control",
OR(ISNUMBER(SEARCH("plant food",E577)),ISNUMBER(SEARCH("miracid",E577))),"Plant Nutrition",
OR(ISNUMBER(SEARCH("perlite",E577))),"Soil Amendment",
OR(ISNUMBER(SEARCH("spreader",E577)),ISNUMBER(SEARCH("sprayer",E577)),ISNUMBER(SEARCH("mower",E577)),ISNUMBER(SEARCH("sweeper",E577)),ISNUMBER(SEARCH("pruner",E577)),ISNUMBER(SEARCH("trimmer",E577)),ISNUMBER(SEARCH("pole saw",E577))),"Garden Equipment",
TRUE,"Other"
)</f>
        <v>Other</v>
      </c>
      <c r="I577" s="7" t="str" cm="1">
        <f t="array" ref="I577">_xlfn.IFS(
OR(ISNUMBER(SEARCH("glue trap",E577)),ISNUMBER(SEARCH("glue board",E577))),"Glue Traps",
OR(ISNUMBER(SEARCH("snap trap",E577)),ISNUMBER(SEARCH("power-kill",E577)),ISNUMBER(SEARCH("wide pedal",E577)),ISNUMBER(SEARCH("metal pedal",E577))),"Snap Traps",
OR(ISNUMBER(SEARCH("electronic",E577)),ISNUMBER(SEARCH("zapper",E577))),"Electronic Traps",
OR(ISNUMBER(SEARCH("live catch",E577)),ISNUMBER(SEARCH("multi-catch",E577)),ISNUMBER(SEARCH("catch &amp; hold",E577)),ISNUMBER(SEARCH("tin cat",E577))),"Live Catch Traps",
OR(ISNUMBER(SEARCH("bait",E577)),ISNUMBER(SEARCH("poison",E577))),"Bait &amp; Poison",
ISNUMBER(SEARCH("repellent",E577)),"Repellents",
OR(ISNUMBER(SEARCH("fly trap",E577)),ISNUMBER(SEARCH("fly ribbon",E577)),ISNUMBER(SEARCH("fly stick",E577)),ISNUMBER(SEARCH("window fly",E577)),ISNUMBER(SEARCH("fly magnet",E577))),"Fly Traps",
OR(ISNUMBER(SEARCH("uv",E577)),ISNUMBER(SEARCH("fly light",E577)),ISNUMBER(SEARCH("plug-in",E577))),"UV Fly Traps",
ISNUMBER(SEARCH("roach",E577)),"Roach Traps",
ISNUMBER(SEARCH("ant",E577)),"Ant Traps",
ISNUMBER(SEARCH("spider",E577)),"Spider Traps",
ISNUMBER(SEARCH("mosquito",E577)),"Mosquito Traps",
ISNUMBER(SEARCH("beetle",E577)),"Beetle Traps",
ISNUMBER(SEARCH("lantern",E577)),"Lanternfly Control",
OR(ISNUMBER(SEARCH("tree shield",E577)),ISNUMBER(SEARCH("tree banding",E577)),ISNUMBER(SEARCH("insect barrier",E577))),"Tree Barriers",
OR(ISNUMBER(SEARCH("sun &amp; shade",E577)),ISNUMBER(SEARCH("sun and shade",E577))),"Sun &amp; Shade Mix",
ISNUMBER(SEARCH("tall fescue",E577)),"Tall Fescue",
ISNUMBER(SEARCH("bermudagrass",E577)),"Bermudagrass",
ISNUMBER(SEARCH("kentucky",E577)),"Kentucky Bluegrass",
ISNUMBER(SEARCH("zoysia",E577)),"Zoysia",
ISNUMBER(SEARCH("ryegrass",E577)),"Perennial Ryegrass",
ISNUMBER(SEARCH("centipede",E577)),"Centipede Grass",
ISNUMBER(SEARCH("dense shade",E577)),"Dense Shade Mix",
ISNUMBER(SEARCH("southern gold",E577)),"Southern Gold Mix",
ISNUMBER(SEARCH("heat-tolerant blue",E577)),"Heat-Tolerant Blue Mix",
ISNUMBER(SEARCH("high traffic",E577)),"High Traffic Mix",
ISNUMBER(SEARCH("quick fix",E577)),"Quick Fix Mix",
ISNUMBER(SEARCH("starter",E577)),"Starter Fertilizer",
ISNUMBER(SEARCH("weed &amp; feed",E577)),"Weed &amp; Feed",
ISNUMBER(SEARCH("lawn food",E577)),"Lawn Food",
ISNUMBER(SEARCH("triple action",E577)),"Triple Action Fertilizer",
ISNUMBER(SEARCH("green max",E577)),"Green Max Lawn Food",
ISNUMBER(SEARCH("patchmaster",E577)),"PatchMaster Repair",
ISNUMBER(SEARCH("ez seed",E577)),"EZ Seed Repair",
ISNUMBER(SEARCH("rapid grass",E577)),"Rapid Grass",
ISNUMBER(SEARCH("thick'r lawn",E577)),"Thick'R Lawn",
ISNUMBER(SEARCH("fungicide",E577)),"Fungicide",
ISNUMBER(SEARCH("moss",E577)),"Moss Control",
ISNUMBER(SEARCH("perlite",E577)),"Perlite",
ISNUMBER(SEARCH("plant food",E577)),"Plant Food",
ISNUMBER(SEARCH("spreader",E577)),"Spreader",
ISNUMBER(SEARCH("sprayer",E577)),"Sprayer",
ISNUMBER(SEARCH("mower",E577)),"Lawn Mower",
ISNUMBER(SEARCH("sweeper",E577)),"Lawn Sweeper",
OR(ISNUMBER(SEARCH("pruner",E577)),ISNUMBER(SEARCH("trimmer",E577)),ISNUMBER(SEARCH("pole saw",E577))),"Pruning Tools",
TRUE,"Other"
)</f>
        <v>Other</v>
      </c>
      <c r="J577" s="7" t="str">
        <f t="shared" si="171"/>
        <v>Other - Other</v>
      </c>
      <c r="K577" s="4">
        <v>2000</v>
      </c>
      <c r="L577" s="4">
        <v>4.2</v>
      </c>
      <c r="M577" s="4">
        <v>4958</v>
      </c>
      <c r="N577" s="4">
        <v>1</v>
      </c>
      <c r="O577" s="4">
        <f>VLOOKUP(A577,[13]Sheet1!$A:$M,2,0)</f>
        <v>1000</v>
      </c>
      <c r="P577" s="4">
        <f>VLOOKUP(A577,[13]Sheet1!$A:$M,3,0)</f>
        <v>1000</v>
      </c>
      <c r="Q577" s="4">
        <f>VLOOKUP(A577,[13]Sheet1!$A:$M,4,0)</f>
        <v>2000</v>
      </c>
      <c r="R577" s="4">
        <f>VLOOKUP(A577,[13]Sheet1!$A:$M,5,0)</f>
        <v>6000</v>
      </c>
      <c r="S577" s="4">
        <f>VLOOKUP(A577,[13]Sheet1!$A:$M,6,0)</f>
        <v>8000</v>
      </c>
      <c r="T577" s="4">
        <f>VLOOKUP(A577,[13]Sheet1!$A:$M,7,0)</f>
        <v>3000</v>
      </c>
      <c r="U577" s="4">
        <f>VLOOKUP(A577,[13]Sheet1!$A:$M,8,0)</f>
        <v>10000</v>
      </c>
      <c r="V577" s="4">
        <f>VLOOKUP(A577,[13]Sheet1!$A:$M,9,0)</f>
        <v>10000</v>
      </c>
      <c r="W577" s="4">
        <f>VLOOKUP(A577,[13]Sheet1!$A:$M,10,0)</f>
        <v>2000</v>
      </c>
      <c r="X577" s="4">
        <f>VLOOKUP(A577,[13]Sheet1!$A:$M,11,0)</f>
        <v>5000</v>
      </c>
      <c r="Y577" s="4">
        <f>VLOOKUP(A577,[13]Sheet1!$A:$M,12,0)</f>
        <v>2000</v>
      </c>
      <c r="Z577" s="4">
        <f>VLOOKUP(A577,[13]Sheet1!$A:$M,13,0)</f>
        <v>1000</v>
      </c>
      <c r="AA577" s="4">
        <f t="shared" si="176"/>
        <v>51000</v>
      </c>
      <c r="AB577" s="7">
        <f t="shared" si="177"/>
        <v>4250</v>
      </c>
      <c r="AC577" s="15">
        <f t="shared" si="178"/>
        <v>4250</v>
      </c>
      <c r="AD577" s="16">
        <f t="shared" si="179"/>
        <v>737970</v>
      </c>
      <c r="AE577" s="16">
        <f t="shared" si="180"/>
        <v>61497.5</v>
      </c>
      <c r="AF577" s="21">
        <v>4.3499999999999996</v>
      </c>
      <c r="AG577" s="21">
        <v>14.47</v>
      </c>
      <c r="AH577" s="15">
        <f t="shared" si="158"/>
        <v>2.9200000000000045E-2</v>
      </c>
      <c r="AI577" s="15">
        <f t="shared" si="159"/>
        <v>0.10220000000000014</v>
      </c>
      <c r="AJ577" s="10">
        <v>0.5</v>
      </c>
      <c r="AK577" s="10">
        <v>0.5</v>
      </c>
      <c r="AL577" s="21">
        <v>4.3499999999999996</v>
      </c>
      <c r="AM577" s="9">
        <f t="shared" si="142"/>
        <v>2.1705000000000001</v>
      </c>
      <c r="AN577" s="9">
        <f t="shared" si="143"/>
        <v>0.43409999999999999</v>
      </c>
      <c r="AO577" s="9">
        <f t="shared" si="144"/>
        <v>2.8940000000000001</v>
      </c>
      <c r="AP577" s="9">
        <f t="shared" si="145"/>
        <v>0.28940000000000005</v>
      </c>
      <c r="AQ577" s="9">
        <f t="shared" si="146"/>
        <v>2.8940000000000001</v>
      </c>
      <c r="AR577" s="9">
        <f t="shared" si="147"/>
        <v>3.6175000000000002</v>
      </c>
      <c r="AS577" s="11">
        <f t="shared" si="148"/>
        <v>0.29200000000000043</v>
      </c>
      <c r="AT577" s="12">
        <f t="shared" si="149"/>
        <v>-0.19033333333333294</v>
      </c>
    </row>
    <row r="578" spans="1:46" ht="16.5" x14ac:dyDescent="0.4">
      <c r="A578" s="4" t="s">
        <v>2568</v>
      </c>
      <c r="B578" s="4" t="s">
        <v>2710</v>
      </c>
      <c r="C578" s="4" t="s">
        <v>2712</v>
      </c>
      <c r="D578" s="4" t="s">
        <v>2747</v>
      </c>
      <c r="E578" s="4" t="s">
        <v>2906</v>
      </c>
      <c r="F578" s="4" t="s">
        <v>3065</v>
      </c>
      <c r="G578" s="7" t="str">
        <f>VLOOKUP(A578,[1]done!$A:$I,9,0)</f>
        <v>Oil based pest repellent</v>
      </c>
      <c r="H578" s="7" t="str" cm="1">
        <f t="array" ref="H578">_xlfn.IFS(
OR(ISNUMBER(SEARCH("mouse",E578)),ISNUMBER(SEARCH("rat",E578)),ISNUMBER(SEARCH("mice",E578)),ISNUMBER(SEARCH("rodent",E578))),"Rodent Control",
OR(ISNUMBER(SEARCH("fly",E578)),ISNUMBER(SEARCH("gnat",E578)),ISNUMBER(SEARCH("insect",E578)),ISNUMBER(SEARCH("mosquito",E578))),"Flying Insect Control",
OR(ISNUMBER(SEARCH("roach",E578)),ISNUMBER(SEARCH("ant",E578)),ISNUMBER(SEARCH("spider",E578)),ISNUMBER(SEARCH("cricket",E578)),ISNUMBER(SEARCH("scorpion",E578)),ISNUMBER(SEARCH("centipede",E578)),ISNUMBER(SEARCH("beetle",E578))),"Crawling Insect Control",
OR(ISNUMBER(SEARCH("tree",E578)),ISNUMBER(SEARCH("lantern",E578)),ISNUMBER(SEARCH("garden",E578)),ISNUMBER(SEARCH("plant",E578))),"Garden Pest Control",
OR(ISNUMBER(SEARCH("grass seed",E578)),ISNUMBER(SEARCH("seed mix",E578))),"Grass Seed",
OR(ISNUMBER(SEARCH("lawn food",E578)),ISNUMBER(SEARCH("fertilizer",E578))),"Lawn Fertilizer",
OR(ISNUMBER(SEARCH("patch",E578)),ISNUMBER(SEARCH("repair",E578)),ISNUMBER(SEARCH("thick'r",E578)),ISNUMBER(SEARCH("thick'r lawn",E578)),ISNUMBER(SEARCH("rapid grass",E578))),"Lawn Repair",
OR(ISNUMBER(SEARCH("weed",E578)),ISNUMBER(SEARCH("crabgrass",E578))),"Weed Control",
OR(ISNUMBER(SEARCH("fungicide",E578)),ISNUMBER(SEARCH("moss",E578))),"Disease &amp; Moss Control",
OR(ISNUMBER(SEARCH("plant food",E578)),ISNUMBER(SEARCH("miracid",E578))),"Plant Nutrition",
OR(ISNUMBER(SEARCH("perlite",E578))),"Soil Amendment",
OR(ISNUMBER(SEARCH("spreader",E578)),ISNUMBER(SEARCH("sprayer",E578)),ISNUMBER(SEARCH("mower",E578)),ISNUMBER(SEARCH("sweeper",E578)),ISNUMBER(SEARCH("pruner",E578)),ISNUMBER(SEARCH("trimmer",E578)),ISNUMBER(SEARCH("pole saw",E578))),"Garden Equipment",
TRUE,"Other"
)</f>
        <v>Other</v>
      </c>
      <c r="I578" s="7" t="str" cm="1">
        <f t="array" ref="I578">_xlfn.IFS(
OR(ISNUMBER(SEARCH("glue trap",E578)),ISNUMBER(SEARCH("glue board",E578))),"Glue Traps",
OR(ISNUMBER(SEARCH("snap trap",E578)),ISNUMBER(SEARCH("power-kill",E578)),ISNUMBER(SEARCH("wide pedal",E578)),ISNUMBER(SEARCH("metal pedal",E578))),"Snap Traps",
OR(ISNUMBER(SEARCH("electronic",E578)),ISNUMBER(SEARCH("zapper",E578))),"Electronic Traps",
OR(ISNUMBER(SEARCH("live catch",E578)),ISNUMBER(SEARCH("multi-catch",E578)),ISNUMBER(SEARCH("catch &amp; hold",E578)),ISNUMBER(SEARCH("tin cat",E578))),"Live Catch Traps",
OR(ISNUMBER(SEARCH("bait",E578)),ISNUMBER(SEARCH("poison",E578))),"Bait &amp; Poison",
ISNUMBER(SEARCH("repellent",E578)),"Repellents",
OR(ISNUMBER(SEARCH("fly trap",E578)),ISNUMBER(SEARCH("fly ribbon",E578)),ISNUMBER(SEARCH("fly stick",E578)),ISNUMBER(SEARCH("window fly",E578)),ISNUMBER(SEARCH("fly magnet",E578))),"Fly Traps",
OR(ISNUMBER(SEARCH("uv",E578)),ISNUMBER(SEARCH("fly light",E578)),ISNUMBER(SEARCH("plug-in",E578))),"UV Fly Traps",
ISNUMBER(SEARCH("roach",E578)),"Roach Traps",
ISNUMBER(SEARCH("ant",E578)),"Ant Traps",
ISNUMBER(SEARCH("spider",E578)),"Spider Traps",
ISNUMBER(SEARCH("mosquito",E578)),"Mosquito Traps",
ISNUMBER(SEARCH("beetle",E578)),"Beetle Traps",
ISNUMBER(SEARCH("lantern",E578)),"Lanternfly Control",
OR(ISNUMBER(SEARCH("tree shield",E578)),ISNUMBER(SEARCH("tree banding",E578)),ISNUMBER(SEARCH("insect barrier",E578))),"Tree Barriers",
OR(ISNUMBER(SEARCH("sun &amp; shade",E578)),ISNUMBER(SEARCH("sun and shade",E578))),"Sun &amp; Shade Mix",
ISNUMBER(SEARCH("tall fescue",E578)),"Tall Fescue",
ISNUMBER(SEARCH("bermudagrass",E578)),"Bermudagrass",
ISNUMBER(SEARCH("kentucky",E578)),"Kentucky Bluegrass",
ISNUMBER(SEARCH("zoysia",E578)),"Zoysia",
ISNUMBER(SEARCH("ryegrass",E578)),"Perennial Ryegrass",
ISNUMBER(SEARCH("centipede",E578)),"Centipede Grass",
ISNUMBER(SEARCH("dense shade",E578)),"Dense Shade Mix",
ISNUMBER(SEARCH("southern gold",E578)),"Southern Gold Mix",
ISNUMBER(SEARCH("heat-tolerant blue",E578)),"Heat-Tolerant Blue Mix",
ISNUMBER(SEARCH("high traffic",E578)),"High Traffic Mix",
ISNUMBER(SEARCH("quick fix",E578)),"Quick Fix Mix",
ISNUMBER(SEARCH("starter",E578)),"Starter Fertilizer",
ISNUMBER(SEARCH("weed &amp; feed",E578)),"Weed &amp; Feed",
ISNUMBER(SEARCH("lawn food",E578)),"Lawn Food",
ISNUMBER(SEARCH("triple action",E578)),"Triple Action Fertilizer",
ISNUMBER(SEARCH("green max",E578)),"Green Max Lawn Food",
ISNUMBER(SEARCH("patchmaster",E578)),"PatchMaster Repair",
ISNUMBER(SEARCH("ez seed",E578)),"EZ Seed Repair",
ISNUMBER(SEARCH("rapid grass",E578)),"Rapid Grass",
ISNUMBER(SEARCH("thick'r lawn",E578)),"Thick'R Lawn",
ISNUMBER(SEARCH("fungicide",E578)),"Fungicide",
ISNUMBER(SEARCH("moss",E578)),"Moss Control",
ISNUMBER(SEARCH("perlite",E578)),"Perlite",
ISNUMBER(SEARCH("plant food",E578)),"Plant Food",
ISNUMBER(SEARCH("spreader",E578)),"Spreader",
ISNUMBER(SEARCH("sprayer",E578)),"Sprayer",
ISNUMBER(SEARCH("mower",E578)),"Lawn Mower",
ISNUMBER(SEARCH("sweeper",E578)),"Lawn Sweeper",
OR(ISNUMBER(SEARCH("pruner",E578)),ISNUMBER(SEARCH("trimmer",E578)),ISNUMBER(SEARCH("pole saw",E578))),"Pruning Tools",
TRUE,"Other"
)</f>
        <v>Other</v>
      </c>
      <c r="J578" s="7" t="str">
        <f t="shared" si="171"/>
        <v>Other - Other</v>
      </c>
      <c r="K578" s="4">
        <v>2000</v>
      </c>
      <c r="L578" s="4">
        <v>4.0999999999999996</v>
      </c>
      <c r="M578" s="4">
        <v>3764</v>
      </c>
      <c r="N578" s="4" t="s">
        <v>3220</v>
      </c>
      <c r="O578" s="4">
        <f>VLOOKUP(A578,[13]Sheet1!$A:$M,2,0)</f>
        <v>1000</v>
      </c>
      <c r="P578" s="4">
        <f>VLOOKUP(A578,[13]Sheet1!$A:$M,3,0)</f>
        <v>1000</v>
      </c>
      <c r="Q578" s="4">
        <f>VLOOKUP(A578,[13]Sheet1!$A:$M,4,0)</f>
        <v>1000</v>
      </c>
      <c r="R578" s="4">
        <f>VLOOKUP(A578,[13]Sheet1!$A:$M,5,0)</f>
        <v>5000</v>
      </c>
      <c r="S578" s="4">
        <f>VLOOKUP(A578,[13]Sheet1!$A:$M,6,0)</f>
        <v>5000</v>
      </c>
      <c r="T578" s="4">
        <f>VLOOKUP(A578,[13]Sheet1!$A:$M,7,0)</f>
        <v>8000</v>
      </c>
      <c r="U578" s="4">
        <f>VLOOKUP(A578,[13]Sheet1!$A:$M,8,0)</f>
        <v>10000</v>
      </c>
      <c r="V578" s="4">
        <f>VLOOKUP(A578,[13]Sheet1!$A:$M,9,0)</f>
        <v>4000</v>
      </c>
      <c r="W578" s="4">
        <f>VLOOKUP(A578,[13]Sheet1!$A:$M,10,0)</f>
        <v>2000</v>
      </c>
      <c r="X578" s="4">
        <f>VLOOKUP(A578,[13]Sheet1!$A:$M,11,0)</f>
        <v>2000</v>
      </c>
      <c r="Y578" s="4">
        <f>VLOOKUP(A578,[13]Sheet1!$A:$M,12,0)</f>
        <v>1000</v>
      </c>
      <c r="Z578" s="4">
        <f>VLOOKUP(A578,[13]Sheet1!$A:$M,13,0)</f>
        <v>800</v>
      </c>
      <c r="AA578" s="4">
        <f t="shared" si="176"/>
        <v>40800</v>
      </c>
      <c r="AB578" s="7">
        <f t="shared" si="177"/>
        <v>3400</v>
      </c>
      <c r="AC578" s="15">
        <f t="shared" si="178"/>
        <v>3400</v>
      </c>
      <c r="AD578" s="16">
        <f t="shared" si="179"/>
        <v>814776</v>
      </c>
      <c r="AE578" s="16">
        <f t="shared" si="180"/>
        <v>67898</v>
      </c>
      <c r="AF578" s="21">
        <v>8.0399999999999991</v>
      </c>
      <c r="AG578" s="21">
        <v>19.97</v>
      </c>
      <c r="AH578" s="15">
        <f t="shared" si="158"/>
        <v>-7.0133333333333311E-2</v>
      </c>
      <c r="AI578" s="15">
        <f t="shared" si="159"/>
        <v>-0.24546666666666656</v>
      </c>
      <c r="AJ578" s="10">
        <v>0.5</v>
      </c>
      <c r="AK578" s="10">
        <v>0.5</v>
      </c>
      <c r="AL578" s="21">
        <v>8.0399999999999991</v>
      </c>
      <c r="AM578" s="9">
        <f t="shared" si="142"/>
        <v>2.9954999999999998</v>
      </c>
      <c r="AN578" s="9">
        <f t="shared" si="143"/>
        <v>0.59909999999999997</v>
      </c>
      <c r="AO578" s="9">
        <f t="shared" si="144"/>
        <v>3.9939999999999998</v>
      </c>
      <c r="AP578" s="9">
        <f t="shared" si="145"/>
        <v>0.39939999999999998</v>
      </c>
      <c r="AQ578" s="9">
        <f t="shared" si="146"/>
        <v>3.9939999999999998</v>
      </c>
      <c r="AR578" s="9">
        <f t="shared" si="147"/>
        <v>4.9924999999999997</v>
      </c>
      <c r="AS578" s="11">
        <f t="shared" si="148"/>
        <v>-0.70133333333333303</v>
      </c>
      <c r="AT578" s="12">
        <f t="shared" si="149"/>
        <v>-1.3669999999999998</v>
      </c>
    </row>
    <row r="579" spans="1:46" ht="16.5" x14ac:dyDescent="0.4">
      <c r="A579" s="4" t="s">
        <v>2569</v>
      </c>
      <c r="B579" s="4" t="s">
        <v>2710</v>
      </c>
      <c r="C579" s="4" t="s">
        <v>2712</v>
      </c>
      <c r="D579" s="4" t="s">
        <v>2748</v>
      </c>
      <c r="E579" s="4" t="s">
        <v>2907</v>
      </c>
      <c r="F579" s="4" t="s">
        <v>3066</v>
      </c>
      <c r="G579" s="7" t="str">
        <f>VLOOKUP(A579,[1]done!$A:$I,9,0)</f>
        <v>Insecticide/Fungicide</v>
      </c>
      <c r="H579" s="7" t="str" cm="1">
        <f t="array" ref="H579">_xlfn.IFS(
OR(ISNUMBER(SEARCH("mouse",E579)),ISNUMBER(SEARCH("rat",E579)),ISNUMBER(SEARCH("mice",E579)),ISNUMBER(SEARCH("rodent",E579))),"Rodent Control",
OR(ISNUMBER(SEARCH("fly",E579)),ISNUMBER(SEARCH("gnat",E579)),ISNUMBER(SEARCH("insect",E579)),ISNUMBER(SEARCH("mosquito",E579))),"Flying Insect Control",
OR(ISNUMBER(SEARCH("roach",E579)),ISNUMBER(SEARCH("ant",E579)),ISNUMBER(SEARCH("spider",E579)),ISNUMBER(SEARCH("cricket",E579)),ISNUMBER(SEARCH("scorpion",E579)),ISNUMBER(SEARCH("centipede",E579)),ISNUMBER(SEARCH("beetle",E579))),"Crawling Insect Control",
OR(ISNUMBER(SEARCH("tree",E579)),ISNUMBER(SEARCH("lantern",E579)),ISNUMBER(SEARCH("garden",E579)),ISNUMBER(SEARCH("plant",E579))),"Garden Pest Control",
OR(ISNUMBER(SEARCH("grass seed",E579)),ISNUMBER(SEARCH("seed mix",E579))),"Grass Seed",
OR(ISNUMBER(SEARCH("lawn food",E579)),ISNUMBER(SEARCH("fertilizer",E579))),"Lawn Fertilizer",
OR(ISNUMBER(SEARCH("patch",E579)),ISNUMBER(SEARCH("repair",E579)),ISNUMBER(SEARCH("thick'r",E579)),ISNUMBER(SEARCH("thick'r lawn",E579)),ISNUMBER(SEARCH("rapid grass",E579))),"Lawn Repair",
OR(ISNUMBER(SEARCH("weed",E579)),ISNUMBER(SEARCH("crabgrass",E579))),"Weed Control",
OR(ISNUMBER(SEARCH("fungicide",E579)),ISNUMBER(SEARCH("moss",E579))),"Disease &amp; Moss Control",
OR(ISNUMBER(SEARCH("plant food",E579)),ISNUMBER(SEARCH("miracid",E579))),"Plant Nutrition",
OR(ISNUMBER(SEARCH("perlite",E579))),"Soil Amendment",
OR(ISNUMBER(SEARCH("spreader",E579)),ISNUMBER(SEARCH("sprayer",E579)),ISNUMBER(SEARCH("mower",E579)),ISNUMBER(SEARCH("sweeper",E579)),ISNUMBER(SEARCH("pruner",E579)),ISNUMBER(SEARCH("trimmer",E579)),ISNUMBER(SEARCH("pole saw",E579))),"Garden Equipment",
TRUE,"Other"
)</f>
        <v>Rodent Control</v>
      </c>
      <c r="I579" s="7" t="str" cm="1">
        <f t="array" ref="I579">_xlfn.IFS(
OR(ISNUMBER(SEARCH("glue trap",E579)),ISNUMBER(SEARCH("glue board",E579))),"Glue Traps",
OR(ISNUMBER(SEARCH("snap trap",E579)),ISNUMBER(SEARCH("power-kill",E579)),ISNUMBER(SEARCH("wide pedal",E579)),ISNUMBER(SEARCH("metal pedal",E579))),"Snap Traps",
OR(ISNUMBER(SEARCH("electronic",E579)),ISNUMBER(SEARCH("zapper",E579))),"Electronic Traps",
OR(ISNUMBER(SEARCH("live catch",E579)),ISNUMBER(SEARCH("multi-catch",E579)),ISNUMBER(SEARCH("catch &amp; hold",E579)),ISNUMBER(SEARCH("tin cat",E579))),"Live Catch Traps",
OR(ISNUMBER(SEARCH("bait",E579)),ISNUMBER(SEARCH("poison",E579))),"Bait &amp; Poison",
ISNUMBER(SEARCH("repellent",E579)),"Repellents",
OR(ISNUMBER(SEARCH("fly trap",E579)),ISNUMBER(SEARCH("fly ribbon",E579)),ISNUMBER(SEARCH("fly stick",E579)),ISNUMBER(SEARCH("window fly",E579)),ISNUMBER(SEARCH("fly magnet",E579))),"Fly Traps",
OR(ISNUMBER(SEARCH("uv",E579)),ISNUMBER(SEARCH("fly light",E579)),ISNUMBER(SEARCH("plug-in",E579))),"UV Fly Traps",
ISNUMBER(SEARCH("roach",E579)),"Roach Traps",
ISNUMBER(SEARCH("ant",E579)),"Ant Traps",
ISNUMBER(SEARCH("spider",E579)),"Spider Traps",
ISNUMBER(SEARCH("mosquito",E579)),"Mosquito Traps",
ISNUMBER(SEARCH("beetle",E579)),"Beetle Traps",
ISNUMBER(SEARCH("lantern",E579)),"Lanternfly Control",
OR(ISNUMBER(SEARCH("tree shield",E579)),ISNUMBER(SEARCH("tree banding",E579)),ISNUMBER(SEARCH("insect barrier",E579))),"Tree Barriers",
OR(ISNUMBER(SEARCH("sun &amp; shade",E579)),ISNUMBER(SEARCH("sun and shade",E579))),"Sun &amp; Shade Mix",
ISNUMBER(SEARCH("tall fescue",E579)),"Tall Fescue",
ISNUMBER(SEARCH("bermudagrass",E579)),"Bermudagrass",
ISNUMBER(SEARCH("kentucky",E579)),"Kentucky Bluegrass",
ISNUMBER(SEARCH("zoysia",E579)),"Zoysia",
ISNUMBER(SEARCH("ryegrass",E579)),"Perennial Ryegrass",
ISNUMBER(SEARCH("centipede",E579)),"Centipede Grass",
ISNUMBER(SEARCH("dense shade",E579)),"Dense Shade Mix",
ISNUMBER(SEARCH("southern gold",E579)),"Southern Gold Mix",
ISNUMBER(SEARCH("heat-tolerant blue",E579)),"Heat-Tolerant Blue Mix",
ISNUMBER(SEARCH("high traffic",E579)),"High Traffic Mix",
ISNUMBER(SEARCH("quick fix",E579)),"Quick Fix Mix",
ISNUMBER(SEARCH("starter",E579)),"Starter Fertilizer",
ISNUMBER(SEARCH("weed &amp; feed",E579)),"Weed &amp; Feed",
ISNUMBER(SEARCH("lawn food",E579)),"Lawn Food",
ISNUMBER(SEARCH("triple action",E579)),"Triple Action Fertilizer",
ISNUMBER(SEARCH("green max",E579)),"Green Max Lawn Food",
ISNUMBER(SEARCH("patchmaster",E579)),"PatchMaster Repair",
ISNUMBER(SEARCH("ez seed",E579)),"EZ Seed Repair",
ISNUMBER(SEARCH("rapid grass",E579)),"Rapid Grass",
ISNUMBER(SEARCH("thick'r lawn",E579)),"Thick'R Lawn",
ISNUMBER(SEARCH("fungicide",E579)),"Fungicide",
ISNUMBER(SEARCH("moss",E579)),"Moss Control",
ISNUMBER(SEARCH("perlite",E579)),"Perlite",
ISNUMBER(SEARCH("plant food",E579)),"Plant Food",
ISNUMBER(SEARCH("spreader",E579)),"Spreader",
ISNUMBER(SEARCH("sprayer",E579)),"Sprayer",
ISNUMBER(SEARCH("mower",E579)),"Lawn Mower",
ISNUMBER(SEARCH("sweeper",E579)),"Lawn Sweeper",
OR(ISNUMBER(SEARCH("pruner",E579)),ISNUMBER(SEARCH("trimmer",E579)),ISNUMBER(SEARCH("pole saw",E579))),"Pruning Tools",
TRUE,"Other"
)</f>
        <v>Other</v>
      </c>
      <c r="J579" s="7" t="str">
        <f t="shared" si="171"/>
        <v>Rodent Control - Other</v>
      </c>
      <c r="K579" s="4">
        <v>2000</v>
      </c>
      <c r="L579" s="4">
        <v>4.5999999999999996</v>
      </c>
      <c r="M579" s="4">
        <v>5943</v>
      </c>
      <c r="N579" s="4" t="s">
        <v>3209</v>
      </c>
      <c r="O579" s="4">
        <f>VLOOKUP(A579,[13]Sheet1!$A:$M,2,0)</f>
        <v>0</v>
      </c>
      <c r="P579" s="4">
        <f>VLOOKUP(A579,[13]Sheet1!$A:$M,3,0)</f>
        <v>0</v>
      </c>
      <c r="Q579" s="4">
        <f>VLOOKUP(A579,[13]Sheet1!$A:$M,4,0)</f>
        <v>900</v>
      </c>
      <c r="R579" s="4">
        <f>VLOOKUP(A579,[13]Sheet1!$A:$M,5,0)</f>
        <v>2000</v>
      </c>
      <c r="S579" s="4">
        <f>VLOOKUP(A579,[13]Sheet1!$A:$M,6,0)</f>
        <v>3000</v>
      </c>
      <c r="T579" s="4">
        <f>VLOOKUP(A579,[13]Sheet1!$A:$M,7,0)</f>
        <v>4000</v>
      </c>
      <c r="U579" s="4">
        <f>VLOOKUP(A579,[13]Sheet1!$A:$M,8,0)</f>
        <v>6000</v>
      </c>
      <c r="V579" s="4">
        <f>VLOOKUP(A579,[13]Sheet1!$A:$M,9,0)</f>
        <v>3000</v>
      </c>
      <c r="W579" s="4">
        <f>VLOOKUP(A579,[13]Sheet1!$A:$M,10,0)</f>
        <v>2000</v>
      </c>
      <c r="X579" s="4">
        <f>VLOOKUP(A579,[13]Sheet1!$A:$M,11,0)</f>
        <v>0</v>
      </c>
      <c r="Y579" s="4">
        <f>VLOOKUP(A579,[13]Sheet1!$A:$M,12,0)</f>
        <v>0</v>
      </c>
      <c r="Z579" s="4">
        <f>VLOOKUP(A579,[13]Sheet1!$A:$M,13,0)</f>
        <v>0</v>
      </c>
      <c r="AA579" s="4">
        <f t="shared" si="176"/>
        <v>20900</v>
      </c>
      <c r="AB579" s="7">
        <f t="shared" si="177"/>
        <v>1742</v>
      </c>
      <c r="AC579" s="15">
        <f t="shared" si="178"/>
        <v>1741.6666666666667</v>
      </c>
      <c r="AD579" s="16">
        <f t="shared" si="179"/>
        <v>505780</v>
      </c>
      <c r="AE579" s="16">
        <f t="shared" si="180"/>
        <v>42148.333333333336</v>
      </c>
      <c r="AF579" s="21">
        <v>6.31</v>
      </c>
      <c r="AG579" s="21">
        <v>24.2</v>
      </c>
      <c r="AH579" s="15">
        <f t="shared" si="158"/>
        <v>0.15800000000000003</v>
      </c>
      <c r="AI579" s="15">
        <f t="shared" si="159"/>
        <v>0.55299999999999994</v>
      </c>
      <c r="AJ579" s="10">
        <v>0.5</v>
      </c>
      <c r="AK579" s="10">
        <v>0.5</v>
      </c>
      <c r="AL579" s="21">
        <v>6.31</v>
      </c>
      <c r="AM579" s="9">
        <f t="shared" ref="AM579:AM642" si="181">0.15*AG579</f>
        <v>3.63</v>
      </c>
      <c r="AN579" s="9">
        <f t="shared" ref="AN579:AN642" si="182">0.03*AG579</f>
        <v>0.72599999999999998</v>
      </c>
      <c r="AO579" s="9">
        <f t="shared" ref="AO579:AO642" si="183">0.2*AG579</f>
        <v>4.84</v>
      </c>
      <c r="AP579" s="9">
        <f t="shared" ref="AP579:AP642" si="184">0.02*AG579</f>
        <v>0.48399999999999999</v>
      </c>
      <c r="AQ579" s="9">
        <f t="shared" ref="AQ579:AQ642" si="185">0.2*AG579</f>
        <v>4.84</v>
      </c>
      <c r="AR579" s="9">
        <f t="shared" ref="AR579:AR642" si="186">0.25*AG579</f>
        <v>6.05</v>
      </c>
      <c r="AS579" s="11">
        <f t="shared" ref="AS579:AS642" si="187">(AG579*(1-(0.15+0.03+0.2+0.02))-AJ579-AK579-AL579-AQ579)/(1+0.1+0.4)</f>
        <v>1.58</v>
      </c>
      <c r="AT579" s="12">
        <f t="shared" ref="AT579:AT642" si="188">(AG579*(1-(0.15+0.03+0.2+0.02))-AJ579-AK579-AL579-AR579)/(1+0.1+0.4)</f>
        <v>0.77333333333333343</v>
      </c>
    </row>
    <row r="580" spans="1:46" ht="16.5" x14ac:dyDescent="0.4">
      <c r="A580" s="4" t="s">
        <v>2570</v>
      </c>
      <c r="B580" s="4" t="s">
        <v>2710</v>
      </c>
      <c r="C580" s="4" t="s">
        <v>2712</v>
      </c>
      <c r="D580" s="4" t="s">
        <v>2749</v>
      </c>
      <c r="E580" s="4" t="s">
        <v>2908</v>
      </c>
      <c r="F580" s="4" t="s">
        <v>3067</v>
      </c>
      <c r="G580" s="7" t="str">
        <f>VLOOKUP(A580,[1]done!$A:$I,9,0)</f>
        <v>Insecticide/Fungicide</v>
      </c>
      <c r="H580" s="7" t="str" cm="1">
        <f t="array" ref="H580">_xlfn.IFS(
OR(ISNUMBER(SEARCH("mouse",E580)),ISNUMBER(SEARCH("rat",E580)),ISNUMBER(SEARCH("mice",E580)),ISNUMBER(SEARCH("rodent",E580))),"Rodent Control",
OR(ISNUMBER(SEARCH("fly",E580)),ISNUMBER(SEARCH("gnat",E580)),ISNUMBER(SEARCH("insect",E580)),ISNUMBER(SEARCH("mosquito",E580))),"Flying Insect Control",
OR(ISNUMBER(SEARCH("roach",E580)),ISNUMBER(SEARCH("ant",E580)),ISNUMBER(SEARCH("spider",E580)),ISNUMBER(SEARCH("cricket",E580)),ISNUMBER(SEARCH("scorpion",E580)),ISNUMBER(SEARCH("centipede",E580)),ISNUMBER(SEARCH("beetle",E580))),"Crawling Insect Control",
OR(ISNUMBER(SEARCH("tree",E580)),ISNUMBER(SEARCH("lantern",E580)),ISNUMBER(SEARCH("garden",E580)),ISNUMBER(SEARCH("plant",E580))),"Garden Pest Control",
OR(ISNUMBER(SEARCH("grass seed",E580)),ISNUMBER(SEARCH("seed mix",E580))),"Grass Seed",
OR(ISNUMBER(SEARCH("lawn food",E580)),ISNUMBER(SEARCH("fertilizer",E580))),"Lawn Fertilizer",
OR(ISNUMBER(SEARCH("patch",E580)),ISNUMBER(SEARCH("repair",E580)),ISNUMBER(SEARCH("thick'r",E580)),ISNUMBER(SEARCH("thick'r lawn",E580)),ISNUMBER(SEARCH("rapid grass",E580))),"Lawn Repair",
OR(ISNUMBER(SEARCH("weed",E580)),ISNUMBER(SEARCH("crabgrass",E580))),"Weed Control",
OR(ISNUMBER(SEARCH("fungicide",E580)),ISNUMBER(SEARCH("moss",E580))),"Disease &amp; Moss Control",
OR(ISNUMBER(SEARCH("plant food",E580)),ISNUMBER(SEARCH("miracid",E580))),"Plant Nutrition",
OR(ISNUMBER(SEARCH("perlite",E580))),"Soil Amendment",
OR(ISNUMBER(SEARCH("spreader",E580)),ISNUMBER(SEARCH("sprayer",E580)),ISNUMBER(SEARCH("mower",E580)),ISNUMBER(SEARCH("sweeper",E580)),ISNUMBER(SEARCH("pruner",E580)),ISNUMBER(SEARCH("trimmer",E580)),ISNUMBER(SEARCH("pole saw",E580))),"Garden Equipment",
TRUE,"Other"
)</f>
        <v>Flying Insect Control</v>
      </c>
      <c r="I580" s="7" t="str" cm="1">
        <f t="array" ref="I580">_xlfn.IFS(
OR(ISNUMBER(SEARCH("glue trap",E580)),ISNUMBER(SEARCH("glue board",E580))),"Glue Traps",
OR(ISNUMBER(SEARCH("snap trap",E580)),ISNUMBER(SEARCH("power-kill",E580)),ISNUMBER(SEARCH("wide pedal",E580)),ISNUMBER(SEARCH("metal pedal",E580))),"Snap Traps",
OR(ISNUMBER(SEARCH("electronic",E580)),ISNUMBER(SEARCH("zapper",E580))),"Electronic Traps",
OR(ISNUMBER(SEARCH("live catch",E580)),ISNUMBER(SEARCH("multi-catch",E580)),ISNUMBER(SEARCH("catch &amp; hold",E580)),ISNUMBER(SEARCH("tin cat",E580))),"Live Catch Traps",
OR(ISNUMBER(SEARCH("bait",E580)),ISNUMBER(SEARCH("poison",E580))),"Bait &amp; Poison",
ISNUMBER(SEARCH("repellent",E580)),"Repellents",
OR(ISNUMBER(SEARCH("fly trap",E580)),ISNUMBER(SEARCH("fly ribbon",E580)),ISNUMBER(SEARCH("fly stick",E580)),ISNUMBER(SEARCH("window fly",E580)),ISNUMBER(SEARCH("fly magnet",E580))),"Fly Traps",
OR(ISNUMBER(SEARCH("uv",E580)),ISNUMBER(SEARCH("fly light",E580)),ISNUMBER(SEARCH("plug-in",E580))),"UV Fly Traps",
ISNUMBER(SEARCH("roach",E580)),"Roach Traps",
ISNUMBER(SEARCH("ant",E580)),"Ant Traps",
ISNUMBER(SEARCH("spider",E580)),"Spider Traps",
ISNUMBER(SEARCH("mosquito",E580)),"Mosquito Traps",
ISNUMBER(SEARCH("beetle",E580)),"Beetle Traps",
ISNUMBER(SEARCH("lantern",E580)),"Lanternfly Control",
OR(ISNUMBER(SEARCH("tree shield",E580)),ISNUMBER(SEARCH("tree banding",E580)),ISNUMBER(SEARCH("insect barrier",E580))),"Tree Barriers",
OR(ISNUMBER(SEARCH("sun &amp; shade",E580)),ISNUMBER(SEARCH("sun and shade",E580))),"Sun &amp; Shade Mix",
ISNUMBER(SEARCH("tall fescue",E580)),"Tall Fescue",
ISNUMBER(SEARCH("bermudagrass",E580)),"Bermudagrass",
ISNUMBER(SEARCH("kentucky",E580)),"Kentucky Bluegrass",
ISNUMBER(SEARCH("zoysia",E580)),"Zoysia",
ISNUMBER(SEARCH("ryegrass",E580)),"Perennial Ryegrass",
ISNUMBER(SEARCH("centipede",E580)),"Centipede Grass",
ISNUMBER(SEARCH("dense shade",E580)),"Dense Shade Mix",
ISNUMBER(SEARCH("southern gold",E580)),"Southern Gold Mix",
ISNUMBER(SEARCH("heat-tolerant blue",E580)),"Heat-Tolerant Blue Mix",
ISNUMBER(SEARCH("high traffic",E580)),"High Traffic Mix",
ISNUMBER(SEARCH("quick fix",E580)),"Quick Fix Mix",
ISNUMBER(SEARCH("starter",E580)),"Starter Fertilizer",
ISNUMBER(SEARCH("weed &amp; feed",E580)),"Weed &amp; Feed",
ISNUMBER(SEARCH("lawn food",E580)),"Lawn Food",
ISNUMBER(SEARCH("triple action",E580)),"Triple Action Fertilizer",
ISNUMBER(SEARCH("green max",E580)),"Green Max Lawn Food",
ISNUMBER(SEARCH("patchmaster",E580)),"PatchMaster Repair",
ISNUMBER(SEARCH("ez seed",E580)),"EZ Seed Repair",
ISNUMBER(SEARCH("rapid grass",E580)),"Rapid Grass",
ISNUMBER(SEARCH("thick'r lawn",E580)),"Thick'R Lawn",
ISNUMBER(SEARCH("fungicide",E580)),"Fungicide",
ISNUMBER(SEARCH("moss",E580)),"Moss Control",
ISNUMBER(SEARCH("perlite",E580)),"Perlite",
ISNUMBER(SEARCH("plant food",E580)),"Plant Food",
ISNUMBER(SEARCH("spreader",E580)),"Spreader",
ISNUMBER(SEARCH("sprayer",E580)),"Sprayer",
ISNUMBER(SEARCH("mower",E580)),"Lawn Mower",
ISNUMBER(SEARCH("sweeper",E580)),"Lawn Sweeper",
OR(ISNUMBER(SEARCH("pruner",E580)),ISNUMBER(SEARCH("trimmer",E580)),ISNUMBER(SEARCH("pole saw",E580))),"Pruning Tools",
TRUE,"Other"
)</f>
        <v>Other</v>
      </c>
      <c r="J580" s="7" t="str">
        <f t="shared" si="171"/>
        <v>Flying Insect Control - Other</v>
      </c>
      <c r="K580" s="4">
        <v>2000</v>
      </c>
      <c r="L580" s="4">
        <v>4.5999999999999996</v>
      </c>
      <c r="M580" s="4">
        <v>6811</v>
      </c>
      <c r="N580" s="4" t="s">
        <v>3221</v>
      </c>
      <c r="O580" s="4">
        <f>VLOOKUP(A580,[13]Sheet1!$A:$M,2,0)</f>
        <v>950</v>
      </c>
      <c r="P580" s="4">
        <f>VLOOKUP(A580,[13]Sheet1!$A:$M,3,0)</f>
        <v>1000</v>
      </c>
      <c r="Q580" s="4">
        <f>VLOOKUP(A580,[13]Sheet1!$A:$M,4,0)</f>
        <v>1000</v>
      </c>
      <c r="R580" s="4">
        <f>VLOOKUP(A580,[13]Sheet1!$A:$M,5,0)</f>
        <v>2000</v>
      </c>
      <c r="S580" s="4">
        <f>VLOOKUP(A580,[13]Sheet1!$A:$M,6,0)</f>
        <v>2000</v>
      </c>
      <c r="T580" s="4">
        <f>VLOOKUP(A580,[13]Sheet1!$A:$M,7,0)</f>
        <v>2000</v>
      </c>
      <c r="U580" s="4">
        <f>VLOOKUP(A580,[13]Sheet1!$A:$M,8,0)</f>
        <v>2000</v>
      </c>
      <c r="V580" s="4">
        <f>VLOOKUP(A580,[13]Sheet1!$A:$M,9,0)</f>
        <v>2000</v>
      </c>
      <c r="W580" s="4">
        <f>VLOOKUP(A580,[13]Sheet1!$A:$M,10,0)</f>
        <v>2000</v>
      </c>
      <c r="X580" s="4">
        <f>VLOOKUP(A580,[13]Sheet1!$A:$M,11,0)</f>
        <v>2000</v>
      </c>
      <c r="Y580" s="4">
        <f>VLOOKUP(A580,[13]Sheet1!$A:$M,12,0)</f>
        <v>1000</v>
      </c>
      <c r="Z580" s="4">
        <f>VLOOKUP(A580,[13]Sheet1!$A:$M,13,0)</f>
        <v>1000</v>
      </c>
      <c r="AA580" s="4">
        <f t="shared" si="176"/>
        <v>18950</v>
      </c>
      <c r="AB580" s="7">
        <f t="shared" si="177"/>
        <v>1579</v>
      </c>
      <c r="AC580" s="15">
        <f t="shared" si="178"/>
        <v>1579.1666666666667</v>
      </c>
      <c r="AD580" s="16">
        <f t="shared" si="179"/>
        <v>501606.5</v>
      </c>
      <c r="AE580" s="16">
        <f t="shared" si="180"/>
        <v>41800.541666666664</v>
      </c>
      <c r="AF580" s="21">
        <v>7.71</v>
      </c>
      <c r="AG580" s="21">
        <v>26.47</v>
      </c>
      <c r="AH580" s="15">
        <f t="shared" si="158"/>
        <v>0.12519999999999984</v>
      </c>
      <c r="AI580" s="15">
        <f t="shared" si="159"/>
        <v>0.43819999999999937</v>
      </c>
      <c r="AJ580" s="10">
        <v>0.5</v>
      </c>
      <c r="AK580" s="10">
        <v>0.5</v>
      </c>
      <c r="AL580" s="21">
        <v>7.71</v>
      </c>
      <c r="AM580" s="9">
        <f t="shared" si="181"/>
        <v>3.9704999999999995</v>
      </c>
      <c r="AN580" s="9">
        <f t="shared" si="182"/>
        <v>0.79409999999999992</v>
      </c>
      <c r="AO580" s="9">
        <f t="shared" si="183"/>
        <v>5.2940000000000005</v>
      </c>
      <c r="AP580" s="9">
        <f t="shared" si="184"/>
        <v>0.52939999999999998</v>
      </c>
      <c r="AQ580" s="9">
        <f t="shared" si="185"/>
        <v>5.2940000000000005</v>
      </c>
      <c r="AR580" s="9">
        <f t="shared" si="186"/>
        <v>6.6174999999999997</v>
      </c>
      <c r="AS580" s="11">
        <f t="shared" si="187"/>
        <v>1.2519999999999982</v>
      </c>
      <c r="AT580" s="12">
        <f t="shared" si="188"/>
        <v>0.36966666666666548</v>
      </c>
    </row>
    <row r="581" spans="1:46" ht="16.5" x14ac:dyDescent="0.4">
      <c r="A581" s="4" t="s">
        <v>2571</v>
      </c>
      <c r="B581" s="4" t="s">
        <v>2710</v>
      </c>
      <c r="C581" s="4" t="s">
        <v>2712</v>
      </c>
      <c r="D581" s="4" t="s">
        <v>2750</v>
      </c>
      <c r="E581" s="4" t="s">
        <v>2909</v>
      </c>
      <c r="F581" s="4" t="s">
        <v>3068</v>
      </c>
      <c r="G581" s="7" t="str">
        <f>VLOOKUP(A581,[1]done!$A:$I,9,0)</f>
        <v>Other crawling insects</v>
      </c>
      <c r="H581" s="7" t="str" cm="1">
        <f t="array" ref="H581">_xlfn.IFS(
OR(ISNUMBER(SEARCH("mouse",E581)),ISNUMBER(SEARCH("rat",E581)),ISNUMBER(SEARCH("mice",E581)),ISNUMBER(SEARCH("rodent",E581))),"Rodent Control",
OR(ISNUMBER(SEARCH("fly",E581)),ISNUMBER(SEARCH("gnat",E581)),ISNUMBER(SEARCH("insect",E581)),ISNUMBER(SEARCH("mosquito",E581))),"Flying Insect Control",
OR(ISNUMBER(SEARCH("roach",E581)),ISNUMBER(SEARCH("ant",E581)),ISNUMBER(SEARCH("spider",E581)),ISNUMBER(SEARCH("cricket",E581)),ISNUMBER(SEARCH("scorpion",E581)),ISNUMBER(SEARCH("centipede",E581)),ISNUMBER(SEARCH("beetle",E581))),"Crawling Insect Control",
OR(ISNUMBER(SEARCH("tree",E581)),ISNUMBER(SEARCH("lantern",E581)),ISNUMBER(SEARCH("garden",E581)),ISNUMBER(SEARCH("plant",E581))),"Garden Pest Control",
OR(ISNUMBER(SEARCH("grass seed",E581)),ISNUMBER(SEARCH("seed mix",E581))),"Grass Seed",
OR(ISNUMBER(SEARCH("lawn food",E581)),ISNUMBER(SEARCH("fertilizer",E581))),"Lawn Fertilizer",
OR(ISNUMBER(SEARCH("patch",E581)),ISNUMBER(SEARCH("repair",E581)),ISNUMBER(SEARCH("thick'r",E581)),ISNUMBER(SEARCH("thick'r lawn",E581)),ISNUMBER(SEARCH("rapid grass",E581))),"Lawn Repair",
OR(ISNUMBER(SEARCH("weed",E581)),ISNUMBER(SEARCH("crabgrass",E581))),"Weed Control",
OR(ISNUMBER(SEARCH("fungicide",E581)),ISNUMBER(SEARCH("moss",E581))),"Disease &amp; Moss Control",
OR(ISNUMBER(SEARCH("plant food",E581)),ISNUMBER(SEARCH("miracid",E581))),"Plant Nutrition",
OR(ISNUMBER(SEARCH("perlite",E581))),"Soil Amendment",
OR(ISNUMBER(SEARCH("spreader",E581)),ISNUMBER(SEARCH("sprayer",E581)),ISNUMBER(SEARCH("mower",E581)),ISNUMBER(SEARCH("sweeper",E581)),ISNUMBER(SEARCH("pruner",E581)),ISNUMBER(SEARCH("trimmer",E581)),ISNUMBER(SEARCH("pole saw",E581))),"Garden Equipment",
TRUE,"Other"
)</f>
        <v>Crawling Insect Control</v>
      </c>
      <c r="I581" s="7" t="str" cm="1">
        <f t="array" ref="I581">_xlfn.IFS(
OR(ISNUMBER(SEARCH("glue trap",E581)),ISNUMBER(SEARCH("glue board",E581))),"Glue Traps",
OR(ISNUMBER(SEARCH("snap trap",E581)),ISNUMBER(SEARCH("power-kill",E581)),ISNUMBER(SEARCH("wide pedal",E581)),ISNUMBER(SEARCH("metal pedal",E581))),"Snap Traps",
OR(ISNUMBER(SEARCH("electronic",E581)),ISNUMBER(SEARCH("zapper",E581))),"Electronic Traps",
OR(ISNUMBER(SEARCH("live catch",E581)),ISNUMBER(SEARCH("multi-catch",E581)),ISNUMBER(SEARCH("catch &amp; hold",E581)),ISNUMBER(SEARCH("tin cat",E581))),"Live Catch Traps",
OR(ISNUMBER(SEARCH("bait",E581)),ISNUMBER(SEARCH("poison",E581))),"Bait &amp; Poison",
ISNUMBER(SEARCH("repellent",E581)),"Repellents",
OR(ISNUMBER(SEARCH("fly trap",E581)),ISNUMBER(SEARCH("fly ribbon",E581)),ISNUMBER(SEARCH("fly stick",E581)),ISNUMBER(SEARCH("window fly",E581)),ISNUMBER(SEARCH("fly magnet",E581))),"Fly Traps",
OR(ISNUMBER(SEARCH("uv",E581)),ISNUMBER(SEARCH("fly light",E581)),ISNUMBER(SEARCH("plug-in",E581))),"UV Fly Traps",
ISNUMBER(SEARCH("roach",E581)),"Roach Traps",
ISNUMBER(SEARCH("ant",E581)),"Ant Traps",
ISNUMBER(SEARCH("spider",E581)),"Spider Traps",
ISNUMBER(SEARCH("mosquito",E581)),"Mosquito Traps",
ISNUMBER(SEARCH("beetle",E581)),"Beetle Traps",
ISNUMBER(SEARCH("lantern",E581)),"Lanternfly Control",
OR(ISNUMBER(SEARCH("tree shield",E581)),ISNUMBER(SEARCH("tree banding",E581)),ISNUMBER(SEARCH("insect barrier",E581))),"Tree Barriers",
OR(ISNUMBER(SEARCH("sun &amp; shade",E581)),ISNUMBER(SEARCH("sun and shade",E581))),"Sun &amp; Shade Mix",
ISNUMBER(SEARCH("tall fescue",E581)),"Tall Fescue",
ISNUMBER(SEARCH("bermudagrass",E581)),"Bermudagrass",
ISNUMBER(SEARCH("kentucky",E581)),"Kentucky Bluegrass",
ISNUMBER(SEARCH("zoysia",E581)),"Zoysia",
ISNUMBER(SEARCH("ryegrass",E581)),"Perennial Ryegrass",
ISNUMBER(SEARCH("centipede",E581)),"Centipede Grass",
ISNUMBER(SEARCH("dense shade",E581)),"Dense Shade Mix",
ISNUMBER(SEARCH("southern gold",E581)),"Southern Gold Mix",
ISNUMBER(SEARCH("heat-tolerant blue",E581)),"Heat-Tolerant Blue Mix",
ISNUMBER(SEARCH("high traffic",E581)),"High Traffic Mix",
ISNUMBER(SEARCH("quick fix",E581)),"Quick Fix Mix",
ISNUMBER(SEARCH("starter",E581)),"Starter Fertilizer",
ISNUMBER(SEARCH("weed &amp; feed",E581)),"Weed &amp; Feed",
ISNUMBER(SEARCH("lawn food",E581)),"Lawn Food",
ISNUMBER(SEARCH("triple action",E581)),"Triple Action Fertilizer",
ISNUMBER(SEARCH("green max",E581)),"Green Max Lawn Food",
ISNUMBER(SEARCH("patchmaster",E581)),"PatchMaster Repair",
ISNUMBER(SEARCH("ez seed",E581)),"EZ Seed Repair",
ISNUMBER(SEARCH("rapid grass",E581)),"Rapid Grass",
ISNUMBER(SEARCH("thick'r lawn",E581)),"Thick'R Lawn",
ISNUMBER(SEARCH("fungicide",E581)),"Fungicide",
ISNUMBER(SEARCH("moss",E581)),"Moss Control",
ISNUMBER(SEARCH("perlite",E581)),"Perlite",
ISNUMBER(SEARCH("plant food",E581)),"Plant Food",
ISNUMBER(SEARCH("spreader",E581)),"Spreader",
ISNUMBER(SEARCH("sprayer",E581)),"Sprayer",
ISNUMBER(SEARCH("mower",E581)),"Lawn Mower",
ISNUMBER(SEARCH("sweeper",E581)),"Lawn Sweeper",
OR(ISNUMBER(SEARCH("pruner",E581)),ISNUMBER(SEARCH("trimmer",E581)),ISNUMBER(SEARCH("pole saw",E581))),"Pruning Tools",
TRUE,"Other"
)</f>
        <v>Ant Traps</v>
      </c>
      <c r="J581" s="7" t="str">
        <f t="shared" si="171"/>
        <v>Crawling Insect Control - Ant Traps</v>
      </c>
      <c r="K581" s="4">
        <v>2000</v>
      </c>
      <c r="L581" s="4">
        <v>4.4000000000000004</v>
      </c>
      <c r="M581" s="4">
        <v>911</v>
      </c>
      <c r="N581" s="4">
        <v>1</v>
      </c>
      <c r="O581" s="4">
        <f>VLOOKUP(A581,[13]Sheet1!$A:$M,2,0)</f>
        <v>900</v>
      </c>
      <c r="P581" s="4">
        <f>VLOOKUP(A581,[13]Sheet1!$A:$M,3,0)</f>
        <v>1000</v>
      </c>
      <c r="Q581" s="4">
        <f>VLOOKUP(A581,[13]Sheet1!$A:$M,4,0)</f>
        <v>1000</v>
      </c>
      <c r="R581" s="4">
        <f>VLOOKUP(A581,[13]Sheet1!$A:$M,5,0)</f>
        <v>2000</v>
      </c>
      <c r="S581" s="4">
        <f>VLOOKUP(A581,[13]Sheet1!$A:$M,6,0)</f>
        <v>1000</v>
      </c>
      <c r="T581" s="4">
        <f>VLOOKUP(A581,[13]Sheet1!$A:$M,7,0)</f>
        <v>1000</v>
      </c>
      <c r="U581" s="4">
        <f>VLOOKUP(A581,[13]Sheet1!$A:$M,8,0)</f>
        <v>2000</v>
      </c>
      <c r="V581" s="4">
        <f>VLOOKUP(A581,[13]Sheet1!$A:$M,9,0)</f>
        <v>2000</v>
      </c>
      <c r="W581" s="4">
        <f>VLOOKUP(A581,[13]Sheet1!$A:$M,10,0)</f>
        <v>2000</v>
      </c>
      <c r="X581" s="4">
        <f>VLOOKUP(A581,[13]Sheet1!$A:$M,11,0)</f>
        <v>1000</v>
      </c>
      <c r="Y581" s="4">
        <f>VLOOKUP(A581,[13]Sheet1!$A:$M,12,0)</f>
        <v>900</v>
      </c>
      <c r="Z581" s="4">
        <f>VLOOKUP(A581,[13]Sheet1!$A:$M,13,0)</f>
        <v>800</v>
      </c>
      <c r="AA581" s="4">
        <f t="shared" si="176"/>
        <v>15600</v>
      </c>
      <c r="AB581" s="7">
        <f t="shared" si="177"/>
        <v>1300</v>
      </c>
      <c r="AC581" s="15">
        <f t="shared" si="178"/>
        <v>1300</v>
      </c>
      <c r="AD581" s="16">
        <f t="shared" si="179"/>
        <v>155844</v>
      </c>
      <c r="AE581" s="16">
        <f t="shared" si="180"/>
        <v>12987</v>
      </c>
      <c r="AF581" s="21">
        <v>5.46</v>
      </c>
      <c r="AG581" s="21">
        <v>9.99</v>
      </c>
      <c r="AH581" s="15">
        <f t="shared" si="158"/>
        <v>-0.1642666666666667</v>
      </c>
      <c r="AI581" s="15">
        <f t="shared" si="159"/>
        <v>-0.57493333333333341</v>
      </c>
      <c r="AJ581" s="10">
        <v>0.5</v>
      </c>
      <c r="AK581" s="10">
        <v>0.5</v>
      </c>
      <c r="AL581" s="21">
        <v>5.46</v>
      </c>
      <c r="AM581" s="9">
        <f t="shared" si="181"/>
        <v>1.4984999999999999</v>
      </c>
      <c r="AN581" s="9">
        <f t="shared" si="182"/>
        <v>0.29970000000000002</v>
      </c>
      <c r="AO581" s="9">
        <f t="shared" si="183"/>
        <v>1.9980000000000002</v>
      </c>
      <c r="AP581" s="9">
        <f t="shared" si="184"/>
        <v>0.19980000000000001</v>
      </c>
      <c r="AQ581" s="9">
        <f t="shared" si="185"/>
        <v>1.9980000000000002</v>
      </c>
      <c r="AR581" s="9">
        <f t="shared" si="186"/>
        <v>2.4975000000000001</v>
      </c>
      <c r="AS581" s="11">
        <f t="shared" si="187"/>
        <v>-1.6426666666666669</v>
      </c>
      <c r="AT581" s="12">
        <f t="shared" si="188"/>
        <v>-1.9756666666666669</v>
      </c>
    </row>
    <row r="582" spans="1:46" ht="16.5" x14ac:dyDescent="0.4">
      <c r="A582" s="4" t="s">
        <v>2572</v>
      </c>
      <c r="B582" s="4" t="s">
        <v>2710</v>
      </c>
      <c r="C582" s="4" t="s">
        <v>2710</v>
      </c>
      <c r="D582" s="4" t="s">
        <v>2751</v>
      </c>
      <c r="E582" s="4" t="s">
        <v>2910</v>
      </c>
      <c r="F582" s="4" t="s">
        <v>3069</v>
      </c>
      <c r="G582" s="7" t="str">
        <f>VLOOKUP(A582,[1]done!$A:$I,9,0)</f>
        <v>Insecticide/Fungicide</v>
      </c>
      <c r="H582" s="7" t="str" cm="1">
        <f t="array" ref="H582">_xlfn.IFS(
OR(ISNUMBER(SEARCH("mouse",E582)),ISNUMBER(SEARCH("rat",E582)),ISNUMBER(SEARCH("mice",E582)),ISNUMBER(SEARCH("rodent",E582))),"Rodent Control",
OR(ISNUMBER(SEARCH("fly",E582)),ISNUMBER(SEARCH("gnat",E582)),ISNUMBER(SEARCH("insect",E582)),ISNUMBER(SEARCH("mosquito",E582))),"Flying Insect Control",
OR(ISNUMBER(SEARCH("roach",E582)),ISNUMBER(SEARCH("ant",E582)),ISNUMBER(SEARCH("spider",E582)),ISNUMBER(SEARCH("cricket",E582)),ISNUMBER(SEARCH("scorpion",E582)),ISNUMBER(SEARCH("centipede",E582)),ISNUMBER(SEARCH("beetle",E582))),"Crawling Insect Control",
OR(ISNUMBER(SEARCH("tree",E582)),ISNUMBER(SEARCH("lantern",E582)),ISNUMBER(SEARCH("garden",E582)),ISNUMBER(SEARCH("plant",E582))),"Garden Pest Control",
OR(ISNUMBER(SEARCH("grass seed",E582)),ISNUMBER(SEARCH("seed mix",E582))),"Grass Seed",
OR(ISNUMBER(SEARCH("lawn food",E582)),ISNUMBER(SEARCH("fertilizer",E582))),"Lawn Fertilizer",
OR(ISNUMBER(SEARCH("patch",E582)),ISNUMBER(SEARCH("repair",E582)),ISNUMBER(SEARCH("thick'r",E582)),ISNUMBER(SEARCH("thick'r lawn",E582)),ISNUMBER(SEARCH("rapid grass",E582))),"Lawn Repair",
OR(ISNUMBER(SEARCH("weed",E582)),ISNUMBER(SEARCH("crabgrass",E582))),"Weed Control",
OR(ISNUMBER(SEARCH("fungicide",E582)),ISNUMBER(SEARCH("moss",E582))),"Disease &amp; Moss Control",
OR(ISNUMBER(SEARCH("plant food",E582)),ISNUMBER(SEARCH("miracid",E582))),"Plant Nutrition",
OR(ISNUMBER(SEARCH("perlite",E582))),"Soil Amendment",
OR(ISNUMBER(SEARCH("spreader",E582)),ISNUMBER(SEARCH("sprayer",E582)),ISNUMBER(SEARCH("mower",E582)),ISNUMBER(SEARCH("sweeper",E582)),ISNUMBER(SEARCH("pruner",E582)),ISNUMBER(SEARCH("trimmer",E582)),ISNUMBER(SEARCH("pole saw",E582))),"Garden Equipment",
TRUE,"Other"
)</f>
        <v>Other</v>
      </c>
      <c r="I582" s="7" t="str" cm="1">
        <f t="array" ref="I582">_xlfn.IFS(
OR(ISNUMBER(SEARCH("glue trap",E582)),ISNUMBER(SEARCH("glue board",E582))),"Glue Traps",
OR(ISNUMBER(SEARCH("snap trap",E582)),ISNUMBER(SEARCH("power-kill",E582)),ISNUMBER(SEARCH("wide pedal",E582)),ISNUMBER(SEARCH("metal pedal",E582))),"Snap Traps",
OR(ISNUMBER(SEARCH("electronic",E582)),ISNUMBER(SEARCH("zapper",E582))),"Electronic Traps",
OR(ISNUMBER(SEARCH("live catch",E582)),ISNUMBER(SEARCH("multi-catch",E582)),ISNUMBER(SEARCH("catch &amp; hold",E582)),ISNUMBER(SEARCH("tin cat",E582))),"Live Catch Traps",
OR(ISNUMBER(SEARCH("bait",E582)),ISNUMBER(SEARCH("poison",E582))),"Bait &amp; Poison",
ISNUMBER(SEARCH("repellent",E582)),"Repellents",
OR(ISNUMBER(SEARCH("fly trap",E582)),ISNUMBER(SEARCH("fly ribbon",E582)),ISNUMBER(SEARCH("fly stick",E582)),ISNUMBER(SEARCH("window fly",E582)),ISNUMBER(SEARCH("fly magnet",E582))),"Fly Traps",
OR(ISNUMBER(SEARCH("uv",E582)),ISNUMBER(SEARCH("fly light",E582)),ISNUMBER(SEARCH("plug-in",E582))),"UV Fly Traps",
ISNUMBER(SEARCH("roach",E582)),"Roach Traps",
ISNUMBER(SEARCH("ant",E582)),"Ant Traps",
ISNUMBER(SEARCH("spider",E582)),"Spider Traps",
ISNUMBER(SEARCH("mosquito",E582)),"Mosquito Traps",
ISNUMBER(SEARCH("beetle",E582)),"Beetle Traps",
ISNUMBER(SEARCH("lantern",E582)),"Lanternfly Control",
OR(ISNUMBER(SEARCH("tree shield",E582)),ISNUMBER(SEARCH("tree banding",E582)),ISNUMBER(SEARCH("insect barrier",E582))),"Tree Barriers",
OR(ISNUMBER(SEARCH("sun &amp; shade",E582)),ISNUMBER(SEARCH("sun and shade",E582))),"Sun &amp; Shade Mix",
ISNUMBER(SEARCH("tall fescue",E582)),"Tall Fescue",
ISNUMBER(SEARCH("bermudagrass",E582)),"Bermudagrass",
ISNUMBER(SEARCH("kentucky",E582)),"Kentucky Bluegrass",
ISNUMBER(SEARCH("zoysia",E582)),"Zoysia",
ISNUMBER(SEARCH("ryegrass",E582)),"Perennial Ryegrass",
ISNUMBER(SEARCH("centipede",E582)),"Centipede Grass",
ISNUMBER(SEARCH("dense shade",E582)),"Dense Shade Mix",
ISNUMBER(SEARCH("southern gold",E582)),"Southern Gold Mix",
ISNUMBER(SEARCH("heat-tolerant blue",E582)),"Heat-Tolerant Blue Mix",
ISNUMBER(SEARCH("high traffic",E582)),"High Traffic Mix",
ISNUMBER(SEARCH("quick fix",E582)),"Quick Fix Mix",
ISNUMBER(SEARCH("starter",E582)),"Starter Fertilizer",
ISNUMBER(SEARCH("weed &amp; feed",E582)),"Weed &amp; Feed",
ISNUMBER(SEARCH("lawn food",E582)),"Lawn Food",
ISNUMBER(SEARCH("triple action",E582)),"Triple Action Fertilizer",
ISNUMBER(SEARCH("green max",E582)),"Green Max Lawn Food",
ISNUMBER(SEARCH("patchmaster",E582)),"PatchMaster Repair",
ISNUMBER(SEARCH("ez seed",E582)),"EZ Seed Repair",
ISNUMBER(SEARCH("rapid grass",E582)),"Rapid Grass",
ISNUMBER(SEARCH("thick'r lawn",E582)),"Thick'R Lawn",
ISNUMBER(SEARCH("fungicide",E582)),"Fungicide",
ISNUMBER(SEARCH("moss",E582)),"Moss Control",
ISNUMBER(SEARCH("perlite",E582)),"Perlite",
ISNUMBER(SEARCH("plant food",E582)),"Plant Food",
ISNUMBER(SEARCH("spreader",E582)),"Spreader",
ISNUMBER(SEARCH("sprayer",E582)),"Sprayer",
ISNUMBER(SEARCH("mower",E582)),"Lawn Mower",
ISNUMBER(SEARCH("sweeper",E582)),"Lawn Sweeper",
OR(ISNUMBER(SEARCH("pruner",E582)),ISNUMBER(SEARCH("trimmer",E582)),ISNUMBER(SEARCH("pole saw",E582))),"Pruning Tools",
TRUE,"Other"
)</f>
        <v>Other</v>
      </c>
      <c r="J582" s="7" t="str">
        <f t="shared" si="171"/>
        <v>Other - Other</v>
      </c>
      <c r="K582" s="4">
        <v>2000</v>
      </c>
      <c r="L582" s="4">
        <v>3.9</v>
      </c>
      <c r="M582" s="4">
        <v>2617</v>
      </c>
      <c r="N582" s="4" t="s">
        <v>3222</v>
      </c>
      <c r="O582" s="4">
        <f>VLOOKUP(A582,[13]Sheet1!$A:$M,2,0)</f>
        <v>500</v>
      </c>
      <c r="P582" s="4">
        <f>VLOOKUP(A582,[13]Sheet1!$A:$M,3,0)</f>
        <v>500</v>
      </c>
      <c r="Q582" s="4">
        <f>VLOOKUP(A582,[13]Sheet1!$A:$M,4,0)</f>
        <v>1000</v>
      </c>
      <c r="R582" s="4">
        <f>VLOOKUP(A582,[13]Sheet1!$A:$M,5,0)</f>
        <v>1000</v>
      </c>
      <c r="S582" s="4">
        <f>VLOOKUP(A582,[13]Sheet1!$A:$M,6,0)</f>
        <v>2000</v>
      </c>
      <c r="T582" s="4">
        <f>VLOOKUP(A582,[13]Sheet1!$A:$M,7,0)</f>
        <v>2000</v>
      </c>
      <c r="U582" s="4">
        <f>VLOOKUP(A582,[13]Sheet1!$A:$M,8,0)</f>
        <v>1000</v>
      </c>
      <c r="V582" s="4">
        <f>VLOOKUP(A582,[13]Sheet1!$A:$M,9,0)</f>
        <v>1000</v>
      </c>
      <c r="W582" s="4">
        <f>VLOOKUP(A582,[13]Sheet1!$A:$M,10,0)</f>
        <v>2000</v>
      </c>
      <c r="X582" s="4">
        <f>VLOOKUP(A582,[13]Sheet1!$A:$M,11,0)</f>
        <v>1000</v>
      </c>
      <c r="Y582" s="4">
        <f>VLOOKUP(A582,[13]Sheet1!$A:$M,12,0)</f>
        <v>1000</v>
      </c>
      <c r="Z582" s="4">
        <f>VLOOKUP(A582,[13]Sheet1!$A:$M,13,0)</f>
        <v>600</v>
      </c>
      <c r="AA582" s="4">
        <f t="shared" si="176"/>
        <v>13600</v>
      </c>
      <c r="AB582" s="7">
        <f t="shared" si="177"/>
        <v>1133</v>
      </c>
      <c r="AC582" s="15">
        <f t="shared" si="178"/>
        <v>1133.3333333333333</v>
      </c>
      <c r="AD582" s="16">
        <f t="shared" si="179"/>
        <v>112607.99999999999</v>
      </c>
      <c r="AE582" s="16">
        <f t="shared" si="180"/>
        <v>9383.9999999999982</v>
      </c>
      <c r="AF582" s="21">
        <v>4.37</v>
      </c>
      <c r="AG582" s="21">
        <v>8.2799999999999994</v>
      </c>
      <c r="AH582" s="15">
        <f t="shared" si="158"/>
        <v>-0.13720000000000007</v>
      </c>
      <c r="AI582" s="15">
        <f t="shared" si="159"/>
        <v>-0.48020000000000018</v>
      </c>
      <c r="AJ582" s="10">
        <v>0.5</v>
      </c>
      <c r="AK582" s="10">
        <v>0.5</v>
      </c>
      <c r="AL582" s="21">
        <v>4.37</v>
      </c>
      <c r="AM582" s="9">
        <f t="shared" si="181"/>
        <v>1.2419999999999998</v>
      </c>
      <c r="AN582" s="9">
        <f t="shared" si="182"/>
        <v>0.24839999999999998</v>
      </c>
      <c r="AO582" s="9">
        <f t="shared" si="183"/>
        <v>1.6559999999999999</v>
      </c>
      <c r="AP582" s="9">
        <f t="shared" si="184"/>
        <v>0.1656</v>
      </c>
      <c r="AQ582" s="9">
        <f t="shared" si="185"/>
        <v>1.6559999999999999</v>
      </c>
      <c r="AR582" s="9">
        <f t="shared" si="186"/>
        <v>2.0699999999999998</v>
      </c>
      <c r="AS582" s="11">
        <f t="shared" si="187"/>
        <v>-1.3720000000000006</v>
      </c>
      <c r="AT582" s="12">
        <f t="shared" si="188"/>
        <v>-1.6480000000000006</v>
      </c>
    </row>
    <row r="583" spans="1:46" ht="16.5" x14ac:dyDescent="0.4">
      <c r="A583" s="4" t="s">
        <v>2573</v>
      </c>
      <c r="B583" s="4" t="s">
        <v>2710</v>
      </c>
      <c r="C583" s="4" t="s">
        <v>2712</v>
      </c>
      <c r="D583" s="4" t="s">
        <v>2752</v>
      </c>
      <c r="E583" s="4" t="s">
        <v>2911</v>
      </c>
      <c r="F583" s="4" t="s">
        <v>3070</v>
      </c>
      <c r="G583" s="7" t="str">
        <f>VLOOKUP(A583,[1]done!$A:$I,9,0)</f>
        <v>Oil based pest repellent</v>
      </c>
      <c r="H583" s="7" t="str" cm="1">
        <f t="array" ref="H583">_xlfn.IFS(
OR(ISNUMBER(SEARCH("mouse",E583)),ISNUMBER(SEARCH("rat",E583)),ISNUMBER(SEARCH("mice",E583)),ISNUMBER(SEARCH("rodent",E583))),"Rodent Control",
OR(ISNUMBER(SEARCH("fly",E583)),ISNUMBER(SEARCH("gnat",E583)),ISNUMBER(SEARCH("insect",E583)),ISNUMBER(SEARCH("mosquito",E583))),"Flying Insect Control",
OR(ISNUMBER(SEARCH("roach",E583)),ISNUMBER(SEARCH("ant",E583)),ISNUMBER(SEARCH("spider",E583)),ISNUMBER(SEARCH("cricket",E583)),ISNUMBER(SEARCH("scorpion",E583)),ISNUMBER(SEARCH("centipede",E583)),ISNUMBER(SEARCH("beetle",E583))),"Crawling Insect Control",
OR(ISNUMBER(SEARCH("tree",E583)),ISNUMBER(SEARCH("lantern",E583)),ISNUMBER(SEARCH("garden",E583)),ISNUMBER(SEARCH("plant",E583))),"Garden Pest Control",
OR(ISNUMBER(SEARCH("grass seed",E583)),ISNUMBER(SEARCH("seed mix",E583))),"Grass Seed",
OR(ISNUMBER(SEARCH("lawn food",E583)),ISNUMBER(SEARCH("fertilizer",E583))),"Lawn Fertilizer",
OR(ISNUMBER(SEARCH("patch",E583)),ISNUMBER(SEARCH("repair",E583)),ISNUMBER(SEARCH("thick'r",E583)),ISNUMBER(SEARCH("thick'r lawn",E583)),ISNUMBER(SEARCH("rapid grass",E583))),"Lawn Repair",
OR(ISNUMBER(SEARCH("weed",E583)),ISNUMBER(SEARCH("crabgrass",E583))),"Weed Control",
OR(ISNUMBER(SEARCH("fungicide",E583)),ISNUMBER(SEARCH("moss",E583))),"Disease &amp; Moss Control",
OR(ISNUMBER(SEARCH("plant food",E583)),ISNUMBER(SEARCH("miracid",E583))),"Plant Nutrition",
OR(ISNUMBER(SEARCH("perlite",E583))),"Soil Amendment",
OR(ISNUMBER(SEARCH("spreader",E583)),ISNUMBER(SEARCH("sprayer",E583)),ISNUMBER(SEARCH("mower",E583)),ISNUMBER(SEARCH("sweeper",E583)),ISNUMBER(SEARCH("pruner",E583)),ISNUMBER(SEARCH("trimmer",E583)),ISNUMBER(SEARCH("pole saw",E583))),"Garden Equipment",
TRUE,"Other"
)</f>
        <v>Other</v>
      </c>
      <c r="I583" s="7" t="str" cm="1">
        <f t="array" ref="I583">_xlfn.IFS(
OR(ISNUMBER(SEARCH("glue trap",E583)),ISNUMBER(SEARCH("glue board",E583))),"Glue Traps",
OR(ISNUMBER(SEARCH("snap trap",E583)),ISNUMBER(SEARCH("power-kill",E583)),ISNUMBER(SEARCH("wide pedal",E583)),ISNUMBER(SEARCH("metal pedal",E583))),"Snap Traps",
OR(ISNUMBER(SEARCH("electronic",E583)),ISNUMBER(SEARCH("zapper",E583))),"Electronic Traps",
OR(ISNUMBER(SEARCH("live catch",E583)),ISNUMBER(SEARCH("multi-catch",E583)),ISNUMBER(SEARCH("catch &amp; hold",E583)),ISNUMBER(SEARCH("tin cat",E583))),"Live Catch Traps",
OR(ISNUMBER(SEARCH("bait",E583)),ISNUMBER(SEARCH("poison",E583))),"Bait &amp; Poison",
ISNUMBER(SEARCH("repellent",E583)),"Repellents",
OR(ISNUMBER(SEARCH("fly trap",E583)),ISNUMBER(SEARCH("fly ribbon",E583)),ISNUMBER(SEARCH("fly stick",E583)),ISNUMBER(SEARCH("window fly",E583)),ISNUMBER(SEARCH("fly magnet",E583))),"Fly Traps",
OR(ISNUMBER(SEARCH("uv",E583)),ISNUMBER(SEARCH("fly light",E583)),ISNUMBER(SEARCH("plug-in",E583))),"UV Fly Traps",
ISNUMBER(SEARCH("roach",E583)),"Roach Traps",
ISNUMBER(SEARCH("ant",E583)),"Ant Traps",
ISNUMBER(SEARCH("spider",E583)),"Spider Traps",
ISNUMBER(SEARCH("mosquito",E583)),"Mosquito Traps",
ISNUMBER(SEARCH("beetle",E583)),"Beetle Traps",
ISNUMBER(SEARCH("lantern",E583)),"Lanternfly Control",
OR(ISNUMBER(SEARCH("tree shield",E583)),ISNUMBER(SEARCH("tree banding",E583)),ISNUMBER(SEARCH("insect barrier",E583))),"Tree Barriers",
OR(ISNUMBER(SEARCH("sun &amp; shade",E583)),ISNUMBER(SEARCH("sun and shade",E583))),"Sun &amp; Shade Mix",
ISNUMBER(SEARCH("tall fescue",E583)),"Tall Fescue",
ISNUMBER(SEARCH("bermudagrass",E583)),"Bermudagrass",
ISNUMBER(SEARCH("kentucky",E583)),"Kentucky Bluegrass",
ISNUMBER(SEARCH("zoysia",E583)),"Zoysia",
ISNUMBER(SEARCH("ryegrass",E583)),"Perennial Ryegrass",
ISNUMBER(SEARCH("centipede",E583)),"Centipede Grass",
ISNUMBER(SEARCH("dense shade",E583)),"Dense Shade Mix",
ISNUMBER(SEARCH("southern gold",E583)),"Southern Gold Mix",
ISNUMBER(SEARCH("heat-tolerant blue",E583)),"Heat-Tolerant Blue Mix",
ISNUMBER(SEARCH("high traffic",E583)),"High Traffic Mix",
ISNUMBER(SEARCH("quick fix",E583)),"Quick Fix Mix",
ISNUMBER(SEARCH("starter",E583)),"Starter Fertilizer",
ISNUMBER(SEARCH("weed &amp; feed",E583)),"Weed &amp; Feed",
ISNUMBER(SEARCH("lawn food",E583)),"Lawn Food",
ISNUMBER(SEARCH("triple action",E583)),"Triple Action Fertilizer",
ISNUMBER(SEARCH("green max",E583)),"Green Max Lawn Food",
ISNUMBER(SEARCH("patchmaster",E583)),"PatchMaster Repair",
ISNUMBER(SEARCH("ez seed",E583)),"EZ Seed Repair",
ISNUMBER(SEARCH("rapid grass",E583)),"Rapid Grass",
ISNUMBER(SEARCH("thick'r lawn",E583)),"Thick'R Lawn",
ISNUMBER(SEARCH("fungicide",E583)),"Fungicide",
ISNUMBER(SEARCH("moss",E583)),"Moss Control",
ISNUMBER(SEARCH("perlite",E583)),"Perlite",
ISNUMBER(SEARCH("plant food",E583)),"Plant Food",
ISNUMBER(SEARCH("spreader",E583)),"Spreader",
ISNUMBER(SEARCH("sprayer",E583)),"Sprayer",
ISNUMBER(SEARCH("mower",E583)),"Lawn Mower",
ISNUMBER(SEARCH("sweeper",E583)),"Lawn Sweeper",
OR(ISNUMBER(SEARCH("pruner",E583)),ISNUMBER(SEARCH("trimmer",E583)),ISNUMBER(SEARCH("pole saw",E583))),"Pruning Tools",
TRUE,"Other"
)</f>
        <v>Other</v>
      </c>
      <c r="J583" s="7" t="str">
        <f t="shared" si="171"/>
        <v>Other - Other</v>
      </c>
      <c r="K583" s="4">
        <v>1000</v>
      </c>
      <c r="L583" s="4">
        <v>4.0999999999999996</v>
      </c>
      <c r="M583" s="4">
        <v>3764</v>
      </c>
      <c r="N583" s="4" t="s">
        <v>3223</v>
      </c>
      <c r="O583" s="4">
        <f>VLOOKUP(A583,[13]Sheet1!$A:$M,2,0)</f>
        <v>300</v>
      </c>
      <c r="P583" s="4">
        <f>VLOOKUP(A583,[13]Sheet1!$A:$M,3,0)</f>
        <v>300</v>
      </c>
      <c r="Q583" s="4">
        <f>VLOOKUP(A583,[13]Sheet1!$A:$M,4,0)</f>
        <v>400</v>
      </c>
      <c r="R583" s="4">
        <f>VLOOKUP(A583,[13]Sheet1!$A:$M,5,0)</f>
        <v>2000</v>
      </c>
      <c r="S583" s="4">
        <f>VLOOKUP(A583,[13]Sheet1!$A:$M,6,0)</f>
        <v>3000</v>
      </c>
      <c r="T583" s="4">
        <f>VLOOKUP(A583,[13]Sheet1!$A:$M,7,0)</f>
        <v>5000</v>
      </c>
      <c r="U583" s="4">
        <f>VLOOKUP(A583,[13]Sheet1!$A:$M,8,0)</f>
        <v>6000</v>
      </c>
      <c r="V583" s="4">
        <f>VLOOKUP(A583,[13]Sheet1!$A:$M,9,0)</f>
        <v>5000</v>
      </c>
      <c r="W583" s="4">
        <f>VLOOKUP(A583,[13]Sheet1!$A:$M,10,0)</f>
        <v>1000</v>
      </c>
      <c r="X583" s="4">
        <f>VLOOKUP(A583,[13]Sheet1!$A:$M,11,0)</f>
        <v>1000</v>
      </c>
      <c r="Y583" s="4">
        <f>VLOOKUP(A583,[13]Sheet1!$A:$M,12,0)</f>
        <v>1000</v>
      </c>
      <c r="Z583" s="4">
        <f>VLOOKUP(A583,[13]Sheet1!$A:$M,13,0)</f>
        <v>1000</v>
      </c>
      <c r="AA583" s="4">
        <f t="shared" si="176"/>
        <v>26000</v>
      </c>
      <c r="AB583" s="7">
        <f t="shared" si="177"/>
        <v>2167</v>
      </c>
      <c r="AC583" s="15">
        <f t="shared" si="178"/>
        <v>2166.6666666666665</v>
      </c>
      <c r="AD583" s="16">
        <f t="shared" si="179"/>
        <v>1038439.9999999999</v>
      </c>
      <c r="AE583" s="16">
        <f t="shared" si="180"/>
        <v>86536.666666666657</v>
      </c>
      <c r="AF583" s="21">
        <v>9.4499999999999993</v>
      </c>
      <c r="AG583" s="21">
        <v>39.94</v>
      </c>
      <c r="AH583" s="15">
        <f t="shared" si="158"/>
        <v>0.36840000000000001</v>
      </c>
      <c r="AI583" s="15">
        <f t="shared" si="159"/>
        <v>1.2893999999999999</v>
      </c>
      <c r="AJ583" s="10">
        <v>0.5</v>
      </c>
      <c r="AK583" s="10">
        <v>0.5</v>
      </c>
      <c r="AL583" s="21">
        <v>9.4499999999999993</v>
      </c>
      <c r="AM583" s="9">
        <f t="shared" si="181"/>
        <v>5.9909999999999997</v>
      </c>
      <c r="AN583" s="9">
        <f t="shared" si="182"/>
        <v>1.1981999999999999</v>
      </c>
      <c r="AO583" s="9">
        <f t="shared" si="183"/>
        <v>7.9879999999999995</v>
      </c>
      <c r="AP583" s="9">
        <f t="shared" si="184"/>
        <v>0.79879999999999995</v>
      </c>
      <c r="AQ583" s="9">
        <f t="shared" si="185"/>
        <v>7.9879999999999995</v>
      </c>
      <c r="AR583" s="9">
        <f t="shared" si="186"/>
        <v>9.9849999999999994</v>
      </c>
      <c r="AS583" s="11">
        <f t="shared" si="187"/>
        <v>3.6839999999999997</v>
      </c>
      <c r="AT583" s="12">
        <f t="shared" si="188"/>
        <v>2.3526666666666665</v>
      </c>
    </row>
    <row r="584" spans="1:46" ht="16.5" x14ac:dyDescent="0.4">
      <c r="A584" s="4" t="s">
        <v>2574</v>
      </c>
      <c r="B584" s="4" t="s">
        <v>2710</v>
      </c>
      <c r="C584" s="4" t="s">
        <v>2712</v>
      </c>
      <c r="D584" s="4" t="s">
        <v>2753</v>
      </c>
      <c r="E584" s="4" t="s">
        <v>2912</v>
      </c>
      <c r="F584" s="4" t="s">
        <v>3071</v>
      </c>
      <c r="G584" s="7" t="str">
        <f>VLOOKUP(A584,[1]done!$A:$I,9,0)</f>
        <v>Oil based pest repellent</v>
      </c>
      <c r="H584" s="7" t="str" cm="1">
        <f t="array" ref="H584">_xlfn.IFS(
OR(ISNUMBER(SEARCH("mouse",E584)),ISNUMBER(SEARCH("rat",E584)),ISNUMBER(SEARCH("mice",E584)),ISNUMBER(SEARCH("rodent",E584))),"Rodent Control",
OR(ISNUMBER(SEARCH("fly",E584)),ISNUMBER(SEARCH("gnat",E584)),ISNUMBER(SEARCH("insect",E584)),ISNUMBER(SEARCH("mosquito",E584))),"Flying Insect Control",
OR(ISNUMBER(SEARCH("roach",E584)),ISNUMBER(SEARCH("ant",E584)),ISNUMBER(SEARCH("spider",E584)),ISNUMBER(SEARCH("cricket",E584)),ISNUMBER(SEARCH("scorpion",E584)),ISNUMBER(SEARCH("centipede",E584)),ISNUMBER(SEARCH("beetle",E584))),"Crawling Insect Control",
OR(ISNUMBER(SEARCH("tree",E584)),ISNUMBER(SEARCH("lantern",E584)),ISNUMBER(SEARCH("garden",E584)),ISNUMBER(SEARCH("plant",E584))),"Garden Pest Control",
OR(ISNUMBER(SEARCH("grass seed",E584)),ISNUMBER(SEARCH("seed mix",E584))),"Grass Seed",
OR(ISNUMBER(SEARCH("lawn food",E584)),ISNUMBER(SEARCH("fertilizer",E584))),"Lawn Fertilizer",
OR(ISNUMBER(SEARCH("patch",E584)),ISNUMBER(SEARCH("repair",E584)),ISNUMBER(SEARCH("thick'r",E584)),ISNUMBER(SEARCH("thick'r lawn",E584)),ISNUMBER(SEARCH("rapid grass",E584))),"Lawn Repair",
OR(ISNUMBER(SEARCH("weed",E584)),ISNUMBER(SEARCH("crabgrass",E584))),"Weed Control",
OR(ISNUMBER(SEARCH("fungicide",E584)),ISNUMBER(SEARCH("moss",E584))),"Disease &amp; Moss Control",
OR(ISNUMBER(SEARCH("plant food",E584)),ISNUMBER(SEARCH("miracid",E584))),"Plant Nutrition",
OR(ISNUMBER(SEARCH("perlite",E584))),"Soil Amendment",
OR(ISNUMBER(SEARCH("spreader",E584)),ISNUMBER(SEARCH("sprayer",E584)),ISNUMBER(SEARCH("mower",E584)),ISNUMBER(SEARCH("sweeper",E584)),ISNUMBER(SEARCH("pruner",E584)),ISNUMBER(SEARCH("trimmer",E584)),ISNUMBER(SEARCH("pole saw",E584))),"Garden Equipment",
TRUE,"Other"
)</f>
        <v>Rodent Control</v>
      </c>
      <c r="I584" s="7" t="str" cm="1">
        <f t="array" ref="I584">_xlfn.IFS(
OR(ISNUMBER(SEARCH("glue trap",E584)),ISNUMBER(SEARCH("glue board",E584))),"Glue Traps",
OR(ISNUMBER(SEARCH("snap trap",E584)),ISNUMBER(SEARCH("power-kill",E584)),ISNUMBER(SEARCH("wide pedal",E584)),ISNUMBER(SEARCH("metal pedal",E584))),"Snap Traps",
OR(ISNUMBER(SEARCH("electronic",E584)),ISNUMBER(SEARCH("zapper",E584))),"Electronic Traps",
OR(ISNUMBER(SEARCH("live catch",E584)),ISNUMBER(SEARCH("multi-catch",E584)),ISNUMBER(SEARCH("catch &amp; hold",E584)),ISNUMBER(SEARCH("tin cat",E584))),"Live Catch Traps",
OR(ISNUMBER(SEARCH("bait",E584)),ISNUMBER(SEARCH("poison",E584))),"Bait &amp; Poison",
ISNUMBER(SEARCH("repellent",E584)),"Repellents",
OR(ISNUMBER(SEARCH("fly trap",E584)),ISNUMBER(SEARCH("fly ribbon",E584)),ISNUMBER(SEARCH("fly stick",E584)),ISNUMBER(SEARCH("window fly",E584)),ISNUMBER(SEARCH("fly magnet",E584))),"Fly Traps",
OR(ISNUMBER(SEARCH("uv",E584)),ISNUMBER(SEARCH("fly light",E584)),ISNUMBER(SEARCH("plug-in",E584))),"UV Fly Traps",
ISNUMBER(SEARCH("roach",E584)),"Roach Traps",
ISNUMBER(SEARCH("ant",E584)),"Ant Traps",
ISNUMBER(SEARCH("spider",E584)),"Spider Traps",
ISNUMBER(SEARCH("mosquito",E584)),"Mosquito Traps",
ISNUMBER(SEARCH("beetle",E584)),"Beetle Traps",
ISNUMBER(SEARCH("lantern",E584)),"Lanternfly Control",
OR(ISNUMBER(SEARCH("tree shield",E584)),ISNUMBER(SEARCH("tree banding",E584)),ISNUMBER(SEARCH("insect barrier",E584))),"Tree Barriers",
OR(ISNUMBER(SEARCH("sun &amp; shade",E584)),ISNUMBER(SEARCH("sun and shade",E584))),"Sun &amp; Shade Mix",
ISNUMBER(SEARCH("tall fescue",E584)),"Tall Fescue",
ISNUMBER(SEARCH("bermudagrass",E584)),"Bermudagrass",
ISNUMBER(SEARCH("kentucky",E584)),"Kentucky Bluegrass",
ISNUMBER(SEARCH("zoysia",E584)),"Zoysia",
ISNUMBER(SEARCH("ryegrass",E584)),"Perennial Ryegrass",
ISNUMBER(SEARCH("centipede",E584)),"Centipede Grass",
ISNUMBER(SEARCH("dense shade",E584)),"Dense Shade Mix",
ISNUMBER(SEARCH("southern gold",E584)),"Southern Gold Mix",
ISNUMBER(SEARCH("heat-tolerant blue",E584)),"Heat-Tolerant Blue Mix",
ISNUMBER(SEARCH("high traffic",E584)),"High Traffic Mix",
ISNUMBER(SEARCH("quick fix",E584)),"Quick Fix Mix",
ISNUMBER(SEARCH("starter",E584)),"Starter Fertilizer",
ISNUMBER(SEARCH("weed &amp; feed",E584)),"Weed &amp; Feed",
ISNUMBER(SEARCH("lawn food",E584)),"Lawn Food",
ISNUMBER(SEARCH("triple action",E584)),"Triple Action Fertilizer",
ISNUMBER(SEARCH("green max",E584)),"Green Max Lawn Food",
ISNUMBER(SEARCH("patchmaster",E584)),"PatchMaster Repair",
ISNUMBER(SEARCH("ez seed",E584)),"EZ Seed Repair",
ISNUMBER(SEARCH("rapid grass",E584)),"Rapid Grass",
ISNUMBER(SEARCH("thick'r lawn",E584)),"Thick'R Lawn",
ISNUMBER(SEARCH("fungicide",E584)),"Fungicide",
ISNUMBER(SEARCH("moss",E584)),"Moss Control",
ISNUMBER(SEARCH("perlite",E584)),"Perlite",
ISNUMBER(SEARCH("plant food",E584)),"Plant Food",
ISNUMBER(SEARCH("spreader",E584)),"Spreader",
ISNUMBER(SEARCH("sprayer",E584)),"Sprayer",
ISNUMBER(SEARCH("mower",E584)),"Lawn Mower",
ISNUMBER(SEARCH("sweeper",E584)),"Lawn Sweeper",
OR(ISNUMBER(SEARCH("pruner",E584)),ISNUMBER(SEARCH("trimmer",E584)),ISNUMBER(SEARCH("pole saw",E584))),"Pruning Tools",
TRUE,"Other"
)</f>
        <v>Other</v>
      </c>
      <c r="J584" s="7" t="str">
        <f t="shared" si="171"/>
        <v>Rodent Control - Other</v>
      </c>
      <c r="K584" s="4">
        <v>1000</v>
      </c>
      <c r="L584" s="4">
        <v>4.5999999999999996</v>
      </c>
      <c r="M584" s="4">
        <v>5259</v>
      </c>
      <c r="N584" s="4" t="s">
        <v>3224</v>
      </c>
      <c r="O584" s="4">
        <f>VLOOKUP(A584,[13]Sheet1!$A:$M,2,0)</f>
        <v>500</v>
      </c>
      <c r="P584" s="4">
        <f>VLOOKUP(A584,[13]Sheet1!$A:$M,3,0)</f>
        <v>500</v>
      </c>
      <c r="Q584" s="4">
        <f>VLOOKUP(A584,[13]Sheet1!$A:$M,4,0)</f>
        <v>1000</v>
      </c>
      <c r="R584" s="4">
        <f>VLOOKUP(A584,[13]Sheet1!$A:$M,5,0)</f>
        <v>1000</v>
      </c>
      <c r="S584" s="4">
        <f>VLOOKUP(A584,[13]Sheet1!$A:$M,6,0)</f>
        <v>1000</v>
      </c>
      <c r="T584" s="4">
        <f>VLOOKUP(A584,[13]Sheet1!$A:$M,7,0)</f>
        <v>2000</v>
      </c>
      <c r="U584" s="4">
        <f>VLOOKUP(A584,[13]Sheet1!$A:$M,8,0)</f>
        <v>1000</v>
      </c>
      <c r="V584" s="4">
        <f>VLOOKUP(A584,[13]Sheet1!$A:$M,9,0)</f>
        <v>2000</v>
      </c>
      <c r="W584" s="4">
        <f>VLOOKUP(A584,[13]Sheet1!$A:$M,10,0)</f>
        <v>1000</v>
      </c>
      <c r="X584" s="4">
        <f>VLOOKUP(A584,[13]Sheet1!$A:$M,11,0)</f>
        <v>1000</v>
      </c>
      <c r="Y584" s="4">
        <f>VLOOKUP(A584,[13]Sheet1!$A:$M,12,0)</f>
        <v>800</v>
      </c>
      <c r="Z584" s="4">
        <f>VLOOKUP(A584,[13]Sheet1!$A:$M,13,0)</f>
        <v>500</v>
      </c>
      <c r="AA584" s="4">
        <f t="shared" si="176"/>
        <v>12300</v>
      </c>
      <c r="AB584" s="7">
        <f t="shared" si="177"/>
        <v>1025</v>
      </c>
      <c r="AC584" s="15">
        <f t="shared" si="178"/>
        <v>1025</v>
      </c>
      <c r="AD584" s="16">
        <f t="shared" si="179"/>
        <v>159408</v>
      </c>
      <c r="AE584" s="16">
        <f t="shared" si="180"/>
        <v>13284</v>
      </c>
      <c r="AF584" s="21">
        <v>4.3499999999999996</v>
      </c>
      <c r="AG584" s="21">
        <v>12.96</v>
      </c>
      <c r="AH584" s="15">
        <f t="shared" si="158"/>
        <v>-1.1066666666666692E-2</v>
      </c>
      <c r="AI584" s="15">
        <f t="shared" si="159"/>
        <v>-3.8733333333333418E-2</v>
      </c>
      <c r="AJ584" s="10">
        <v>0.5</v>
      </c>
      <c r="AK584" s="10">
        <v>0.5</v>
      </c>
      <c r="AL584" s="21">
        <v>4.3499999999999996</v>
      </c>
      <c r="AM584" s="9">
        <f t="shared" si="181"/>
        <v>1.944</v>
      </c>
      <c r="AN584" s="9">
        <f t="shared" si="182"/>
        <v>0.38880000000000003</v>
      </c>
      <c r="AO584" s="9">
        <f t="shared" si="183"/>
        <v>2.5920000000000005</v>
      </c>
      <c r="AP584" s="9">
        <f t="shared" si="184"/>
        <v>0.25920000000000004</v>
      </c>
      <c r="AQ584" s="9">
        <f t="shared" si="185"/>
        <v>2.5920000000000005</v>
      </c>
      <c r="AR584" s="9">
        <f t="shared" si="186"/>
        <v>3.24</v>
      </c>
      <c r="AS584" s="11">
        <f t="shared" si="187"/>
        <v>-0.11066666666666691</v>
      </c>
      <c r="AT584" s="12">
        <f t="shared" si="188"/>
        <v>-0.54266666666666674</v>
      </c>
    </row>
    <row r="585" spans="1:46" ht="16.5" x14ac:dyDescent="0.4">
      <c r="A585" s="4" t="s">
        <v>2575</v>
      </c>
      <c r="B585" s="4" t="s">
        <v>2710</v>
      </c>
      <c r="C585" s="4" t="s">
        <v>2717</v>
      </c>
      <c r="D585" s="4" t="s">
        <v>2754</v>
      </c>
      <c r="E585" s="4" t="s">
        <v>2913</v>
      </c>
      <c r="F585" s="4" t="s">
        <v>3072</v>
      </c>
      <c r="G585" s="7" t="str">
        <f>VLOOKUP(A585,[1]done!$A:$I,9,0)</f>
        <v>Insecticide/Fungicide</v>
      </c>
      <c r="H585" s="7" t="str" cm="1">
        <f t="array" ref="H585">_xlfn.IFS(
OR(ISNUMBER(SEARCH("mouse",E585)),ISNUMBER(SEARCH("rat",E585)),ISNUMBER(SEARCH("mice",E585)),ISNUMBER(SEARCH("rodent",E585))),"Rodent Control",
OR(ISNUMBER(SEARCH("fly",E585)),ISNUMBER(SEARCH("gnat",E585)),ISNUMBER(SEARCH("insect",E585)),ISNUMBER(SEARCH("mosquito",E585))),"Flying Insect Control",
OR(ISNUMBER(SEARCH("roach",E585)),ISNUMBER(SEARCH("ant",E585)),ISNUMBER(SEARCH("spider",E585)),ISNUMBER(SEARCH("cricket",E585)),ISNUMBER(SEARCH("scorpion",E585)),ISNUMBER(SEARCH("centipede",E585)),ISNUMBER(SEARCH("beetle",E585))),"Crawling Insect Control",
OR(ISNUMBER(SEARCH("tree",E585)),ISNUMBER(SEARCH("lantern",E585)),ISNUMBER(SEARCH("garden",E585)),ISNUMBER(SEARCH("plant",E585))),"Garden Pest Control",
OR(ISNUMBER(SEARCH("grass seed",E585)),ISNUMBER(SEARCH("seed mix",E585))),"Grass Seed",
OR(ISNUMBER(SEARCH("lawn food",E585)),ISNUMBER(SEARCH("fertilizer",E585))),"Lawn Fertilizer",
OR(ISNUMBER(SEARCH("patch",E585)),ISNUMBER(SEARCH("repair",E585)),ISNUMBER(SEARCH("thick'r",E585)),ISNUMBER(SEARCH("thick'r lawn",E585)),ISNUMBER(SEARCH("rapid grass",E585))),"Lawn Repair",
OR(ISNUMBER(SEARCH("weed",E585)),ISNUMBER(SEARCH("crabgrass",E585))),"Weed Control",
OR(ISNUMBER(SEARCH("fungicide",E585)),ISNUMBER(SEARCH("moss",E585))),"Disease &amp; Moss Control",
OR(ISNUMBER(SEARCH("plant food",E585)),ISNUMBER(SEARCH("miracid",E585))),"Plant Nutrition",
OR(ISNUMBER(SEARCH("perlite",E585))),"Soil Amendment",
OR(ISNUMBER(SEARCH("spreader",E585)),ISNUMBER(SEARCH("sprayer",E585)),ISNUMBER(SEARCH("mower",E585)),ISNUMBER(SEARCH("sweeper",E585)),ISNUMBER(SEARCH("pruner",E585)),ISNUMBER(SEARCH("trimmer",E585)),ISNUMBER(SEARCH("pole saw",E585))),"Garden Equipment",
TRUE,"Other"
)</f>
        <v>Flying Insect Control</v>
      </c>
      <c r="I585" s="7" t="str" cm="1">
        <f t="array" ref="I585">_xlfn.IFS(
OR(ISNUMBER(SEARCH("glue trap",E585)),ISNUMBER(SEARCH("glue board",E585))),"Glue Traps",
OR(ISNUMBER(SEARCH("snap trap",E585)),ISNUMBER(SEARCH("power-kill",E585)),ISNUMBER(SEARCH("wide pedal",E585)),ISNUMBER(SEARCH("metal pedal",E585))),"Snap Traps",
OR(ISNUMBER(SEARCH("electronic",E585)),ISNUMBER(SEARCH("zapper",E585))),"Electronic Traps",
OR(ISNUMBER(SEARCH("live catch",E585)),ISNUMBER(SEARCH("multi-catch",E585)),ISNUMBER(SEARCH("catch &amp; hold",E585)),ISNUMBER(SEARCH("tin cat",E585))),"Live Catch Traps",
OR(ISNUMBER(SEARCH("bait",E585)),ISNUMBER(SEARCH("poison",E585))),"Bait &amp; Poison",
ISNUMBER(SEARCH("repellent",E585)),"Repellents",
OR(ISNUMBER(SEARCH("fly trap",E585)),ISNUMBER(SEARCH("fly ribbon",E585)),ISNUMBER(SEARCH("fly stick",E585)),ISNUMBER(SEARCH("window fly",E585)),ISNUMBER(SEARCH("fly magnet",E585))),"Fly Traps",
OR(ISNUMBER(SEARCH("uv",E585)),ISNUMBER(SEARCH("fly light",E585)),ISNUMBER(SEARCH("plug-in",E585))),"UV Fly Traps",
ISNUMBER(SEARCH("roach",E585)),"Roach Traps",
ISNUMBER(SEARCH("ant",E585)),"Ant Traps",
ISNUMBER(SEARCH("spider",E585)),"Spider Traps",
ISNUMBER(SEARCH("mosquito",E585)),"Mosquito Traps",
ISNUMBER(SEARCH("beetle",E585)),"Beetle Traps",
ISNUMBER(SEARCH("lantern",E585)),"Lanternfly Control",
OR(ISNUMBER(SEARCH("tree shield",E585)),ISNUMBER(SEARCH("tree banding",E585)),ISNUMBER(SEARCH("insect barrier",E585))),"Tree Barriers",
OR(ISNUMBER(SEARCH("sun &amp; shade",E585)),ISNUMBER(SEARCH("sun and shade",E585))),"Sun &amp; Shade Mix",
ISNUMBER(SEARCH("tall fescue",E585)),"Tall Fescue",
ISNUMBER(SEARCH("bermudagrass",E585)),"Bermudagrass",
ISNUMBER(SEARCH("kentucky",E585)),"Kentucky Bluegrass",
ISNUMBER(SEARCH("zoysia",E585)),"Zoysia",
ISNUMBER(SEARCH("ryegrass",E585)),"Perennial Ryegrass",
ISNUMBER(SEARCH("centipede",E585)),"Centipede Grass",
ISNUMBER(SEARCH("dense shade",E585)),"Dense Shade Mix",
ISNUMBER(SEARCH("southern gold",E585)),"Southern Gold Mix",
ISNUMBER(SEARCH("heat-tolerant blue",E585)),"Heat-Tolerant Blue Mix",
ISNUMBER(SEARCH("high traffic",E585)),"High Traffic Mix",
ISNUMBER(SEARCH("quick fix",E585)),"Quick Fix Mix",
ISNUMBER(SEARCH("starter",E585)),"Starter Fertilizer",
ISNUMBER(SEARCH("weed &amp; feed",E585)),"Weed &amp; Feed",
ISNUMBER(SEARCH("lawn food",E585)),"Lawn Food",
ISNUMBER(SEARCH("triple action",E585)),"Triple Action Fertilizer",
ISNUMBER(SEARCH("green max",E585)),"Green Max Lawn Food",
ISNUMBER(SEARCH("patchmaster",E585)),"PatchMaster Repair",
ISNUMBER(SEARCH("ez seed",E585)),"EZ Seed Repair",
ISNUMBER(SEARCH("rapid grass",E585)),"Rapid Grass",
ISNUMBER(SEARCH("thick'r lawn",E585)),"Thick'R Lawn",
ISNUMBER(SEARCH("fungicide",E585)),"Fungicide",
ISNUMBER(SEARCH("moss",E585)),"Moss Control",
ISNUMBER(SEARCH("perlite",E585)),"Perlite",
ISNUMBER(SEARCH("plant food",E585)),"Plant Food",
ISNUMBER(SEARCH("spreader",E585)),"Spreader",
ISNUMBER(SEARCH("sprayer",E585)),"Sprayer",
ISNUMBER(SEARCH("mower",E585)),"Lawn Mower",
ISNUMBER(SEARCH("sweeper",E585)),"Lawn Sweeper",
OR(ISNUMBER(SEARCH("pruner",E585)),ISNUMBER(SEARCH("trimmer",E585)),ISNUMBER(SEARCH("pole saw",E585))),"Pruning Tools",
TRUE,"Other"
)</f>
        <v>Other</v>
      </c>
      <c r="J585" s="7" t="str">
        <f t="shared" si="171"/>
        <v>Flying Insect Control - Other</v>
      </c>
      <c r="K585" s="4">
        <v>1000</v>
      </c>
      <c r="L585" s="4">
        <v>4.5999999999999996</v>
      </c>
      <c r="M585" s="4">
        <v>6811</v>
      </c>
      <c r="N585" s="4" t="s">
        <v>3225</v>
      </c>
      <c r="O585" s="4">
        <f>VLOOKUP(A585,[13]Sheet1!$A:$M,2,0)</f>
        <v>300</v>
      </c>
      <c r="P585" s="4">
        <f>VLOOKUP(A585,[13]Sheet1!$A:$M,3,0)</f>
        <v>400</v>
      </c>
      <c r="Q585" s="4">
        <f>VLOOKUP(A585,[13]Sheet1!$A:$M,4,0)</f>
        <v>300</v>
      </c>
      <c r="R585" s="4">
        <f>VLOOKUP(A585,[13]Sheet1!$A:$M,5,0)</f>
        <v>300</v>
      </c>
      <c r="S585" s="4">
        <f>VLOOKUP(A585,[13]Sheet1!$A:$M,6,0)</f>
        <v>300</v>
      </c>
      <c r="T585" s="4">
        <f>VLOOKUP(A585,[13]Sheet1!$A:$M,7,0)</f>
        <v>500</v>
      </c>
      <c r="U585" s="4">
        <f>VLOOKUP(A585,[13]Sheet1!$A:$M,8,0)</f>
        <v>300</v>
      </c>
      <c r="V585" s="4">
        <f>VLOOKUP(A585,[13]Sheet1!$A:$M,9,0)</f>
        <v>650</v>
      </c>
      <c r="W585" s="4">
        <f>VLOOKUP(A585,[13]Sheet1!$A:$M,10,0)</f>
        <v>1000</v>
      </c>
      <c r="X585" s="4">
        <f>VLOOKUP(A585,[13]Sheet1!$A:$M,11,0)</f>
        <v>900</v>
      </c>
      <c r="Y585" s="4">
        <f>VLOOKUP(A585,[13]Sheet1!$A:$M,12,0)</f>
        <v>800</v>
      </c>
      <c r="Z585" s="4">
        <f>VLOOKUP(A585,[13]Sheet1!$A:$M,13,0)</f>
        <v>400</v>
      </c>
      <c r="AA585" s="4">
        <f t="shared" si="176"/>
        <v>6150</v>
      </c>
      <c r="AB585" s="7">
        <f t="shared" si="177"/>
        <v>513</v>
      </c>
      <c r="AC585" s="15">
        <f t="shared" si="178"/>
        <v>512.5</v>
      </c>
      <c r="AD585" s="16">
        <f t="shared" si="179"/>
        <v>61438.5</v>
      </c>
      <c r="AE585" s="16">
        <f t="shared" si="180"/>
        <v>5119.875</v>
      </c>
      <c r="AF585" s="21">
        <v>4.37</v>
      </c>
      <c r="AG585" s="21">
        <v>9.99</v>
      </c>
      <c r="AH585" s="15">
        <f t="shared" si="158"/>
        <v>-9.1600000000000042E-2</v>
      </c>
      <c r="AI585" s="15">
        <f t="shared" si="159"/>
        <v>-0.32060000000000011</v>
      </c>
      <c r="AJ585" s="10">
        <v>0.5</v>
      </c>
      <c r="AK585" s="10">
        <v>0.5</v>
      </c>
      <c r="AL585" s="21">
        <v>4.37</v>
      </c>
      <c r="AM585" s="9">
        <f t="shared" si="181"/>
        <v>1.4984999999999999</v>
      </c>
      <c r="AN585" s="9">
        <f t="shared" si="182"/>
        <v>0.29970000000000002</v>
      </c>
      <c r="AO585" s="9">
        <f t="shared" si="183"/>
        <v>1.9980000000000002</v>
      </c>
      <c r="AP585" s="9">
        <f t="shared" si="184"/>
        <v>0.19980000000000001</v>
      </c>
      <c r="AQ585" s="9">
        <f t="shared" si="185"/>
        <v>1.9980000000000002</v>
      </c>
      <c r="AR585" s="9">
        <f t="shared" si="186"/>
        <v>2.4975000000000001</v>
      </c>
      <c r="AS585" s="11">
        <f t="shared" si="187"/>
        <v>-0.91600000000000037</v>
      </c>
      <c r="AT585" s="12">
        <f t="shared" si="188"/>
        <v>-1.2490000000000003</v>
      </c>
    </row>
    <row r="586" spans="1:46" ht="16.5" x14ac:dyDescent="0.4">
      <c r="A586" s="4" t="s">
        <v>2576</v>
      </c>
      <c r="B586" s="4" t="s">
        <v>2710</v>
      </c>
      <c r="C586" s="4" t="s">
        <v>2710</v>
      </c>
      <c r="D586" s="4" t="s">
        <v>2755</v>
      </c>
      <c r="E586" s="4" t="s">
        <v>2914</v>
      </c>
      <c r="F586" s="4" t="s">
        <v>3073</v>
      </c>
      <c r="G586" s="7" t="str">
        <f>VLOOKUP(A586,[1]done!$A:$I,9,0)</f>
        <v>Deer &amp; Rabbit control</v>
      </c>
      <c r="H586" s="7" t="str" cm="1">
        <f t="array" ref="H586">_xlfn.IFS(
OR(ISNUMBER(SEARCH("mouse",E586)),ISNUMBER(SEARCH("rat",E586)),ISNUMBER(SEARCH("mice",E586)),ISNUMBER(SEARCH("rodent",E586))),"Rodent Control",
OR(ISNUMBER(SEARCH("fly",E586)),ISNUMBER(SEARCH("gnat",E586)),ISNUMBER(SEARCH("insect",E586)),ISNUMBER(SEARCH("mosquito",E586))),"Flying Insect Control",
OR(ISNUMBER(SEARCH("roach",E586)),ISNUMBER(SEARCH("ant",E586)),ISNUMBER(SEARCH("spider",E586)),ISNUMBER(SEARCH("cricket",E586)),ISNUMBER(SEARCH("scorpion",E586)),ISNUMBER(SEARCH("centipede",E586)),ISNUMBER(SEARCH("beetle",E586))),"Crawling Insect Control",
OR(ISNUMBER(SEARCH("tree",E586)),ISNUMBER(SEARCH("lantern",E586)),ISNUMBER(SEARCH("garden",E586)),ISNUMBER(SEARCH("plant",E586))),"Garden Pest Control",
OR(ISNUMBER(SEARCH("grass seed",E586)),ISNUMBER(SEARCH("seed mix",E586))),"Grass Seed",
OR(ISNUMBER(SEARCH("lawn food",E586)),ISNUMBER(SEARCH("fertilizer",E586))),"Lawn Fertilizer",
OR(ISNUMBER(SEARCH("patch",E586)),ISNUMBER(SEARCH("repair",E586)),ISNUMBER(SEARCH("thick'r",E586)),ISNUMBER(SEARCH("thick'r lawn",E586)),ISNUMBER(SEARCH("rapid grass",E586))),"Lawn Repair",
OR(ISNUMBER(SEARCH("weed",E586)),ISNUMBER(SEARCH("crabgrass",E586))),"Weed Control",
OR(ISNUMBER(SEARCH("fungicide",E586)),ISNUMBER(SEARCH("moss",E586))),"Disease &amp; Moss Control",
OR(ISNUMBER(SEARCH("plant food",E586)),ISNUMBER(SEARCH("miracid",E586))),"Plant Nutrition",
OR(ISNUMBER(SEARCH("perlite",E586))),"Soil Amendment",
OR(ISNUMBER(SEARCH("spreader",E586)),ISNUMBER(SEARCH("sprayer",E586)),ISNUMBER(SEARCH("mower",E586)),ISNUMBER(SEARCH("sweeper",E586)),ISNUMBER(SEARCH("pruner",E586)),ISNUMBER(SEARCH("trimmer",E586)),ISNUMBER(SEARCH("pole saw",E586))),"Garden Equipment",
TRUE,"Other"
)</f>
        <v>Garden Pest Control</v>
      </c>
      <c r="I586" s="7" t="str" cm="1">
        <f t="array" ref="I586">_xlfn.IFS(
OR(ISNUMBER(SEARCH("glue trap",E586)),ISNUMBER(SEARCH("glue board",E586))),"Glue Traps",
OR(ISNUMBER(SEARCH("snap trap",E586)),ISNUMBER(SEARCH("power-kill",E586)),ISNUMBER(SEARCH("wide pedal",E586)),ISNUMBER(SEARCH("metal pedal",E586))),"Snap Traps",
OR(ISNUMBER(SEARCH("electronic",E586)),ISNUMBER(SEARCH("zapper",E586))),"Electronic Traps",
OR(ISNUMBER(SEARCH("live catch",E586)),ISNUMBER(SEARCH("multi-catch",E586)),ISNUMBER(SEARCH("catch &amp; hold",E586)),ISNUMBER(SEARCH("tin cat",E586))),"Live Catch Traps",
OR(ISNUMBER(SEARCH("bait",E586)),ISNUMBER(SEARCH("poison",E586))),"Bait &amp; Poison",
ISNUMBER(SEARCH("repellent",E586)),"Repellents",
OR(ISNUMBER(SEARCH("fly trap",E586)),ISNUMBER(SEARCH("fly ribbon",E586)),ISNUMBER(SEARCH("fly stick",E586)),ISNUMBER(SEARCH("window fly",E586)),ISNUMBER(SEARCH("fly magnet",E586))),"Fly Traps",
OR(ISNUMBER(SEARCH("uv",E586)),ISNUMBER(SEARCH("fly light",E586)),ISNUMBER(SEARCH("plug-in",E586))),"UV Fly Traps",
ISNUMBER(SEARCH("roach",E586)),"Roach Traps",
ISNUMBER(SEARCH("ant",E586)),"Ant Traps",
ISNUMBER(SEARCH("spider",E586)),"Spider Traps",
ISNUMBER(SEARCH("mosquito",E586)),"Mosquito Traps",
ISNUMBER(SEARCH("beetle",E586)),"Beetle Traps",
ISNUMBER(SEARCH("lantern",E586)),"Lanternfly Control",
OR(ISNUMBER(SEARCH("tree shield",E586)),ISNUMBER(SEARCH("tree banding",E586)),ISNUMBER(SEARCH("insect barrier",E586))),"Tree Barriers",
OR(ISNUMBER(SEARCH("sun &amp; shade",E586)),ISNUMBER(SEARCH("sun and shade",E586))),"Sun &amp; Shade Mix",
ISNUMBER(SEARCH("tall fescue",E586)),"Tall Fescue",
ISNUMBER(SEARCH("bermudagrass",E586)),"Bermudagrass",
ISNUMBER(SEARCH("kentucky",E586)),"Kentucky Bluegrass",
ISNUMBER(SEARCH("zoysia",E586)),"Zoysia",
ISNUMBER(SEARCH("ryegrass",E586)),"Perennial Ryegrass",
ISNUMBER(SEARCH("centipede",E586)),"Centipede Grass",
ISNUMBER(SEARCH("dense shade",E586)),"Dense Shade Mix",
ISNUMBER(SEARCH("southern gold",E586)),"Southern Gold Mix",
ISNUMBER(SEARCH("heat-tolerant blue",E586)),"Heat-Tolerant Blue Mix",
ISNUMBER(SEARCH("high traffic",E586)),"High Traffic Mix",
ISNUMBER(SEARCH("quick fix",E586)),"Quick Fix Mix",
ISNUMBER(SEARCH("starter",E586)),"Starter Fertilizer",
ISNUMBER(SEARCH("weed &amp; feed",E586)),"Weed &amp; Feed",
ISNUMBER(SEARCH("lawn food",E586)),"Lawn Food",
ISNUMBER(SEARCH("triple action",E586)),"Triple Action Fertilizer",
ISNUMBER(SEARCH("green max",E586)),"Green Max Lawn Food",
ISNUMBER(SEARCH("patchmaster",E586)),"PatchMaster Repair",
ISNUMBER(SEARCH("ez seed",E586)),"EZ Seed Repair",
ISNUMBER(SEARCH("rapid grass",E586)),"Rapid Grass",
ISNUMBER(SEARCH("thick'r lawn",E586)),"Thick'R Lawn",
ISNUMBER(SEARCH("fungicide",E586)),"Fungicide",
ISNUMBER(SEARCH("moss",E586)),"Moss Control",
ISNUMBER(SEARCH("perlite",E586)),"Perlite",
ISNUMBER(SEARCH("plant food",E586)),"Plant Food",
ISNUMBER(SEARCH("spreader",E586)),"Spreader",
ISNUMBER(SEARCH("sprayer",E586)),"Sprayer",
ISNUMBER(SEARCH("mower",E586)),"Lawn Mower",
ISNUMBER(SEARCH("sweeper",E586)),"Lawn Sweeper",
OR(ISNUMBER(SEARCH("pruner",E586)),ISNUMBER(SEARCH("trimmer",E586)),ISNUMBER(SEARCH("pole saw",E586))),"Pruning Tools",
TRUE,"Other"
)</f>
        <v>Repellents</v>
      </c>
      <c r="J586" s="7" t="str">
        <f t="shared" si="171"/>
        <v>Garden Pest Control - Repellents</v>
      </c>
      <c r="K586" s="4">
        <v>1000</v>
      </c>
      <c r="L586" s="4">
        <v>3.3</v>
      </c>
      <c r="M586" s="4">
        <v>9004</v>
      </c>
      <c r="N586" s="4" t="s">
        <v>3222</v>
      </c>
      <c r="O586" s="4">
        <f>VLOOKUP(A586,[13]Sheet1!$A:$M,2,0)</f>
        <v>600</v>
      </c>
      <c r="P586" s="4">
        <f>VLOOKUP(A586,[13]Sheet1!$A:$M,3,0)</f>
        <v>700</v>
      </c>
      <c r="Q586" s="4">
        <f>VLOOKUP(A586,[13]Sheet1!$A:$M,4,0)</f>
        <v>1000</v>
      </c>
      <c r="R586" s="4">
        <f>VLOOKUP(A586,[13]Sheet1!$A:$M,5,0)</f>
        <v>1000</v>
      </c>
      <c r="S586" s="4">
        <f>VLOOKUP(A586,[13]Sheet1!$A:$M,6,0)</f>
        <v>2000</v>
      </c>
      <c r="T586" s="4">
        <f>VLOOKUP(A586,[13]Sheet1!$A:$M,7,0)</f>
        <v>2000</v>
      </c>
      <c r="U586" s="4">
        <f>VLOOKUP(A586,[13]Sheet1!$A:$M,8,0)</f>
        <v>1000</v>
      </c>
      <c r="V586" s="4">
        <f>VLOOKUP(A586,[13]Sheet1!$A:$M,9,0)</f>
        <v>1000</v>
      </c>
      <c r="W586" s="4">
        <f>VLOOKUP(A586,[13]Sheet1!$A:$M,10,0)</f>
        <v>1000</v>
      </c>
      <c r="X586" s="4">
        <f>VLOOKUP(A586,[13]Sheet1!$A:$M,11,0)</f>
        <v>600</v>
      </c>
      <c r="Y586" s="4">
        <f>VLOOKUP(A586,[13]Sheet1!$A:$M,12,0)</f>
        <v>700</v>
      </c>
      <c r="Z586" s="4">
        <f>VLOOKUP(A586,[13]Sheet1!$A:$M,13,0)</f>
        <v>600</v>
      </c>
      <c r="AA586" s="4">
        <f t="shared" si="176"/>
        <v>12200</v>
      </c>
      <c r="AB586" s="7">
        <f t="shared" si="177"/>
        <v>1017</v>
      </c>
      <c r="AC586" s="15">
        <f t="shared" si="178"/>
        <v>1016.6666666666666</v>
      </c>
      <c r="AD586" s="16">
        <f t="shared" si="179"/>
        <v>100528</v>
      </c>
      <c r="AE586" s="16">
        <f t="shared" si="180"/>
        <v>8377.3333333333339</v>
      </c>
      <c r="AF586" s="21">
        <v>4.37</v>
      </c>
      <c r="AG586" s="21">
        <v>8.24</v>
      </c>
      <c r="AH586" s="15">
        <f t="shared" si="158"/>
        <v>-0.1382666666666667</v>
      </c>
      <c r="AI586" s="15">
        <f t="shared" si="159"/>
        <v>-0.48393333333333338</v>
      </c>
      <c r="AJ586" s="10">
        <v>0.5</v>
      </c>
      <c r="AK586" s="10">
        <v>0.5</v>
      </c>
      <c r="AL586" s="21">
        <v>4.37</v>
      </c>
      <c r="AM586" s="9">
        <f t="shared" si="181"/>
        <v>1.236</v>
      </c>
      <c r="AN586" s="9">
        <f t="shared" si="182"/>
        <v>0.2472</v>
      </c>
      <c r="AO586" s="9">
        <f t="shared" si="183"/>
        <v>1.6480000000000001</v>
      </c>
      <c r="AP586" s="9">
        <f t="shared" si="184"/>
        <v>0.1648</v>
      </c>
      <c r="AQ586" s="9">
        <f t="shared" si="185"/>
        <v>1.6480000000000001</v>
      </c>
      <c r="AR586" s="9">
        <f t="shared" si="186"/>
        <v>2.06</v>
      </c>
      <c r="AS586" s="11">
        <f t="shared" si="187"/>
        <v>-1.3826666666666669</v>
      </c>
      <c r="AT586" s="12">
        <f t="shared" si="188"/>
        <v>-1.6573333333333335</v>
      </c>
    </row>
    <row r="587" spans="1:46" ht="16.5" x14ac:dyDescent="0.4">
      <c r="A587" s="4" t="s">
        <v>2577</v>
      </c>
      <c r="B587" s="4" t="s">
        <v>2710</v>
      </c>
      <c r="C587" s="4" t="s">
        <v>2712</v>
      </c>
      <c r="D587" s="4" t="s">
        <v>2756</v>
      </c>
      <c r="E587" s="4" t="s">
        <v>2915</v>
      </c>
      <c r="F587" s="4" t="s">
        <v>3074</v>
      </c>
      <c r="G587" s="7" t="str">
        <f>VLOOKUP(A587,[1]done!$A:$I,9,0)</f>
        <v>Deer &amp; Rabbit control</v>
      </c>
      <c r="H587" s="7" t="str" cm="1">
        <f t="array" ref="H587">_xlfn.IFS(
OR(ISNUMBER(SEARCH("mouse",E587)),ISNUMBER(SEARCH("rat",E587)),ISNUMBER(SEARCH("mice",E587)),ISNUMBER(SEARCH("rodent",E587))),"Rodent Control",
OR(ISNUMBER(SEARCH("fly",E587)),ISNUMBER(SEARCH("gnat",E587)),ISNUMBER(SEARCH("insect",E587)),ISNUMBER(SEARCH("mosquito",E587))),"Flying Insect Control",
OR(ISNUMBER(SEARCH("roach",E587)),ISNUMBER(SEARCH("ant",E587)),ISNUMBER(SEARCH("spider",E587)),ISNUMBER(SEARCH("cricket",E587)),ISNUMBER(SEARCH("scorpion",E587)),ISNUMBER(SEARCH("centipede",E587)),ISNUMBER(SEARCH("beetle",E587))),"Crawling Insect Control",
OR(ISNUMBER(SEARCH("tree",E587)),ISNUMBER(SEARCH("lantern",E587)),ISNUMBER(SEARCH("garden",E587)),ISNUMBER(SEARCH("plant",E587))),"Garden Pest Control",
OR(ISNUMBER(SEARCH("grass seed",E587)),ISNUMBER(SEARCH("seed mix",E587))),"Grass Seed",
OR(ISNUMBER(SEARCH("lawn food",E587)),ISNUMBER(SEARCH("fertilizer",E587))),"Lawn Fertilizer",
OR(ISNUMBER(SEARCH("patch",E587)),ISNUMBER(SEARCH("repair",E587)),ISNUMBER(SEARCH("thick'r",E587)),ISNUMBER(SEARCH("thick'r lawn",E587)),ISNUMBER(SEARCH("rapid grass",E587))),"Lawn Repair",
OR(ISNUMBER(SEARCH("weed",E587)),ISNUMBER(SEARCH("crabgrass",E587))),"Weed Control",
OR(ISNUMBER(SEARCH("fungicide",E587)),ISNUMBER(SEARCH("moss",E587))),"Disease &amp; Moss Control",
OR(ISNUMBER(SEARCH("plant food",E587)),ISNUMBER(SEARCH("miracid",E587))),"Plant Nutrition",
OR(ISNUMBER(SEARCH("perlite",E587))),"Soil Amendment",
OR(ISNUMBER(SEARCH("spreader",E587)),ISNUMBER(SEARCH("sprayer",E587)),ISNUMBER(SEARCH("mower",E587)),ISNUMBER(SEARCH("sweeper",E587)),ISNUMBER(SEARCH("pruner",E587)),ISNUMBER(SEARCH("trimmer",E587)),ISNUMBER(SEARCH("pole saw",E587))),"Garden Equipment",
TRUE,"Other"
)</f>
        <v>Garden Pest Control</v>
      </c>
      <c r="I587" s="7" t="str" cm="1">
        <f t="array" ref="I587">_xlfn.IFS(
OR(ISNUMBER(SEARCH("glue trap",E587)),ISNUMBER(SEARCH("glue board",E587))),"Glue Traps",
OR(ISNUMBER(SEARCH("snap trap",E587)),ISNUMBER(SEARCH("power-kill",E587)),ISNUMBER(SEARCH("wide pedal",E587)),ISNUMBER(SEARCH("metal pedal",E587))),"Snap Traps",
OR(ISNUMBER(SEARCH("electronic",E587)),ISNUMBER(SEARCH("zapper",E587))),"Electronic Traps",
OR(ISNUMBER(SEARCH("live catch",E587)),ISNUMBER(SEARCH("multi-catch",E587)),ISNUMBER(SEARCH("catch &amp; hold",E587)),ISNUMBER(SEARCH("tin cat",E587))),"Live Catch Traps",
OR(ISNUMBER(SEARCH("bait",E587)),ISNUMBER(SEARCH("poison",E587))),"Bait &amp; Poison",
ISNUMBER(SEARCH("repellent",E587)),"Repellents",
OR(ISNUMBER(SEARCH("fly trap",E587)),ISNUMBER(SEARCH("fly ribbon",E587)),ISNUMBER(SEARCH("fly stick",E587)),ISNUMBER(SEARCH("window fly",E587)),ISNUMBER(SEARCH("fly magnet",E587))),"Fly Traps",
OR(ISNUMBER(SEARCH("uv",E587)),ISNUMBER(SEARCH("fly light",E587)),ISNUMBER(SEARCH("plug-in",E587))),"UV Fly Traps",
ISNUMBER(SEARCH("roach",E587)),"Roach Traps",
ISNUMBER(SEARCH("ant",E587)),"Ant Traps",
ISNUMBER(SEARCH("spider",E587)),"Spider Traps",
ISNUMBER(SEARCH("mosquito",E587)),"Mosquito Traps",
ISNUMBER(SEARCH("beetle",E587)),"Beetle Traps",
ISNUMBER(SEARCH("lantern",E587)),"Lanternfly Control",
OR(ISNUMBER(SEARCH("tree shield",E587)),ISNUMBER(SEARCH("tree banding",E587)),ISNUMBER(SEARCH("insect barrier",E587))),"Tree Barriers",
OR(ISNUMBER(SEARCH("sun &amp; shade",E587)),ISNUMBER(SEARCH("sun and shade",E587))),"Sun &amp; Shade Mix",
ISNUMBER(SEARCH("tall fescue",E587)),"Tall Fescue",
ISNUMBER(SEARCH("bermudagrass",E587)),"Bermudagrass",
ISNUMBER(SEARCH("kentucky",E587)),"Kentucky Bluegrass",
ISNUMBER(SEARCH("zoysia",E587)),"Zoysia",
ISNUMBER(SEARCH("ryegrass",E587)),"Perennial Ryegrass",
ISNUMBER(SEARCH("centipede",E587)),"Centipede Grass",
ISNUMBER(SEARCH("dense shade",E587)),"Dense Shade Mix",
ISNUMBER(SEARCH("southern gold",E587)),"Southern Gold Mix",
ISNUMBER(SEARCH("heat-tolerant blue",E587)),"Heat-Tolerant Blue Mix",
ISNUMBER(SEARCH("high traffic",E587)),"High Traffic Mix",
ISNUMBER(SEARCH("quick fix",E587)),"Quick Fix Mix",
ISNUMBER(SEARCH("starter",E587)),"Starter Fertilizer",
ISNUMBER(SEARCH("weed &amp; feed",E587)),"Weed &amp; Feed",
ISNUMBER(SEARCH("lawn food",E587)),"Lawn Food",
ISNUMBER(SEARCH("triple action",E587)),"Triple Action Fertilizer",
ISNUMBER(SEARCH("green max",E587)),"Green Max Lawn Food",
ISNUMBER(SEARCH("patchmaster",E587)),"PatchMaster Repair",
ISNUMBER(SEARCH("ez seed",E587)),"EZ Seed Repair",
ISNUMBER(SEARCH("rapid grass",E587)),"Rapid Grass",
ISNUMBER(SEARCH("thick'r lawn",E587)),"Thick'R Lawn",
ISNUMBER(SEARCH("fungicide",E587)),"Fungicide",
ISNUMBER(SEARCH("moss",E587)),"Moss Control",
ISNUMBER(SEARCH("perlite",E587)),"Perlite",
ISNUMBER(SEARCH("plant food",E587)),"Plant Food",
ISNUMBER(SEARCH("spreader",E587)),"Spreader",
ISNUMBER(SEARCH("sprayer",E587)),"Sprayer",
ISNUMBER(SEARCH("mower",E587)),"Lawn Mower",
ISNUMBER(SEARCH("sweeper",E587)),"Lawn Sweeper",
OR(ISNUMBER(SEARCH("pruner",E587)),ISNUMBER(SEARCH("trimmer",E587)),ISNUMBER(SEARCH("pole saw",E587))),"Pruning Tools",
TRUE,"Other"
)</f>
        <v>Repellents</v>
      </c>
      <c r="J587" s="7" t="str">
        <f t="shared" si="171"/>
        <v>Garden Pest Control - Repellents</v>
      </c>
      <c r="K587" s="4">
        <v>1000</v>
      </c>
      <c r="L587" s="4">
        <v>3.3</v>
      </c>
      <c r="M587" s="4">
        <v>9011</v>
      </c>
      <c r="N587" s="4" t="s">
        <v>3213</v>
      </c>
      <c r="O587" s="4">
        <f>VLOOKUP(A587,[13]Sheet1!$A:$M,2,0)</f>
        <v>1000</v>
      </c>
      <c r="P587" s="4">
        <f>VLOOKUP(A587,[13]Sheet1!$A:$M,3,0)</f>
        <v>1000</v>
      </c>
      <c r="Q587" s="4">
        <f>VLOOKUP(A587,[13]Sheet1!$A:$M,4,0)</f>
        <v>1000</v>
      </c>
      <c r="R587" s="4">
        <f>VLOOKUP(A587,[13]Sheet1!$A:$M,5,0)</f>
        <v>2000</v>
      </c>
      <c r="S587" s="4">
        <f>VLOOKUP(A587,[13]Sheet1!$A:$M,6,0)</f>
        <v>2000</v>
      </c>
      <c r="T587" s="4">
        <f>VLOOKUP(A587,[13]Sheet1!$A:$M,7,0)</f>
        <v>2000</v>
      </c>
      <c r="U587" s="4">
        <f>VLOOKUP(A587,[13]Sheet1!$A:$M,8,0)</f>
        <v>1000</v>
      </c>
      <c r="V587" s="4">
        <f>VLOOKUP(A587,[13]Sheet1!$A:$M,9,0)</f>
        <v>1000</v>
      </c>
      <c r="W587" s="4">
        <f>VLOOKUP(A587,[13]Sheet1!$A:$M,10,0)</f>
        <v>1000</v>
      </c>
      <c r="X587" s="4">
        <f>VLOOKUP(A587,[13]Sheet1!$A:$M,11,0)</f>
        <v>1000</v>
      </c>
      <c r="Y587" s="4">
        <f>VLOOKUP(A587,[13]Sheet1!$A:$M,12,0)</f>
        <v>1000</v>
      </c>
      <c r="Z587" s="4">
        <f>VLOOKUP(A587,[13]Sheet1!$A:$M,13,0)</f>
        <v>1000</v>
      </c>
      <c r="AA587" s="4">
        <f t="shared" si="176"/>
        <v>15000</v>
      </c>
      <c r="AB587" s="7">
        <f t="shared" si="177"/>
        <v>1250</v>
      </c>
      <c r="AC587" s="15">
        <f t="shared" si="178"/>
        <v>1250</v>
      </c>
      <c r="AD587" s="16">
        <f t="shared" si="179"/>
        <v>370800</v>
      </c>
      <c r="AE587" s="16">
        <f t="shared" si="180"/>
        <v>30900</v>
      </c>
      <c r="AF587" s="21">
        <v>7.38</v>
      </c>
      <c r="AG587" s="21">
        <v>24.72</v>
      </c>
      <c r="AH587" s="15">
        <f t="shared" si="158"/>
        <v>0.10053333333333328</v>
      </c>
      <c r="AI587" s="15">
        <f t="shared" si="159"/>
        <v>0.35186666666666644</v>
      </c>
      <c r="AJ587" s="10">
        <v>0.5</v>
      </c>
      <c r="AK587" s="10">
        <v>0.5</v>
      </c>
      <c r="AL587" s="21">
        <v>7.38</v>
      </c>
      <c r="AM587" s="9">
        <f t="shared" si="181"/>
        <v>3.7079999999999997</v>
      </c>
      <c r="AN587" s="9">
        <f t="shared" si="182"/>
        <v>0.74159999999999993</v>
      </c>
      <c r="AO587" s="9">
        <f t="shared" si="183"/>
        <v>4.944</v>
      </c>
      <c r="AP587" s="9">
        <f t="shared" si="184"/>
        <v>0.49440000000000001</v>
      </c>
      <c r="AQ587" s="9">
        <f t="shared" si="185"/>
        <v>4.944</v>
      </c>
      <c r="AR587" s="9">
        <f t="shared" si="186"/>
        <v>6.18</v>
      </c>
      <c r="AS587" s="11">
        <f t="shared" si="187"/>
        <v>1.0053333333333327</v>
      </c>
      <c r="AT587" s="12">
        <f t="shared" si="188"/>
        <v>0.1813333333333329</v>
      </c>
    </row>
    <row r="588" spans="1:46" ht="16.5" x14ac:dyDescent="0.4">
      <c r="A588" s="4" t="s">
        <v>2578</v>
      </c>
      <c r="B588" s="4" t="s">
        <v>2710</v>
      </c>
      <c r="C588" s="4" t="s">
        <v>2710</v>
      </c>
      <c r="D588" s="4" t="s">
        <v>2757</v>
      </c>
      <c r="E588" s="4" t="s">
        <v>2916</v>
      </c>
      <c r="F588" s="4" t="s">
        <v>3075</v>
      </c>
      <c r="G588" s="7" t="str">
        <f>VLOOKUP(A588,[1]done!$A:$I,9,0)</f>
        <v>Other crawling insects</v>
      </c>
      <c r="H588" s="7" t="str" cm="1">
        <f t="array" ref="H588">_xlfn.IFS(
OR(ISNUMBER(SEARCH("mouse",E588)),ISNUMBER(SEARCH("rat",E588)),ISNUMBER(SEARCH("mice",E588)),ISNUMBER(SEARCH("rodent",E588))),"Rodent Control",
OR(ISNUMBER(SEARCH("fly",E588)),ISNUMBER(SEARCH("gnat",E588)),ISNUMBER(SEARCH("insect",E588)),ISNUMBER(SEARCH("mosquito",E588))),"Flying Insect Control",
OR(ISNUMBER(SEARCH("roach",E588)),ISNUMBER(SEARCH("ant",E588)),ISNUMBER(SEARCH("spider",E588)),ISNUMBER(SEARCH("cricket",E588)),ISNUMBER(SEARCH("scorpion",E588)),ISNUMBER(SEARCH("centipede",E588)),ISNUMBER(SEARCH("beetle",E588))),"Crawling Insect Control",
OR(ISNUMBER(SEARCH("tree",E588)),ISNUMBER(SEARCH("lantern",E588)),ISNUMBER(SEARCH("garden",E588)),ISNUMBER(SEARCH("plant",E588))),"Garden Pest Control",
OR(ISNUMBER(SEARCH("grass seed",E588)),ISNUMBER(SEARCH("seed mix",E588))),"Grass Seed",
OR(ISNUMBER(SEARCH("lawn food",E588)),ISNUMBER(SEARCH("fertilizer",E588))),"Lawn Fertilizer",
OR(ISNUMBER(SEARCH("patch",E588)),ISNUMBER(SEARCH("repair",E588)),ISNUMBER(SEARCH("thick'r",E588)),ISNUMBER(SEARCH("thick'r lawn",E588)),ISNUMBER(SEARCH("rapid grass",E588))),"Lawn Repair",
OR(ISNUMBER(SEARCH("weed",E588)),ISNUMBER(SEARCH("crabgrass",E588))),"Weed Control",
OR(ISNUMBER(SEARCH("fungicide",E588)),ISNUMBER(SEARCH("moss",E588))),"Disease &amp; Moss Control",
OR(ISNUMBER(SEARCH("plant food",E588)),ISNUMBER(SEARCH("miracid",E588))),"Plant Nutrition",
OR(ISNUMBER(SEARCH("perlite",E588))),"Soil Amendment",
OR(ISNUMBER(SEARCH("spreader",E588)),ISNUMBER(SEARCH("sprayer",E588)),ISNUMBER(SEARCH("mower",E588)),ISNUMBER(SEARCH("sweeper",E588)),ISNUMBER(SEARCH("pruner",E588)),ISNUMBER(SEARCH("trimmer",E588)),ISNUMBER(SEARCH("pole saw",E588))),"Garden Equipment",
TRUE,"Other"
)</f>
        <v>Crawling Insect Control</v>
      </c>
      <c r="I588" s="7" t="str" cm="1">
        <f t="array" ref="I588">_xlfn.IFS(
OR(ISNUMBER(SEARCH("glue trap",E588)),ISNUMBER(SEARCH("glue board",E588))),"Glue Traps",
OR(ISNUMBER(SEARCH("snap trap",E588)),ISNUMBER(SEARCH("power-kill",E588)),ISNUMBER(SEARCH("wide pedal",E588)),ISNUMBER(SEARCH("metal pedal",E588))),"Snap Traps",
OR(ISNUMBER(SEARCH("electronic",E588)),ISNUMBER(SEARCH("zapper",E588))),"Electronic Traps",
OR(ISNUMBER(SEARCH("live catch",E588)),ISNUMBER(SEARCH("multi-catch",E588)),ISNUMBER(SEARCH("catch &amp; hold",E588)),ISNUMBER(SEARCH("tin cat",E588))),"Live Catch Traps",
OR(ISNUMBER(SEARCH("bait",E588)),ISNUMBER(SEARCH("poison",E588))),"Bait &amp; Poison",
ISNUMBER(SEARCH("repellent",E588)),"Repellents",
OR(ISNUMBER(SEARCH("fly trap",E588)),ISNUMBER(SEARCH("fly ribbon",E588)),ISNUMBER(SEARCH("fly stick",E588)),ISNUMBER(SEARCH("window fly",E588)),ISNUMBER(SEARCH("fly magnet",E588))),"Fly Traps",
OR(ISNUMBER(SEARCH("uv",E588)),ISNUMBER(SEARCH("fly light",E588)),ISNUMBER(SEARCH("plug-in",E588))),"UV Fly Traps",
ISNUMBER(SEARCH("roach",E588)),"Roach Traps",
ISNUMBER(SEARCH("ant",E588)),"Ant Traps",
ISNUMBER(SEARCH("spider",E588)),"Spider Traps",
ISNUMBER(SEARCH("mosquito",E588)),"Mosquito Traps",
ISNUMBER(SEARCH("beetle",E588)),"Beetle Traps",
ISNUMBER(SEARCH("lantern",E588)),"Lanternfly Control",
OR(ISNUMBER(SEARCH("tree shield",E588)),ISNUMBER(SEARCH("tree banding",E588)),ISNUMBER(SEARCH("insect barrier",E588))),"Tree Barriers",
OR(ISNUMBER(SEARCH("sun &amp; shade",E588)),ISNUMBER(SEARCH("sun and shade",E588))),"Sun &amp; Shade Mix",
ISNUMBER(SEARCH("tall fescue",E588)),"Tall Fescue",
ISNUMBER(SEARCH("bermudagrass",E588)),"Bermudagrass",
ISNUMBER(SEARCH("kentucky",E588)),"Kentucky Bluegrass",
ISNUMBER(SEARCH("zoysia",E588)),"Zoysia",
ISNUMBER(SEARCH("ryegrass",E588)),"Perennial Ryegrass",
ISNUMBER(SEARCH("centipede",E588)),"Centipede Grass",
ISNUMBER(SEARCH("dense shade",E588)),"Dense Shade Mix",
ISNUMBER(SEARCH("southern gold",E588)),"Southern Gold Mix",
ISNUMBER(SEARCH("heat-tolerant blue",E588)),"Heat-Tolerant Blue Mix",
ISNUMBER(SEARCH("high traffic",E588)),"High Traffic Mix",
ISNUMBER(SEARCH("quick fix",E588)),"Quick Fix Mix",
ISNUMBER(SEARCH("starter",E588)),"Starter Fertilizer",
ISNUMBER(SEARCH("weed &amp; feed",E588)),"Weed &amp; Feed",
ISNUMBER(SEARCH("lawn food",E588)),"Lawn Food",
ISNUMBER(SEARCH("triple action",E588)),"Triple Action Fertilizer",
ISNUMBER(SEARCH("green max",E588)),"Green Max Lawn Food",
ISNUMBER(SEARCH("patchmaster",E588)),"PatchMaster Repair",
ISNUMBER(SEARCH("ez seed",E588)),"EZ Seed Repair",
ISNUMBER(SEARCH("rapid grass",E588)),"Rapid Grass",
ISNUMBER(SEARCH("thick'r lawn",E588)),"Thick'R Lawn",
ISNUMBER(SEARCH("fungicide",E588)),"Fungicide",
ISNUMBER(SEARCH("moss",E588)),"Moss Control",
ISNUMBER(SEARCH("perlite",E588)),"Perlite",
ISNUMBER(SEARCH("plant food",E588)),"Plant Food",
ISNUMBER(SEARCH("spreader",E588)),"Spreader",
ISNUMBER(SEARCH("sprayer",E588)),"Sprayer",
ISNUMBER(SEARCH("mower",E588)),"Lawn Mower",
ISNUMBER(SEARCH("sweeper",E588)),"Lawn Sweeper",
OR(ISNUMBER(SEARCH("pruner",E588)),ISNUMBER(SEARCH("trimmer",E588)),ISNUMBER(SEARCH("pole saw",E588))),"Pruning Tools",
TRUE,"Other"
)</f>
        <v>Ant Traps</v>
      </c>
      <c r="J588" s="7" t="str">
        <f t="shared" si="171"/>
        <v>Crawling Insect Control - Ant Traps</v>
      </c>
      <c r="K588" s="4">
        <v>1000</v>
      </c>
      <c r="L588" s="4">
        <v>4.5</v>
      </c>
      <c r="M588" s="4">
        <v>3417</v>
      </c>
      <c r="N588" s="4" t="s">
        <v>3209</v>
      </c>
      <c r="O588" s="4">
        <f>VLOOKUP(A588,[13]Sheet1!$A:$M,2,0)</f>
        <v>0</v>
      </c>
      <c r="P588" s="4">
        <f>VLOOKUP(A588,[13]Sheet1!$A:$M,3,0)</f>
        <v>0</v>
      </c>
      <c r="Q588" s="4">
        <f>VLOOKUP(A588,[13]Sheet1!$A:$M,4,0)</f>
        <v>1000</v>
      </c>
      <c r="R588" s="4">
        <f>VLOOKUP(A588,[13]Sheet1!$A:$M,5,0)</f>
        <v>2000</v>
      </c>
      <c r="S588" s="4">
        <f>VLOOKUP(A588,[13]Sheet1!$A:$M,6,0)</f>
        <v>2000</v>
      </c>
      <c r="T588" s="4">
        <f>VLOOKUP(A588,[13]Sheet1!$A:$M,7,0)</f>
        <v>2000</v>
      </c>
      <c r="U588" s="4">
        <f>VLOOKUP(A588,[13]Sheet1!$A:$M,8,0)</f>
        <v>1000</v>
      </c>
      <c r="V588" s="4">
        <f>VLOOKUP(A588,[13]Sheet1!$A:$M,9,0)</f>
        <v>1000</v>
      </c>
      <c r="W588" s="4">
        <f>VLOOKUP(A588,[13]Sheet1!$A:$M,10,0)</f>
        <v>1000</v>
      </c>
      <c r="X588" s="4">
        <f>VLOOKUP(A588,[13]Sheet1!$A:$M,11,0)</f>
        <v>0</v>
      </c>
      <c r="Y588" s="4">
        <f>VLOOKUP(A588,[13]Sheet1!$A:$M,12,0)</f>
        <v>0</v>
      </c>
      <c r="Z588" s="4">
        <f>VLOOKUP(A588,[13]Sheet1!$A:$M,13,0)</f>
        <v>0</v>
      </c>
      <c r="AA588" s="4">
        <f t="shared" si="176"/>
        <v>10000</v>
      </c>
      <c r="AB588" s="7">
        <f t="shared" si="177"/>
        <v>833</v>
      </c>
      <c r="AC588" s="15">
        <f t="shared" si="178"/>
        <v>833.33333333333337</v>
      </c>
      <c r="AD588" s="16">
        <f t="shared" si="179"/>
        <v>99900</v>
      </c>
      <c r="AE588" s="16">
        <f t="shared" si="180"/>
        <v>8325</v>
      </c>
      <c r="AF588" s="21">
        <v>5.63</v>
      </c>
      <c r="AG588" s="21">
        <v>9.99</v>
      </c>
      <c r="AH588" s="15">
        <f t="shared" si="158"/>
        <v>-0.17560000000000003</v>
      </c>
      <c r="AI588" s="15">
        <f t="shared" si="159"/>
        <v>-0.61460000000000004</v>
      </c>
      <c r="AJ588" s="10">
        <v>0.5</v>
      </c>
      <c r="AK588" s="10">
        <v>0.5</v>
      </c>
      <c r="AL588" s="21">
        <v>5.63</v>
      </c>
      <c r="AM588" s="9">
        <f t="shared" si="181"/>
        <v>1.4984999999999999</v>
      </c>
      <c r="AN588" s="9">
        <f t="shared" si="182"/>
        <v>0.29970000000000002</v>
      </c>
      <c r="AO588" s="9">
        <f t="shared" si="183"/>
        <v>1.9980000000000002</v>
      </c>
      <c r="AP588" s="9">
        <f t="shared" si="184"/>
        <v>0.19980000000000001</v>
      </c>
      <c r="AQ588" s="9">
        <f t="shared" si="185"/>
        <v>1.9980000000000002</v>
      </c>
      <c r="AR588" s="9">
        <f t="shared" si="186"/>
        <v>2.4975000000000001</v>
      </c>
      <c r="AS588" s="11">
        <f t="shared" si="187"/>
        <v>-1.7560000000000002</v>
      </c>
      <c r="AT588" s="12">
        <f t="shared" si="188"/>
        <v>-2.089</v>
      </c>
    </row>
    <row r="589" spans="1:46" ht="16.5" x14ac:dyDescent="0.4">
      <c r="A589" s="4" t="s">
        <v>2579</v>
      </c>
      <c r="B589" s="4" t="s">
        <v>2710</v>
      </c>
      <c r="C589" s="4" t="s">
        <v>2718</v>
      </c>
      <c r="D589" s="4" t="s">
        <v>2758</v>
      </c>
      <c r="E589" s="4" t="s">
        <v>2917</v>
      </c>
      <c r="F589" s="4" t="s">
        <v>3076</v>
      </c>
      <c r="G589" s="7" t="str">
        <f>VLOOKUP(A589,[1]done!$A:$I,9,0)</f>
        <v>Rodent</v>
      </c>
      <c r="H589" s="7" t="str" cm="1">
        <f t="array" ref="H589">_xlfn.IFS(
OR(ISNUMBER(SEARCH("mouse",E589)),ISNUMBER(SEARCH("rat",E589)),ISNUMBER(SEARCH("mice",E589)),ISNUMBER(SEARCH("rodent",E589))),"Rodent Control",
OR(ISNUMBER(SEARCH("fly",E589)),ISNUMBER(SEARCH("gnat",E589)),ISNUMBER(SEARCH("insect",E589)),ISNUMBER(SEARCH("mosquito",E589))),"Flying Insect Control",
OR(ISNUMBER(SEARCH("roach",E589)),ISNUMBER(SEARCH("ant",E589)),ISNUMBER(SEARCH("spider",E589)),ISNUMBER(SEARCH("cricket",E589)),ISNUMBER(SEARCH("scorpion",E589)),ISNUMBER(SEARCH("centipede",E589)),ISNUMBER(SEARCH("beetle",E589))),"Crawling Insect Control",
OR(ISNUMBER(SEARCH("tree",E589)),ISNUMBER(SEARCH("lantern",E589)),ISNUMBER(SEARCH("garden",E589)),ISNUMBER(SEARCH("plant",E589))),"Garden Pest Control",
OR(ISNUMBER(SEARCH("grass seed",E589)),ISNUMBER(SEARCH("seed mix",E589))),"Grass Seed",
OR(ISNUMBER(SEARCH("lawn food",E589)),ISNUMBER(SEARCH("fertilizer",E589))),"Lawn Fertilizer",
OR(ISNUMBER(SEARCH("patch",E589)),ISNUMBER(SEARCH("repair",E589)),ISNUMBER(SEARCH("thick'r",E589)),ISNUMBER(SEARCH("thick'r lawn",E589)),ISNUMBER(SEARCH("rapid grass",E589))),"Lawn Repair",
OR(ISNUMBER(SEARCH("weed",E589)),ISNUMBER(SEARCH("crabgrass",E589))),"Weed Control",
OR(ISNUMBER(SEARCH("fungicide",E589)),ISNUMBER(SEARCH("moss",E589))),"Disease &amp; Moss Control",
OR(ISNUMBER(SEARCH("plant food",E589)),ISNUMBER(SEARCH("miracid",E589))),"Plant Nutrition",
OR(ISNUMBER(SEARCH("perlite",E589))),"Soil Amendment",
OR(ISNUMBER(SEARCH("spreader",E589)),ISNUMBER(SEARCH("sprayer",E589)),ISNUMBER(SEARCH("mower",E589)),ISNUMBER(SEARCH("sweeper",E589)),ISNUMBER(SEARCH("pruner",E589)),ISNUMBER(SEARCH("trimmer",E589)),ISNUMBER(SEARCH("pole saw",E589))),"Garden Equipment",
TRUE,"Other"
)</f>
        <v>Rodent Control</v>
      </c>
      <c r="I589" s="7" t="str" cm="1">
        <f t="array" ref="I589">_xlfn.IFS(
OR(ISNUMBER(SEARCH("glue trap",E589)),ISNUMBER(SEARCH("glue board",E589))),"Glue Traps",
OR(ISNUMBER(SEARCH("snap trap",E589)),ISNUMBER(SEARCH("power-kill",E589)),ISNUMBER(SEARCH("wide pedal",E589)),ISNUMBER(SEARCH("metal pedal",E589))),"Snap Traps",
OR(ISNUMBER(SEARCH("electronic",E589)),ISNUMBER(SEARCH("zapper",E589))),"Electronic Traps",
OR(ISNUMBER(SEARCH("live catch",E589)),ISNUMBER(SEARCH("multi-catch",E589)),ISNUMBER(SEARCH("catch &amp; hold",E589)),ISNUMBER(SEARCH("tin cat",E589))),"Live Catch Traps",
OR(ISNUMBER(SEARCH("bait",E589)),ISNUMBER(SEARCH("poison",E589))),"Bait &amp; Poison",
ISNUMBER(SEARCH("repellent",E589)),"Repellents",
OR(ISNUMBER(SEARCH("fly trap",E589)),ISNUMBER(SEARCH("fly ribbon",E589)),ISNUMBER(SEARCH("fly stick",E589)),ISNUMBER(SEARCH("window fly",E589)),ISNUMBER(SEARCH("fly magnet",E589))),"Fly Traps",
OR(ISNUMBER(SEARCH("uv",E589)),ISNUMBER(SEARCH("fly light",E589)),ISNUMBER(SEARCH("plug-in",E589))),"UV Fly Traps",
ISNUMBER(SEARCH("roach",E589)),"Roach Traps",
ISNUMBER(SEARCH("ant",E589)),"Ant Traps",
ISNUMBER(SEARCH("spider",E589)),"Spider Traps",
ISNUMBER(SEARCH("mosquito",E589)),"Mosquito Traps",
ISNUMBER(SEARCH("beetle",E589)),"Beetle Traps",
ISNUMBER(SEARCH("lantern",E589)),"Lanternfly Control",
OR(ISNUMBER(SEARCH("tree shield",E589)),ISNUMBER(SEARCH("tree banding",E589)),ISNUMBER(SEARCH("insect barrier",E589))),"Tree Barriers",
OR(ISNUMBER(SEARCH("sun &amp; shade",E589)),ISNUMBER(SEARCH("sun and shade",E589))),"Sun &amp; Shade Mix",
ISNUMBER(SEARCH("tall fescue",E589)),"Tall Fescue",
ISNUMBER(SEARCH("bermudagrass",E589)),"Bermudagrass",
ISNUMBER(SEARCH("kentucky",E589)),"Kentucky Bluegrass",
ISNUMBER(SEARCH("zoysia",E589)),"Zoysia",
ISNUMBER(SEARCH("ryegrass",E589)),"Perennial Ryegrass",
ISNUMBER(SEARCH("centipede",E589)),"Centipede Grass",
ISNUMBER(SEARCH("dense shade",E589)),"Dense Shade Mix",
ISNUMBER(SEARCH("southern gold",E589)),"Southern Gold Mix",
ISNUMBER(SEARCH("heat-tolerant blue",E589)),"Heat-Tolerant Blue Mix",
ISNUMBER(SEARCH("high traffic",E589)),"High Traffic Mix",
ISNUMBER(SEARCH("quick fix",E589)),"Quick Fix Mix",
ISNUMBER(SEARCH("starter",E589)),"Starter Fertilizer",
ISNUMBER(SEARCH("weed &amp; feed",E589)),"Weed &amp; Feed",
ISNUMBER(SEARCH("lawn food",E589)),"Lawn Food",
ISNUMBER(SEARCH("triple action",E589)),"Triple Action Fertilizer",
ISNUMBER(SEARCH("green max",E589)),"Green Max Lawn Food",
ISNUMBER(SEARCH("patchmaster",E589)),"PatchMaster Repair",
ISNUMBER(SEARCH("ez seed",E589)),"EZ Seed Repair",
ISNUMBER(SEARCH("rapid grass",E589)),"Rapid Grass",
ISNUMBER(SEARCH("thick'r lawn",E589)),"Thick'R Lawn",
ISNUMBER(SEARCH("fungicide",E589)),"Fungicide",
ISNUMBER(SEARCH("moss",E589)),"Moss Control",
ISNUMBER(SEARCH("perlite",E589)),"Perlite",
ISNUMBER(SEARCH("plant food",E589)),"Plant Food",
ISNUMBER(SEARCH("spreader",E589)),"Spreader",
ISNUMBER(SEARCH("sprayer",E589)),"Sprayer",
ISNUMBER(SEARCH("mower",E589)),"Lawn Mower",
ISNUMBER(SEARCH("sweeper",E589)),"Lawn Sweeper",
OR(ISNUMBER(SEARCH("pruner",E589)),ISNUMBER(SEARCH("trimmer",E589)),ISNUMBER(SEARCH("pole saw",E589))),"Pruning Tools",
TRUE,"Other"
)</f>
        <v>Repellents</v>
      </c>
      <c r="J589" s="7" t="str">
        <f t="shared" si="171"/>
        <v>Rodent Control - Repellents</v>
      </c>
      <c r="K589" s="4">
        <v>1000</v>
      </c>
      <c r="L589" s="4">
        <v>4.0999999999999996</v>
      </c>
      <c r="M589" s="4">
        <v>1747</v>
      </c>
      <c r="N589" s="4" t="s">
        <v>3226</v>
      </c>
      <c r="O589" s="4">
        <f>VLOOKUP(A589,[13]Sheet1!$A:$M,2,0)</f>
        <v>400</v>
      </c>
      <c r="P589" s="4">
        <f>VLOOKUP(A589,[13]Sheet1!$A:$M,3,0)</f>
        <v>300</v>
      </c>
      <c r="Q589" s="4">
        <f>VLOOKUP(A589,[13]Sheet1!$A:$M,4,0)</f>
        <v>200</v>
      </c>
      <c r="R589" s="4">
        <f>VLOOKUP(A589,[13]Sheet1!$A:$M,5,0)</f>
        <v>300</v>
      </c>
      <c r="S589" s="4">
        <f>VLOOKUP(A589,[13]Sheet1!$A:$M,6,0)</f>
        <v>300</v>
      </c>
      <c r="T589" s="4">
        <f>VLOOKUP(A589,[13]Sheet1!$A:$M,7,0)</f>
        <v>400</v>
      </c>
      <c r="U589" s="4">
        <f>VLOOKUP(A589,[13]Sheet1!$A:$M,8,0)</f>
        <v>300</v>
      </c>
      <c r="V589" s="4">
        <f>VLOOKUP(A589,[13]Sheet1!$A:$M,9,0)</f>
        <v>400</v>
      </c>
      <c r="W589" s="4">
        <f>VLOOKUP(A589,[13]Sheet1!$A:$M,10,0)</f>
        <v>1000</v>
      </c>
      <c r="X589" s="4">
        <f>VLOOKUP(A589,[13]Sheet1!$A:$M,11,0)</f>
        <v>1000</v>
      </c>
      <c r="Y589" s="4">
        <f>VLOOKUP(A589,[13]Sheet1!$A:$M,12,0)</f>
        <v>1000</v>
      </c>
      <c r="Z589" s="4">
        <f>VLOOKUP(A589,[13]Sheet1!$A:$M,13,0)</f>
        <v>700</v>
      </c>
      <c r="AA589" s="4">
        <f t="shared" si="176"/>
        <v>6300</v>
      </c>
      <c r="AB589" s="7">
        <f t="shared" si="177"/>
        <v>525</v>
      </c>
      <c r="AC589" s="15">
        <f t="shared" si="178"/>
        <v>525</v>
      </c>
      <c r="AD589" s="16">
        <f t="shared" si="179"/>
        <v>170037</v>
      </c>
      <c r="AE589" s="16">
        <f t="shared" si="180"/>
        <v>14169.75</v>
      </c>
      <c r="AF589" s="21">
        <v>5.52</v>
      </c>
      <c r="AG589" s="21">
        <v>26.99</v>
      </c>
      <c r="AH589" s="15">
        <f t="shared" si="158"/>
        <v>0.28506666666666669</v>
      </c>
      <c r="AI589" s="15">
        <f t="shared" si="159"/>
        <v>0.99773333333333325</v>
      </c>
      <c r="AJ589" s="10">
        <v>0.5</v>
      </c>
      <c r="AK589" s="10">
        <v>0.5</v>
      </c>
      <c r="AL589" s="21">
        <v>5.52</v>
      </c>
      <c r="AM589" s="9">
        <f t="shared" si="181"/>
        <v>4.0484999999999998</v>
      </c>
      <c r="AN589" s="9">
        <f t="shared" si="182"/>
        <v>0.80969999999999998</v>
      </c>
      <c r="AO589" s="9">
        <f t="shared" si="183"/>
        <v>5.3979999999999997</v>
      </c>
      <c r="AP589" s="9">
        <f t="shared" si="184"/>
        <v>0.53979999999999995</v>
      </c>
      <c r="AQ589" s="9">
        <f t="shared" si="185"/>
        <v>5.3979999999999997</v>
      </c>
      <c r="AR589" s="9">
        <f t="shared" si="186"/>
        <v>6.7474999999999996</v>
      </c>
      <c r="AS589" s="11">
        <f t="shared" si="187"/>
        <v>2.8506666666666667</v>
      </c>
      <c r="AT589" s="12">
        <f t="shared" si="188"/>
        <v>1.9509999999999998</v>
      </c>
    </row>
    <row r="590" spans="1:46" ht="16.5" x14ac:dyDescent="0.4">
      <c r="A590" s="4" t="s">
        <v>2580</v>
      </c>
      <c r="B590" s="4" t="s">
        <v>2710</v>
      </c>
      <c r="C590" s="4" t="s">
        <v>2719</v>
      </c>
      <c r="D590" s="4" t="s">
        <v>2759</v>
      </c>
      <c r="E590" s="4" t="s">
        <v>2918</v>
      </c>
      <c r="F590" s="4" t="s">
        <v>3077</v>
      </c>
      <c r="G590" s="7" t="str">
        <f>VLOOKUP(A590,[1]done!$A:$I,9,0)</f>
        <v>Insecticide/Fungicide</v>
      </c>
      <c r="H590" s="7" t="str" cm="1">
        <f t="array" ref="H590">_xlfn.IFS(
OR(ISNUMBER(SEARCH("mouse",E590)),ISNUMBER(SEARCH("rat",E590)),ISNUMBER(SEARCH("mice",E590)),ISNUMBER(SEARCH("rodent",E590))),"Rodent Control",
OR(ISNUMBER(SEARCH("fly",E590)),ISNUMBER(SEARCH("gnat",E590)),ISNUMBER(SEARCH("insect",E590)),ISNUMBER(SEARCH("mosquito",E590))),"Flying Insect Control",
OR(ISNUMBER(SEARCH("roach",E590)),ISNUMBER(SEARCH("ant",E590)),ISNUMBER(SEARCH("spider",E590)),ISNUMBER(SEARCH("cricket",E590)),ISNUMBER(SEARCH("scorpion",E590)),ISNUMBER(SEARCH("centipede",E590)),ISNUMBER(SEARCH("beetle",E590))),"Crawling Insect Control",
OR(ISNUMBER(SEARCH("tree",E590)),ISNUMBER(SEARCH("lantern",E590)),ISNUMBER(SEARCH("garden",E590)),ISNUMBER(SEARCH("plant",E590))),"Garden Pest Control",
OR(ISNUMBER(SEARCH("grass seed",E590)),ISNUMBER(SEARCH("seed mix",E590))),"Grass Seed",
OR(ISNUMBER(SEARCH("lawn food",E590)),ISNUMBER(SEARCH("fertilizer",E590))),"Lawn Fertilizer",
OR(ISNUMBER(SEARCH("patch",E590)),ISNUMBER(SEARCH("repair",E590)),ISNUMBER(SEARCH("thick'r",E590)),ISNUMBER(SEARCH("thick'r lawn",E590)),ISNUMBER(SEARCH("rapid grass",E590))),"Lawn Repair",
OR(ISNUMBER(SEARCH("weed",E590)),ISNUMBER(SEARCH("crabgrass",E590))),"Weed Control",
OR(ISNUMBER(SEARCH("fungicide",E590)),ISNUMBER(SEARCH("moss",E590))),"Disease &amp; Moss Control",
OR(ISNUMBER(SEARCH("plant food",E590)),ISNUMBER(SEARCH("miracid",E590))),"Plant Nutrition",
OR(ISNUMBER(SEARCH("perlite",E590))),"Soil Amendment",
OR(ISNUMBER(SEARCH("spreader",E590)),ISNUMBER(SEARCH("sprayer",E590)),ISNUMBER(SEARCH("mower",E590)),ISNUMBER(SEARCH("sweeper",E590)),ISNUMBER(SEARCH("pruner",E590)),ISNUMBER(SEARCH("trimmer",E590)),ISNUMBER(SEARCH("pole saw",E590))),"Garden Equipment",
TRUE,"Other"
)</f>
        <v>Other</v>
      </c>
      <c r="I590" s="7" t="str" cm="1">
        <f t="array" ref="I590">_xlfn.IFS(
OR(ISNUMBER(SEARCH("glue trap",E590)),ISNUMBER(SEARCH("glue board",E590))),"Glue Traps",
OR(ISNUMBER(SEARCH("snap trap",E590)),ISNUMBER(SEARCH("power-kill",E590)),ISNUMBER(SEARCH("wide pedal",E590)),ISNUMBER(SEARCH("metal pedal",E590))),"Snap Traps",
OR(ISNUMBER(SEARCH("electronic",E590)),ISNUMBER(SEARCH("zapper",E590))),"Electronic Traps",
OR(ISNUMBER(SEARCH("live catch",E590)),ISNUMBER(SEARCH("multi-catch",E590)),ISNUMBER(SEARCH("catch &amp; hold",E590)),ISNUMBER(SEARCH("tin cat",E590))),"Live Catch Traps",
OR(ISNUMBER(SEARCH("bait",E590)),ISNUMBER(SEARCH("poison",E590))),"Bait &amp; Poison",
ISNUMBER(SEARCH("repellent",E590)),"Repellents",
OR(ISNUMBER(SEARCH("fly trap",E590)),ISNUMBER(SEARCH("fly ribbon",E590)),ISNUMBER(SEARCH("fly stick",E590)),ISNUMBER(SEARCH("window fly",E590)),ISNUMBER(SEARCH("fly magnet",E590))),"Fly Traps",
OR(ISNUMBER(SEARCH("uv",E590)),ISNUMBER(SEARCH("fly light",E590)),ISNUMBER(SEARCH("plug-in",E590))),"UV Fly Traps",
ISNUMBER(SEARCH("roach",E590)),"Roach Traps",
ISNUMBER(SEARCH("ant",E590)),"Ant Traps",
ISNUMBER(SEARCH("spider",E590)),"Spider Traps",
ISNUMBER(SEARCH("mosquito",E590)),"Mosquito Traps",
ISNUMBER(SEARCH("beetle",E590)),"Beetle Traps",
ISNUMBER(SEARCH("lantern",E590)),"Lanternfly Control",
OR(ISNUMBER(SEARCH("tree shield",E590)),ISNUMBER(SEARCH("tree banding",E590)),ISNUMBER(SEARCH("insect barrier",E590))),"Tree Barriers",
OR(ISNUMBER(SEARCH("sun &amp; shade",E590)),ISNUMBER(SEARCH("sun and shade",E590))),"Sun &amp; Shade Mix",
ISNUMBER(SEARCH("tall fescue",E590)),"Tall Fescue",
ISNUMBER(SEARCH("bermudagrass",E590)),"Bermudagrass",
ISNUMBER(SEARCH("kentucky",E590)),"Kentucky Bluegrass",
ISNUMBER(SEARCH("zoysia",E590)),"Zoysia",
ISNUMBER(SEARCH("ryegrass",E590)),"Perennial Ryegrass",
ISNUMBER(SEARCH("centipede",E590)),"Centipede Grass",
ISNUMBER(SEARCH("dense shade",E590)),"Dense Shade Mix",
ISNUMBER(SEARCH("southern gold",E590)),"Southern Gold Mix",
ISNUMBER(SEARCH("heat-tolerant blue",E590)),"Heat-Tolerant Blue Mix",
ISNUMBER(SEARCH("high traffic",E590)),"High Traffic Mix",
ISNUMBER(SEARCH("quick fix",E590)),"Quick Fix Mix",
ISNUMBER(SEARCH("starter",E590)),"Starter Fertilizer",
ISNUMBER(SEARCH("weed &amp; feed",E590)),"Weed &amp; Feed",
ISNUMBER(SEARCH("lawn food",E590)),"Lawn Food",
ISNUMBER(SEARCH("triple action",E590)),"Triple Action Fertilizer",
ISNUMBER(SEARCH("green max",E590)),"Green Max Lawn Food",
ISNUMBER(SEARCH("patchmaster",E590)),"PatchMaster Repair",
ISNUMBER(SEARCH("ez seed",E590)),"EZ Seed Repair",
ISNUMBER(SEARCH("rapid grass",E590)),"Rapid Grass",
ISNUMBER(SEARCH("thick'r lawn",E590)),"Thick'R Lawn",
ISNUMBER(SEARCH("fungicide",E590)),"Fungicide",
ISNUMBER(SEARCH("moss",E590)),"Moss Control",
ISNUMBER(SEARCH("perlite",E590)),"Perlite",
ISNUMBER(SEARCH("plant food",E590)),"Plant Food",
ISNUMBER(SEARCH("spreader",E590)),"Spreader",
ISNUMBER(SEARCH("sprayer",E590)),"Sprayer",
ISNUMBER(SEARCH("mower",E590)),"Lawn Mower",
ISNUMBER(SEARCH("sweeper",E590)),"Lawn Sweeper",
OR(ISNUMBER(SEARCH("pruner",E590)),ISNUMBER(SEARCH("trimmer",E590)),ISNUMBER(SEARCH("pole saw",E590))),"Pruning Tools",
TRUE,"Other"
)</f>
        <v>Other</v>
      </c>
      <c r="J590" s="7" t="str">
        <f t="shared" si="171"/>
        <v>Other - Other</v>
      </c>
      <c r="K590" s="4">
        <v>1000</v>
      </c>
      <c r="L590" s="4">
        <v>4.2</v>
      </c>
      <c r="M590" s="4">
        <v>2785</v>
      </c>
      <c r="N590" s="4" t="s">
        <v>3224</v>
      </c>
      <c r="O590" s="4">
        <f>VLOOKUP(A590,[13]Sheet1!$A:$M,2,0)</f>
        <v>0</v>
      </c>
      <c r="P590" s="4">
        <f>VLOOKUP(A590,[13]Sheet1!$A:$M,3,0)</f>
        <v>0</v>
      </c>
      <c r="Q590" s="4">
        <f>VLOOKUP(A590,[13]Sheet1!$A:$M,4,0)</f>
        <v>100</v>
      </c>
      <c r="R590" s="4">
        <f>VLOOKUP(A590,[13]Sheet1!$A:$M,5,0)</f>
        <v>200</v>
      </c>
      <c r="S590" s="4">
        <f>VLOOKUP(A590,[13]Sheet1!$A:$M,6,0)</f>
        <v>1000</v>
      </c>
      <c r="T590" s="4">
        <f>VLOOKUP(A590,[13]Sheet1!$A:$M,7,0)</f>
        <v>2000</v>
      </c>
      <c r="U590" s="4">
        <f>VLOOKUP(A590,[13]Sheet1!$A:$M,8,0)</f>
        <v>1000</v>
      </c>
      <c r="V590" s="4">
        <f>VLOOKUP(A590,[13]Sheet1!$A:$M,9,0)</f>
        <v>5000</v>
      </c>
      <c r="W590" s="4">
        <f>VLOOKUP(A590,[13]Sheet1!$A:$M,10,0)</f>
        <v>1000</v>
      </c>
      <c r="X590" s="4">
        <f>VLOOKUP(A590,[13]Sheet1!$A:$M,11,0)</f>
        <v>200</v>
      </c>
      <c r="Y590" s="4">
        <f>VLOOKUP(A590,[13]Sheet1!$A:$M,12,0)</f>
        <v>100</v>
      </c>
      <c r="Z590" s="4">
        <f>VLOOKUP(A590,[13]Sheet1!$A:$M,13,0)</f>
        <v>100</v>
      </c>
      <c r="AA590" s="4">
        <f t="shared" si="176"/>
        <v>10700</v>
      </c>
      <c r="AB590" s="7">
        <f t="shared" si="177"/>
        <v>892</v>
      </c>
      <c r="AC590" s="15">
        <f t="shared" si="178"/>
        <v>891.66666666666663</v>
      </c>
      <c r="AD590" s="16">
        <f t="shared" si="179"/>
        <v>345289.00000000006</v>
      </c>
      <c r="AE590" s="16">
        <f t="shared" si="180"/>
        <v>28774.083333333336</v>
      </c>
      <c r="AF590" s="21">
        <v>4.3499999999999996</v>
      </c>
      <c r="AG590" s="21">
        <v>32.270000000000003</v>
      </c>
      <c r="AH590" s="15">
        <f t="shared" si="158"/>
        <v>0.5038666666666668</v>
      </c>
      <c r="AI590" s="15">
        <f t="shared" si="159"/>
        <v>1.7635333333333336</v>
      </c>
      <c r="AJ590" s="10">
        <v>0.5</v>
      </c>
      <c r="AK590" s="10">
        <v>0.5</v>
      </c>
      <c r="AL590" s="21">
        <v>4.3499999999999996</v>
      </c>
      <c r="AM590" s="9">
        <f t="shared" si="181"/>
        <v>4.8405000000000005</v>
      </c>
      <c r="AN590" s="9">
        <f t="shared" si="182"/>
        <v>0.96810000000000007</v>
      </c>
      <c r="AO590" s="9">
        <f t="shared" si="183"/>
        <v>6.4540000000000006</v>
      </c>
      <c r="AP590" s="9">
        <f t="shared" si="184"/>
        <v>0.64540000000000008</v>
      </c>
      <c r="AQ590" s="9">
        <f t="shared" si="185"/>
        <v>6.4540000000000006</v>
      </c>
      <c r="AR590" s="9">
        <f t="shared" si="186"/>
        <v>8.0675000000000008</v>
      </c>
      <c r="AS590" s="11">
        <f t="shared" si="187"/>
        <v>5.0386666666666677</v>
      </c>
      <c r="AT590" s="12">
        <f t="shared" si="188"/>
        <v>3.963000000000001</v>
      </c>
    </row>
    <row r="591" spans="1:46" ht="16.5" x14ac:dyDescent="0.4">
      <c r="A591" s="4" t="s">
        <v>2581</v>
      </c>
      <c r="B591" s="4" t="s">
        <v>2710</v>
      </c>
      <c r="C591" s="4" t="s">
        <v>2710</v>
      </c>
      <c r="D591" s="4" t="s">
        <v>2760</v>
      </c>
      <c r="E591" s="4" t="s">
        <v>2919</v>
      </c>
      <c r="F591" s="4" t="s">
        <v>3078</v>
      </c>
      <c r="G591" s="7" t="str">
        <f>VLOOKUP(A591,[1]done!$A:$I,9,0)</f>
        <v>Other crawling insects</v>
      </c>
      <c r="H591" s="7" t="str" cm="1">
        <f t="array" ref="H591">_xlfn.IFS(
OR(ISNUMBER(SEARCH("mouse",E591)),ISNUMBER(SEARCH("rat",E591)),ISNUMBER(SEARCH("mice",E591)),ISNUMBER(SEARCH("rodent",E591))),"Rodent Control",
OR(ISNUMBER(SEARCH("fly",E591)),ISNUMBER(SEARCH("gnat",E591)),ISNUMBER(SEARCH("insect",E591)),ISNUMBER(SEARCH("mosquito",E591))),"Flying Insect Control",
OR(ISNUMBER(SEARCH("roach",E591)),ISNUMBER(SEARCH("ant",E591)),ISNUMBER(SEARCH("spider",E591)),ISNUMBER(SEARCH("cricket",E591)),ISNUMBER(SEARCH("scorpion",E591)),ISNUMBER(SEARCH("centipede",E591)),ISNUMBER(SEARCH("beetle",E591))),"Crawling Insect Control",
OR(ISNUMBER(SEARCH("tree",E591)),ISNUMBER(SEARCH("lantern",E591)),ISNUMBER(SEARCH("garden",E591)),ISNUMBER(SEARCH("plant",E591))),"Garden Pest Control",
OR(ISNUMBER(SEARCH("grass seed",E591)),ISNUMBER(SEARCH("seed mix",E591))),"Grass Seed",
OR(ISNUMBER(SEARCH("lawn food",E591)),ISNUMBER(SEARCH("fertilizer",E591))),"Lawn Fertilizer",
OR(ISNUMBER(SEARCH("patch",E591)),ISNUMBER(SEARCH("repair",E591)),ISNUMBER(SEARCH("thick'r",E591)),ISNUMBER(SEARCH("thick'r lawn",E591)),ISNUMBER(SEARCH("rapid grass",E591))),"Lawn Repair",
OR(ISNUMBER(SEARCH("weed",E591)),ISNUMBER(SEARCH("crabgrass",E591))),"Weed Control",
OR(ISNUMBER(SEARCH("fungicide",E591)),ISNUMBER(SEARCH("moss",E591))),"Disease &amp; Moss Control",
OR(ISNUMBER(SEARCH("plant food",E591)),ISNUMBER(SEARCH("miracid",E591))),"Plant Nutrition",
OR(ISNUMBER(SEARCH("perlite",E591))),"Soil Amendment",
OR(ISNUMBER(SEARCH("spreader",E591)),ISNUMBER(SEARCH("sprayer",E591)),ISNUMBER(SEARCH("mower",E591)),ISNUMBER(SEARCH("sweeper",E591)),ISNUMBER(SEARCH("pruner",E591)),ISNUMBER(SEARCH("trimmer",E591)),ISNUMBER(SEARCH("pole saw",E591))),"Garden Equipment",
TRUE,"Other"
)</f>
        <v>Rodent Control</v>
      </c>
      <c r="I591" s="7" t="str" cm="1">
        <f t="array" ref="I591">_xlfn.IFS(
OR(ISNUMBER(SEARCH("glue trap",E591)),ISNUMBER(SEARCH("glue board",E591))),"Glue Traps",
OR(ISNUMBER(SEARCH("snap trap",E591)),ISNUMBER(SEARCH("power-kill",E591)),ISNUMBER(SEARCH("wide pedal",E591)),ISNUMBER(SEARCH("metal pedal",E591))),"Snap Traps",
OR(ISNUMBER(SEARCH("electronic",E591)),ISNUMBER(SEARCH("zapper",E591))),"Electronic Traps",
OR(ISNUMBER(SEARCH("live catch",E591)),ISNUMBER(SEARCH("multi-catch",E591)),ISNUMBER(SEARCH("catch &amp; hold",E591)),ISNUMBER(SEARCH("tin cat",E591))),"Live Catch Traps",
OR(ISNUMBER(SEARCH("bait",E591)),ISNUMBER(SEARCH("poison",E591))),"Bait &amp; Poison",
ISNUMBER(SEARCH("repellent",E591)),"Repellents",
OR(ISNUMBER(SEARCH("fly trap",E591)),ISNUMBER(SEARCH("fly ribbon",E591)),ISNUMBER(SEARCH("fly stick",E591)),ISNUMBER(SEARCH("window fly",E591)),ISNUMBER(SEARCH("fly magnet",E591))),"Fly Traps",
OR(ISNUMBER(SEARCH("uv",E591)),ISNUMBER(SEARCH("fly light",E591)),ISNUMBER(SEARCH("plug-in",E591))),"UV Fly Traps",
ISNUMBER(SEARCH("roach",E591)),"Roach Traps",
ISNUMBER(SEARCH("ant",E591)),"Ant Traps",
ISNUMBER(SEARCH("spider",E591)),"Spider Traps",
ISNUMBER(SEARCH("mosquito",E591)),"Mosquito Traps",
ISNUMBER(SEARCH("beetle",E591)),"Beetle Traps",
ISNUMBER(SEARCH("lantern",E591)),"Lanternfly Control",
OR(ISNUMBER(SEARCH("tree shield",E591)),ISNUMBER(SEARCH("tree banding",E591)),ISNUMBER(SEARCH("insect barrier",E591))),"Tree Barriers",
OR(ISNUMBER(SEARCH("sun &amp; shade",E591)),ISNUMBER(SEARCH("sun and shade",E591))),"Sun &amp; Shade Mix",
ISNUMBER(SEARCH("tall fescue",E591)),"Tall Fescue",
ISNUMBER(SEARCH("bermudagrass",E591)),"Bermudagrass",
ISNUMBER(SEARCH("kentucky",E591)),"Kentucky Bluegrass",
ISNUMBER(SEARCH("zoysia",E591)),"Zoysia",
ISNUMBER(SEARCH("ryegrass",E591)),"Perennial Ryegrass",
ISNUMBER(SEARCH("centipede",E591)),"Centipede Grass",
ISNUMBER(SEARCH("dense shade",E591)),"Dense Shade Mix",
ISNUMBER(SEARCH("southern gold",E591)),"Southern Gold Mix",
ISNUMBER(SEARCH("heat-tolerant blue",E591)),"Heat-Tolerant Blue Mix",
ISNUMBER(SEARCH("high traffic",E591)),"High Traffic Mix",
ISNUMBER(SEARCH("quick fix",E591)),"Quick Fix Mix",
ISNUMBER(SEARCH("starter",E591)),"Starter Fertilizer",
ISNUMBER(SEARCH("weed &amp; feed",E591)),"Weed &amp; Feed",
ISNUMBER(SEARCH("lawn food",E591)),"Lawn Food",
ISNUMBER(SEARCH("triple action",E591)),"Triple Action Fertilizer",
ISNUMBER(SEARCH("green max",E591)),"Green Max Lawn Food",
ISNUMBER(SEARCH("patchmaster",E591)),"PatchMaster Repair",
ISNUMBER(SEARCH("ez seed",E591)),"EZ Seed Repair",
ISNUMBER(SEARCH("rapid grass",E591)),"Rapid Grass",
ISNUMBER(SEARCH("thick'r lawn",E591)),"Thick'R Lawn",
ISNUMBER(SEARCH("fungicide",E591)),"Fungicide",
ISNUMBER(SEARCH("moss",E591)),"Moss Control",
ISNUMBER(SEARCH("perlite",E591)),"Perlite",
ISNUMBER(SEARCH("plant food",E591)),"Plant Food",
ISNUMBER(SEARCH("spreader",E591)),"Spreader",
ISNUMBER(SEARCH("sprayer",E591)),"Sprayer",
ISNUMBER(SEARCH("mower",E591)),"Lawn Mower",
ISNUMBER(SEARCH("sweeper",E591)),"Lawn Sweeper",
OR(ISNUMBER(SEARCH("pruner",E591)),ISNUMBER(SEARCH("trimmer",E591)),ISNUMBER(SEARCH("pole saw",E591))),"Pruning Tools",
TRUE,"Other"
)</f>
        <v>Ant Traps</v>
      </c>
      <c r="J591" s="7" t="str">
        <f t="shared" si="171"/>
        <v>Rodent Control - Ant Traps</v>
      </c>
      <c r="K591" s="4">
        <v>1000</v>
      </c>
      <c r="L591" s="4">
        <v>4.5</v>
      </c>
      <c r="M591" s="4">
        <v>4866</v>
      </c>
      <c r="N591" s="4" t="s">
        <v>3217</v>
      </c>
      <c r="O591" s="4">
        <f>VLOOKUP(A591,[13]Sheet1!$A:$M,2,0)</f>
        <v>0</v>
      </c>
      <c r="P591" s="4">
        <f>VLOOKUP(A591,[13]Sheet1!$A:$M,3,0)</f>
        <v>0</v>
      </c>
      <c r="Q591" s="4">
        <f>VLOOKUP(A591,[13]Sheet1!$A:$M,4,0)</f>
        <v>2000</v>
      </c>
      <c r="R591" s="4">
        <f>VLOOKUP(A591,[13]Sheet1!$A:$M,5,0)</f>
        <v>1000</v>
      </c>
      <c r="S591" s="4">
        <f>VLOOKUP(A591,[13]Sheet1!$A:$M,6,0)</f>
        <v>1000</v>
      </c>
      <c r="T591" s="4">
        <f>VLOOKUP(A591,[13]Sheet1!$A:$M,7,0)</f>
        <v>900</v>
      </c>
      <c r="U591" s="4">
        <f>VLOOKUP(A591,[13]Sheet1!$A:$M,8,0)</f>
        <v>900</v>
      </c>
      <c r="V591" s="4">
        <f>VLOOKUP(A591,[13]Sheet1!$A:$M,9,0)</f>
        <v>900</v>
      </c>
      <c r="W591" s="4">
        <f>VLOOKUP(A591,[13]Sheet1!$A:$M,10,0)</f>
        <v>1000</v>
      </c>
      <c r="X591" s="4">
        <f>VLOOKUP(A591,[13]Sheet1!$A:$M,11,0)</f>
        <v>0</v>
      </c>
      <c r="Y591" s="4">
        <f>VLOOKUP(A591,[13]Sheet1!$A:$M,12,0)</f>
        <v>0</v>
      </c>
      <c r="Z591" s="4">
        <f>VLOOKUP(A591,[13]Sheet1!$A:$M,13,0)</f>
        <v>0</v>
      </c>
      <c r="AA591" s="4">
        <f t="shared" si="176"/>
        <v>7700</v>
      </c>
      <c r="AB591" s="7">
        <f t="shared" si="177"/>
        <v>642</v>
      </c>
      <c r="AC591" s="15">
        <f t="shared" si="178"/>
        <v>641.66666666666663</v>
      </c>
      <c r="AD591" s="16">
        <f t="shared" si="179"/>
        <v>76846</v>
      </c>
      <c r="AE591" s="16">
        <f t="shared" si="180"/>
        <v>6403.833333333333</v>
      </c>
      <c r="AF591" s="21">
        <v>4.37</v>
      </c>
      <c r="AG591" s="21">
        <v>9.98</v>
      </c>
      <c r="AH591" s="15">
        <f t="shared" si="158"/>
        <v>-9.1866666666666666E-2</v>
      </c>
      <c r="AI591" s="15">
        <f t="shared" si="159"/>
        <v>-0.32153333333333328</v>
      </c>
      <c r="AJ591" s="10">
        <v>0.5</v>
      </c>
      <c r="AK591" s="10">
        <v>0.5</v>
      </c>
      <c r="AL591" s="21">
        <v>4.37</v>
      </c>
      <c r="AM591" s="9">
        <f t="shared" si="181"/>
        <v>1.4970000000000001</v>
      </c>
      <c r="AN591" s="9">
        <f t="shared" si="182"/>
        <v>0.2994</v>
      </c>
      <c r="AO591" s="9">
        <f t="shared" si="183"/>
        <v>1.9960000000000002</v>
      </c>
      <c r="AP591" s="9">
        <f t="shared" si="184"/>
        <v>0.1996</v>
      </c>
      <c r="AQ591" s="9">
        <f t="shared" si="185"/>
        <v>1.9960000000000002</v>
      </c>
      <c r="AR591" s="9">
        <f t="shared" si="186"/>
        <v>2.4950000000000001</v>
      </c>
      <c r="AS591" s="11">
        <f t="shared" si="187"/>
        <v>-0.91866666666666663</v>
      </c>
      <c r="AT591" s="12">
        <f t="shared" si="188"/>
        <v>-1.2513333333333332</v>
      </c>
    </row>
    <row r="592" spans="1:46" ht="16.5" x14ac:dyDescent="0.4">
      <c r="A592" s="4" t="s">
        <v>2582</v>
      </c>
      <c r="B592" s="4" t="s">
        <v>2710</v>
      </c>
      <c r="C592" s="4" t="s">
        <v>2714</v>
      </c>
      <c r="D592" s="4" t="s">
        <v>2761</v>
      </c>
      <c r="E592" s="4" t="s">
        <v>2920</v>
      </c>
      <c r="F592" s="4" t="s">
        <v>3079</v>
      </c>
      <c r="G592" s="7" t="str">
        <f>VLOOKUP(A592,[1]done!$A:$I,9,0)</f>
        <v>Insecticide/Fungicide</v>
      </c>
      <c r="H592" s="7" t="str" cm="1">
        <f t="array" ref="H592">_xlfn.IFS(
OR(ISNUMBER(SEARCH("mouse",E592)),ISNUMBER(SEARCH("rat",E592)),ISNUMBER(SEARCH("mice",E592)),ISNUMBER(SEARCH("rodent",E592))),"Rodent Control",
OR(ISNUMBER(SEARCH("fly",E592)),ISNUMBER(SEARCH("gnat",E592)),ISNUMBER(SEARCH("insect",E592)),ISNUMBER(SEARCH("mosquito",E592))),"Flying Insect Control",
OR(ISNUMBER(SEARCH("roach",E592)),ISNUMBER(SEARCH("ant",E592)),ISNUMBER(SEARCH("spider",E592)),ISNUMBER(SEARCH("cricket",E592)),ISNUMBER(SEARCH("scorpion",E592)),ISNUMBER(SEARCH("centipede",E592)),ISNUMBER(SEARCH("beetle",E592))),"Crawling Insect Control",
OR(ISNUMBER(SEARCH("tree",E592)),ISNUMBER(SEARCH("lantern",E592)),ISNUMBER(SEARCH("garden",E592)),ISNUMBER(SEARCH("plant",E592))),"Garden Pest Control",
OR(ISNUMBER(SEARCH("grass seed",E592)),ISNUMBER(SEARCH("seed mix",E592))),"Grass Seed",
OR(ISNUMBER(SEARCH("lawn food",E592)),ISNUMBER(SEARCH("fertilizer",E592))),"Lawn Fertilizer",
OR(ISNUMBER(SEARCH("patch",E592)),ISNUMBER(SEARCH("repair",E592)),ISNUMBER(SEARCH("thick'r",E592)),ISNUMBER(SEARCH("thick'r lawn",E592)),ISNUMBER(SEARCH("rapid grass",E592))),"Lawn Repair",
OR(ISNUMBER(SEARCH("weed",E592)),ISNUMBER(SEARCH("crabgrass",E592))),"Weed Control",
OR(ISNUMBER(SEARCH("fungicide",E592)),ISNUMBER(SEARCH("moss",E592))),"Disease &amp; Moss Control",
OR(ISNUMBER(SEARCH("plant food",E592)),ISNUMBER(SEARCH("miracid",E592))),"Plant Nutrition",
OR(ISNUMBER(SEARCH("perlite",E592))),"Soil Amendment",
OR(ISNUMBER(SEARCH("spreader",E592)),ISNUMBER(SEARCH("sprayer",E592)),ISNUMBER(SEARCH("mower",E592)),ISNUMBER(SEARCH("sweeper",E592)),ISNUMBER(SEARCH("pruner",E592)),ISNUMBER(SEARCH("trimmer",E592)),ISNUMBER(SEARCH("pole saw",E592))),"Garden Equipment",
TRUE,"Other"
)</f>
        <v>Other</v>
      </c>
      <c r="I592" s="7" t="str" cm="1">
        <f t="array" ref="I592">_xlfn.IFS(
OR(ISNUMBER(SEARCH("glue trap",E592)),ISNUMBER(SEARCH("glue board",E592))),"Glue Traps",
OR(ISNUMBER(SEARCH("snap trap",E592)),ISNUMBER(SEARCH("power-kill",E592)),ISNUMBER(SEARCH("wide pedal",E592)),ISNUMBER(SEARCH("metal pedal",E592))),"Snap Traps",
OR(ISNUMBER(SEARCH("electronic",E592)),ISNUMBER(SEARCH("zapper",E592))),"Electronic Traps",
OR(ISNUMBER(SEARCH("live catch",E592)),ISNUMBER(SEARCH("multi-catch",E592)),ISNUMBER(SEARCH("catch &amp; hold",E592)),ISNUMBER(SEARCH("tin cat",E592))),"Live Catch Traps",
OR(ISNUMBER(SEARCH("bait",E592)),ISNUMBER(SEARCH("poison",E592))),"Bait &amp; Poison",
ISNUMBER(SEARCH("repellent",E592)),"Repellents",
OR(ISNUMBER(SEARCH("fly trap",E592)),ISNUMBER(SEARCH("fly ribbon",E592)),ISNUMBER(SEARCH("fly stick",E592)),ISNUMBER(SEARCH("window fly",E592)),ISNUMBER(SEARCH("fly magnet",E592))),"Fly Traps",
OR(ISNUMBER(SEARCH("uv",E592)),ISNUMBER(SEARCH("fly light",E592)),ISNUMBER(SEARCH("plug-in",E592))),"UV Fly Traps",
ISNUMBER(SEARCH("roach",E592)),"Roach Traps",
ISNUMBER(SEARCH("ant",E592)),"Ant Traps",
ISNUMBER(SEARCH("spider",E592)),"Spider Traps",
ISNUMBER(SEARCH("mosquito",E592)),"Mosquito Traps",
ISNUMBER(SEARCH("beetle",E592)),"Beetle Traps",
ISNUMBER(SEARCH("lantern",E592)),"Lanternfly Control",
OR(ISNUMBER(SEARCH("tree shield",E592)),ISNUMBER(SEARCH("tree banding",E592)),ISNUMBER(SEARCH("insect barrier",E592))),"Tree Barriers",
OR(ISNUMBER(SEARCH("sun &amp; shade",E592)),ISNUMBER(SEARCH("sun and shade",E592))),"Sun &amp; Shade Mix",
ISNUMBER(SEARCH("tall fescue",E592)),"Tall Fescue",
ISNUMBER(SEARCH("bermudagrass",E592)),"Bermudagrass",
ISNUMBER(SEARCH("kentucky",E592)),"Kentucky Bluegrass",
ISNUMBER(SEARCH("zoysia",E592)),"Zoysia",
ISNUMBER(SEARCH("ryegrass",E592)),"Perennial Ryegrass",
ISNUMBER(SEARCH("centipede",E592)),"Centipede Grass",
ISNUMBER(SEARCH("dense shade",E592)),"Dense Shade Mix",
ISNUMBER(SEARCH("southern gold",E592)),"Southern Gold Mix",
ISNUMBER(SEARCH("heat-tolerant blue",E592)),"Heat-Tolerant Blue Mix",
ISNUMBER(SEARCH("high traffic",E592)),"High Traffic Mix",
ISNUMBER(SEARCH("quick fix",E592)),"Quick Fix Mix",
ISNUMBER(SEARCH("starter",E592)),"Starter Fertilizer",
ISNUMBER(SEARCH("weed &amp; feed",E592)),"Weed &amp; Feed",
ISNUMBER(SEARCH("lawn food",E592)),"Lawn Food",
ISNUMBER(SEARCH("triple action",E592)),"Triple Action Fertilizer",
ISNUMBER(SEARCH("green max",E592)),"Green Max Lawn Food",
ISNUMBER(SEARCH("patchmaster",E592)),"PatchMaster Repair",
ISNUMBER(SEARCH("ez seed",E592)),"EZ Seed Repair",
ISNUMBER(SEARCH("rapid grass",E592)),"Rapid Grass",
ISNUMBER(SEARCH("thick'r lawn",E592)),"Thick'R Lawn",
ISNUMBER(SEARCH("fungicide",E592)),"Fungicide",
ISNUMBER(SEARCH("moss",E592)),"Moss Control",
ISNUMBER(SEARCH("perlite",E592)),"Perlite",
ISNUMBER(SEARCH("plant food",E592)),"Plant Food",
ISNUMBER(SEARCH("spreader",E592)),"Spreader",
ISNUMBER(SEARCH("sprayer",E592)),"Sprayer",
ISNUMBER(SEARCH("mower",E592)),"Lawn Mower",
ISNUMBER(SEARCH("sweeper",E592)),"Lawn Sweeper",
OR(ISNUMBER(SEARCH("pruner",E592)),ISNUMBER(SEARCH("trimmer",E592)),ISNUMBER(SEARCH("pole saw",E592))),"Pruning Tools",
TRUE,"Other"
)</f>
        <v>Bait &amp; Poison</v>
      </c>
      <c r="J592" s="7" t="str">
        <f t="shared" si="171"/>
        <v>Other - Bait &amp; Poison</v>
      </c>
      <c r="K592" s="4">
        <v>1000</v>
      </c>
      <c r="L592" s="4">
        <v>4.4000000000000004</v>
      </c>
      <c r="M592" s="4">
        <v>2409</v>
      </c>
      <c r="N592" s="4" t="s">
        <v>3227</v>
      </c>
      <c r="O592" s="4">
        <f>VLOOKUP(A592,[13]Sheet1!$A:$M,2,0)</f>
        <v>100</v>
      </c>
      <c r="P592" s="4">
        <f>VLOOKUP(A592,[13]Sheet1!$A:$M,3,0)</f>
        <v>0</v>
      </c>
      <c r="Q592" s="4">
        <f>VLOOKUP(A592,[13]Sheet1!$A:$M,4,0)</f>
        <v>100</v>
      </c>
      <c r="R592" s="4">
        <f>VLOOKUP(A592,[13]Sheet1!$A:$M,5,0)</f>
        <v>1000</v>
      </c>
      <c r="S592" s="4">
        <f>VLOOKUP(A592,[13]Sheet1!$A:$M,6,0)</f>
        <v>4000</v>
      </c>
      <c r="T592" s="4">
        <f>VLOOKUP(A592,[13]Sheet1!$A:$M,7,0)</f>
        <v>6000</v>
      </c>
      <c r="U592" s="4">
        <f>VLOOKUP(A592,[13]Sheet1!$A:$M,8,0)</f>
        <v>4000</v>
      </c>
      <c r="V592" s="4">
        <f>VLOOKUP(A592,[13]Sheet1!$A:$M,9,0)</f>
        <v>3000</v>
      </c>
      <c r="W592" s="4">
        <f>VLOOKUP(A592,[13]Sheet1!$A:$M,10,0)</f>
        <v>1000</v>
      </c>
      <c r="X592" s="4">
        <f>VLOOKUP(A592,[13]Sheet1!$A:$M,11,0)</f>
        <v>500</v>
      </c>
      <c r="Y592" s="4">
        <f>VLOOKUP(A592,[13]Sheet1!$A:$M,12,0)</f>
        <v>200</v>
      </c>
      <c r="Z592" s="4">
        <f>VLOOKUP(A592,[13]Sheet1!$A:$M,13,0)</f>
        <v>100</v>
      </c>
      <c r="AA592" s="4">
        <f t="shared" si="176"/>
        <v>20000</v>
      </c>
      <c r="AB592" s="7">
        <f t="shared" si="177"/>
        <v>1667</v>
      </c>
      <c r="AC592" s="15">
        <f t="shared" si="178"/>
        <v>1666.6666666666667</v>
      </c>
      <c r="AD592" s="16">
        <f t="shared" si="179"/>
        <v>279400</v>
      </c>
      <c r="AE592" s="16">
        <f t="shared" si="180"/>
        <v>23283.333333333336</v>
      </c>
      <c r="AF592" s="21">
        <v>5.46</v>
      </c>
      <c r="AG592" s="21">
        <v>13.97</v>
      </c>
      <c r="AH592" s="15">
        <f t="shared" si="158"/>
        <v>-5.8133333333333384E-2</v>
      </c>
      <c r="AI592" s="15">
        <f t="shared" si="159"/>
        <v>-0.20346666666666682</v>
      </c>
      <c r="AJ592" s="10">
        <v>0.5</v>
      </c>
      <c r="AK592" s="10">
        <v>0.5</v>
      </c>
      <c r="AL592" s="21">
        <v>5.46</v>
      </c>
      <c r="AM592" s="9">
        <f t="shared" si="181"/>
        <v>2.0954999999999999</v>
      </c>
      <c r="AN592" s="9">
        <f t="shared" si="182"/>
        <v>0.41910000000000003</v>
      </c>
      <c r="AO592" s="9">
        <f t="shared" si="183"/>
        <v>2.7940000000000005</v>
      </c>
      <c r="AP592" s="9">
        <f t="shared" si="184"/>
        <v>0.27940000000000004</v>
      </c>
      <c r="AQ592" s="9">
        <f t="shared" si="185"/>
        <v>2.7940000000000005</v>
      </c>
      <c r="AR592" s="9">
        <f t="shared" si="186"/>
        <v>3.4925000000000002</v>
      </c>
      <c r="AS592" s="11">
        <f t="shared" si="187"/>
        <v>-0.58133333333333381</v>
      </c>
      <c r="AT592" s="12">
        <f t="shared" si="188"/>
        <v>-1.0470000000000004</v>
      </c>
    </row>
    <row r="593" spans="1:46" ht="16.5" x14ac:dyDescent="0.4">
      <c r="A593" s="4" t="s">
        <v>2583</v>
      </c>
      <c r="B593" s="4" t="s">
        <v>2710</v>
      </c>
      <c r="C593" s="4" t="s">
        <v>1797</v>
      </c>
      <c r="D593" s="4" t="s">
        <v>2762</v>
      </c>
      <c r="E593" s="4" t="s">
        <v>2921</v>
      </c>
      <c r="F593" s="4" t="s">
        <v>3080</v>
      </c>
      <c r="G593" s="7" t="str">
        <f>VLOOKUP(A593,[1]done!$A:$I,9,0)</f>
        <v>Mosquito/Fly</v>
      </c>
      <c r="H593" s="7" t="str" cm="1">
        <f t="array" ref="H593">_xlfn.IFS(
OR(ISNUMBER(SEARCH("mouse",E593)),ISNUMBER(SEARCH("rat",E593)),ISNUMBER(SEARCH("mice",E593)),ISNUMBER(SEARCH("rodent",E593))),"Rodent Control",
OR(ISNUMBER(SEARCH("fly",E593)),ISNUMBER(SEARCH("gnat",E593)),ISNUMBER(SEARCH("insect",E593)),ISNUMBER(SEARCH("mosquito",E593))),"Flying Insect Control",
OR(ISNUMBER(SEARCH("roach",E593)),ISNUMBER(SEARCH("ant",E593)),ISNUMBER(SEARCH("spider",E593)),ISNUMBER(SEARCH("cricket",E593)),ISNUMBER(SEARCH("scorpion",E593)),ISNUMBER(SEARCH("centipede",E593)),ISNUMBER(SEARCH("beetle",E593))),"Crawling Insect Control",
OR(ISNUMBER(SEARCH("tree",E593)),ISNUMBER(SEARCH("lantern",E593)),ISNUMBER(SEARCH("garden",E593)),ISNUMBER(SEARCH("plant",E593))),"Garden Pest Control",
OR(ISNUMBER(SEARCH("grass seed",E593)),ISNUMBER(SEARCH("seed mix",E593))),"Grass Seed",
OR(ISNUMBER(SEARCH("lawn food",E593)),ISNUMBER(SEARCH("fertilizer",E593))),"Lawn Fertilizer",
OR(ISNUMBER(SEARCH("patch",E593)),ISNUMBER(SEARCH("repair",E593)),ISNUMBER(SEARCH("thick'r",E593)),ISNUMBER(SEARCH("thick'r lawn",E593)),ISNUMBER(SEARCH("rapid grass",E593))),"Lawn Repair",
OR(ISNUMBER(SEARCH("weed",E593)),ISNUMBER(SEARCH("crabgrass",E593))),"Weed Control",
OR(ISNUMBER(SEARCH("fungicide",E593)),ISNUMBER(SEARCH("moss",E593))),"Disease &amp; Moss Control",
OR(ISNUMBER(SEARCH("plant food",E593)),ISNUMBER(SEARCH("miracid",E593))),"Plant Nutrition",
OR(ISNUMBER(SEARCH("perlite",E593))),"Soil Amendment",
OR(ISNUMBER(SEARCH("spreader",E593)),ISNUMBER(SEARCH("sprayer",E593)),ISNUMBER(SEARCH("mower",E593)),ISNUMBER(SEARCH("sweeper",E593)),ISNUMBER(SEARCH("pruner",E593)),ISNUMBER(SEARCH("trimmer",E593)),ISNUMBER(SEARCH("pole saw",E593))),"Garden Equipment",
TRUE,"Other"
)</f>
        <v>Flying Insect Control</v>
      </c>
      <c r="I593" s="7" t="str" cm="1">
        <f t="array" ref="I593">_xlfn.IFS(
OR(ISNUMBER(SEARCH("glue trap",E593)),ISNUMBER(SEARCH("glue board",E593))),"Glue Traps",
OR(ISNUMBER(SEARCH("snap trap",E593)),ISNUMBER(SEARCH("power-kill",E593)),ISNUMBER(SEARCH("wide pedal",E593)),ISNUMBER(SEARCH("metal pedal",E593))),"Snap Traps",
OR(ISNUMBER(SEARCH("electronic",E593)),ISNUMBER(SEARCH("zapper",E593))),"Electronic Traps",
OR(ISNUMBER(SEARCH("live catch",E593)),ISNUMBER(SEARCH("multi-catch",E593)),ISNUMBER(SEARCH("catch &amp; hold",E593)),ISNUMBER(SEARCH("tin cat",E593))),"Live Catch Traps",
OR(ISNUMBER(SEARCH("bait",E593)),ISNUMBER(SEARCH("poison",E593))),"Bait &amp; Poison",
ISNUMBER(SEARCH("repellent",E593)),"Repellents",
OR(ISNUMBER(SEARCH("fly trap",E593)),ISNUMBER(SEARCH("fly ribbon",E593)),ISNUMBER(SEARCH("fly stick",E593)),ISNUMBER(SEARCH("window fly",E593)),ISNUMBER(SEARCH("fly magnet",E593))),"Fly Traps",
OR(ISNUMBER(SEARCH("uv",E593)),ISNUMBER(SEARCH("fly light",E593)),ISNUMBER(SEARCH("plug-in",E593))),"UV Fly Traps",
ISNUMBER(SEARCH("roach",E593)),"Roach Traps",
ISNUMBER(SEARCH("ant",E593)),"Ant Traps",
ISNUMBER(SEARCH("spider",E593)),"Spider Traps",
ISNUMBER(SEARCH("mosquito",E593)),"Mosquito Traps",
ISNUMBER(SEARCH("beetle",E593)),"Beetle Traps",
ISNUMBER(SEARCH("lantern",E593)),"Lanternfly Control",
OR(ISNUMBER(SEARCH("tree shield",E593)),ISNUMBER(SEARCH("tree banding",E593)),ISNUMBER(SEARCH("insect barrier",E593))),"Tree Barriers",
OR(ISNUMBER(SEARCH("sun &amp; shade",E593)),ISNUMBER(SEARCH("sun and shade",E593))),"Sun &amp; Shade Mix",
ISNUMBER(SEARCH("tall fescue",E593)),"Tall Fescue",
ISNUMBER(SEARCH("bermudagrass",E593)),"Bermudagrass",
ISNUMBER(SEARCH("kentucky",E593)),"Kentucky Bluegrass",
ISNUMBER(SEARCH("zoysia",E593)),"Zoysia",
ISNUMBER(SEARCH("ryegrass",E593)),"Perennial Ryegrass",
ISNUMBER(SEARCH("centipede",E593)),"Centipede Grass",
ISNUMBER(SEARCH("dense shade",E593)),"Dense Shade Mix",
ISNUMBER(SEARCH("southern gold",E593)),"Southern Gold Mix",
ISNUMBER(SEARCH("heat-tolerant blue",E593)),"Heat-Tolerant Blue Mix",
ISNUMBER(SEARCH("high traffic",E593)),"High Traffic Mix",
ISNUMBER(SEARCH("quick fix",E593)),"Quick Fix Mix",
ISNUMBER(SEARCH("starter",E593)),"Starter Fertilizer",
ISNUMBER(SEARCH("weed &amp; feed",E593)),"Weed &amp; Feed",
ISNUMBER(SEARCH("lawn food",E593)),"Lawn Food",
ISNUMBER(SEARCH("triple action",E593)),"Triple Action Fertilizer",
ISNUMBER(SEARCH("green max",E593)),"Green Max Lawn Food",
ISNUMBER(SEARCH("patchmaster",E593)),"PatchMaster Repair",
ISNUMBER(SEARCH("ez seed",E593)),"EZ Seed Repair",
ISNUMBER(SEARCH("rapid grass",E593)),"Rapid Grass",
ISNUMBER(SEARCH("thick'r lawn",E593)),"Thick'R Lawn",
ISNUMBER(SEARCH("fungicide",E593)),"Fungicide",
ISNUMBER(SEARCH("moss",E593)),"Moss Control",
ISNUMBER(SEARCH("perlite",E593)),"Perlite",
ISNUMBER(SEARCH("plant food",E593)),"Plant Food",
ISNUMBER(SEARCH("spreader",E593)),"Spreader",
ISNUMBER(SEARCH("sprayer",E593)),"Sprayer",
ISNUMBER(SEARCH("mower",E593)),"Lawn Mower",
ISNUMBER(SEARCH("sweeper",E593)),"Lawn Sweeper",
OR(ISNUMBER(SEARCH("pruner",E593)),ISNUMBER(SEARCH("trimmer",E593)),ISNUMBER(SEARCH("pole saw",E593))),"Pruning Tools",
TRUE,"Other"
)</f>
        <v>Mosquito Traps</v>
      </c>
      <c r="J593" s="7" t="str">
        <f t="shared" si="171"/>
        <v>Flying Insect Control - Mosquito Traps</v>
      </c>
      <c r="K593" s="4">
        <v>1000</v>
      </c>
      <c r="L593" s="4">
        <v>4</v>
      </c>
      <c r="M593" s="4">
        <v>2368</v>
      </c>
      <c r="N593" s="4" t="s">
        <v>3228</v>
      </c>
      <c r="O593" s="4">
        <f>VLOOKUP(A593,[13]Sheet1!$A:$M,2,0)</f>
        <v>100</v>
      </c>
      <c r="P593" s="4">
        <f>VLOOKUP(A593,[13]Sheet1!$A:$M,3,0)</f>
        <v>0</v>
      </c>
      <c r="Q593" s="4">
        <f>VLOOKUP(A593,[13]Sheet1!$A:$M,4,0)</f>
        <v>0</v>
      </c>
      <c r="R593" s="4">
        <f>VLOOKUP(A593,[13]Sheet1!$A:$M,5,0)</f>
        <v>100</v>
      </c>
      <c r="S593" s="4">
        <f>VLOOKUP(A593,[13]Sheet1!$A:$M,6,0)</f>
        <v>100</v>
      </c>
      <c r="T593" s="4">
        <f>VLOOKUP(A593,[13]Sheet1!$A:$M,7,0)</f>
        <v>100</v>
      </c>
      <c r="U593" s="4">
        <f>VLOOKUP(A593,[13]Sheet1!$A:$M,8,0)</f>
        <v>100</v>
      </c>
      <c r="V593" s="4">
        <f>VLOOKUP(A593,[13]Sheet1!$A:$M,9,0)</f>
        <v>1000</v>
      </c>
      <c r="W593" s="4">
        <f>VLOOKUP(A593,[13]Sheet1!$A:$M,10,0)</f>
        <v>1000</v>
      </c>
      <c r="X593" s="4">
        <f>VLOOKUP(A593,[13]Sheet1!$A:$M,11,0)</f>
        <v>1000</v>
      </c>
      <c r="Y593" s="4">
        <f>VLOOKUP(A593,[13]Sheet1!$A:$M,12,0)</f>
        <v>600</v>
      </c>
      <c r="Z593" s="4">
        <f>VLOOKUP(A593,[13]Sheet1!$A:$M,13,0)</f>
        <v>400</v>
      </c>
      <c r="AA593" s="4">
        <f t="shared" si="176"/>
        <v>4500</v>
      </c>
      <c r="AB593" s="7">
        <f t="shared" si="177"/>
        <v>375</v>
      </c>
      <c r="AC593" s="15">
        <f t="shared" si="178"/>
        <v>375</v>
      </c>
      <c r="AD593" s="16">
        <f t="shared" si="179"/>
        <v>60435</v>
      </c>
      <c r="AE593" s="16">
        <f t="shared" si="180"/>
        <v>5036.25</v>
      </c>
      <c r="AF593" s="21">
        <v>6.13</v>
      </c>
      <c r="AG593" s="21">
        <v>13.43</v>
      </c>
      <c r="AH593" s="15">
        <f t="shared" si="158"/>
        <v>-0.1172</v>
      </c>
      <c r="AI593" s="15">
        <f t="shared" si="159"/>
        <v>-0.41019999999999995</v>
      </c>
      <c r="AJ593" s="10">
        <v>0.5</v>
      </c>
      <c r="AK593" s="10">
        <v>0.5</v>
      </c>
      <c r="AL593" s="21">
        <v>6.13</v>
      </c>
      <c r="AM593" s="9">
        <f t="shared" si="181"/>
        <v>2.0145</v>
      </c>
      <c r="AN593" s="9">
        <f t="shared" si="182"/>
        <v>0.40289999999999998</v>
      </c>
      <c r="AO593" s="9">
        <f t="shared" si="183"/>
        <v>2.6859999999999999</v>
      </c>
      <c r="AP593" s="9">
        <f t="shared" si="184"/>
        <v>0.26860000000000001</v>
      </c>
      <c r="AQ593" s="9">
        <f t="shared" si="185"/>
        <v>2.6859999999999999</v>
      </c>
      <c r="AR593" s="9">
        <f t="shared" si="186"/>
        <v>3.3574999999999999</v>
      </c>
      <c r="AS593" s="11">
        <f t="shared" si="187"/>
        <v>-1.1719999999999999</v>
      </c>
      <c r="AT593" s="12">
        <f t="shared" si="188"/>
        <v>-1.6196666666666666</v>
      </c>
    </row>
    <row r="594" spans="1:46" ht="16.5" x14ac:dyDescent="0.4">
      <c r="A594" s="4" t="s">
        <v>2584</v>
      </c>
      <c r="B594" s="4" t="s">
        <v>2710</v>
      </c>
      <c r="C594" s="4" t="s">
        <v>2716</v>
      </c>
      <c r="D594" s="4" t="s">
        <v>2763</v>
      </c>
      <c r="E594" s="4" t="s">
        <v>2922</v>
      </c>
      <c r="F594" s="4" t="s">
        <v>3081</v>
      </c>
      <c r="G594" s="7" t="str">
        <f>VLOOKUP(A594,[1]done!$A:$I,9,0)</f>
        <v>Other crawling insects</v>
      </c>
      <c r="H594" s="7" t="str" cm="1">
        <f t="array" ref="H594">_xlfn.IFS(
OR(ISNUMBER(SEARCH("mouse",E594)),ISNUMBER(SEARCH("rat",E594)),ISNUMBER(SEARCH("mice",E594)),ISNUMBER(SEARCH("rodent",E594))),"Rodent Control",
OR(ISNUMBER(SEARCH("fly",E594)),ISNUMBER(SEARCH("gnat",E594)),ISNUMBER(SEARCH("insect",E594)),ISNUMBER(SEARCH("mosquito",E594))),"Flying Insect Control",
OR(ISNUMBER(SEARCH("roach",E594)),ISNUMBER(SEARCH("ant",E594)),ISNUMBER(SEARCH("spider",E594)),ISNUMBER(SEARCH("cricket",E594)),ISNUMBER(SEARCH("scorpion",E594)),ISNUMBER(SEARCH("centipede",E594)),ISNUMBER(SEARCH("beetle",E594))),"Crawling Insect Control",
OR(ISNUMBER(SEARCH("tree",E594)),ISNUMBER(SEARCH("lantern",E594)),ISNUMBER(SEARCH("garden",E594)),ISNUMBER(SEARCH("plant",E594))),"Garden Pest Control",
OR(ISNUMBER(SEARCH("grass seed",E594)),ISNUMBER(SEARCH("seed mix",E594))),"Grass Seed",
OR(ISNUMBER(SEARCH("lawn food",E594)),ISNUMBER(SEARCH("fertilizer",E594))),"Lawn Fertilizer",
OR(ISNUMBER(SEARCH("patch",E594)),ISNUMBER(SEARCH("repair",E594)),ISNUMBER(SEARCH("thick'r",E594)),ISNUMBER(SEARCH("thick'r lawn",E594)),ISNUMBER(SEARCH("rapid grass",E594))),"Lawn Repair",
OR(ISNUMBER(SEARCH("weed",E594)),ISNUMBER(SEARCH("crabgrass",E594))),"Weed Control",
OR(ISNUMBER(SEARCH("fungicide",E594)),ISNUMBER(SEARCH("moss",E594))),"Disease &amp; Moss Control",
OR(ISNUMBER(SEARCH("plant food",E594)),ISNUMBER(SEARCH("miracid",E594))),"Plant Nutrition",
OR(ISNUMBER(SEARCH("perlite",E594))),"Soil Amendment",
OR(ISNUMBER(SEARCH("spreader",E594)),ISNUMBER(SEARCH("sprayer",E594)),ISNUMBER(SEARCH("mower",E594)),ISNUMBER(SEARCH("sweeper",E594)),ISNUMBER(SEARCH("pruner",E594)),ISNUMBER(SEARCH("trimmer",E594)),ISNUMBER(SEARCH("pole saw",E594))),"Garden Equipment",
TRUE,"Other"
)</f>
        <v>Flying Insect Control</v>
      </c>
      <c r="I594" s="7" t="str" cm="1">
        <f t="array" ref="I594">_xlfn.IFS(
OR(ISNUMBER(SEARCH("glue trap",E594)),ISNUMBER(SEARCH("glue board",E594))),"Glue Traps",
OR(ISNUMBER(SEARCH("snap trap",E594)),ISNUMBER(SEARCH("power-kill",E594)),ISNUMBER(SEARCH("wide pedal",E594)),ISNUMBER(SEARCH("metal pedal",E594))),"Snap Traps",
OR(ISNUMBER(SEARCH("electronic",E594)),ISNUMBER(SEARCH("zapper",E594))),"Electronic Traps",
OR(ISNUMBER(SEARCH("live catch",E594)),ISNUMBER(SEARCH("multi-catch",E594)),ISNUMBER(SEARCH("catch &amp; hold",E594)),ISNUMBER(SEARCH("tin cat",E594))),"Live Catch Traps",
OR(ISNUMBER(SEARCH("bait",E594)),ISNUMBER(SEARCH("poison",E594))),"Bait &amp; Poison",
ISNUMBER(SEARCH("repellent",E594)),"Repellents",
OR(ISNUMBER(SEARCH("fly trap",E594)),ISNUMBER(SEARCH("fly ribbon",E594)),ISNUMBER(SEARCH("fly stick",E594)),ISNUMBER(SEARCH("window fly",E594)),ISNUMBER(SEARCH("fly magnet",E594))),"Fly Traps",
OR(ISNUMBER(SEARCH("uv",E594)),ISNUMBER(SEARCH("fly light",E594)),ISNUMBER(SEARCH("plug-in",E594))),"UV Fly Traps",
ISNUMBER(SEARCH("roach",E594)),"Roach Traps",
ISNUMBER(SEARCH("ant",E594)),"Ant Traps",
ISNUMBER(SEARCH("spider",E594)),"Spider Traps",
ISNUMBER(SEARCH("mosquito",E594)),"Mosquito Traps",
ISNUMBER(SEARCH("beetle",E594)),"Beetle Traps",
ISNUMBER(SEARCH("lantern",E594)),"Lanternfly Control",
OR(ISNUMBER(SEARCH("tree shield",E594)),ISNUMBER(SEARCH("tree banding",E594)),ISNUMBER(SEARCH("insect barrier",E594))),"Tree Barriers",
OR(ISNUMBER(SEARCH("sun &amp; shade",E594)),ISNUMBER(SEARCH("sun and shade",E594))),"Sun &amp; Shade Mix",
ISNUMBER(SEARCH("tall fescue",E594)),"Tall Fescue",
ISNUMBER(SEARCH("bermudagrass",E594)),"Bermudagrass",
ISNUMBER(SEARCH("kentucky",E594)),"Kentucky Bluegrass",
ISNUMBER(SEARCH("zoysia",E594)),"Zoysia",
ISNUMBER(SEARCH("ryegrass",E594)),"Perennial Ryegrass",
ISNUMBER(SEARCH("centipede",E594)),"Centipede Grass",
ISNUMBER(SEARCH("dense shade",E594)),"Dense Shade Mix",
ISNUMBER(SEARCH("southern gold",E594)),"Southern Gold Mix",
ISNUMBER(SEARCH("heat-tolerant blue",E594)),"Heat-Tolerant Blue Mix",
ISNUMBER(SEARCH("high traffic",E594)),"High Traffic Mix",
ISNUMBER(SEARCH("quick fix",E594)),"Quick Fix Mix",
ISNUMBER(SEARCH("starter",E594)),"Starter Fertilizer",
ISNUMBER(SEARCH("weed &amp; feed",E594)),"Weed &amp; Feed",
ISNUMBER(SEARCH("lawn food",E594)),"Lawn Food",
ISNUMBER(SEARCH("triple action",E594)),"Triple Action Fertilizer",
ISNUMBER(SEARCH("green max",E594)),"Green Max Lawn Food",
ISNUMBER(SEARCH("patchmaster",E594)),"PatchMaster Repair",
ISNUMBER(SEARCH("ez seed",E594)),"EZ Seed Repair",
ISNUMBER(SEARCH("rapid grass",E594)),"Rapid Grass",
ISNUMBER(SEARCH("thick'r lawn",E594)),"Thick'R Lawn",
ISNUMBER(SEARCH("fungicide",E594)),"Fungicide",
ISNUMBER(SEARCH("moss",E594)),"Moss Control",
ISNUMBER(SEARCH("perlite",E594)),"Perlite",
ISNUMBER(SEARCH("plant food",E594)),"Plant Food",
ISNUMBER(SEARCH("spreader",E594)),"Spreader",
ISNUMBER(SEARCH("sprayer",E594)),"Sprayer",
ISNUMBER(SEARCH("mower",E594)),"Lawn Mower",
ISNUMBER(SEARCH("sweeper",E594)),"Lawn Sweeper",
OR(ISNUMBER(SEARCH("pruner",E594)),ISNUMBER(SEARCH("trimmer",E594)),ISNUMBER(SEARCH("pole saw",E594))),"Pruning Tools",
TRUE,"Other"
)</f>
        <v>Ant Traps</v>
      </c>
      <c r="J594" s="7" t="str">
        <f t="shared" si="171"/>
        <v>Flying Insect Control - Ant Traps</v>
      </c>
      <c r="K594" s="4">
        <v>1000</v>
      </c>
      <c r="L594" s="4">
        <v>4.5</v>
      </c>
      <c r="M594" s="4">
        <v>805</v>
      </c>
      <c r="N594" s="4" t="s">
        <v>3209</v>
      </c>
      <c r="O594" s="4">
        <f>VLOOKUP(A594,[13]Sheet1!$A:$M,2,0)</f>
        <v>200</v>
      </c>
      <c r="P594" s="4">
        <f>VLOOKUP(A594,[13]Sheet1!$A:$M,3,0)</f>
        <v>400</v>
      </c>
      <c r="Q594" s="4">
        <f>VLOOKUP(A594,[13]Sheet1!$A:$M,4,0)</f>
        <v>800</v>
      </c>
      <c r="R594" s="4">
        <f>VLOOKUP(A594,[13]Sheet1!$A:$M,5,0)</f>
        <v>1000</v>
      </c>
      <c r="S594" s="4">
        <f>VLOOKUP(A594,[13]Sheet1!$A:$M,6,0)</f>
        <v>1000</v>
      </c>
      <c r="T594" s="4">
        <f>VLOOKUP(A594,[13]Sheet1!$A:$M,7,0)</f>
        <v>1000</v>
      </c>
      <c r="U594" s="4">
        <f>VLOOKUP(A594,[13]Sheet1!$A:$M,8,0)</f>
        <v>1000</v>
      </c>
      <c r="V594" s="4">
        <f>VLOOKUP(A594,[13]Sheet1!$A:$M,9,0)</f>
        <v>1000</v>
      </c>
      <c r="W594" s="4">
        <f>VLOOKUP(A594,[13]Sheet1!$A:$M,10,0)</f>
        <v>1000</v>
      </c>
      <c r="X594" s="4">
        <f>VLOOKUP(A594,[13]Sheet1!$A:$M,11,0)</f>
        <v>500</v>
      </c>
      <c r="Y594" s="4">
        <f>VLOOKUP(A594,[13]Sheet1!$A:$M,12,0)</f>
        <v>300</v>
      </c>
      <c r="Z594" s="4">
        <f>VLOOKUP(A594,[13]Sheet1!$A:$M,13,0)</f>
        <v>200</v>
      </c>
      <c r="AA594" s="4">
        <f t="shared" si="176"/>
        <v>8400</v>
      </c>
      <c r="AB594" s="7">
        <f t="shared" si="177"/>
        <v>700</v>
      </c>
      <c r="AC594" s="15">
        <f t="shared" si="178"/>
        <v>700</v>
      </c>
      <c r="AD594" s="16">
        <f t="shared" si="179"/>
        <v>151116</v>
      </c>
      <c r="AE594" s="16">
        <f t="shared" si="180"/>
        <v>12592.999999999998</v>
      </c>
      <c r="AF594" s="21">
        <v>6.13</v>
      </c>
      <c r="AG594" s="21">
        <v>17.989999999999998</v>
      </c>
      <c r="AH594" s="15">
        <f t="shared" si="158"/>
        <v>4.39999999999993E-3</v>
      </c>
      <c r="AI594" s="15">
        <f t="shared" si="159"/>
        <v>1.5399999999999752E-2</v>
      </c>
      <c r="AJ594" s="10">
        <v>0.5</v>
      </c>
      <c r="AK594" s="10">
        <v>0.5</v>
      </c>
      <c r="AL594" s="21">
        <v>6.13</v>
      </c>
      <c r="AM594" s="9">
        <f t="shared" si="181"/>
        <v>2.6984999999999997</v>
      </c>
      <c r="AN594" s="9">
        <f t="shared" si="182"/>
        <v>0.53969999999999996</v>
      </c>
      <c r="AO594" s="9">
        <f t="shared" si="183"/>
        <v>3.5979999999999999</v>
      </c>
      <c r="AP594" s="9">
        <f t="shared" si="184"/>
        <v>0.35979999999999995</v>
      </c>
      <c r="AQ594" s="9">
        <f t="shared" si="185"/>
        <v>3.5979999999999999</v>
      </c>
      <c r="AR594" s="9">
        <f t="shared" si="186"/>
        <v>4.4974999999999996</v>
      </c>
      <c r="AS594" s="11">
        <f t="shared" si="187"/>
        <v>4.3999999999999297E-2</v>
      </c>
      <c r="AT594" s="12">
        <f t="shared" si="188"/>
        <v>-0.5556666666666672</v>
      </c>
    </row>
    <row r="595" spans="1:46" ht="16.5" x14ac:dyDescent="0.4">
      <c r="A595" s="4" t="s">
        <v>2585</v>
      </c>
      <c r="B595" s="4" t="s">
        <v>2710</v>
      </c>
      <c r="C595" s="4" t="s">
        <v>2712</v>
      </c>
      <c r="D595" s="4" t="s">
        <v>2764</v>
      </c>
      <c r="E595" s="4" t="s">
        <v>2923</v>
      </c>
      <c r="F595" s="4" t="s">
        <v>3082</v>
      </c>
      <c r="G595" s="7" t="str">
        <f>VLOOKUP(A595,[1]done!$A:$I,9,0)</f>
        <v>Oil based pest repellent</v>
      </c>
      <c r="H595" s="7" t="str" cm="1">
        <f t="array" ref="H595">_xlfn.IFS(
OR(ISNUMBER(SEARCH("mouse",E595)),ISNUMBER(SEARCH("rat",E595)),ISNUMBER(SEARCH("mice",E595)),ISNUMBER(SEARCH("rodent",E595))),"Rodent Control",
OR(ISNUMBER(SEARCH("fly",E595)),ISNUMBER(SEARCH("gnat",E595)),ISNUMBER(SEARCH("insect",E595)),ISNUMBER(SEARCH("mosquito",E595))),"Flying Insect Control",
OR(ISNUMBER(SEARCH("roach",E595)),ISNUMBER(SEARCH("ant",E595)),ISNUMBER(SEARCH("spider",E595)),ISNUMBER(SEARCH("cricket",E595)),ISNUMBER(SEARCH("scorpion",E595)),ISNUMBER(SEARCH("centipede",E595)),ISNUMBER(SEARCH("beetle",E595))),"Crawling Insect Control",
OR(ISNUMBER(SEARCH("tree",E595)),ISNUMBER(SEARCH("lantern",E595)),ISNUMBER(SEARCH("garden",E595)),ISNUMBER(SEARCH("plant",E595))),"Garden Pest Control",
OR(ISNUMBER(SEARCH("grass seed",E595)),ISNUMBER(SEARCH("seed mix",E595))),"Grass Seed",
OR(ISNUMBER(SEARCH("lawn food",E595)),ISNUMBER(SEARCH("fertilizer",E595))),"Lawn Fertilizer",
OR(ISNUMBER(SEARCH("patch",E595)),ISNUMBER(SEARCH("repair",E595)),ISNUMBER(SEARCH("thick'r",E595)),ISNUMBER(SEARCH("thick'r lawn",E595)),ISNUMBER(SEARCH("rapid grass",E595))),"Lawn Repair",
OR(ISNUMBER(SEARCH("weed",E595)),ISNUMBER(SEARCH("crabgrass",E595))),"Weed Control",
OR(ISNUMBER(SEARCH("fungicide",E595)),ISNUMBER(SEARCH("moss",E595))),"Disease &amp; Moss Control",
OR(ISNUMBER(SEARCH("plant food",E595)),ISNUMBER(SEARCH("miracid",E595))),"Plant Nutrition",
OR(ISNUMBER(SEARCH("perlite",E595))),"Soil Amendment",
OR(ISNUMBER(SEARCH("spreader",E595)),ISNUMBER(SEARCH("sprayer",E595)),ISNUMBER(SEARCH("mower",E595)),ISNUMBER(SEARCH("sweeper",E595)),ISNUMBER(SEARCH("pruner",E595)),ISNUMBER(SEARCH("trimmer",E595)),ISNUMBER(SEARCH("pole saw",E595))),"Garden Equipment",
TRUE,"Other"
)</f>
        <v>Flying Insect Control</v>
      </c>
      <c r="I595" s="7" t="str" cm="1">
        <f t="array" ref="I595">_xlfn.IFS(
OR(ISNUMBER(SEARCH("glue trap",E595)),ISNUMBER(SEARCH("glue board",E595))),"Glue Traps",
OR(ISNUMBER(SEARCH("snap trap",E595)),ISNUMBER(SEARCH("power-kill",E595)),ISNUMBER(SEARCH("wide pedal",E595)),ISNUMBER(SEARCH("metal pedal",E595))),"Snap Traps",
OR(ISNUMBER(SEARCH("electronic",E595)),ISNUMBER(SEARCH("zapper",E595))),"Electronic Traps",
OR(ISNUMBER(SEARCH("live catch",E595)),ISNUMBER(SEARCH("multi-catch",E595)),ISNUMBER(SEARCH("catch &amp; hold",E595)),ISNUMBER(SEARCH("tin cat",E595))),"Live Catch Traps",
OR(ISNUMBER(SEARCH("bait",E595)),ISNUMBER(SEARCH("poison",E595))),"Bait &amp; Poison",
ISNUMBER(SEARCH("repellent",E595)),"Repellents",
OR(ISNUMBER(SEARCH("fly trap",E595)),ISNUMBER(SEARCH("fly ribbon",E595)),ISNUMBER(SEARCH("fly stick",E595)),ISNUMBER(SEARCH("window fly",E595)),ISNUMBER(SEARCH("fly magnet",E595))),"Fly Traps",
OR(ISNUMBER(SEARCH("uv",E595)),ISNUMBER(SEARCH("fly light",E595)),ISNUMBER(SEARCH("plug-in",E595))),"UV Fly Traps",
ISNUMBER(SEARCH("roach",E595)),"Roach Traps",
ISNUMBER(SEARCH("ant",E595)),"Ant Traps",
ISNUMBER(SEARCH("spider",E595)),"Spider Traps",
ISNUMBER(SEARCH("mosquito",E595)),"Mosquito Traps",
ISNUMBER(SEARCH("beetle",E595)),"Beetle Traps",
ISNUMBER(SEARCH("lantern",E595)),"Lanternfly Control",
OR(ISNUMBER(SEARCH("tree shield",E595)),ISNUMBER(SEARCH("tree banding",E595)),ISNUMBER(SEARCH("insect barrier",E595))),"Tree Barriers",
OR(ISNUMBER(SEARCH("sun &amp; shade",E595)),ISNUMBER(SEARCH("sun and shade",E595))),"Sun &amp; Shade Mix",
ISNUMBER(SEARCH("tall fescue",E595)),"Tall Fescue",
ISNUMBER(SEARCH("bermudagrass",E595)),"Bermudagrass",
ISNUMBER(SEARCH("kentucky",E595)),"Kentucky Bluegrass",
ISNUMBER(SEARCH("zoysia",E595)),"Zoysia",
ISNUMBER(SEARCH("ryegrass",E595)),"Perennial Ryegrass",
ISNUMBER(SEARCH("centipede",E595)),"Centipede Grass",
ISNUMBER(SEARCH("dense shade",E595)),"Dense Shade Mix",
ISNUMBER(SEARCH("southern gold",E595)),"Southern Gold Mix",
ISNUMBER(SEARCH("heat-tolerant blue",E595)),"Heat-Tolerant Blue Mix",
ISNUMBER(SEARCH("high traffic",E595)),"High Traffic Mix",
ISNUMBER(SEARCH("quick fix",E595)),"Quick Fix Mix",
ISNUMBER(SEARCH("starter",E595)),"Starter Fertilizer",
ISNUMBER(SEARCH("weed &amp; feed",E595)),"Weed &amp; Feed",
ISNUMBER(SEARCH("lawn food",E595)),"Lawn Food",
ISNUMBER(SEARCH("triple action",E595)),"Triple Action Fertilizer",
ISNUMBER(SEARCH("green max",E595)),"Green Max Lawn Food",
ISNUMBER(SEARCH("patchmaster",E595)),"PatchMaster Repair",
ISNUMBER(SEARCH("ez seed",E595)),"EZ Seed Repair",
ISNUMBER(SEARCH("rapid grass",E595)),"Rapid Grass",
ISNUMBER(SEARCH("thick'r lawn",E595)),"Thick'R Lawn",
ISNUMBER(SEARCH("fungicide",E595)),"Fungicide",
ISNUMBER(SEARCH("moss",E595)),"Moss Control",
ISNUMBER(SEARCH("perlite",E595)),"Perlite",
ISNUMBER(SEARCH("plant food",E595)),"Plant Food",
ISNUMBER(SEARCH("spreader",E595)),"Spreader",
ISNUMBER(SEARCH("sprayer",E595)),"Sprayer",
ISNUMBER(SEARCH("mower",E595)),"Lawn Mower",
ISNUMBER(SEARCH("sweeper",E595)),"Lawn Sweeper",
OR(ISNUMBER(SEARCH("pruner",E595)),ISNUMBER(SEARCH("trimmer",E595)),ISNUMBER(SEARCH("pole saw",E595))),"Pruning Tools",
TRUE,"Other"
)</f>
        <v>Other</v>
      </c>
      <c r="J595" s="7" t="str">
        <f t="shared" si="171"/>
        <v>Flying Insect Control - Other</v>
      </c>
      <c r="K595" s="4">
        <v>1000</v>
      </c>
      <c r="L595" s="4">
        <v>4.5</v>
      </c>
      <c r="M595" s="4">
        <v>623</v>
      </c>
      <c r="N595" s="4" t="s">
        <v>1550</v>
      </c>
      <c r="O595" s="4">
        <f>VLOOKUP(A595,[13]Sheet1!$A:$M,2,0)</f>
        <v>100</v>
      </c>
      <c r="P595" s="4">
        <f>VLOOKUP(A595,[13]Sheet1!$A:$M,3,0)</f>
        <v>200</v>
      </c>
      <c r="Q595" s="4">
        <f>VLOOKUP(A595,[13]Sheet1!$A:$M,4,0)</f>
        <v>1000</v>
      </c>
      <c r="R595" s="4">
        <f>VLOOKUP(A595,[13]Sheet1!$A:$M,5,0)</f>
        <v>1000</v>
      </c>
      <c r="S595" s="4">
        <f>VLOOKUP(A595,[13]Sheet1!$A:$M,6,0)</f>
        <v>2000</v>
      </c>
      <c r="T595" s="4">
        <f>VLOOKUP(A595,[13]Sheet1!$A:$M,7,0)</f>
        <v>5000</v>
      </c>
      <c r="U595" s="4">
        <f>VLOOKUP(A595,[13]Sheet1!$A:$M,8,0)</f>
        <v>3000</v>
      </c>
      <c r="V595" s="4">
        <f>VLOOKUP(A595,[13]Sheet1!$A:$M,9,0)</f>
        <v>2000</v>
      </c>
      <c r="W595" s="4">
        <f>VLOOKUP(A595,[13]Sheet1!$A:$M,10,0)</f>
        <v>1000</v>
      </c>
      <c r="X595" s="4">
        <f>VLOOKUP(A595,[13]Sheet1!$A:$M,11,0)</f>
        <v>400</v>
      </c>
      <c r="Y595" s="4">
        <f>VLOOKUP(A595,[13]Sheet1!$A:$M,12,0)</f>
        <v>200</v>
      </c>
      <c r="Z595" s="4">
        <f>VLOOKUP(A595,[13]Sheet1!$A:$M,13,0)</f>
        <v>100</v>
      </c>
      <c r="AA595" s="4">
        <f t="shared" si="176"/>
        <v>16000</v>
      </c>
      <c r="AB595" s="7">
        <f t="shared" si="177"/>
        <v>1333</v>
      </c>
      <c r="AC595" s="15">
        <f t="shared" si="178"/>
        <v>1333.3333333333333</v>
      </c>
      <c r="AD595" s="16">
        <f t="shared" si="179"/>
        <v>154240</v>
      </c>
      <c r="AE595" s="16">
        <f t="shared" si="180"/>
        <v>12853.333333333334</v>
      </c>
      <c r="AF595" s="21">
        <v>5.63</v>
      </c>
      <c r="AG595" s="21">
        <v>9.64</v>
      </c>
      <c r="AH595" s="15">
        <f t="shared" si="158"/>
        <v>-0.18493333333333334</v>
      </c>
      <c r="AI595" s="15">
        <f t="shared" si="159"/>
        <v>-0.64726666666666666</v>
      </c>
      <c r="AJ595" s="10">
        <v>0.5</v>
      </c>
      <c r="AK595" s="10">
        <v>0.5</v>
      </c>
      <c r="AL595" s="21">
        <v>5.63</v>
      </c>
      <c r="AM595" s="9">
        <f t="shared" si="181"/>
        <v>1.446</v>
      </c>
      <c r="AN595" s="9">
        <f t="shared" si="182"/>
        <v>0.28920000000000001</v>
      </c>
      <c r="AO595" s="9">
        <f t="shared" si="183"/>
        <v>1.9280000000000002</v>
      </c>
      <c r="AP595" s="9">
        <f t="shared" si="184"/>
        <v>0.19280000000000003</v>
      </c>
      <c r="AQ595" s="9">
        <f t="shared" si="185"/>
        <v>1.9280000000000002</v>
      </c>
      <c r="AR595" s="9">
        <f t="shared" si="186"/>
        <v>2.41</v>
      </c>
      <c r="AS595" s="11">
        <f t="shared" si="187"/>
        <v>-1.8493333333333333</v>
      </c>
      <c r="AT595" s="12">
        <f t="shared" si="188"/>
        <v>-2.170666666666667</v>
      </c>
    </row>
    <row r="596" spans="1:46" ht="16.5" x14ac:dyDescent="0.4">
      <c r="A596" s="4" t="s">
        <v>2586</v>
      </c>
      <c r="B596" s="4" t="s">
        <v>2710</v>
      </c>
      <c r="C596" s="4" t="s">
        <v>1797</v>
      </c>
      <c r="D596" s="4" t="s">
        <v>2765</v>
      </c>
      <c r="E596" s="4" t="s">
        <v>2924</v>
      </c>
      <c r="F596" s="4" t="s">
        <v>3083</v>
      </c>
      <c r="G596" s="7" t="str">
        <f>VLOOKUP(A596,[1]done!$A:$I,9,0)</f>
        <v>Oil based pest repellent</v>
      </c>
      <c r="H596" s="7" t="str" cm="1">
        <f t="array" ref="H596">_xlfn.IFS(
OR(ISNUMBER(SEARCH("mouse",E596)),ISNUMBER(SEARCH("rat",E596)),ISNUMBER(SEARCH("mice",E596)),ISNUMBER(SEARCH("rodent",E596))),"Rodent Control",
OR(ISNUMBER(SEARCH("fly",E596)),ISNUMBER(SEARCH("gnat",E596)),ISNUMBER(SEARCH("insect",E596)),ISNUMBER(SEARCH("mosquito",E596))),"Flying Insect Control",
OR(ISNUMBER(SEARCH("roach",E596)),ISNUMBER(SEARCH("ant",E596)),ISNUMBER(SEARCH("spider",E596)),ISNUMBER(SEARCH("cricket",E596)),ISNUMBER(SEARCH("scorpion",E596)),ISNUMBER(SEARCH("centipede",E596)),ISNUMBER(SEARCH("beetle",E596))),"Crawling Insect Control",
OR(ISNUMBER(SEARCH("tree",E596)),ISNUMBER(SEARCH("lantern",E596)),ISNUMBER(SEARCH("garden",E596)),ISNUMBER(SEARCH("plant",E596))),"Garden Pest Control",
OR(ISNUMBER(SEARCH("grass seed",E596)),ISNUMBER(SEARCH("seed mix",E596))),"Grass Seed",
OR(ISNUMBER(SEARCH("lawn food",E596)),ISNUMBER(SEARCH("fertilizer",E596))),"Lawn Fertilizer",
OR(ISNUMBER(SEARCH("patch",E596)),ISNUMBER(SEARCH("repair",E596)),ISNUMBER(SEARCH("thick'r",E596)),ISNUMBER(SEARCH("thick'r lawn",E596)),ISNUMBER(SEARCH("rapid grass",E596))),"Lawn Repair",
OR(ISNUMBER(SEARCH("weed",E596)),ISNUMBER(SEARCH("crabgrass",E596))),"Weed Control",
OR(ISNUMBER(SEARCH("fungicide",E596)),ISNUMBER(SEARCH("moss",E596))),"Disease &amp; Moss Control",
OR(ISNUMBER(SEARCH("plant food",E596)),ISNUMBER(SEARCH("miracid",E596))),"Plant Nutrition",
OR(ISNUMBER(SEARCH("perlite",E596))),"Soil Amendment",
OR(ISNUMBER(SEARCH("spreader",E596)),ISNUMBER(SEARCH("sprayer",E596)),ISNUMBER(SEARCH("mower",E596)),ISNUMBER(SEARCH("sweeper",E596)),ISNUMBER(SEARCH("pruner",E596)),ISNUMBER(SEARCH("trimmer",E596)),ISNUMBER(SEARCH("pole saw",E596))),"Garden Equipment",
TRUE,"Other"
)</f>
        <v>Other</v>
      </c>
      <c r="I596" s="7" t="str" cm="1">
        <f t="array" ref="I596">_xlfn.IFS(
OR(ISNUMBER(SEARCH("glue trap",E596)),ISNUMBER(SEARCH("glue board",E596))),"Glue Traps",
OR(ISNUMBER(SEARCH("snap trap",E596)),ISNUMBER(SEARCH("power-kill",E596)),ISNUMBER(SEARCH("wide pedal",E596)),ISNUMBER(SEARCH("metal pedal",E596))),"Snap Traps",
OR(ISNUMBER(SEARCH("electronic",E596)),ISNUMBER(SEARCH("zapper",E596))),"Electronic Traps",
OR(ISNUMBER(SEARCH("live catch",E596)),ISNUMBER(SEARCH("multi-catch",E596)),ISNUMBER(SEARCH("catch &amp; hold",E596)),ISNUMBER(SEARCH("tin cat",E596))),"Live Catch Traps",
OR(ISNUMBER(SEARCH("bait",E596)),ISNUMBER(SEARCH("poison",E596))),"Bait &amp; Poison",
ISNUMBER(SEARCH("repellent",E596)),"Repellents",
OR(ISNUMBER(SEARCH("fly trap",E596)),ISNUMBER(SEARCH("fly ribbon",E596)),ISNUMBER(SEARCH("fly stick",E596)),ISNUMBER(SEARCH("window fly",E596)),ISNUMBER(SEARCH("fly magnet",E596))),"Fly Traps",
OR(ISNUMBER(SEARCH("uv",E596)),ISNUMBER(SEARCH("fly light",E596)),ISNUMBER(SEARCH("plug-in",E596))),"UV Fly Traps",
ISNUMBER(SEARCH("roach",E596)),"Roach Traps",
ISNUMBER(SEARCH("ant",E596)),"Ant Traps",
ISNUMBER(SEARCH("spider",E596)),"Spider Traps",
ISNUMBER(SEARCH("mosquito",E596)),"Mosquito Traps",
ISNUMBER(SEARCH("beetle",E596)),"Beetle Traps",
ISNUMBER(SEARCH("lantern",E596)),"Lanternfly Control",
OR(ISNUMBER(SEARCH("tree shield",E596)),ISNUMBER(SEARCH("tree banding",E596)),ISNUMBER(SEARCH("insect barrier",E596))),"Tree Barriers",
OR(ISNUMBER(SEARCH("sun &amp; shade",E596)),ISNUMBER(SEARCH("sun and shade",E596))),"Sun &amp; Shade Mix",
ISNUMBER(SEARCH("tall fescue",E596)),"Tall Fescue",
ISNUMBER(SEARCH("bermudagrass",E596)),"Bermudagrass",
ISNUMBER(SEARCH("kentucky",E596)),"Kentucky Bluegrass",
ISNUMBER(SEARCH("zoysia",E596)),"Zoysia",
ISNUMBER(SEARCH("ryegrass",E596)),"Perennial Ryegrass",
ISNUMBER(SEARCH("centipede",E596)),"Centipede Grass",
ISNUMBER(SEARCH("dense shade",E596)),"Dense Shade Mix",
ISNUMBER(SEARCH("southern gold",E596)),"Southern Gold Mix",
ISNUMBER(SEARCH("heat-tolerant blue",E596)),"Heat-Tolerant Blue Mix",
ISNUMBER(SEARCH("high traffic",E596)),"High Traffic Mix",
ISNUMBER(SEARCH("quick fix",E596)),"Quick Fix Mix",
ISNUMBER(SEARCH("starter",E596)),"Starter Fertilizer",
ISNUMBER(SEARCH("weed &amp; feed",E596)),"Weed &amp; Feed",
ISNUMBER(SEARCH("lawn food",E596)),"Lawn Food",
ISNUMBER(SEARCH("triple action",E596)),"Triple Action Fertilizer",
ISNUMBER(SEARCH("green max",E596)),"Green Max Lawn Food",
ISNUMBER(SEARCH("patchmaster",E596)),"PatchMaster Repair",
ISNUMBER(SEARCH("ez seed",E596)),"EZ Seed Repair",
ISNUMBER(SEARCH("rapid grass",E596)),"Rapid Grass",
ISNUMBER(SEARCH("thick'r lawn",E596)),"Thick'R Lawn",
ISNUMBER(SEARCH("fungicide",E596)),"Fungicide",
ISNUMBER(SEARCH("moss",E596)),"Moss Control",
ISNUMBER(SEARCH("perlite",E596)),"Perlite",
ISNUMBER(SEARCH("plant food",E596)),"Plant Food",
ISNUMBER(SEARCH("spreader",E596)),"Spreader",
ISNUMBER(SEARCH("sprayer",E596)),"Sprayer",
ISNUMBER(SEARCH("mower",E596)),"Lawn Mower",
ISNUMBER(SEARCH("sweeper",E596)),"Lawn Sweeper",
OR(ISNUMBER(SEARCH("pruner",E596)),ISNUMBER(SEARCH("trimmer",E596)),ISNUMBER(SEARCH("pole saw",E596))),"Pruning Tools",
TRUE,"Other"
)</f>
        <v>Repellents</v>
      </c>
      <c r="J596" s="7" t="str">
        <f t="shared" si="171"/>
        <v>Other - Repellents</v>
      </c>
      <c r="K596" s="4">
        <v>1000</v>
      </c>
      <c r="L596" s="4">
        <v>3.7</v>
      </c>
      <c r="M596" s="4">
        <v>2904</v>
      </c>
      <c r="N596" s="4" t="s">
        <v>3229</v>
      </c>
      <c r="O596" s="4">
        <f>VLOOKUP(A596,[13]Sheet1!$A:$M,2,0)</f>
        <v>200</v>
      </c>
      <c r="P596" s="4">
        <f>VLOOKUP(A596,[13]Sheet1!$A:$M,3,0)</f>
        <v>200</v>
      </c>
      <c r="Q596" s="4">
        <f>VLOOKUP(A596,[13]Sheet1!$A:$M,4,0)</f>
        <v>400</v>
      </c>
      <c r="R596" s="4">
        <f>VLOOKUP(A596,[13]Sheet1!$A:$M,5,0)</f>
        <v>500</v>
      </c>
      <c r="S596" s="4">
        <f>VLOOKUP(A596,[13]Sheet1!$A:$M,6,0)</f>
        <v>500</v>
      </c>
      <c r="T596" s="4">
        <f>VLOOKUP(A596,[13]Sheet1!$A:$M,7,0)</f>
        <v>1000</v>
      </c>
      <c r="U596" s="4">
        <f>VLOOKUP(A596,[13]Sheet1!$A:$M,8,0)</f>
        <v>1000</v>
      </c>
      <c r="V596" s="4">
        <f>VLOOKUP(A596,[13]Sheet1!$A:$M,9,0)</f>
        <v>1000</v>
      </c>
      <c r="W596" s="4">
        <f>VLOOKUP(A596,[13]Sheet1!$A:$M,10,0)</f>
        <v>1000</v>
      </c>
      <c r="X596" s="4">
        <f>VLOOKUP(A596,[13]Sheet1!$A:$M,11,0)</f>
        <v>500</v>
      </c>
      <c r="Y596" s="4">
        <f>VLOOKUP(A596,[13]Sheet1!$A:$M,12,0)</f>
        <v>300</v>
      </c>
      <c r="Z596" s="4">
        <f>VLOOKUP(A596,[13]Sheet1!$A:$M,13,0)</f>
        <v>200</v>
      </c>
      <c r="AA596" s="4">
        <f t="shared" si="176"/>
        <v>6800</v>
      </c>
      <c r="AB596" s="7">
        <f t="shared" si="177"/>
        <v>567</v>
      </c>
      <c r="AC596" s="15">
        <f t="shared" si="178"/>
        <v>566.66666666666663</v>
      </c>
      <c r="AD596" s="16">
        <f t="shared" si="179"/>
        <v>57664</v>
      </c>
      <c r="AE596" s="16">
        <f t="shared" si="180"/>
        <v>4805.333333333333</v>
      </c>
      <c r="AF596" s="21">
        <v>3.24</v>
      </c>
      <c r="AG596" s="21">
        <v>8.48</v>
      </c>
      <c r="AH596" s="15">
        <f t="shared" si="158"/>
        <v>-5.6533333333333359E-2</v>
      </c>
      <c r="AI596" s="15">
        <f t="shared" si="159"/>
        <v>-0.19786666666666675</v>
      </c>
      <c r="AJ596" s="10">
        <v>0.5</v>
      </c>
      <c r="AK596" s="10">
        <v>0.5</v>
      </c>
      <c r="AL596" s="21">
        <v>3.24</v>
      </c>
      <c r="AM596" s="9">
        <f t="shared" si="181"/>
        <v>1.272</v>
      </c>
      <c r="AN596" s="9">
        <f t="shared" si="182"/>
        <v>0.25440000000000002</v>
      </c>
      <c r="AO596" s="9">
        <f t="shared" si="183"/>
        <v>1.6960000000000002</v>
      </c>
      <c r="AP596" s="9">
        <f t="shared" si="184"/>
        <v>0.1696</v>
      </c>
      <c r="AQ596" s="9">
        <f t="shared" si="185"/>
        <v>1.6960000000000002</v>
      </c>
      <c r="AR596" s="9">
        <f t="shared" si="186"/>
        <v>2.12</v>
      </c>
      <c r="AS596" s="11">
        <f t="shared" si="187"/>
        <v>-0.56533333333333358</v>
      </c>
      <c r="AT596" s="12">
        <f t="shared" si="188"/>
        <v>-0.8480000000000002</v>
      </c>
    </row>
    <row r="597" spans="1:46" ht="16.5" x14ac:dyDescent="0.4">
      <c r="A597" s="4" t="s">
        <v>2587</v>
      </c>
      <c r="B597" s="4" t="s">
        <v>2710</v>
      </c>
      <c r="C597" s="4" t="s">
        <v>2712</v>
      </c>
      <c r="D597" s="4" t="s">
        <v>2766</v>
      </c>
      <c r="E597" s="4" t="s">
        <v>2925</v>
      </c>
      <c r="F597" s="4" t="s">
        <v>3084</v>
      </c>
      <c r="G597" s="7" t="str">
        <f>VLOOKUP(A597,[1]done!$A:$I,9,0)</f>
        <v>Oil based pest repellent</v>
      </c>
      <c r="H597" s="7" t="str" cm="1">
        <f t="array" ref="H597">_xlfn.IFS(
OR(ISNUMBER(SEARCH("mouse",E597)),ISNUMBER(SEARCH("rat",E597)),ISNUMBER(SEARCH("mice",E597)),ISNUMBER(SEARCH("rodent",E597))),"Rodent Control",
OR(ISNUMBER(SEARCH("fly",E597)),ISNUMBER(SEARCH("gnat",E597)),ISNUMBER(SEARCH("insect",E597)),ISNUMBER(SEARCH("mosquito",E597))),"Flying Insect Control",
OR(ISNUMBER(SEARCH("roach",E597)),ISNUMBER(SEARCH("ant",E597)),ISNUMBER(SEARCH("spider",E597)),ISNUMBER(SEARCH("cricket",E597)),ISNUMBER(SEARCH("scorpion",E597)),ISNUMBER(SEARCH("centipede",E597)),ISNUMBER(SEARCH("beetle",E597))),"Crawling Insect Control",
OR(ISNUMBER(SEARCH("tree",E597)),ISNUMBER(SEARCH("lantern",E597)),ISNUMBER(SEARCH("garden",E597)),ISNUMBER(SEARCH("plant",E597))),"Garden Pest Control",
OR(ISNUMBER(SEARCH("grass seed",E597)),ISNUMBER(SEARCH("seed mix",E597))),"Grass Seed",
OR(ISNUMBER(SEARCH("lawn food",E597)),ISNUMBER(SEARCH("fertilizer",E597))),"Lawn Fertilizer",
OR(ISNUMBER(SEARCH("patch",E597)),ISNUMBER(SEARCH("repair",E597)),ISNUMBER(SEARCH("thick'r",E597)),ISNUMBER(SEARCH("thick'r lawn",E597)),ISNUMBER(SEARCH("rapid grass",E597))),"Lawn Repair",
OR(ISNUMBER(SEARCH("weed",E597)),ISNUMBER(SEARCH("crabgrass",E597))),"Weed Control",
OR(ISNUMBER(SEARCH("fungicide",E597)),ISNUMBER(SEARCH("moss",E597))),"Disease &amp; Moss Control",
OR(ISNUMBER(SEARCH("plant food",E597)),ISNUMBER(SEARCH("miracid",E597))),"Plant Nutrition",
OR(ISNUMBER(SEARCH("perlite",E597))),"Soil Amendment",
OR(ISNUMBER(SEARCH("spreader",E597)),ISNUMBER(SEARCH("sprayer",E597)),ISNUMBER(SEARCH("mower",E597)),ISNUMBER(SEARCH("sweeper",E597)),ISNUMBER(SEARCH("pruner",E597)),ISNUMBER(SEARCH("trimmer",E597)),ISNUMBER(SEARCH("pole saw",E597))),"Garden Equipment",
TRUE,"Other"
)</f>
        <v>Other</v>
      </c>
      <c r="I597" s="7" t="str" cm="1">
        <f t="array" ref="I597">_xlfn.IFS(
OR(ISNUMBER(SEARCH("glue trap",E597)),ISNUMBER(SEARCH("glue board",E597))),"Glue Traps",
OR(ISNUMBER(SEARCH("snap trap",E597)),ISNUMBER(SEARCH("power-kill",E597)),ISNUMBER(SEARCH("wide pedal",E597)),ISNUMBER(SEARCH("metal pedal",E597))),"Snap Traps",
OR(ISNUMBER(SEARCH("electronic",E597)),ISNUMBER(SEARCH("zapper",E597))),"Electronic Traps",
OR(ISNUMBER(SEARCH("live catch",E597)),ISNUMBER(SEARCH("multi-catch",E597)),ISNUMBER(SEARCH("catch &amp; hold",E597)),ISNUMBER(SEARCH("tin cat",E597))),"Live Catch Traps",
OR(ISNUMBER(SEARCH("bait",E597)),ISNUMBER(SEARCH("poison",E597))),"Bait &amp; Poison",
ISNUMBER(SEARCH("repellent",E597)),"Repellents",
OR(ISNUMBER(SEARCH("fly trap",E597)),ISNUMBER(SEARCH("fly ribbon",E597)),ISNUMBER(SEARCH("fly stick",E597)),ISNUMBER(SEARCH("window fly",E597)),ISNUMBER(SEARCH("fly magnet",E597))),"Fly Traps",
OR(ISNUMBER(SEARCH("uv",E597)),ISNUMBER(SEARCH("fly light",E597)),ISNUMBER(SEARCH("plug-in",E597))),"UV Fly Traps",
ISNUMBER(SEARCH("roach",E597)),"Roach Traps",
ISNUMBER(SEARCH("ant",E597)),"Ant Traps",
ISNUMBER(SEARCH("spider",E597)),"Spider Traps",
ISNUMBER(SEARCH("mosquito",E597)),"Mosquito Traps",
ISNUMBER(SEARCH("beetle",E597)),"Beetle Traps",
ISNUMBER(SEARCH("lantern",E597)),"Lanternfly Control",
OR(ISNUMBER(SEARCH("tree shield",E597)),ISNUMBER(SEARCH("tree banding",E597)),ISNUMBER(SEARCH("insect barrier",E597))),"Tree Barriers",
OR(ISNUMBER(SEARCH("sun &amp; shade",E597)),ISNUMBER(SEARCH("sun and shade",E597))),"Sun &amp; Shade Mix",
ISNUMBER(SEARCH("tall fescue",E597)),"Tall Fescue",
ISNUMBER(SEARCH("bermudagrass",E597)),"Bermudagrass",
ISNUMBER(SEARCH("kentucky",E597)),"Kentucky Bluegrass",
ISNUMBER(SEARCH("zoysia",E597)),"Zoysia",
ISNUMBER(SEARCH("ryegrass",E597)),"Perennial Ryegrass",
ISNUMBER(SEARCH("centipede",E597)),"Centipede Grass",
ISNUMBER(SEARCH("dense shade",E597)),"Dense Shade Mix",
ISNUMBER(SEARCH("southern gold",E597)),"Southern Gold Mix",
ISNUMBER(SEARCH("heat-tolerant blue",E597)),"Heat-Tolerant Blue Mix",
ISNUMBER(SEARCH("high traffic",E597)),"High Traffic Mix",
ISNUMBER(SEARCH("quick fix",E597)),"Quick Fix Mix",
ISNUMBER(SEARCH("starter",E597)),"Starter Fertilizer",
ISNUMBER(SEARCH("weed &amp; feed",E597)),"Weed &amp; Feed",
ISNUMBER(SEARCH("lawn food",E597)),"Lawn Food",
ISNUMBER(SEARCH("triple action",E597)),"Triple Action Fertilizer",
ISNUMBER(SEARCH("green max",E597)),"Green Max Lawn Food",
ISNUMBER(SEARCH("patchmaster",E597)),"PatchMaster Repair",
ISNUMBER(SEARCH("ez seed",E597)),"EZ Seed Repair",
ISNUMBER(SEARCH("rapid grass",E597)),"Rapid Grass",
ISNUMBER(SEARCH("thick'r lawn",E597)),"Thick'R Lawn",
ISNUMBER(SEARCH("fungicide",E597)),"Fungicide",
ISNUMBER(SEARCH("moss",E597)),"Moss Control",
ISNUMBER(SEARCH("perlite",E597)),"Perlite",
ISNUMBER(SEARCH("plant food",E597)),"Plant Food",
ISNUMBER(SEARCH("spreader",E597)),"Spreader",
ISNUMBER(SEARCH("sprayer",E597)),"Sprayer",
ISNUMBER(SEARCH("mower",E597)),"Lawn Mower",
ISNUMBER(SEARCH("sweeper",E597)),"Lawn Sweeper",
OR(ISNUMBER(SEARCH("pruner",E597)),ISNUMBER(SEARCH("trimmer",E597)),ISNUMBER(SEARCH("pole saw",E597))),"Pruning Tools",
TRUE,"Other"
)</f>
        <v>Other</v>
      </c>
      <c r="J597" s="7" t="str">
        <f t="shared" si="171"/>
        <v>Other - Other</v>
      </c>
      <c r="K597" s="4">
        <v>800</v>
      </c>
      <c r="L597" s="4">
        <v>4.0999999999999996</v>
      </c>
      <c r="M597" s="4">
        <v>3764</v>
      </c>
      <c r="N597" s="4" t="s">
        <v>3209</v>
      </c>
      <c r="O597" s="4">
        <f>VLOOKUP(A597,[13]Sheet1!$A:$M,2,0)</f>
        <v>300</v>
      </c>
      <c r="P597" s="4">
        <f>VLOOKUP(A597,[13]Sheet1!$A:$M,3,0)</f>
        <v>300</v>
      </c>
      <c r="Q597" s="4">
        <f>VLOOKUP(A597,[13]Sheet1!$A:$M,4,0)</f>
        <v>600</v>
      </c>
      <c r="R597" s="4">
        <f>VLOOKUP(A597,[13]Sheet1!$A:$M,5,0)</f>
        <v>1000</v>
      </c>
      <c r="S597" s="4">
        <f>VLOOKUP(A597,[13]Sheet1!$A:$M,6,0)</f>
        <v>2000</v>
      </c>
      <c r="T597" s="4">
        <f>VLOOKUP(A597,[13]Sheet1!$A:$M,7,0)</f>
        <v>4000</v>
      </c>
      <c r="U597" s="4">
        <f>VLOOKUP(A597,[13]Sheet1!$A:$M,8,0)</f>
        <v>6000</v>
      </c>
      <c r="V597" s="4">
        <f>VLOOKUP(A597,[13]Sheet1!$A:$M,9,0)</f>
        <v>2000</v>
      </c>
      <c r="W597" s="4">
        <f>VLOOKUP(A597,[13]Sheet1!$A:$M,10,0)</f>
        <v>900</v>
      </c>
      <c r="X597" s="4">
        <f>VLOOKUP(A597,[13]Sheet1!$A:$M,11,0)</f>
        <v>1000</v>
      </c>
      <c r="Y597" s="4">
        <f>VLOOKUP(A597,[13]Sheet1!$A:$M,12,0)</f>
        <v>600</v>
      </c>
      <c r="Z597" s="4">
        <f>VLOOKUP(A597,[13]Sheet1!$A:$M,13,0)</f>
        <v>300</v>
      </c>
      <c r="AA597" s="4">
        <f t="shared" si="176"/>
        <v>19000</v>
      </c>
      <c r="AB597" s="7">
        <f t="shared" si="177"/>
        <v>1583</v>
      </c>
      <c r="AC597" s="15">
        <f t="shared" si="178"/>
        <v>1583.3333333333333</v>
      </c>
      <c r="AD597" s="16">
        <f t="shared" si="179"/>
        <v>303810</v>
      </c>
      <c r="AE597" s="16">
        <f t="shared" si="180"/>
        <v>25317.5</v>
      </c>
      <c r="AF597" s="21">
        <v>6.31</v>
      </c>
      <c r="AG597" s="21">
        <v>15.99</v>
      </c>
      <c r="AH597" s="15">
        <f t="shared" si="158"/>
        <v>-6.0933333333333374E-2</v>
      </c>
      <c r="AI597" s="15">
        <f t="shared" si="159"/>
        <v>-0.2132666666666668</v>
      </c>
      <c r="AJ597" s="10">
        <v>0.5</v>
      </c>
      <c r="AK597" s="10">
        <v>0.5</v>
      </c>
      <c r="AL597" s="21">
        <v>6.31</v>
      </c>
      <c r="AM597" s="9">
        <f t="shared" si="181"/>
        <v>2.3984999999999999</v>
      </c>
      <c r="AN597" s="9">
        <f t="shared" si="182"/>
        <v>0.47970000000000002</v>
      </c>
      <c r="AO597" s="9">
        <f t="shared" si="183"/>
        <v>3.1980000000000004</v>
      </c>
      <c r="AP597" s="9">
        <f t="shared" si="184"/>
        <v>0.31980000000000003</v>
      </c>
      <c r="AQ597" s="9">
        <f t="shared" si="185"/>
        <v>3.1980000000000004</v>
      </c>
      <c r="AR597" s="9">
        <f t="shared" si="186"/>
        <v>3.9975000000000001</v>
      </c>
      <c r="AS597" s="11">
        <f t="shared" si="187"/>
        <v>-0.60933333333333373</v>
      </c>
      <c r="AT597" s="12">
        <f t="shared" si="188"/>
        <v>-1.1423333333333334</v>
      </c>
    </row>
    <row r="598" spans="1:46" ht="16.5" x14ac:dyDescent="0.4">
      <c r="A598" s="4" t="s">
        <v>2588</v>
      </c>
      <c r="B598" s="4" t="s">
        <v>2710</v>
      </c>
      <c r="C598" s="4" t="s">
        <v>2720</v>
      </c>
      <c r="D598" s="4" t="s">
        <v>2767</v>
      </c>
      <c r="E598" s="4" t="s">
        <v>2926</v>
      </c>
      <c r="F598" s="4" t="s">
        <v>3085</v>
      </c>
      <c r="G598" s="7" t="str">
        <f>VLOOKUP(A598,[1]done!$A:$I,9,0)</f>
        <v>Deer &amp; Rabbit control</v>
      </c>
      <c r="H598" s="7" t="str" cm="1">
        <f t="array" ref="H598">_xlfn.IFS(
OR(ISNUMBER(SEARCH("mouse",E598)),ISNUMBER(SEARCH("rat",E598)),ISNUMBER(SEARCH("mice",E598)),ISNUMBER(SEARCH("rodent",E598))),"Rodent Control",
OR(ISNUMBER(SEARCH("fly",E598)),ISNUMBER(SEARCH("gnat",E598)),ISNUMBER(SEARCH("insect",E598)),ISNUMBER(SEARCH("mosquito",E598))),"Flying Insect Control",
OR(ISNUMBER(SEARCH("roach",E598)),ISNUMBER(SEARCH("ant",E598)),ISNUMBER(SEARCH("spider",E598)),ISNUMBER(SEARCH("cricket",E598)),ISNUMBER(SEARCH("scorpion",E598)),ISNUMBER(SEARCH("centipede",E598)),ISNUMBER(SEARCH("beetle",E598))),"Crawling Insect Control",
OR(ISNUMBER(SEARCH("tree",E598)),ISNUMBER(SEARCH("lantern",E598)),ISNUMBER(SEARCH("garden",E598)),ISNUMBER(SEARCH("plant",E598))),"Garden Pest Control",
OR(ISNUMBER(SEARCH("grass seed",E598)),ISNUMBER(SEARCH("seed mix",E598))),"Grass Seed",
OR(ISNUMBER(SEARCH("lawn food",E598)),ISNUMBER(SEARCH("fertilizer",E598))),"Lawn Fertilizer",
OR(ISNUMBER(SEARCH("patch",E598)),ISNUMBER(SEARCH("repair",E598)),ISNUMBER(SEARCH("thick'r",E598)),ISNUMBER(SEARCH("thick'r lawn",E598)),ISNUMBER(SEARCH("rapid grass",E598))),"Lawn Repair",
OR(ISNUMBER(SEARCH("weed",E598)),ISNUMBER(SEARCH("crabgrass",E598))),"Weed Control",
OR(ISNUMBER(SEARCH("fungicide",E598)),ISNUMBER(SEARCH("moss",E598))),"Disease &amp; Moss Control",
OR(ISNUMBER(SEARCH("plant food",E598)),ISNUMBER(SEARCH("miracid",E598))),"Plant Nutrition",
OR(ISNUMBER(SEARCH("perlite",E598))),"Soil Amendment",
OR(ISNUMBER(SEARCH("spreader",E598)),ISNUMBER(SEARCH("sprayer",E598)),ISNUMBER(SEARCH("mower",E598)),ISNUMBER(SEARCH("sweeper",E598)),ISNUMBER(SEARCH("pruner",E598)),ISNUMBER(SEARCH("trimmer",E598)),ISNUMBER(SEARCH("pole saw",E598))),"Garden Equipment",
TRUE,"Other"
)</f>
        <v>Garden Pest Control</v>
      </c>
      <c r="I598" s="7" t="str" cm="1">
        <f t="array" ref="I598">_xlfn.IFS(
OR(ISNUMBER(SEARCH("glue trap",E598)),ISNUMBER(SEARCH("glue board",E598))),"Glue Traps",
OR(ISNUMBER(SEARCH("snap trap",E598)),ISNUMBER(SEARCH("power-kill",E598)),ISNUMBER(SEARCH("wide pedal",E598)),ISNUMBER(SEARCH("metal pedal",E598))),"Snap Traps",
OR(ISNUMBER(SEARCH("electronic",E598)),ISNUMBER(SEARCH("zapper",E598))),"Electronic Traps",
OR(ISNUMBER(SEARCH("live catch",E598)),ISNUMBER(SEARCH("multi-catch",E598)),ISNUMBER(SEARCH("catch &amp; hold",E598)),ISNUMBER(SEARCH("tin cat",E598))),"Live Catch Traps",
OR(ISNUMBER(SEARCH("bait",E598)),ISNUMBER(SEARCH("poison",E598))),"Bait &amp; Poison",
ISNUMBER(SEARCH("repellent",E598)),"Repellents",
OR(ISNUMBER(SEARCH("fly trap",E598)),ISNUMBER(SEARCH("fly ribbon",E598)),ISNUMBER(SEARCH("fly stick",E598)),ISNUMBER(SEARCH("window fly",E598)),ISNUMBER(SEARCH("fly magnet",E598))),"Fly Traps",
OR(ISNUMBER(SEARCH("uv",E598)),ISNUMBER(SEARCH("fly light",E598)),ISNUMBER(SEARCH("plug-in",E598))),"UV Fly Traps",
ISNUMBER(SEARCH("roach",E598)),"Roach Traps",
ISNUMBER(SEARCH("ant",E598)),"Ant Traps",
ISNUMBER(SEARCH("spider",E598)),"Spider Traps",
ISNUMBER(SEARCH("mosquito",E598)),"Mosquito Traps",
ISNUMBER(SEARCH("beetle",E598)),"Beetle Traps",
ISNUMBER(SEARCH("lantern",E598)),"Lanternfly Control",
OR(ISNUMBER(SEARCH("tree shield",E598)),ISNUMBER(SEARCH("tree banding",E598)),ISNUMBER(SEARCH("insect barrier",E598))),"Tree Barriers",
OR(ISNUMBER(SEARCH("sun &amp; shade",E598)),ISNUMBER(SEARCH("sun and shade",E598))),"Sun &amp; Shade Mix",
ISNUMBER(SEARCH("tall fescue",E598)),"Tall Fescue",
ISNUMBER(SEARCH("bermudagrass",E598)),"Bermudagrass",
ISNUMBER(SEARCH("kentucky",E598)),"Kentucky Bluegrass",
ISNUMBER(SEARCH("zoysia",E598)),"Zoysia",
ISNUMBER(SEARCH("ryegrass",E598)),"Perennial Ryegrass",
ISNUMBER(SEARCH("centipede",E598)),"Centipede Grass",
ISNUMBER(SEARCH("dense shade",E598)),"Dense Shade Mix",
ISNUMBER(SEARCH("southern gold",E598)),"Southern Gold Mix",
ISNUMBER(SEARCH("heat-tolerant blue",E598)),"Heat-Tolerant Blue Mix",
ISNUMBER(SEARCH("high traffic",E598)),"High Traffic Mix",
ISNUMBER(SEARCH("quick fix",E598)),"Quick Fix Mix",
ISNUMBER(SEARCH("starter",E598)),"Starter Fertilizer",
ISNUMBER(SEARCH("weed &amp; feed",E598)),"Weed &amp; Feed",
ISNUMBER(SEARCH("lawn food",E598)),"Lawn Food",
ISNUMBER(SEARCH("triple action",E598)),"Triple Action Fertilizer",
ISNUMBER(SEARCH("green max",E598)),"Green Max Lawn Food",
ISNUMBER(SEARCH("patchmaster",E598)),"PatchMaster Repair",
ISNUMBER(SEARCH("ez seed",E598)),"EZ Seed Repair",
ISNUMBER(SEARCH("rapid grass",E598)),"Rapid Grass",
ISNUMBER(SEARCH("thick'r lawn",E598)),"Thick'R Lawn",
ISNUMBER(SEARCH("fungicide",E598)),"Fungicide",
ISNUMBER(SEARCH("moss",E598)),"Moss Control",
ISNUMBER(SEARCH("perlite",E598)),"Perlite",
ISNUMBER(SEARCH("plant food",E598)),"Plant Food",
ISNUMBER(SEARCH("spreader",E598)),"Spreader",
ISNUMBER(SEARCH("sprayer",E598)),"Sprayer",
ISNUMBER(SEARCH("mower",E598)),"Lawn Mower",
ISNUMBER(SEARCH("sweeper",E598)),"Lawn Sweeper",
OR(ISNUMBER(SEARCH("pruner",E598)),ISNUMBER(SEARCH("trimmer",E598)),ISNUMBER(SEARCH("pole saw",E598))),"Pruning Tools",
TRUE,"Other"
)</f>
        <v>Repellents</v>
      </c>
      <c r="J598" s="7" t="str">
        <f t="shared" si="171"/>
        <v>Garden Pest Control - Repellents</v>
      </c>
      <c r="K598" s="4">
        <v>800</v>
      </c>
      <c r="L598" s="4">
        <v>3.5</v>
      </c>
      <c r="M598" s="4">
        <v>1058</v>
      </c>
      <c r="N598" s="4" t="s">
        <v>3230</v>
      </c>
      <c r="O598" s="4">
        <f>VLOOKUP(A598,[13]Sheet1!$A:$M,2,0)</f>
        <v>200</v>
      </c>
      <c r="P598" s="4">
        <f>VLOOKUP(A598,[13]Sheet1!$A:$M,3,0)</f>
        <v>200</v>
      </c>
      <c r="Q598" s="4">
        <f>VLOOKUP(A598,[13]Sheet1!$A:$M,4,0)</f>
        <v>400</v>
      </c>
      <c r="R598" s="4">
        <f>VLOOKUP(A598,[13]Sheet1!$A:$M,5,0)</f>
        <v>600</v>
      </c>
      <c r="S598" s="4">
        <f>VLOOKUP(A598,[13]Sheet1!$A:$M,6,0)</f>
        <v>1000</v>
      </c>
      <c r="T598" s="4">
        <f>VLOOKUP(A598,[13]Sheet1!$A:$M,7,0)</f>
        <v>1000</v>
      </c>
      <c r="U598" s="4">
        <f>VLOOKUP(A598,[13]Sheet1!$A:$M,8,0)</f>
        <v>1000</v>
      </c>
      <c r="V598" s="4">
        <f>VLOOKUP(A598,[13]Sheet1!$A:$M,9,0)</f>
        <v>800</v>
      </c>
      <c r="W598" s="4">
        <f>VLOOKUP(A598,[13]Sheet1!$A:$M,10,0)</f>
        <v>800</v>
      </c>
      <c r="X598" s="4">
        <f>VLOOKUP(A598,[13]Sheet1!$A:$M,11,0)</f>
        <v>400</v>
      </c>
      <c r="Y598" s="4">
        <f>VLOOKUP(A598,[13]Sheet1!$A:$M,12,0)</f>
        <v>200</v>
      </c>
      <c r="Z598" s="4">
        <f>VLOOKUP(A598,[13]Sheet1!$A:$M,13,0)</f>
        <v>200</v>
      </c>
      <c r="AA598" s="4">
        <f t="shared" si="176"/>
        <v>6800</v>
      </c>
      <c r="AB598" s="7">
        <f t="shared" si="177"/>
        <v>567</v>
      </c>
      <c r="AC598" s="15">
        <f t="shared" si="178"/>
        <v>566.66666666666663</v>
      </c>
      <c r="AD598" s="16">
        <f t="shared" si="179"/>
        <v>127092.00000000001</v>
      </c>
      <c r="AE598" s="16">
        <f t="shared" si="180"/>
        <v>10591</v>
      </c>
      <c r="AF598" s="21">
        <v>6.9</v>
      </c>
      <c r="AG598" s="21">
        <v>18.690000000000001</v>
      </c>
      <c r="AH598" s="15">
        <f t="shared" si="158"/>
        <v>-2.826666666666669E-2</v>
      </c>
      <c r="AI598" s="15">
        <f t="shared" si="159"/>
        <v>-9.8933333333333415E-2</v>
      </c>
      <c r="AJ598" s="10">
        <v>0.5</v>
      </c>
      <c r="AK598" s="10">
        <v>0.5</v>
      </c>
      <c r="AL598" s="21">
        <v>6.9</v>
      </c>
      <c r="AM598" s="9">
        <f t="shared" si="181"/>
        <v>2.8035000000000001</v>
      </c>
      <c r="AN598" s="9">
        <f t="shared" si="182"/>
        <v>0.56069999999999998</v>
      </c>
      <c r="AO598" s="9">
        <f t="shared" si="183"/>
        <v>3.7380000000000004</v>
      </c>
      <c r="AP598" s="9">
        <f t="shared" si="184"/>
        <v>0.37380000000000002</v>
      </c>
      <c r="AQ598" s="9">
        <f t="shared" si="185"/>
        <v>3.7380000000000004</v>
      </c>
      <c r="AR598" s="9">
        <f t="shared" si="186"/>
        <v>4.6725000000000003</v>
      </c>
      <c r="AS598" s="11">
        <f t="shared" si="187"/>
        <v>-0.2826666666666669</v>
      </c>
      <c r="AT598" s="12">
        <f t="shared" si="188"/>
        <v>-0.90566666666666684</v>
      </c>
    </row>
    <row r="599" spans="1:46" ht="16.5" x14ac:dyDescent="0.4">
      <c r="A599" s="4" t="s">
        <v>2589</v>
      </c>
      <c r="B599" s="4" t="s">
        <v>2710</v>
      </c>
      <c r="C599" s="4" t="s">
        <v>2712</v>
      </c>
      <c r="D599" s="4" t="s">
        <v>2768</v>
      </c>
      <c r="E599" s="4" t="s">
        <v>2927</v>
      </c>
      <c r="F599" s="4" t="s">
        <v>3086</v>
      </c>
      <c r="G599" s="7" t="str">
        <f>VLOOKUP(A599,[1]done!$A:$I,9,0)</f>
        <v>Weed Control</v>
      </c>
      <c r="H599" s="7" t="str" cm="1">
        <f t="array" ref="H599">_xlfn.IFS(
OR(ISNUMBER(SEARCH("mouse",E599)),ISNUMBER(SEARCH("rat",E599)),ISNUMBER(SEARCH("mice",E599)),ISNUMBER(SEARCH("rodent",E599))),"Rodent Control",
OR(ISNUMBER(SEARCH("fly",E599)),ISNUMBER(SEARCH("gnat",E599)),ISNUMBER(SEARCH("insect",E599)),ISNUMBER(SEARCH("mosquito",E599))),"Flying Insect Control",
OR(ISNUMBER(SEARCH("roach",E599)),ISNUMBER(SEARCH("ant",E599)),ISNUMBER(SEARCH("spider",E599)),ISNUMBER(SEARCH("cricket",E599)),ISNUMBER(SEARCH("scorpion",E599)),ISNUMBER(SEARCH("centipede",E599)),ISNUMBER(SEARCH("beetle",E599))),"Crawling Insect Control",
OR(ISNUMBER(SEARCH("tree",E599)),ISNUMBER(SEARCH("lantern",E599)),ISNUMBER(SEARCH("garden",E599)),ISNUMBER(SEARCH("plant",E599))),"Garden Pest Control",
OR(ISNUMBER(SEARCH("grass seed",E599)),ISNUMBER(SEARCH("seed mix",E599))),"Grass Seed",
OR(ISNUMBER(SEARCH("lawn food",E599)),ISNUMBER(SEARCH("fertilizer",E599))),"Lawn Fertilizer",
OR(ISNUMBER(SEARCH("patch",E599)),ISNUMBER(SEARCH("repair",E599)),ISNUMBER(SEARCH("thick'r",E599)),ISNUMBER(SEARCH("thick'r lawn",E599)),ISNUMBER(SEARCH("rapid grass",E599))),"Lawn Repair",
OR(ISNUMBER(SEARCH("weed",E599)),ISNUMBER(SEARCH("crabgrass",E599))),"Weed Control",
OR(ISNUMBER(SEARCH("fungicide",E599)),ISNUMBER(SEARCH("moss",E599))),"Disease &amp; Moss Control",
OR(ISNUMBER(SEARCH("plant food",E599)),ISNUMBER(SEARCH("miracid",E599))),"Plant Nutrition",
OR(ISNUMBER(SEARCH("perlite",E599))),"Soil Amendment",
OR(ISNUMBER(SEARCH("spreader",E599)),ISNUMBER(SEARCH("sprayer",E599)),ISNUMBER(SEARCH("mower",E599)),ISNUMBER(SEARCH("sweeper",E599)),ISNUMBER(SEARCH("pruner",E599)),ISNUMBER(SEARCH("trimmer",E599)),ISNUMBER(SEARCH("pole saw",E599))),"Garden Equipment",
TRUE,"Other"
)</f>
        <v>Rodent Control</v>
      </c>
      <c r="I599" s="7" t="str" cm="1">
        <f t="array" ref="I599">_xlfn.IFS(
OR(ISNUMBER(SEARCH("glue trap",E599)),ISNUMBER(SEARCH("glue board",E599))),"Glue Traps",
OR(ISNUMBER(SEARCH("snap trap",E599)),ISNUMBER(SEARCH("power-kill",E599)),ISNUMBER(SEARCH("wide pedal",E599)),ISNUMBER(SEARCH("metal pedal",E599))),"Snap Traps",
OR(ISNUMBER(SEARCH("electronic",E599)),ISNUMBER(SEARCH("zapper",E599))),"Electronic Traps",
OR(ISNUMBER(SEARCH("live catch",E599)),ISNUMBER(SEARCH("multi-catch",E599)),ISNUMBER(SEARCH("catch &amp; hold",E599)),ISNUMBER(SEARCH("tin cat",E599))),"Live Catch Traps",
OR(ISNUMBER(SEARCH("bait",E599)),ISNUMBER(SEARCH("poison",E599))),"Bait &amp; Poison",
ISNUMBER(SEARCH("repellent",E599)),"Repellents",
OR(ISNUMBER(SEARCH("fly trap",E599)),ISNUMBER(SEARCH("fly ribbon",E599)),ISNUMBER(SEARCH("fly stick",E599)),ISNUMBER(SEARCH("window fly",E599)),ISNUMBER(SEARCH("fly magnet",E599))),"Fly Traps",
OR(ISNUMBER(SEARCH("uv",E599)),ISNUMBER(SEARCH("fly light",E599)),ISNUMBER(SEARCH("plug-in",E599))),"UV Fly Traps",
ISNUMBER(SEARCH("roach",E599)),"Roach Traps",
ISNUMBER(SEARCH("ant",E599)),"Ant Traps",
ISNUMBER(SEARCH("spider",E599)),"Spider Traps",
ISNUMBER(SEARCH("mosquito",E599)),"Mosquito Traps",
ISNUMBER(SEARCH("beetle",E599)),"Beetle Traps",
ISNUMBER(SEARCH("lantern",E599)),"Lanternfly Control",
OR(ISNUMBER(SEARCH("tree shield",E599)),ISNUMBER(SEARCH("tree banding",E599)),ISNUMBER(SEARCH("insect barrier",E599))),"Tree Barriers",
OR(ISNUMBER(SEARCH("sun &amp; shade",E599)),ISNUMBER(SEARCH("sun and shade",E599))),"Sun &amp; Shade Mix",
ISNUMBER(SEARCH("tall fescue",E599)),"Tall Fescue",
ISNUMBER(SEARCH("bermudagrass",E599)),"Bermudagrass",
ISNUMBER(SEARCH("kentucky",E599)),"Kentucky Bluegrass",
ISNUMBER(SEARCH("zoysia",E599)),"Zoysia",
ISNUMBER(SEARCH("ryegrass",E599)),"Perennial Ryegrass",
ISNUMBER(SEARCH("centipede",E599)),"Centipede Grass",
ISNUMBER(SEARCH("dense shade",E599)),"Dense Shade Mix",
ISNUMBER(SEARCH("southern gold",E599)),"Southern Gold Mix",
ISNUMBER(SEARCH("heat-tolerant blue",E599)),"Heat-Tolerant Blue Mix",
ISNUMBER(SEARCH("high traffic",E599)),"High Traffic Mix",
ISNUMBER(SEARCH("quick fix",E599)),"Quick Fix Mix",
ISNUMBER(SEARCH("starter",E599)),"Starter Fertilizer",
ISNUMBER(SEARCH("weed &amp; feed",E599)),"Weed &amp; Feed",
ISNUMBER(SEARCH("lawn food",E599)),"Lawn Food",
ISNUMBER(SEARCH("triple action",E599)),"Triple Action Fertilizer",
ISNUMBER(SEARCH("green max",E599)),"Green Max Lawn Food",
ISNUMBER(SEARCH("patchmaster",E599)),"PatchMaster Repair",
ISNUMBER(SEARCH("ez seed",E599)),"EZ Seed Repair",
ISNUMBER(SEARCH("rapid grass",E599)),"Rapid Grass",
ISNUMBER(SEARCH("thick'r lawn",E599)),"Thick'R Lawn",
ISNUMBER(SEARCH("fungicide",E599)),"Fungicide",
ISNUMBER(SEARCH("moss",E599)),"Moss Control",
ISNUMBER(SEARCH("perlite",E599)),"Perlite",
ISNUMBER(SEARCH("plant food",E599)),"Plant Food",
ISNUMBER(SEARCH("spreader",E599)),"Spreader",
ISNUMBER(SEARCH("sprayer",E599)),"Sprayer",
ISNUMBER(SEARCH("mower",E599)),"Lawn Mower",
ISNUMBER(SEARCH("sweeper",E599)),"Lawn Sweeper",
OR(ISNUMBER(SEARCH("pruner",E599)),ISNUMBER(SEARCH("trimmer",E599)),ISNUMBER(SEARCH("pole saw",E599))),"Pruning Tools",
TRUE,"Other"
)</f>
        <v>Other</v>
      </c>
      <c r="J599" s="7" t="str">
        <f t="shared" si="171"/>
        <v>Rodent Control - Other</v>
      </c>
      <c r="K599" s="4">
        <v>700</v>
      </c>
      <c r="L599" s="4">
        <v>4.3</v>
      </c>
      <c r="M599" s="4">
        <v>2220</v>
      </c>
      <c r="N599" s="4" t="s">
        <v>3231</v>
      </c>
      <c r="O599" s="4">
        <f>VLOOKUP(A599,[13]Sheet1!$A:$M,2,0)</f>
        <v>50</v>
      </c>
      <c r="P599" s="4">
        <f>VLOOKUP(A599,[13]Sheet1!$A:$M,3,0)</f>
        <v>50</v>
      </c>
      <c r="Q599" s="4">
        <f>VLOOKUP(A599,[13]Sheet1!$A:$M,4,0)</f>
        <v>200</v>
      </c>
      <c r="R599" s="4">
        <f>VLOOKUP(A599,[13]Sheet1!$A:$M,5,0)</f>
        <v>300</v>
      </c>
      <c r="S599" s="4">
        <f>VLOOKUP(A599,[13]Sheet1!$A:$M,6,0)</f>
        <v>600</v>
      </c>
      <c r="T599" s="4">
        <f>VLOOKUP(A599,[13]Sheet1!$A:$M,7,0)</f>
        <v>700</v>
      </c>
      <c r="U599" s="4">
        <f>VLOOKUP(A599,[13]Sheet1!$A:$M,8,0)</f>
        <v>1000</v>
      </c>
      <c r="V599" s="4">
        <f>VLOOKUP(A599,[13]Sheet1!$A:$M,9,0)</f>
        <v>1000</v>
      </c>
      <c r="W599" s="4">
        <f>VLOOKUP(A599,[13]Sheet1!$A:$M,10,0)</f>
        <v>700</v>
      </c>
      <c r="X599" s="4">
        <f>VLOOKUP(A599,[13]Sheet1!$A:$M,11,0)</f>
        <v>400</v>
      </c>
      <c r="Y599" s="4">
        <f>VLOOKUP(A599,[13]Sheet1!$A:$M,12,0)</f>
        <v>100</v>
      </c>
      <c r="Z599" s="4">
        <f>VLOOKUP(A599,[13]Sheet1!$A:$M,13,0)</f>
        <v>50</v>
      </c>
      <c r="AA599" s="4">
        <f t="shared" si="176"/>
        <v>5150</v>
      </c>
      <c r="AB599" s="7">
        <f t="shared" si="177"/>
        <v>429</v>
      </c>
      <c r="AC599" s="15">
        <f t="shared" si="178"/>
        <v>429.16666666666669</v>
      </c>
      <c r="AD599" s="16">
        <f t="shared" si="179"/>
        <v>91824.499999999985</v>
      </c>
      <c r="AE599" s="16">
        <f t="shared" si="180"/>
        <v>7652.0416666666661</v>
      </c>
      <c r="AF599" s="21">
        <v>5.61</v>
      </c>
      <c r="AG599" s="21">
        <v>17.829999999999998</v>
      </c>
      <c r="AH599" s="15">
        <f t="shared" si="158"/>
        <v>3.47999999999999E-2</v>
      </c>
      <c r="AI599" s="15">
        <f t="shared" si="159"/>
        <v>0.12179999999999963</v>
      </c>
      <c r="AJ599" s="10">
        <v>0.5</v>
      </c>
      <c r="AK599" s="10">
        <v>0.5</v>
      </c>
      <c r="AL599" s="21">
        <v>5.61</v>
      </c>
      <c r="AM599" s="9">
        <f t="shared" si="181"/>
        <v>2.6744999999999997</v>
      </c>
      <c r="AN599" s="9">
        <f t="shared" si="182"/>
        <v>0.53489999999999993</v>
      </c>
      <c r="AO599" s="9">
        <f t="shared" si="183"/>
        <v>3.5659999999999998</v>
      </c>
      <c r="AP599" s="9">
        <f t="shared" si="184"/>
        <v>0.35659999999999997</v>
      </c>
      <c r="AQ599" s="9">
        <f t="shared" si="185"/>
        <v>3.5659999999999998</v>
      </c>
      <c r="AR599" s="9">
        <f t="shared" si="186"/>
        <v>4.4574999999999996</v>
      </c>
      <c r="AS599" s="11">
        <f t="shared" si="187"/>
        <v>0.34799999999999898</v>
      </c>
      <c r="AT599" s="12">
        <f t="shared" si="188"/>
        <v>-0.24633333333333418</v>
      </c>
    </row>
    <row r="600" spans="1:46" ht="16.5" x14ac:dyDescent="0.4">
      <c r="A600" s="4" t="s">
        <v>2590</v>
      </c>
      <c r="B600" s="4" t="s">
        <v>2710</v>
      </c>
      <c r="C600" s="4" t="s">
        <v>2714</v>
      </c>
      <c r="D600" s="4" t="s">
        <v>2769</v>
      </c>
      <c r="E600" s="4" t="s">
        <v>2928</v>
      </c>
      <c r="F600" s="4" t="s">
        <v>3087</v>
      </c>
      <c r="G600" s="7" t="str">
        <f>VLOOKUP(A600,[1]done!$A:$I,9,0)</f>
        <v>Insecticide/Fungicide</v>
      </c>
      <c r="H600" s="7" t="str" cm="1">
        <f t="array" ref="H600">_xlfn.IFS(
OR(ISNUMBER(SEARCH("mouse",E600)),ISNUMBER(SEARCH("rat",E600)),ISNUMBER(SEARCH("mice",E600)),ISNUMBER(SEARCH("rodent",E600))),"Rodent Control",
OR(ISNUMBER(SEARCH("fly",E600)),ISNUMBER(SEARCH("gnat",E600)),ISNUMBER(SEARCH("insect",E600)),ISNUMBER(SEARCH("mosquito",E600))),"Flying Insect Control",
OR(ISNUMBER(SEARCH("roach",E600)),ISNUMBER(SEARCH("ant",E600)),ISNUMBER(SEARCH("spider",E600)),ISNUMBER(SEARCH("cricket",E600)),ISNUMBER(SEARCH("scorpion",E600)),ISNUMBER(SEARCH("centipede",E600)),ISNUMBER(SEARCH("beetle",E600))),"Crawling Insect Control",
OR(ISNUMBER(SEARCH("tree",E600)),ISNUMBER(SEARCH("lantern",E600)),ISNUMBER(SEARCH("garden",E600)),ISNUMBER(SEARCH("plant",E600))),"Garden Pest Control",
OR(ISNUMBER(SEARCH("grass seed",E600)),ISNUMBER(SEARCH("seed mix",E600))),"Grass Seed",
OR(ISNUMBER(SEARCH("lawn food",E600)),ISNUMBER(SEARCH("fertilizer",E600))),"Lawn Fertilizer",
OR(ISNUMBER(SEARCH("patch",E600)),ISNUMBER(SEARCH("repair",E600)),ISNUMBER(SEARCH("thick'r",E600)),ISNUMBER(SEARCH("thick'r lawn",E600)),ISNUMBER(SEARCH("rapid grass",E600))),"Lawn Repair",
OR(ISNUMBER(SEARCH("weed",E600)),ISNUMBER(SEARCH("crabgrass",E600))),"Weed Control",
OR(ISNUMBER(SEARCH("fungicide",E600)),ISNUMBER(SEARCH("moss",E600))),"Disease &amp; Moss Control",
OR(ISNUMBER(SEARCH("plant food",E600)),ISNUMBER(SEARCH("miracid",E600))),"Plant Nutrition",
OR(ISNUMBER(SEARCH("perlite",E600))),"Soil Amendment",
OR(ISNUMBER(SEARCH("spreader",E600)),ISNUMBER(SEARCH("sprayer",E600)),ISNUMBER(SEARCH("mower",E600)),ISNUMBER(SEARCH("sweeper",E600)),ISNUMBER(SEARCH("pruner",E600)),ISNUMBER(SEARCH("trimmer",E600)),ISNUMBER(SEARCH("pole saw",E600))),"Garden Equipment",
TRUE,"Other"
)</f>
        <v>Rodent Control</v>
      </c>
      <c r="I600" s="7" t="str" cm="1">
        <f t="array" ref="I600">_xlfn.IFS(
OR(ISNUMBER(SEARCH("glue trap",E600)),ISNUMBER(SEARCH("glue board",E600))),"Glue Traps",
OR(ISNUMBER(SEARCH("snap trap",E600)),ISNUMBER(SEARCH("power-kill",E600)),ISNUMBER(SEARCH("wide pedal",E600)),ISNUMBER(SEARCH("metal pedal",E600))),"Snap Traps",
OR(ISNUMBER(SEARCH("electronic",E600)),ISNUMBER(SEARCH("zapper",E600))),"Electronic Traps",
OR(ISNUMBER(SEARCH("live catch",E600)),ISNUMBER(SEARCH("multi-catch",E600)),ISNUMBER(SEARCH("catch &amp; hold",E600)),ISNUMBER(SEARCH("tin cat",E600))),"Live Catch Traps",
OR(ISNUMBER(SEARCH("bait",E600)),ISNUMBER(SEARCH("poison",E600))),"Bait &amp; Poison",
ISNUMBER(SEARCH("repellent",E600)),"Repellents",
OR(ISNUMBER(SEARCH("fly trap",E600)),ISNUMBER(SEARCH("fly ribbon",E600)),ISNUMBER(SEARCH("fly stick",E600)),ISNUMBER(SEARCH("window fly",E600)),ISNUMBER(SEARCH("fly magnet",E600))),"Fly Traps",
OR(ISNUMBER(SEARCH("uv",E600)),ISNUMBER(SEARCH("fly light",E600)),ISNUMBER(SEARCH("plug-in",E600))),"UV Fly Traps",
ISNUMBER(SEARCH("roach",E600)),"Roach Traps",
ISNUMBER(SEARCH("ant",E600)),"Ant Traps",
ISNUMBER(SEARCH("spider",E600)),"Spider Traps",
ISNUMBER(SEARCH("mosquito",E600)),"Mosquito Traps",
ISNUMBER(SEARCH("beetle",E600)),"Beetle Traps",
ISNUMBER(SEARCH("lantern",E600)),"Lanternfly Control",
OR(ISNUMBER(SEARCH("tree shield",E600)),ISNUMBER(SEARCH("tree banding",E600)),ISNUMBER(SEARCH("insect barrier",E600))),"Tree Barriers",
OR(ISNUMBER(SEARCH("sun &amp; shade",E600)),ISNUMBER(SEARCH("sun and shade",E600))),"Sun &amp; Shade Mix",
ISNUMBER(SEARCH("tall fescue",E600)),"Tall Fescue",
ISNUMBER(SEARCH("bermudagrass",E600)),"Bermudagrass",
ISNUMBER(SEARCH("kentucky",E600)),"Kentucky Bluegrass",
ISNUMBER(SEARCH("zoysia",E600)),"Zoysia",
ISNUMBER(SEARCH("ryegrass",E600)),"Perennial Ryegrass",
ISNUMBER(SEARCH("centipede",E600)),"Centipede Grass",
ISNUMBER(SEARCH("dense shade",E600)),"Dense Shade Mix",
ISNUMBER(SEARCH("southern gold",E600)),"Southern Gold Mix",
ISNUMBER(SEARCH("heat-tolerant blue",E600)),"Heat-Tolerant Blue Mix",
ISNUMBER(SEARCH("high traffic",E600)),"High Traffic Mix",
ISNUMBER(SEARCH("quick fix",E600)),"Quick Fix Mix",
ISNUMBER(SEARCH("starter",E600)),"Starter Fertilizer",
ISNUMBER(SEARCH("weed &amp; feed",E600)),"Weed &amp; Feed",
ISNUMBER(SEARCH("lawn food",E600)),"Lawn Food",
ISNUMBER(SEARCH("triple action",E600)),"Triple Action Fertilizer",
ISNUMBER(SEARCH("green max",E600)),"Green Max Lawn Food",
ISNUMBER(SEARCH("patchmaster",E600)),"PatchMaster Repair",
ISNUMBER(SEARCH("ez seed",E600)),"EZ Seed Repair",
ISNUMBER(SEARCH("rapid grass",E600)),"Rapid Grass",
ISNUMBER(SEARCH("thick'r lawn",E600)),"Thick'R Lawn",
ISNUMBER(SEARCH("fungicide",E600)),"Fungicide",
ISNUMBER(SEARCH("moss",E600)),"Moss Control",
ISNUMBER(SEARCH("perlite",E600)),"Perlite",
ISNUMBER(SEARCH("plant food",E600)),"Plant Food",
ISNUMBER(SEARCH("spreader",E600)),"Spreader",
ISNUMBER(SEARCH("sprayer",E600)),"Sprayer",
ISNUMBER(SEARCH("mower",E600)),"Lawn Mower",
ISNUMBER(SEARCH("sweeper",E600)),"Lawn Sweeper",
OR(ISNUMBER(SEARCH("pruner",E600)),ISNUMBER(SEARCH("trimmer",E600)),ISNUMBER(SEARCH("pole saw",E600))),"Pruning Tools",
TRUE,"Other"
)</f>
        <v>Other</v>
      </c>
      <c r="J600" s="7" t="str">
        <f t="shared" si="171"/>
        <v>Rodent Control - Other</v>
      </c>
      <c r="K600" s="4">
        <v>700</v>
      </c>
      <c r="L600" s="4">
        <v>4.5999999999999996</v>
      </c>
      <c r="M600" s="4">
        <v>2435</v>
      </c>
      <c r="N600" s="4" t="s">
        <v>3232</v>
      </c>
      <c r="O600" s="4">
        <f>VLOOKUP(A600,[13]Sheet1!$A:$M,2,0)</f>
        <v>100</v>
      </c>
      <c r="P600" s="4">
        <f>VLOOKUP(A600,[13]Sheet1!$A:$M,3,0)</f>
        <v>100</v>
      </c>
      <c r="Q600" s="4">
        <f>VLOOKUP(A600,[13]Sheet1!$A:$M,4,0)</f>
        <v>100</v>
      </c>
      <c r="R600" s="4">
        <f>VLOOKUP(A600,[13]Sheet1!$A:$M,5,0)</f>
        <v>400</v>
      </c>
      <c r="S600" s="4">
        <f>VLOOKUP(A600,[13]Sheet1!$A:$M,6,0)</f>
        <v>1000</v>
      </c>
      <c r="T600" s="4">
        <f>VLOOKUP(A600,[13]Sheet1!$A:$M,7,0)</f>
        <v>3000</v>
      </c>
      <c r="U600" s="4">
        <f>VLOOKUP(A600,[13]Sheet1!$A:$M,8,0)</f>
        <v>3000</v>
      </c>
      <c r="V600" s="4">
        <f>VLOOKUP(A600,[13]Sheet1!$A:$M,9,0)</f>
        <v>200</v>
      </c>
      <c r="W600" s="4">
        <f>VLOOKUP(A600,[13]Sheet1!$A:$M,10,0)</f>
        <v>700</v>
      </c>
      <c r="X600" s="4">
        <f>VLOOKUP(A600,[13]Sheet1!$A:$M,11,0)</f>
        <v>300</v>
      </c>
      <c r="Y600" s="4">
        <f>VLOOKUP(A600,[13]Sheet1!$A:$M,12,0)</f>
        <v>300</v>
      </c>
      <c r="Z600" s="4">
        <f>VLOOKUP(A600,[13]Sheet1!$A:$M,13,0)</f>
        <v>100</v>
      </c>
      <c r="AA600" s="4">
        <f t="shared" si="176"/>
        <v>9300</v>
      </c>
      <c r="AB600" s="7">
        <f t="shared" si="177"/>
        <v>775</v>
      </c>
      <c r="AC600" s="15">
        <f t="shared" si="178"/>
        <v>775</v>
      </c>
      <c r="AD600" s="16">
        <f t="shared" si="179"/>
        <v>153357</v>
      </c>
      <c r="AE600" s="16">
        <f t="shared" si="180"/>
        <v>12779.749999999998</v>
      </c>
      <c r="AF600" s="21">
        <v>5.61</v>
      </c>
      <c r="AG600" s="21">
        <v>16.489999999999998</v>
      </c>
      <c r="AH600" s="15">
        <f t="shared" si="158"/>
        <v>-9.3333333333346733E-4</v>
      </c>
      <c r="AI600" s="15">
        <f t="shared" si="159"/>
        <v>-3.2666666666671357E-3</v>
      </c>
      <c r="AJ600" s="10">
        <v>0.5</v>
      </c>
      <c r="AK600" s="10">
        <v>0.5</v>
      </c>
      <c r="AL600" s="21">
        <v>5.61</v>
      </c>
      <c r="AM600" s="9">
        <f t="shared" si="181"/>
        <v>2.4734999999999996</v>
      </c>
      <c r="AN600" s="9">
        <f t="shared" si="182"/>
        <v>0.49469999999999992</v>
      </c>
      <c r="AO600" s="9">
        <f t="shared" si="183"/>
        <v>3.298</v>
      </c>
      <c r="AP600" s="9">
        <f t="shared" si="184"/>
        <v>0.32979999999999998</v>
      </c>
      <c r="AQ600" s="9">
        <f t="shared" si="185"/>
        <v>3.298</v>
      </c>
      <c r="AR600" s="9">
        <f t="shared" si="186"/>
        <v>4.1224999999999996</v>
      </c>
      <c r="AS600" s="11">
        <f t="shared" si="187"/>
        <v>-9.3333333333346733E-3</v>
      </c>
      <c r="AT600" s="12">
        <f t="shared" si="188"/>
        <v>-0.55900000000000105</v>
      </c>
    </row>
    <row r="601" spans="1:46" ht="16.5" x14ac:dyDescent="0.4">
      <c r="A601" s="4" t="s">
        <v>2591</v>
      </c>
      <c r="B601" s="4" t="s">
        <v>2710</v>
      </c>
      <c r="C601" s="4" t="s">
        <v>2710</v>
      </c>
      <c r="D601" s="4" t="s">
        <v>2770</v>
      </c>
      <c r="E601" s="4" t="s">
        <v>2929</v>
      </c>
      <c r="F601" s="4" t="s">
        <v>3088</v>
      </c>
      <c r="G601" s="7" t="str">
        <f>VLOOKUP(A601,[1]done!$A:$I,9,0)</f>
        <v>Insecticide/Fungicide</v>
      </c>
      <c r="H601" s="7" t="str" cm="1">
        <f t="array" ref="H601">_xlfn.IFS(
OR(ISNUMBER(SEARCH("mouse",E601)),ISNUMBER(SEARCH("rat",E601)),ISNUMBER(SEARCH("mice",E601)),ISNUMBER(SEARCH("rodent",E601))),"Rodent Control",
OR(ISNUMBER(SEARCH("fly",E601)),ISNUMBER(SEARCH("gnat",E601)),ISNUMBER(SEARCH("insect",E601)),ISNUMBER(SEARCH("mosquito",E601))),"Flying Insect Control",
OR(ISNUMBER(SEARCH("roach",E601)),ISNUMBER(SEARCH("ant",E601)),ISNUMBER(SEARCH("spider",E601)),ISNUMBER(SEARCH("cricket",E601)),ISNUMBER(SEARCH("scorpion",E601)),ISNUMBER(SEARCH("centipede",E601)),ISNUMBER(SEARCH("beetle",E601))),"Crawling Insect Control",
OR(ISNUMBER(SEARCH("tree",E601)),ISNUMBER(SEARCH("lantern",E601)),ISNUMBER(SEARCH("garden",E601)),ISNUMBER(SEARCH("plant",E601))),"Garden Pest Control",
OR(ISNUMBER(SEARCH("grass seed",E601)),ISNUMBER(SEARCH("seed mix",E601))),"Grass Seed",
OR(ISNUMBER(SEARCH("lawn food",E601)),ISNUMBER(SEARCH("fertilizer",E601))),"Lawn Fertilizer",
OR(ISNUMBER(SEARCH("patch",E601)),ISNUMBER(SEARCH("repair",E601)),ISNUMBER(SEARCH("thick'r",E601)),ISNUMBER(SEARCH("thick'r lawn",E601)),ISNUMBER(SEARCH("rapid grass",E601))),"Lawn Repair",
OR(ISNUMBER(SEARCH("weed",E601)),ISNUMBER(SEARCH("crabgrass",E601))),"Weed Control",
OR(ISNUMBER(SEARCH("fungicide",E601)),ISNUMBER(SEARCH("moss",E601))),"Disease &amp; Moss Control",
OR(ISNUMBER(SEARCH("plant food",E601)),ISNUMBER(SEARCH("miracid",E601))),"Plant Nutrition",
OR(ISNUMBER(SEARCH("perlite",E601))),"Soil Amendment",
OR(ISNUMBER(SEARCH("spreader",E601)),ISNUMBER(SEARCH("sprayer",E601)),ISNUMBER(SEARCH("mower",E601)),ISNUMBER(SEARCH("sweeper",E601)),ISNUMBER(SEARCH("pruner",E601)),ISNUMBER(SEARCH("trimmer",E601)),ISNUMBER(SEARCH("pole saw",E601))),"Garden Equipment",
TRUE,"Other"
)</f>
        <v>Rodent Control</v>
      </c>
      <c r="I601" s="7" t="str" cm="1">
        <f t="array" ref="I601">_xlfn.IFS(
OR(ISNUMBER(SEARCH("glue trap",E601)),ISNUMBER(SEARCH("glue board",E601))),"Glue Traps",
OR(ISNUMBER(SEARCH("snap trap",E601)),ISNUMBER(SEARCH("power-kill",E601)),ISNUMBER(SEARCH("wide pedal",E601)),ISNUMBER(SEARCH("metal pedal",E601))),"Snap Traps",
OR(ISNUMBER(SEARCH("electronic",E601)),ISNUMBER(SEARCH("zapper",E601))),"Electronic Traps",
OR(ISNUMBER(SEARCH("live catch",E601)),ISNUMBER(SEARCH("multi-catch",E601)),ISNUMBER(SEARCH("catch &amp; hold",E601)),ISNUMBER(SEARCH("tin cat",E601))),"Live Catch Traps",
OR(ISNUMBER(SEARCH("bait",E601)),ISNUMBER(SEARCH("poison",E601))),"Bait &amp; Poison",
ISNUMBER(SEARCH("repellent",E601)),"Repellents",
OR(ISNUMBER(SEARCH("fly trap",E601)),ISNUMBER(SEARCH("fly ribbon",E601)),ISNUMBER(SEARCH("fly stick",E601)),ISNUMBER(SEARCH("window fly",E601)),ISNUMBER(SEARCH("fly magnet",E601))),"Fly Traps",
OR(ISNUMBER(SEARCH("uv",E601)),ISNUMBER(SEARCH("fly light",E601)),ISNUMBER(SEARCH("plug-in",E601))),"UV Fly Traps",
ISNUMBER(SEARCH("roach",E601)),"Roach Traps",
ISNUMBER(SEARCH("ant",E601)),"Ant Traps",
ISNUMBER(SEARCH("spider",E601)),"Spider Traps",
ISNUMBER(SEARCH("mosquito",E601)),"Mosquito Traps",
ISNUMBER(SEARCH("beetle",E601)),"Beetle Traps",
ISNUMBER(SEARCH("lantern",E601)),"Lanternfly Control",
OR(ISNUMBER(SEARCH("tree shield",E601)),ISNUMBER(SEARCH("tree banding",E601)),ISNUMBER(SEARCH("insect barrier",E601))),"Tree Barriers",
OR(ISNUMBER(SEARCH("sun &amp; shade",E601)),ISNUMBER(SEARCH("sun and shade",E601))),"Sun &amp; Shade Mix",
ISNUMBER(SEARCH("tall fescue",E601)),"Tall Fescue",
ISNUMBER(SEARCH("bermudagrass",E601)),"Bermudagrass",
ISNUMBER(SEARCH("kentucky",E601)),"Kentucky Bluegrass",
ISNUMBER(SEARCH("zoysia",E601)),"Zoysia",
ISNUMBER(SEARCH("ryegrass",E601)),"Perennial Ryegrass",
ISNUMBER(SEARCH("centipede",E601)),"Centipede Grass",
ISNUMBER(SEARCH("dense shade",E601)),"Dense Shade Mix",
ISNUMBER(SEARCH("southern gold",E601)),"Southern Gold Mix",
ISNUMBER(SEARCH("heat-tolerant blue",E601)),"Heat-Tolerant Blue Mix",
ISNUMBER(SEARCH("high traffic",E601)),"High Traffic Mix",
ISNUMBER(SEARCH("quick fix",E601)),"Quick Fix Mix",
ISNUMBER(SEARCH("starter",E601)),"Starter Fertilizer",
ISNUMBER(SEARCH("weed &amp; feed",E601)),"Weed &amp; Feed",
ISNUMBER(SEARCH("lawn food",E601)),"Lawn Food",
ISNUMBER(SEARCH("triple action",E601)),"Triple Action Fertilizer",
ISNUMBER(SEARCH("green max",E601)),"Green Max Lawn Food",
ISNUMBER(SEARCH("patchmaster",E601)),"PatchMaster Repair",
ISNUMBER(SEARCH("ez seed",E601)),"EZ Seed Repair",
ISNUMBER(SEARCH("rapid grass",E601)),"Rapid Grass",
ISNUMBER(SEARCH("thick'r lawn",E601)),"Thick'R Lawn",
ISNUMBER(SEARCH("fungicide",E601)),"Fungicide",
ISNUMBER(SEARCH("moss",E601)),"Moss Control",
ISNUMBER(SEARCH("perlite",E601)),"Perlite",
ISNUMBER(SEARCH("plant food",E601)),"Plant Food",
ISNUMBER(SEARCH("spreader",E601)),"Spreader",
ISNUMBER(SEARCH("sprayer",E601)),"Sprayer",
ISNUMBER(SEARCH("mower",E601)),"Lawn Mower",
ISNUMBER(SEARCH("sweeper",E601)),"Lawn Sweeper",
OR(ISNUMBER(SEARCH("pruner",E601)),ISNUMBER(SEARCH("trimmer",E601)),ISNUMBER(SEARCH("pole saw",E601))),"Pruning Tools",
TRUE,"Other"
)</f>
        <v>Other</v>
      </c>
      <c r="J601" s="7" t="str">
        <f t="shared" si="171"/>
        <v>Rodent Control - Other</v>
      </c>
      <c r="K601" s="4">
        <v>700</v>
      </c>
      <c r="L601" s="4">
        <v>4.5</v>
      </c>
      <c r="M601" s="4">
        <v>5275</v>
      </c>
      <c r="N601" s="4" t="s">
        <v>3217</v>
      </c>
      <c r="O601" s="4">
        <f>VLOOKUP(A601,[13]Sheet1!$A:$M,2,0)</f>
        <v>0</v>
      </c>
      <c r="P601" s="4">
        <f>VLOOKUP(A601,[13]Sheet1!$A:$M,3,0)</f>
        <v>0</v>
      </c>
      <c r="Q601" s="4">
        <f>VLOOKUP(A601,[13]Sheet1!$A:$M,4,0)</f>
        <v>200</v>
      </c>
      <c r="R601" s="4">
        <f>VLOOKUP(A601,[13]Sheet1!$A:$M,5,0)</f>
        <v>400</v>
      </c>
      <c r="S601" s="4">
        <f>VLOOKUP(A601,[13]Sheet1!$A:$M,6,0)</f>
        <v>1000</v>
      </c>
      <c r="T601" s="4">
        <f>VLOOKUP(A601,[13]Sheet1!$A:$M,7,0)</f>
        <v>3000</v>
      </c>
      <c r="U601" s="4">
        <f>VLOOKUP(A601,[13]Sheet1!$A:$M,8,0)</f>
        <v>6000</v>
      </c>
      <c r="V601" s="4">
        <f>VLOOKUP(A601,[13]Sheet1!$A:$M,9,0)</f>
        <v>4000</v>
      </c>
      <c r="W601" s="4">
        <f>VLOOKUP(A601,[13]Sheet1!$A:$M,10,0)</f>
        <v>800</v>
      </c>
      <c r="X601" s="4">
        <f>VLOOKUP(A601,[13]Sheet1!$A:$M,11,0)</f>
        <v>400</v>
      </c>
      <c r="Y601" s="4">
        <f>VLOOKUP(A601,[13]Sheet1!$A:$M,12,0)</f>
        <v>200</v>
      </c>
      <c r="Z601" s="4">
        <f>VLOOKUP(A601,[13]Sheet1!$A:$M,13,0)</f>
        <v>0</v>
      </c>
      <c r="AA601" s="4">
        <f t="shared" si="176"/>
        <v>16000</v>
      </c>
      <c r="AB601" s="7">
        <f t="shared" si="177"/>
        <v>1333</v>
      </c>
      <c r="AC601" s="15">
        <f t="shared" si="178"/>
        <v>1333.3333333333333</v>
      </c>
      <c r="AD601" s="16">
        <f t="shared" si="179"/>
        <v>143840</v>
      </c>
      <c r="AE601" s="16">
        <f t="shared" si="180"/>
        <v>11986.666666666666</v>
      </c>
      <c r="AF601" s="21">
        <v>4.76</v>
      </c>
      <c r="AG601" s="21">
        <v>8.99</v>
      </c>
      <c r="AH601" s="15">
        <f t="shared" si="158"/>
        <v>-0.14426666666666665</v>
      </c>
      <c r="AI601" s="15">
        <f t="shared" si="159"/>
        <v>-0.50493333333333323</v>
      </c>
      <c r="AJ601" s="10">
        <v>0.5</v>
      </c>
      <c r="AK601" s="10">
        <v>0.5</v>
      </c>
      <c r="AL601" s="21">
        <v>4.76</v>
      </c>
      <c r="AM601" s="9">
        <f t="shared" si="181"/>
        <v>1.3485</v>
      </c>
      <c r="AN601" s="9">
        <f t="shared" si="182"/>
        <v>0.2697</v>
      </c>
      <c r="AO601" s="9">
        <f t="shared" si="183"/>
        <v>1.798</v>
      </c>
      <c r="AP601" s="9">
        <f t="shared" si="184"/>
        <v>0.17980000000000002</v>
      </c>
      <c r="AQ601" s="9">
        <f t="shared" si="185"/>
        <v>1.798</v>
      </c>
      <c r="AR601" s="9">
        <f t="shared" si="186"/>
        <v>2.2475000000000001</v>
      </c>
      <c r="AS601" s="11">
        <f t="shared" si="187"/>
        <v>-1.4426666666666665</v>
      </c>
      <c r="AT601" s="12">
        <f t="shared" si="188"/>
        <v>-1.7423333333333331</v>
      </c>
    </row>
    <row r="602" spans="1:46" ht="16.5" x14ac:dyDescent="0.4">
      <c r="A602" s="4" t="s">
        <v>2592</v>
      </c>
      <c r="B602" s="4" t="s">
        <v>2710</v>
      </c>
      <c r="C602" s="4" t="s">
        <v>2710</v>
      </c>
      <c r="D602" s="4" t="s">
        <v>2771</v>
      </c>
      <c r="E602" s="4" t="s">
        <v>2930</v>
      </c>
      <c r="F602" s="4" t="s">
        <v>3089</v>
      </c>
      <c r="G602" s="7" t="str">
        <f>VLOOKUP(A602,[1]done!$A:$I,9,0)</f>
        <v>Insecticide/Fungicide</v>
      </c>
      <c r="H602" s="7" t="str" cm="1">
        <f t="array" ref="H602">_xlfn.IFS(
OR(ISNUMBER(SEARCH("mouse",E602)),ISNUMBER(SEARCH("rat",E602)),ISNUMBER(SEARCH("mice",E602)),ISNUMBER(SEARCH("rodent",E602))),"Rodent Control",
OR(ISNUMBER(SEARCH("fly",E602)),ISNUMBER(SEARCH("gnat",E602)),ISNUMBER(SEARCH("insect",E602)),ISNUMBER(SEARCH("mosquito",E602))),"Flying Insect Control",
OR(ISNUMBER(SEARCH("roach",E602)),ISNUMBER(SEARCH("ant",E602)),ISNUMBER(SEARCH("spider",E602)),ISNUMBER(SEARCH("cricket",E602)),ISNUMBER(SEARCH("scorpion",E602)),ISNUMBER(SEARCH("centipede",E602)),ISNUMBER(SEARCH("beetle",E602))),"Crawling Insect Control",
OR(ISNUMBER(SEARCH("tree",E602)),ISNUMBER(SEARCH("lantern",E602)),ISNUMBER(SEARCH("garden",E602)),ISNUMBER(SEARCH("plant",E602))),"Garden Pest Control",
OR(ISNUMBER(SEARCH("grass seed",E602)),ISNUMBER(SEARCH("seed mix",E602))),"Grass Seed",
OR(ISNUMBER(SEARCH("lawn food",E602)),ISNUMBER(SEARCH("fertilizer",E602))),"Lawn Fertilizer",
OR(ISNUMBER(SEARCH("patch",E602)),ISNUMBER(SEARCH("repair",E602)),ISNUMBER(SEARCH("thick'r",E602)),ISNUMBER(SEARCH("thick'r lawn",E602)),ISNUMBER(SEARCH("rapid grass",E602))),"Lawn Repair",
OR(ISNUMBER(SEARCH("weed",E602)),ISNUMBER(SEARCH("crabgrass",E602))),"Weed Control",
OR(ISNUMBER(SEARCH("fungicide",E602)),ISNUMBER(SEARCH("moss",E602))),"Disease &amp; Moss Control",
OR(ISNUMBER(SEARCH("plant food",E602)),ISNUMBER(SEARCH("miracid",E602))),"Plant Nutrition",
OR(ISNUMBER(SEARCH("perlite",E602))),"Soil Amendment",
OR(ISNUMBER(SEARCH("spreader",E602)),ISNUMBER(SEARCH("sprayer",E602)),ISNUMBER(SEARCH("mower",E602)),ISNUMBER(SEARCH("sweeper",E602)),ISNUMBER(SEARCH("pruner",E602)),ISNUMBER(SEARCH("trimmer",E602)),ISNUMBER(SEARCH("pole saw",E602))),"Garden Equipment",
TRUE,"Other"
)</f>
        <v>Flying Insect Control</v>
      </c>
      <c r="I602" s="7" t="str" cm="1">
        <f t="array" ref="I602">_xlfn.IFS(
OR(ISNUMBER(SEARCH("glue trap",E602)),ISNUMBER(SEARCH("glue board",E602))),"Glue Traps",
OR(ISNUMBER(SEARCH("snap trap",E602)),ISNUMBER(SEARCH("power-kill",E602)),ISNUMBER(SEARCH("wide pedal",E602)),ISNUMBER(SEARCH("metal pedal",E602))),"Snap Traps",
OR(ISNUMBER(SEARCH("electronic",E602)),ISNUMBER(SEARCH("zapper",E602))),"Electronic Traps",
OR(ISNUMBER(SEARCH("live catch",E602)),ISNUMBER(SEARCH("multi-catch",E602)),ISNUMBER(SEARCH("catch &amp; hold",E602)),ISNUMBER(SEARCH("tin cat",E602))),"Live Catch Traps",
OR(ISNUMBER(SEARCH("bait",E602)),ISNUMBER(SEARCH("poison",E602))),"Bait &amp; Poison",
ISNUMBER(SEARCH("repellent",E602)),"Repellents",
OR(ISNUMBER(SEARCH("fly trap",E602)),ISNUMBER(SEARCH("fly ribbon",E602)),ISNUMBER(SEARCH("fly stick",E602)),ISNUMBER(SEARCH("window fly",E602)),ISNUMBER(SEARCH("fly magnet",E602))),"Fly Traps",
OR(ISNUMBER(SEARCH("uv",E602)),ISNUMBER(SEARCH("fly light",E602)),ISNUMBER(SEARCH("plug-in",E602))),"UV Fly Traps",
ISNUMBER(SEARCH("roach",E602)),"Roach Traps",
ISNUMBER(SEARCH("ant",E602)),"Ant Traps",
ISNUMBER(SEARCH("spider",E602)),"Spider Traps",
ISNUMBER(SEARCH("mosquito",E602)),"Mosquito Traps",
ISNUMBER(SEARCH("beetle",E602)),"Beetle Traps",
ISNUMBER(SEARCH("lantern",E602)),"Lanternfly Control",
OR(ISNUMBER(SEARCH("tree shield",E602)),ISNUMBER(SEARCH("tree banding",E602)),ISNUMBER(SEARCH("insect barrier",E602))),"Tree Barriers",
OR(ISNUMBER(SEARCH("sun &amp; shade",E602)),ISNUMBER(SEARCH("sun and shade",E602))),"Sun &amp; Shade Mix",
ISNUMBER(SEARCH("tall fescue",E602)),"Tall Fescue",
ISNUMBER(SEARCH("bermudagrass",E602)),"Bermudagrass",
ISNUMBER(SEARCH("kentucky",E602)),"Kentucky Bluegrass",
ISNUMBER(SEARCH("zoysia",E602)),"Zoysia",
ISNUMBER(SEARCH("ryegrass",E602)),"Perennial Ryegrass",
ISNUMBER(SEARCH("centipede",E602)),"Centipede Grass",
ISNUMBER(SEARCH("dense shade",E602)),"Dense Shade Mix",
ISNUMBER(SEARCH("southern gold",E602)),"Southern Gold Mix",
ISNUMBER(SEARCH("heat-tolerant blue",E602)),"Heat-Tolerant Blue Mix",
ISNUMBER(SEARCH("high traffic",E602)),"High Traffic Mix",
ISNUMBER(SEARCH("quick fix",E602)),"Quick Fix Mix",
ISNUMBER(SEARCH("starter",E602)),"Starter Fertilizer",
ISNUMBER(SEARCH("weed &amp; feed",E602)),"Weed &amp; Feed",
ISNUMBER(SEARCH("lawn food",E602)),"Lawn Food",
ISNUMBER(SEARCH("triple action",E602)),"Triple Action Fertilizer",
ISNUMBER(SEARCH("green max",E602)),"Green Max Lawn Food",
ISNUMBER(SEARCH("patchmaster",E602)),"PatchMaster Repair",
ISNUMBER(SEARCH("ez seed",E602)),"EZ Seed Repair",
ISNUMBER(SEARCH("rapid grass",E602)),"Rapid Grass",
ISNUMBER(SEARCH("thick'r lawn",E602)),"Thick'R Lawn",
ISNUMBER(SEARCH("fungicide",E602)),"Fungicide",
ISNUMBER(SEARCH("moss",E602)),"Moss Control",
ISNUMBER(SEARCH("perlite",E602)),"Perlite",
ISNUMBER(SEARCH("plant food",E602)),"Plant Food",
ISNUMBER(SEARCH("spreader",E602)),"Spreader",
ISNUMBER(SEARCH("sprayer",E602)),"Sprayer",
ISNUMBER(SEARCH("mower",E602)),"Lawn Mower",
ISNUMBER(SEARCH("sweeper",E602)),"Lawn Sweeper",
OR(ISNUMBER(SEARCH("pruner",E602)),ISNUMBER(SEARCH("trimmer",E602)),ISNUMBER(SEARCH("pole saw",E602))),"Pruning Tools",
TRUE,"Other"
)</f>
        <v>Other</v>
      </c>
      <c r="J602" s="7" t="str">
        <f t="shared" si="171"/>
        <v>Flying Insect Control - Other</v>
      </c>
      <c r="K602" s="4">
        <v>600</v>
      </c>
      <c r="L602" s="4">
        <v>4.5999999999999996</v>
      </c>
      <c r="M602" s="4">
        <v>206</v>
      </c>
      <c r="N602" s="4" t="s">
        <v>2014</v>
      </c>
      <c r="O602" s="4">
        <f>VLOOKUP(A602,[13]Sheet1!$A:$M,2,0)</f>
        <v>200</v>
      </c>
      <c r="P602" s="4">
        <f>VLOOKUP(A602,[13]Sheet1!$A:$M,3,0)</f>
        <v>500</v>
      </c>
      <c r="Q602" s="4">
        <f>VLOOKUP(A602,[13]Sheet1!$A:$M,4,0)</f>
        <v>300</v>
      </c>
      <c r="R602" s="4">
        <f>VLOOKUP(A602,[13]Sheet1!$A:$M,5,0)</f>
        <v>300</v>
      </c>
      <c r="S602" s="4">
        <f>VLOOKUP(A602,[13]Sheet1!$A:$M,6,0)</f>
        <v>600</v>
      </c>
      <c r="T602" s="4">
        <f>VLOOKUP(A602,[13]Sheet1!$A:$M,7,0)</f>
        <v>700</v>
      </c>
      <c r="U602" s="4">
        <f>VLOOKUP(A602,[13]Sheet1!$A:$M,8,0)</f>
        <v>300</v>
      </c>
      <c r="V602" s="4">
        <f>VLOOKUP(A602,[13]Sheet1!$A:$M,9,0)</f>
        <v>400</v>
      </c>
      <c r="W602" s="4">
        <f>VLOOKUP(A602,[13]Sheet1!$A:$M,10,0)</f>
        <v>700</v>
      </c>
      <c r="X602" s="4">
        <f>VLOOKUP(A602,[13]Sheet1!$A:$M,11,0)</f>
        <v>300</v>
      </c>
      <c r="Y602" s="4">
        <f>VLOOKUP(A602,[13]Sheet1!$A:$M,12,0)</f>
        <v>200</v>
      </c>
      <c r="Z602" s="4">
        <f>VLOOKUP(A602,[13]Sheet1!$A:$M,13,0)</f>
        <v>200</v>
      </c>
      <c r="AA602" s="4">
        <f t="shared" si="176"/>
        <v>4700</v>
      </c>
      <c r="AB602" s="7">
        <f t="shared" si="177"/>
        <v>392</v>
      </c>
      <c r="AC602" s="15">
        <f t="shared" si="178"/>
        <v>391.66666666666669</v>
      </c>
      <c r="AD602" s="16">
        <f t="shared" si="179"/>
        <v>91133</v>
      </c>
      <c r="AE602" s="16">
        <f t="shared" si="180"/>
        <v>7594.416666666667</v>
      </c>
      <c r="AF602" s="21">
        <v>5.22</v>
      </c>
      <c r="AG602" s="21">
        <v>19.39</v>
      </c>
      <c r="AH602" s="15">
        <f t="shared" si="158"/>
        <v>0.10240000000000003</v>
      </c>
      <c r="AI602" s="15">
        <f t="shared" si="159"/>
        <v>0.35840000000000005</v>
      </c>
      <c r="AJ602" s="10">
        <v>0.5</v>
      </c>
      <c r="AK602" s="10">
        <v>0.5</v>
      </c>
      <c r="AL602" s="21">
        <v>5.22</v>
      </c>
      <c r="AM602" s="9">
        <f t="shared" si="181"/>
        <v>2.9085000000000001</v>
      </c>
      <c r="AN602" s="9">
        <f t="shared" si="182"/>
        <v>0.58169999999999999</v>
      </c>
      <c r="AO602" s="9">
        <f t="shared" si="183"/>
        <v>3.8780000000000001</v>
      </c>
      <c r="AP602" s="9">
        <f t="shared" si="184"/>
        <v>0.38780000000000003</v>
      </c>
      <c r="AQ602" s="9">
        <f t="shared" si="185"/>
        <v>3.8780000000000001</v>
      </c>
      <c r="AR602" s="9">
        <f t="shared" si="186"/>
        <v>4.8475000000000001</v>
      </c>
      <c r="AS602" s="11">
        <f t="shared" si="187"/>
        <v>1.0240000000000002</v>
      </c>
      <c r="AT602" s="12">
        <f t="shared" si="188"/>
        <v>0.37766666666666698</v>
      </c>
    </row>
    <row r="603" spans="1:46" ht="16.5" x14ac:dyDescent="0.4">
      <c r="A603" s="4" t="s">
        <v>2593</v>
      </c>
      <c r="B603" s="4" t="s">
        <v>2710</v>
      </c>
      <c r="C603" s="4" t="s">
        <v>1797</v>
      </c>
      <c r="D603" s="4" t="s">
        <v>2772</v>
      </c>
      <c r="E603" s="4" t="s">
        <v>2931</v>
      </c>
      <c r="F603" s="4" t="s">
        <v>3090</v>
      </c>
      <c r="G603" s="7" t="str">
        <f>VLOOKUP(A603,[1]done!$A:$I,9,0)</f>
        <v>Snake control</v>
      </c>
      <c r="H603" s="7" t="str" cm="1">
        <f t="array" ref="H603">_xlfn.IFS(
OR(ISNUMBER(SEARCH("mouse",E603)),ISNUMBER(SEARCH("rat",E603)),ISNUMBER(SEARCH("mice",E603)),ISNUMBER(SEARCH("rodent",E603))),"Rodent Control",
OR(ISNUMBER(SEARCH("fly",E603)),ISNUMBER(SEARCH("gnat",E603)),ISNUMBER(SEARCH("insect",E603)),ISNUMBER(SEARCH("mosquito",E603))),"Flying Insect Control",
OR(ISNUMBER(SEARCH("roach",E603)),ISNUMBER(SEARCH("ant",E603)),ISNUMBER(SEARCH("spider",E603)),ISNUMBER(SEARCH("cricket",E603)),ISNUMBER(SEARCH("scorpion",E603)),ISNUMBER(SEARCH("centipede",E603)),ISNUMBER(SEARCH("beetle",E603))),"Crawling Insect Control",
OR(ISNUMBER(SEARCH("tree",E603)),ISNUMBER(SEARCH("lantern",E603)),ISNUMBER(SEARCH("garden",E603)),ISNUMBER(SEARCH("plant",E603))),"Garden Pest Control",
OR(ISNUMBER(SEARCH("grass seed",E603)),ISNUMBER(SEARCH("seed mix",E603))),"Grass Seed",
OR(ISNUMBER(SEARCH("lawn food",E603)),ISNUMBER(SEARCH("fertilizer",E603))),"Lawn Fertilizer",
OR(ISNUMBER(SEARCH("patch",E603)),ISNUMBER(SEARCH("repair",E603)),ISNUMBER(SEARCH("thick'r",E603)),ISNUMBER(SEARCH("thick'r lawn",E603)),ISNUMBER(SEARCH("rapid grass",E603))),"Lawn Repair",
OR(ISNUMBER(SEARCH("weed",E603)),ISNUMBER(SEARCH("crabgrass",E603))),"Weed Control",
OR(ISNUMBER(SEARCH("fungicide",E603)),ISNUMBER(SEARCH("moss",E603))),"Disease &amp; Moss Control",
OR(ISNUMBER(SEARCH("plant food",E603)),ISNUMBER(SEARCH("miracid",E603))),"Plant Nutrition",
OR(ISNUMBER(SEARCH("perlite",E603))),"Soil Amendment",
OR(ISNUMBER(SEARCH("spreader",E603)),ISNUMBER(SEARCH("sprayer",E603)),ISNUMBER(SEARCH("mower",E603)),ISNUMBER(SEARCH("sweeper",E603)),ISNUMBER(SEARCH("pruner",E603)),ISNUMBER(SEARCH("trimmer",E603)),ISNUMBER(SEARCH("pole saw",E603))),"Garden Equipment",
TRUE,"Other"
)</f>
        <v>Other</v>
      </c>
      <c r="I603" s="7" t="str" cm="1">
        <f t="array" ref="I603">_xlfn.IFS(
OR(ISNUMBER(SEARCH("glue trap",E603)),ISNUMBER(SEARCH("glue board",E603))),"Glue Traps",
OR(ISNUMBER(SEARCH("snap trap",E603)),ISNUMBER(SEARCH("power-kill",E603)),ISNUMBER(SEARCH("wide pedal",E603)),ISNUMBER(SEARCH("metal pedal",E603))),"Snap Traps",
OR(ISNUMBER(SEARCH("electronic",E603)),ISNUMBER(SEARCH("zapper",E603))),"Electronic Traps",
OR(ISNUMBER(SEARCH("live catch",E603)),ISNUMBER(SEARCH("multi-catch",E603)),ISNUMBER(SEARCH("catch &amp; hold",E603)),ISNUMBER(SEARCH("tin cat",E603))),"Live Catch Traps",
OR(ISNUMBER(SEARCH("bait",E603)),ISNUMBER(SEARCH("poison",E603))),"Bait &amp; Poison",
ISNUMBER(SEARCH("repellent",E603)),"Repellents",
OR(ISNUMBER(SEARCH("fly trap",E603)),ISNUMBER(SEARCH("fly ribbon",E603)),ISNUMBER(SEARCH("fly stick",E603)),ISNUMBER(SEARCH("window fly",E603)),ISNUMBER(SEARCH("fly magnet",E603))),"Fly Traps",
OR(ISNUMBER(SEARCH("uv",E603)),ISNUMBER(SEARCH("fly light",E603)),ISNUMBER(SEARCH("plug-in",E603))),"UV Fly Traps",
ISNUMBER(SEARCH("roach",E603)),"Roach Traps",
ISNUMBER(SEARCH("ant",E603)),"Ant Traps",
ISNUMBER(SEARCH("spider",E603)),"Spider Traps",
ISNUMBER(SEARCH("mosquito",E603)),"Mosquito Traps",
ISNUMBER(SEARCH("beetle",E603)),"Beetle Traps",
ISNUMBER(SEARCH("lantern",E603)),"Lanternfly Control",
OR(ISNUMBER(SEARCH("tree shield",E603)),ISNUMBER(SEARCH("tree banding",E603)),ISNUMBER(SEARCH("insect barrier",E603))),"Tree Barriers",
OR(ISNUMBER(SEARCH("sun &amp; shade",E603)),ISNUMBER(SEARCH("sun and shade",E603))),"Sun &amp; Shade Mix",
ISNUMBER(SEARCH("tall fescue",E603)),"Tall Fescue",
ISNUMBER(SEARCH("bermudagrass",E603)),"Bermudagrass",
ISNUMBER(SEARCH("kentucky",E603)),"Kentucky Bluegrass",
ISNUMBER(SEARCH("zoysia",E603)),"Zoysia",
ISNUMBER(SEARCH("ryegrass",E603)),"Perennial Ryegrass",
ISNUMBER(SEARCH("centipede",E603)),"Centipede Grass",
ISNUMBER(SEARCH("dense shade",E603)),"Dense Shade Mix",
ISNUMBER(SEARCH("southern gold",E603)),"Southern Gold Mix",
ISNUMBER(SEARCH("heat-tolerant blue",E603)),"Heat-Tolerant Blue Mix",
ISNUMBER(SEARCH("high traffic",E603)),"High Traffic Mix",
ISNUMBER(SEARCH("quick fix",E603)),"Quick Fix Mix",
ISNUMBER(SEARCH("starter",E603)),"Starter Fertilizer",
ISNUMBER(SEARCH("weed &amp; feed",E603)),"Weed &amp; Feed",
ISNUMBER(SEARCH("lawn food",E603)),"Lawn Food",
ISNUMBER(SEARCH("triple action",E603)),"Triple Action Fertilizer",
ISNUMBER(SEARCH("green max",E603)),"Green Max Lawn Food",
ISNUMBER(SEARCH("patchmaster",E603)),"PatchMaster Repair",
ISNUMBER(SEARCH("ez seed",E603)),"EZ Seed Repair",
ISNUMBER(SEARCH("rapid grass",E603)),"Rapid Grass",
ISNUMBER(SEARCH("thick'r lawn",E603)),"Thick'R Lawn",
ISNUMBER(SEARCH("fungicide",E603)),"Fungicide",
ISNUMBER(SEARCH("moss",E603)),"Moss Control",
ISNUMBER(SEARCH("perlite",E603)),"Perlite",
ISNUMBER(SEARCH("plant food",E603)),"Plant Food",
ISNUMBER(SEARCH("spreader",E603)),"Spreader",
ISNUMBER(SEARCH("sprayer",E603)),"Sprayer",
ISNUMBER(SEARCH("mower",E603)),"Lawn Mower",
ISNUMBER(SEARCH("sweeper",E603)),"Lawn Sweeper",
OR(ISNUMBER(SEARCH("pruner",E603)),ISNUMBER(SEARCH("trimmer",E603)),ISNUMBER(SEARCH("pole saw",E603))),"Pruning Tools",
TRUE,"Other"
)</f>
        <v>Repellents</v>
      </c>
      <c r="J603" s="7" t="str">
        <f t="shared" si="171"/>
        <v>Other - Repellents</v>
      </c>
      <c r="K603" s="4">
        <v>600</v>
      </c>
      <c r="L603" s="4">
        <v>4.3</v>
      </c>
      <c r="M603" s="4">
        <v>821</v>
      </c>
      <c r="N603" s="4" t="s">
        <v>3233</v>
      </c>
      <c r="O603" s="4">
        <f>VLOOKUP(A603,[13]Sheet1!$A:$M,2,0)</f>
        <v>0</v>
      </c>
      <c r="P603" s="4">
        <f>VLOOKUP(A603,[13]Sheet1!$A:$M,3,0)</f>
        <v>0</v>
      </c>
      <c r="Q603" s="4">
        <f>VLOOKUP(A603,[13]Sheet1!$A:$M,4,0)</f>
        <v>100</v>
      </c>
      <c r="R603" s="4">
        <f>VLOOKUP(A603,[13]Sheet1!$A:$M,5,0)</f>
        <v>900</v>
      </c>
      <c r="S603" s="4">
        <f>VLOOKUP(A603,[13]Sheet1!$A:$M,6,0)</f>
        <v>1000</v>
      </c>
      <c r="T603" s="4">
        <f>VLOOKUP(A603,[13]Sheet1!$A:$M,7,0)</f>
        <v>1000</v>
      </c>
      <c r="U603" s="4">
        <f>VLOOKUP(A603,[13]Sheet1!$A:$M,8,0)</f>
        <v>700</v>
      </c>
      <c r="V603" s="4">
        <f>VLOOKUP(A603,[13]Sheet1!$A:$M,9,0)</f>
        <v>600</v>
      </c>
      <c r="W603" s="4">
        <f>VLOOKUP(A603,[13]Sheet1!$A:$M,10,0)</f>
        <v>600</v>
      </c>
      <c r="X603" s="4">
        <f>VLOOKUP(A603,[13]Sheet1!$A:$M,11,0)</f>
        <v>0</v>
      </c>
      <c r="Y603" s="4">
        <f>VLOOKUP(A603,[13]Sheet1!$A:$M,12,0)</f>
        <v>0</v>
      </c>
      <c r="Z603" s="4">
        <f>VLOOKUP(A603,[13]Sheet1!$A:$M,13,0)</f>
        <v>0</v>
      </c>
      <c r="AA603" s="4">
        <f t="shared" si="176"/>
        <v>4900</v>
      </c>
      <c r="AB603" s="7">
        <f t="shared" si="177"/>
        <v>408</v>
      </c>
      <c r="AC603" s="15">
        <f t="shared" si="178"/>
        <v>408.33333333333331</v>
      </c>
      <c r="AD603" s="16">
        <f t="shared" si="179"/>
        <v>75803</v>
      </c>
      <c r="AE603" s="16">
        <f t="shared" si="180"/>
        <v>6316.916666666667</v>
      </c>
      <c r="AF603" s="21">
        <v>6.31</v>
      </c>
      <c r="AG603" s="21">
        <v>15.47</v>
      </c>
      <c r="AH603" s="15">
        <f t="shared" si="158"/>
        <v>-7.4799999999999991E-2</v>
      </c>
      <c r="AI603" s="15">
        <f t="shared" si="159"/>
        <v>-0.26179999999999992</v>
      </c>
      <c r="AJ603" s="10">
        <v>0.5</v>
      </c>
      <c r="AK603" s="10">
        <v>0.5</v>
      </c>
      <c r="AL603" s="21">
        <v>6.31</v>
      </c>
      <c r="AM603" s="9">
        <f t="shared" si="181"/>
        <v>2.3205</v>
      </c>
      <c r="AN603" s="9">
        <f t="shared" si="182"/>
        <v>0.46410000000000001</v>
      </c>
      <c r="AO603" s="9">
        <f t="shared" si="183"/>
        <v>3.0940000000000003</v>
      </c>
      <c r="AP603" s="9">
        <f t="shared" si="184"/>
        <v>0.30940000000000001</v>
      </c>
      <c r="AQ603" s="9">
        <f t="shared" si="185"/>
        <v>3.0940000000000003</v>
      </c>
      <c r="AR603" s="9">
        <f t="shared" si="186"/>
        <v>3.8675000000000002</v>
      </c>
      <c r="AS603" s="11">
        <f t="shared" si="187"/>
        <v>-0.74799999999999989</v>
      </c>
      <c r="AT603" s="12">
        <f t="shared" si="188"/>
        <v>-1.2636666666666665</v>
      </c>
    </row>
    <row r="604" spans="1:46" ht="16.5" x14ac:dyDescent="0.4">
      <c r="A604" s="4" t="s">
        <v>2594</v>
      </c>
      <c r="B604" s="4" t="s">
        <v>2710</v>
      </c>
      <c r="C604" s="4" t="s">
        <v>2712</v>
      </c>
      <c r="D604" s="4" t="s">
        <v>2773</v>
      </c>
      <c r="E604" s="4" t="s">
        <v>2932</v>
      </c>
      <c r="F604" s="4" t="s">
        <v>3091</v>
      </c>
      <c r="G604" s="7" t="str">
        <f>VLOOKUP(A604,[1]done!$A:$I,9,0)</f>
        <v>Other crawling insects</v>
      </c>
      <c r="H604" s="7" t="str" cm="1">
        <f t="array" ref="H604">_xlfn.IFS(
OR(ISNUMBER(SEARCH("mouse",E604)),ISNUMBER(SEARCH("rat",E604)),ISNUMBER(SEARCH("mice",E604)),ISNUMBER(SEARCH("rodent",E604))),"Rodent Control",
OR(ISNUMBER(SEARCH("fly",E604)),ISNUMBER(SEARCH("gnat",E604)),ISNUMBER(SEARCH("insect",E604)),ISNUMBER(SEARCH("mosquito",E604))),"Flying Insect Control",
OR(ISNUMBER(SEARCH("roach",E604)),ISNUMBER(SEARCH("ant",E604)),ISNUMBER(SEARCH("spider",E604)),ISNUMBER(SEARCH("cricket",E604)),ISNUMBER(SEARCH("scorpion",E604)),ISNUMBER(SEARCH("centipede",E604)),ISNUMBER(SEARCH("beetle",E604))),"Crawling Insect Control",
OR(ISNUMBER(SEARCH("tree",E604)),ISNUMBER(SEARCH("lantern",E604)),ISNUMBER(SEARCH("garden",E604)),ISNUMBER(SEARCH("plant",E604))),"Garden Pest Control",
OR(ISNUMBER(SEARCH("grass seed",E604)),ISNUMBER(SEARCH("seed mix",E604))),"Grass Seed",
OR(ISNUMBER(SEARCH("lawn food",E604)),ISNUMBER(SEARCH("fertilizer",E604))),"Lawn Fertilizer",
OR(ISNUMBER(SEARCH("patch",E604)),ISNUMBER(SEARCH("repair",E604)),ISNUMBER(SEARCH("thick'r",E604)),ISNUMBER(SEARCH("thick'r lawn",E604)),ISNUMBER(SEARCH("rapid grass",E604))),"Lawn Repair",
OR(ISNUMBER(SEARCH("weed",E604)),ISNUMBER(SEARCH("crabgrass",E604))),"Weed Control",
OR(ISNUMBER(SEARCH("fungicide",E604)),ISNUMBER(SEARCH("moss",E604))),"Disease &amp; Moss Control",
OR(ISNUMBER(SEARCH("plant food",E604)),ISNUMBER(SEARCH("miracid",E604))),"Plant Nutrition",
OR(ISNUMBER(SEARCH("perlite",E604))),"Soil Amendment",
OR(ISNUMBER(SEARCH("spreader",E604)),ISNUMBER(SEARCH("sprayer",E604)),ISNUMBER(SEARCH("mower",E604)),ISNUMBER(SEARCH("sweeper",E604)),ISNUMBER(SEARCH("pruner",E604)),ISNUMBER(SEARCH("trimmer",E604)),ISNUMBER(SEARCH("pole saw",E604))),"Garden Equipment",
TRUE,"Other"
)</f>
        <v>Crawling Insect Control</v>
      </c>
      <c r="I604" s="7" t="str" cm="1">
        <f t="array" ref="I604">_xlfn.IFS(
OR(ISNUMBER(SEARCH("glue trap",E604)),ISNUMBER(SEARCH("glue board",E604))),"Glue Traps",
OR(ISNUMBER(SEARCH("snap trap",E604)),ISNUMBER(SEARCH("power-kill",E604)),ISNUMBER(SEARCH("wide pedal",E604)),ISNUMBER(SEARCH("metal pedal",E604))),"Snap Traps",
OR(ISNUMBER(SEARCH("electronic",E604)),ISNUMBER(SEARCH("zapper",E604))),"Electronic Traps",
OR(ISNUMBER(SEARCH("live catch",E604)),ISNUMBER(SEARCH("multi-catch",E604)),ISNUMBER(SEARCH("catch &amp; hold",E604)),ISNUMBER(SEARCH("tin cat",E604))),"Live Catch Traps",
OR(ISNUMBER(SEARCH("bait",E604)),ISNUMBER(SEARCH("poison",E604))),"Bait &amp; Poison",
ISNUMBER(SEARCH("repellent",E604)),"Repellents",
OR(ISNUMBER(SEARCH("fly trap",E604)),ISNUMBER(SEARCH("fly ribbon",E604)),ISNUMBER(SEARCH("fly stick",E604)),ISNUMBER(SEARCH("window fly",E604)),ISNUMBER(SEARCH("fly magnet",E604))),"Fly Traps",
OR(ISNUMBER(SEARCH("uv",E604)),ISNUMBER(SEARCH("fly light",E604)),ISNUMBER(SEARCH("plug-in",E604))),"UV Fly Traps",
ISNUMBER(SEARCH("roach",E604)),"Roach Traps",
ISNUMBER(SEARCH("ant",E604)),"Ant Traps",
ISNUMBER(SEARCH("spider",E604)),"Spider Traps",
ISNUMBER(SEARCH("mosquito",E604)),"Mosquito Traps",
ISNUMBER(SEARCH("beetle",E604)),"Beetle Traps",
ISNUMBER(SEARCH("lantern",E604)),"Lanternfly Control",
OR(ISNUMBER(SEARCH("tree shield",E604)),ISNUMBER(SEARCH("tree banding",E604)),ISNUMBER(SEARCH("insect barrier",E604))),"Tree Barriers",
OR(ISNUMBER(SEARCH("sun &amp; shade",E604)),ISNUMBER(SEARCH("sun and shade",E604))),"Sun &amp; Shade Mix",
ISNUMBER(SEARCH("tall fescue",E604)),"Tall Fescue",
ISNUMBER(SEARCH("bermudagrass",E604)),"Bermudagrass",
ISNUMBER(SEARCH("kentucky",E604)),"Kentucky Bluegrass",
ISNUMBER(SEARCH("zoysia",E604)),"Zoysia",
ISNUMBER(SEARCH("ryegrass",E604)),"Perennial Ryegrass",
ISNUMBER(SEARCH("centipede",E604)),"Centipede Grass",
ISNUMBER(SEARCH("dense shade",E604)),"Dense Shade Mix",
ISNUMBER(SEARCH("southern gold",E604)),"Southern Gold Mix",
ISNUMBER(SEARCH("heat-tolerant blue",E604)),"Heat-Tolerant Blue Mix",
ISNUMBER(SEARCH("high traffic",E604)),"High Traffic Mix",
ISNUMBER(SEARCH("quick fix",E604)),"Quick Fix Mix",
ISNUMBER(SEARCH("starter",E604)),"Starter Fertilizer",
ISNUMBER(SEARCH("weed &amp; feed",E604)),"Weed &amp; Feed",
ISNUMBER(SEARCH("lawn food",E604)),"Lawn Food",
ISNUMBER(SEARCH("triple action",E604)),"Triple Action Fertilizer",
ISNUMBER(SEARCH("green max",E604)),"Green Max Lawn Food",
ISNUMBER(SEARCH("patchmaster",E604)),"PatchMaster Repair",
ISNUMBER(SEARCH("ez seed",E604)),"EZ Seed Repair",
ISNUMBER(SEARCH("rapid grass",E604)),"Rapid Grass",
ISNUMBER(SEARCH("thick'r lawn",E604)),"Thick'R Lawn",
ISNUMBER(SEARCH("fungicide",E604)),"Fungicide",
ISNUMBER(SEARCH("moss",E604)),"Moss Control",
ISNUMBER(SEARCH("perlite",E604)),"Perlite",
ISNUMBER(SEARCH("plant food",E604)),"Plant Food",
ISNUMBER(SEARCH("spreader",E604)),"Spreader",
ISNUMBER(SEARCH("sprayer",E604)),"Sprayer",
ISNUMBER(SEARCH("mower",E604)),"Lawn Mower",
ISNUMBER(SEARCH("sweeper",E604)),"Lawn Sweeper",
OR(ISNUMBER(SEARCH("pruner",E604)),ISNUMBER(SEARCH("trimmer",E604)),ISNUMBER(SEARCH("pole saw",E604))),"Pruning Tools",
TRUE,"Other"
)</f>
        <v>Ant Traps</v>
      </c>
      <c r="J604" s="7" t="str">
        <f t="shared" si="171"/>
        <v>Crawling Insect Control - Ant Traps</v>
      </c>
      <c r="K604" s="4">
        <v>600</v>
      </c>
      <c r="L604" s="4">
        <v>4.3</v>
      </c>
      <c r="M604" s="4">
        <v>2070</v>
      </c>
      <c r="N604" s="4" t="s">
        <v>3209</v>
      </c>
      <c r="O604" s="4">
        <f>VLOOKUP(A604,[13]Sheet1!$A:$M,2,0)</f>
        <v>100</v>
      </c>
      <c r="P604" s="4">
        <f>VLOOKUP(A604,[13]Sheet1!$A:$M,3,0)</f>
        <v>100</v>
      </c>
      <c r="Q604" s="4">
        <f>VLOOKUP(A604,[13]Sheet1!$A:$M,4,0)</f>
        <v>200</v>
      </c>
      <c r="R604" s="4">
        <f>VLOOKUP(A604,[13]Sheet1!$A:$M,5,0)</f>
        <v>400</v>
      </c>
      <c r="S604" s="4">
        <f>VLOOKUP(A604,[13]Sheet1!$A:$M,6,0)</f>
        <v>800</v>
      </c>
      <c r="T604" s="4">
        <f>VLOOKUP(A604,[13]Sheet1!$A:$M,7,0)</f>
        <v>1000</v>
      </c>
      <c r="U604" s="4">
        <f>VLOOKUP(A604,[13]Sheet1!$A:$M,8,0)</f>
        <v>1000</v>
      </c>
      <c r="V604" s="4">
        <f>VLOOKUP(A604,[13]Sheet1!$A:$M,9,0)</f>
        <v>1000</v>
      </c>
      <c r="W604" s="4">
        <f>VLOOKUP(A604,[13]Sheet1!$A:$M,10,0)</f>
        <v>600</v>
      </c>
      <c r="X604" s="4">
        <f>VLOOKUP(A604,[13]Sheet1!$A:$M,11,0)</f>
        <v>600</v>
      </c>
      <c r="Y604" s="4">
        <f>VLOOKUP(A604,[13]Sheet1!$A:$M,12,0)</f>
        <v>300</v>
      </c>
      <c r="Z604" s="4">
        <f>VLOOKUP(A604,[13]Sheet1!$A:$M,13,0)</f>
        <v>200</v>
      </c>
      <c r="AA604" s="4">
        <f t="shared" si="176"/>
        <v>6300</v>
      </c>
      <c r="AB604" s="7">
        <f t="shared" si="177"/>
        <v>525</v>
      </c>
      <c r="AC604" s="15">
        <f t="shared" si="178"/>
        <v>525</v>
      </c>
      <c r="AD604" s="16">
        <f t="shared" si="179"/>
        <v>62937</v>
      </c>
      <c r="AE604" s="16">
        <f t="shared" si="180"/>
        <v>5244.75</v>
      </c>
      <c r="AF604" s="21">
        <v>5.46</v>
      </c>
      <c r="AG604" s="21">
        <v>9.99</v>
      </c>
      <c r="AH604" s="15">
        <f t="shared" si="158"/>
        <v>-0.1642666666666667</v>
      </c>
      <c r="AI604" s="15">
        <f t="shared" si="159"/>
        <v>-0.57493333333333341</v>
      </c>
      <c r="AJ604" s="10">
        <v>0.5</v>
      </c>
      <c r="AK604" s="10">
        <v>0.5</v>
      </c>
      <c r="AL604" s="21">
        <v>5.46</v>
      </c>
      <c r="AM604" s="9">
        <f t="shared" si="181"/>
        <v>1.4984999999999999</v>
      </c>
      <c r="AN604" s="9">
        <f t="shared" si="182"/>
        <v>0.29970000000000002</v>
      </c>
      <c r="AO604" s="9">
        <f t="shared" si="183"/>
        <v>1.9980000000000002</v>
      </c>
      <c r="AP604" s="9">
        <f t="shared" si="184"/>
        <v>0.19980000000000001</v>
      </c>
      <c r="AQ604" s="9">
        <f t="shared" si="185"/>
        <v>1.9980000000000002</v>
      </c>
      <c r="AR604" s="9">
        <f t="shared" si="186"/>
        <v>2.4975000000000001</v>
      </c>
      <c r="AS604" s="11">
        <f t="shared" si="187"/>
        <v>-1.6426666666666669</v>
      </c>
      <c r="AT604" s="12">
        <f t="shared" si="188"/>
        <v>-1.9756666666666669</v>
      </c>
    </row>
    <row r="605" spans="1:46" ht="16.5" x14ac:dyDescent="0.4">
      <c r="A605" s="4" t="s">
        <v>2595</v>
      </c>
      <c r="B605" s="4" t="s">
        <v>2710</v>
      </c>
      <c r="C605" s="4" t="s">
        <v>2712</v>
      </c>
      <c r="D605" s="4" t="s">
        <v>2774</v>
      </c>
      <c r="E605" s="4" t="s">
        <v>2933</v>
      </c>
      <c r="F605" s="4" t="s">
        <v>3092</v>
      </c>
      <c r="G605" s="7" t="str">
        <f>VLOOKUP(A605,[1]done!$A:$I,9,0)</f>
        <v>Insecticide/Fungicide</v>
      </c>
      <c r="H605" s="7" t="str" cm="1">
        <f t="array" ref="H605">_xlfn.IFS(
OR(ISNUMBER(SEARCH("mouse",E605)),ISNUMBER(SEARCH("rat",E605)),ISNUMBER(SEARCH("mice",E605)),ISNUMBER(SEARCH("rodent",E605))),"Rodent Control",
OR(ISNUMBER(SEARCH("fly",E605)),ISNUMBER(SEARCH("gnat",E605)),ISNUMBER(SEARCH("insect",E605)),ISNUMBER(SEARCH("mosquito",E605))),"Flying Insect Control",
OR(ISNUMBER(SEARCH("roach",E605)),ISNUMBER(SEARCH("ant",E605)),ISNUMBER(SEARCH("spider",E605)),ISNUMBER(SEARCH("cricket",E605)),ISNUMBER(SEARCH("scorpion",E605)),ISNUMBER(SEARCH("centipede",E605)),ISNUMBER(SEARCH("beetle",E605))),"Crawling Insect Control",
OR(ISNUMBER(SEARCH("tree",E605)),ISNUMBER(SEARCH("lantern",E605)),ISNUMBER(SEARCH("garden",E605)),ISNUMBER(SEARCH("plant",E605))),"Garden Pest Control",
OR(ISNUMBER(SEARCH("grass seed",E605)),ISNUMBER(SEARCH("seed mix",E605))),"Grass Seed",
OR(ISNUMBER(SEARCH("lawn food",E605)),ISNUMBER(SEARCH("fertilizer",E605))),"Lawn Fertilizer",
OR(ISNUMBER(SEARCH("patch",E605)),ISNUMBER(SEARCH("repair",E605)),ISNUMBER(SEARCH("thick'r",E605)),ISNUMBER(SEARCH("thick'r lawn",E605)),ISNUMBER(SEARCH("rapid grass",E605))),"Lawn Repair",
OR(ISNUMBER(SEARCH("weed",E605)),ISNUMBER(SEARCH("crabgrass",E605))),"Weed Control",
OR(ISNUMBER(SEARCH("fungicide",E605)),ISNUMBER(SEARCH("moss",E605))),"Disease &amp; Moss Control",
OR(ISNUMBER(SEARCH("plant food",E605)),ISNUMBER(SEARCH("miracid",E605))),"Plant Nutrition",
OR(ISNUMBER(SEARCH("perlite",E605))),"Soil Amendment",
OR(ISNUMBER(SEARCH("spreader",E605)),ISNUMBER(SEARCH("sprayer",E605)),ISNUMBER(SEARCH("mower",E605)),ISNUMBER(SEARCH("sweeper",E605)),ISNUMBER(SEARCH("pruner",E605)),ISNUMBER(SEARCH("trimmer",E605)),ISNUMBER(SEARCH("pole saw",E605))),"Garden Equipment",
TRUE,"Other"
)</f>
        <v>Garden Pest Control</v>
      </c>
      <c r="I605" s="7" t="str" cm="1">
        <f t="array" ref="I605">_xlfn.IFS(
OR(ISNUMBER(SEARCH("glue trap",E605)),ISNUMBER(SEARCH("glue board",E605))),"Glue Traps",
OR(ISNUMBER(SEARCH("snap trap",E605)),ISNUMBER(SEARCH("power-kill",E605)),ISNUMBER(SEARCH("wide pedal",E605)),ISNUMBER(SEARCH("metal pedal",E605))),"Snap Traps",
OR(ISNUMBER(SEARCH("electronic",E605)),ISNUMBER(SEARCH("zapper",E605))),"Electronic Traps",
OR(ISNUMBER(SEARCH("live catch",E605)),ISNUMBER(SEARCH("multi-catch",E605)),ISNUMBER(SEARCH("catch &amp; hold",E605)),ISNUMBER(SEARCH("tin cat",E605))),"Live Catch Traps",
OR(ISNUMBER(SEARCH("bait",E605)),ISNUMBER(SEARCH("poison",E605))),"Bait &amp; Poison",
ISNUMBER(SEARCH("repellent",E605)),"Repellents",
OR(ISNUMBER(SEARCH("fly trap",E605)),ISNUMBER(SEARCH("fly ribbon",E605)),ISNUMBER(SEARCH("fly stick",E605)),ISNUMBER(SEARCH("window fly",E605)),ISNUMBER(SEARCH("fly magnet",E605))),"Fly Traps",
OR(ISNUMBER(SEARCH("uv",E605)),ISNUMBER(SEARCH("fly light",E605)),ISNUMBER(SEARCH("plug-in",E605))),"UV Fly Traps",
ISNUMBER(SEARCH("roach",E605)),"Roach Traps",
ISNUMBER(SEARCH("ant",E605)),"Ant Traps",
ISNUMBER(SEARCH("spider",E605)),"Spider Traps",
ISNUMBER(SEARCH("mosquito",E605)),"Mosquito Traps",
ISNUMBER(SEARCH("beetle",E605)),"Beetle Traps",
ISNUMBER(SEARCH("lantern",E605)),"Lanternfly Control",
OR(ISNUMBER(SEARCH("tree shield",E605)),ISNUMBER(SEARCH("tree banding",E605)),ISNUMBER(SEARCH("insect barrier",E605))),"Tree Barriers",
OR(ISNUMBER(SEARCH("sun &amp; shade",E605)),ISNUMBER(SEARCH("sun and shade",E605))),"Sun &amp; Shade Mix",
ISNUMBER(SEARCH("tall fescue",E605)),"Tall Fescue",
ISNUMBER(SEARCH("bermudagrass",E605)),"Bermudagrass",
ISNUMBER(SEARCH("kentucky",E605)),"Kentucky Bluegrass",
ISNUMBER(SEARCH("zoysia",E605)),"Zoysia",
ISNUMBER(SEARCH("ryegrass",E605)),"Perennial Ryegrass",
ISNUMBER(SEARCH("centipede",E605)),"Centipede Grass",
ISNUMBER(SEARCH("dense shade",E605)),"Dense Shade Mix",
ISNUMBER(SEARCH("southern gold",E605)),"Southern Gold Mix",
ISNUMBER(SEARCH("heat-tolerant blue",E605)),"Heat-Tolerant Blue Mix",
ISNUMBER(SEARCH("high traffic",E605)),"High Traffic Mix",
ISNUMBER(SEARCH("quick fix",E605)),"Quick Fix Mix",
ISNUMBER(SEARCH("starter",E605)),"Starter Fertilizer",
ISNUMBER(SEARCH("weed &amp; feed",E605)),"Weed &amp; Feed",
ISNUMBER(SEARCH("lawn food",E605)),"Lawn Food",
ISNUMBER(SEARCH("triple action",E605)),"Triple Action Fertilizer",
ISNUMBER(SEARCH("green max",E605)),"Green Max Lawn Food",
ISNUMBER(SEARCH("patchmaster",E605)),"PatchMaster Repair",
ISNUMBER(SEARCH("ez seed",E605)),"EZ Seed Repair",
ISNUMBER(SEARCH("rapid grass",E605)),"Rapid Grass",
ISNUMBER(SEARCH("thick'r lawn",E605)),"Thick'R Lawn",
ISNUMBER(SEARCH("fungicide",E605)),"Fungicide",
ISNUMBER(SEARCH("moss",E605)),"Moss Control",
ISNUMBER(SEARCH("perlite",E605)),"Perlite",
ISNUMBER(SEARCH("plant food",E605)),"Plant Food",
ISNUMBER(SEARCH("spreader",E605)),"Spreader",
ISNUMBER(SEARCH("sprayer",E605)),"Sprayer",
ISNUMBER(SEARCH("mower",E605)),"Lawn Mower",
ISNUMBER(SEARCH("sweeper",E605)),"Lawn Sweeper",
OR(ISNUMBER(SEARCH("pruner",E605)),ISNUMBER(SEARCH("trimmer",E605)),ISNUMBER(SEARCH("pole saw",E605))),"Pruning Tools",
TRUE,"Other"
)</f>
        <v>Sprayer</v>
      </c>
      <c r="J605" s="7" t="str">
        <f t="shared" si="171"/>
        <v>Garden Pest Control - Sprayer</v>
      </c>
      <c r="K605" s="4">
        <v>500</v>
      </c>
      <c r="L605" s="4">
        <v>4.5999999999999996</v>
      </c>
      <c r="M605" s="4">
        <v>5192</v>
      </c>
      <c r="N605" s="4" t="s">
        <v>3223</v>
      </c>
      <c r="O605" s="4">
        <f>VLOOKUP(A605,[13]Sheet1!$A:$M,2,0)</f>
        <v>50</v>
      </c>
      <c r="P605" s="4">
        <f>VLOOKUP(A605,[13]Sheet1!$A:$M,3,0)</f>
        <v>50</v>
      </c>
      <c r="Q605" s="4">
        <f>VLOOKUP(A605,[13]Sheet1!$A:$M,4,0)</f>
        <v>100</v>
      </c>
      <c r="R605" s="4">
        <f>VLOOKUP(A605,[13]Sheet1!$A:$M,5,0)</f>
        <v>300</v>
      </c>
      <c r="S605" s="4">
        <f>VLOOKUP(A605,[13]Sheet1!$A:$M,6,0)</f>
        <v>1000</v>
      </c>
      <c r="T605" s="4">
        <f>VLOOKUP(A605,[13]Sheet1!$A:$M,7,0)</f>
        <v>1000</v>
      </c>
      <c r="U605" s="4">
        <f>VLOOKUP(A605,[13]Sheet1!$A:$M,8,0)</f>
        <v>200</v>
      </c>
      <c r="V605" s="4">
        <f>VLOOKUP(A605,[13]Sheet1!$A:$M,9,0)</f>
        <v>800</v>
      </c>
      <c r="W605" s="4">
        <f>VLOOKUP(A605,[13]Sheet1!$A:$M,10,0)</f>
        <v>500</v>
      </c>
      <c r="X605" s="4">
        <f>VLOOKUP(A605,[13]Sheet1!$A:$M,11,0)</f>
        <v>200</v>
      </c>
      <c r="Y605" s="4">
        <f>VLOOKUP(A605,[13]Sheet1!$A:$M,12,0)</f>
        <v>100</v>
      </c>
      <c r="Z605" s="4">
        <f>VLOOKUP(A605,[13]Sheet1!$A:$M,13,0)</f>
        <v>100</v>
      </c>
      <c r="AA605" s="4">
        <f t="shared" si="176"/>
        <v>4400</v>
      </c>
      <c r="AB605" s="7">
        <f t="shared" si="177"/>
        <v>367</v>
      </c>
      <c r="AC605" s="15">
        <f t="shared" si="178"/>
        <v>366.66666666666669</v>
      </c>
      <c r="AD605" s="16">
        <f t="shared" si="179"/>
        <v>182512</v>
      </c>
      <c r="AE605" s="16">
        <f t="shared" si="180"/>
        <v>15209.333333333332</v>
      </c>
      <c r="AF605" s="21">
        <v>9.2799999999999994</v>
      </c>
      <c r="AG605" s="21">
        <v>41.48</v>
      </c>
      <c r="AH605" s="15">
        <f t="shared" si="158"/>
        <v>0.42079999999999995</v>
      </c>
      <c r="AI605" s="15">
        <f t="shared" si="159"/>
        <v>1.4727999999999997</v>
      </c>
      <c r="AJ605" s="10">
        <v>0.5</v>
      </c>
      <c r="AK605" s="10">
        <v>0.5</v>
      </c>
      <c r="AL605" s="21">
        <v>9.2799999999999994</v>
      </c>
      <c r="AM605" s="9">
        <f t="shared" si="181"/>
        <v>6.2219999999999995</v>
      </c>
      <c r="AN605" s="9">
        <f t="shared" si="182"/>
        <v>1.2444</v>
      </c>
      <c r="AO605" s="9">
        <f t="shared" si="183"/>
        <v>8.2959999999999994</v>
      </c>
      <c r="AP605" s="9">
        <f t="shared" si="184"/>
        <v>0.8296</v>
      </c>
      <c r="AQ605" s="9">
        <f t="shared" si="185"/>
        <v>8.2959999999999994</v>
      </c>
      <c r="AR605" s="9">
        <f t="shared" si="186"/>
        <v>10.37</v>
      </c>
      <c r="AS605" s="11">
        <f t="shared" si="187"/>
        <v>4.2079999999999993</v>
      </c>
      <c r="AT605" s="12">
        <f t="shared" si="188"/>
        <v>2.825333333333333</v>
      </c>
    </row>
    <row r="606" spans="1:46" ht="16.5" x14ac:dyDescent="0.4">
      <c r="A606" s="4" t="s">
        <v>2596</v>
      </c>
      <c r="B606" s="4" t="s">
        <v>2710</v>
      </c>
      <c r="C606" s="4" t="s">
        <v>2713</v>
      </c>
      <c r="D606" s="4" t="s">
        <v>2775</v>
      </c>
      <c r="E606" s="4" t="s">
        <v>2934</v>
      </c>
      <c r="F606" s="4" t="s">
        <v>3093</v>
      </c>
      <c r="G606" s="7" t="str">
        <f>VLOOKUP(A606,[1]done!$A:$I,9,0)</f>
        <v>Mole Repellent</v>
      </c>
      <c r="H606" s="7" t="str" cm="1">
        <f t="array" ref="H606">_xlfn.IFS(
OR(ISNUMBER(SEARCH("mouse",E606)),ISNUMBER(SEARCH("rat",E606)),ISNUMBER(SEARCH("mice",E606)),ISNUMBER(SEARCH("rodent",E606))),"Rodent Control",
OR(ISNUMBER(SEARCH("fly",E606)),ISNUMBER(SEARCH("gnat",E606)),ISNUMBER(SEARCH("insect",E606)),ISNUMBER(SEARCH("mosquito",E606))),"Flying Insect Control",
OR(ISNUMBER(SEARCH("roach",E606)),ISNUMBER(SEARCH("ant",E606)),ISNUMBER(SEARCH("spider",E606)),ISNUMBER(SEARCH("cricket",E606)),ISNUMBER(SEARCH("scorpion",E606)),ISNUMBER(SEARCH("centipede",E606)),ISNUMBER(SEARCH("beetle",E606))),"Crawling Insect Control",
OR(ISNUMBER(SEARCH("tree",E606)),ISNUMBER(SEARCH("lantern",E606)),ISNUMBER(SEARCH("garden",E606)),ISNUMBER(SEARCH("plant",E606))),"Garden Pest Control",
OR(ISNUMBER(SEARCH("grass seed",E606)),ISNUMBER(SEARCH("seed mix",E606))),"Grass Seed",
OR(ISNUMBER(SEARCH("lawn food",E606)),ISNUMBER(SEARCH("fertilizer",E606))),"Lawn Fertilizer",
OR(ISNUMBER(SEARCH("patch",E606)),ISNUMBER(SEARCH("repair",E606)),ISNUMBER(SEARCH("thick'r",E606)),ISNUMBER(SEARCH("thick'r lawn",E606)),ISNUMBER(SEARCH("rapid grass",E606))),"Lawn Repair",
OR(ISNUMBER(SEARCH("weed",E606)),ISNUMBER(SEARCH("crabgrass",E606))),"Weed Control",
OR(ISNUMBER(SEARCH("fungicide",E606)),ISNUMBER(SEARCH("moss",E606))),"Disease &amp; Moss Control",
OR(ISNUMBER(SEARCH("plant food",E606)),ISNUMBER(SEARCH("miracid",E606))),"Plant Nutrition",
OR(ISNUMBER(SEARCH("perlite",E606))),"Soil Amendment",
OR(ISNUMBER(SEARCH("spreader",E606)),ISNUMBER(SEARCH("sprayer",E606)),ISNUMBER(SEARCH("mower",E606)),ISNUMBER(SEARCH("sweeper",E606)),ISNUMBER(SEARCH("pruner",E606)),ISNUMBER(SEARCH("trimmer",E606)),ISNUMBER(SEARCH("pole saw",E606))),"Garden Equipment",
TRUE,"Other"
)</f>
        <v>Garden Pest Control</v>
      </c>
      <c r="I606" s="7" t="str" cm="1">
        <f t="array" ref="I606">_xlfn.IFS(
OR(ISNUMBER(SEARCH("glue trap",E606)),ISNUMBER(SEARCH("glue board",E606))),"Glue Traps",
OR(ISNUMBER(SEARCH("snap trap",E606)),ISNUMBER(SEARCH("power-kill",E606)),ISNUMBER(SEARCH("wide pedal",E606)),ISNUMBER(SEARCH("metal pedal",E606))),"Snap Traps",
OR(ISNUMBER(SEARCH("electronic",E606)),ISNUMBER(SEARCH("zapper",E606))),"Electronic Traps",
OR(ISNUMBER(SEARCH("live catch",E606)),ISNUMBER(SEARCH("multi-catch",E606)),ISNUMBER(SEARCH("catch &amp; hold",E606)),ISNUMBER(SEARCH("tin cat",E606))),"Live Catch Traps",
OR(ISNUMBER(SEARCH("bait",E606)),ISNUMBER(SEARCH("poison",E606))),"Bait &amp; Poison",
ISNUMBER(SEARCH("repellent",E606)),"Repellents",
OR(ISNUMBER(SEARCH("fly trap",E606)),ISNUMBER(SEARCH("fly ribbon",E606)),ISNUMBER(SEARCH("fly stick",E606)),ISNUMBER(SEARCH("window fly",E606)),ISNUMBER(SEARCH("fly magnet",E606))),"Fly Traps",
OR(ISNUMBER(SEARCH("uv",E606)),ISNUMBER(SEARCH("fly light",E606)),ISNUMBER(SEARCH("plug-in",E606))),"UV Fly Traps",
ISNUMBER(SEARCH("roach",E606)),"Roach Traps",
ISNUMBER(SEARCH("ant",E606)),"Ant Traps",
ISNUMBER(SEARCH("spider",E606)),"Spider Traps",
ISNUMBER(SEARCH("mosquito",E606)),"Mosquito Traps",
ISNUMBER(SEARCH("beetle",E606)),"Beetle Traps",
ISNUMBER(SEARCH("lantern",E606)),"Lanternfly Control",
OR(ISNUMBER(SEARCH("tree shield",E606)),ISNUMBER(SEARCH("tree banding",E606)),ISNUMBER(SEARCH("insect barrier",E606))),"Tree Barriers",
OR(ISNUMBER(SEARCH("sun &amp; shade",E606)),ISNUMBER(SEARCH("sun and shade",E606))),"Sun &amp; Shade Mix",
ISNUMBER(SEARCH("tall fescue",E606)),"Tall Fescue",
ISNUMBER(SEARCH("bermudagrass",E606)),"Bermudagrass",
ISNUMBER(SEARCH("kentucky",E606)),"Kentucky Bluegrass",
ISNUMBER(SEARCH("zoysia",E606)),"Zoysia",
ISNUMBER(SEARCH("ryegrass",E606)),"Perennial Ryegrass",
ISNUMBER(SEARCH("centipede",E606)),"Centipede Grass",
ISNUMBER(SEARCH("dense shade",E606)),"Dense Shade Mix",
ISNUMBER(SEARCH("southern gold",E606)),"Southern Gold Mix",
ISNUMBER(SEARCH("heat-tolerant blue",E606)),"Heat-Tolerant Blue Mix",
ISNUMBER(SEARCH("high traffic",E606)),"High Traffic Mix",
ISNUMBER(SEARCH("quick fix",E606)),"Quick Fix Mix",
ISNUMBER(SEARCH("starter",E606)),"Starter Fertilizer",
ISNUMBER(SEARCH("weed &amp; feed",E606)),"Weed &amp; Feed",
ISNUMBER(SEARCH("lawn food",E606)),"Lawn Food",
ISNUMBER(SEARCH("triple action",E606)),"Triple Action Fertilizer",
ISNUMBER(SEARCH("green max",E606)),"Green Max Lawn Food",
ISNUMBER(SEARCH("patchmaster",E606)),"PatchMaster Repair",
ISNUMBER(SEARCH("ez seed",E606)),"EZ Seed Repair",
ISNUMBER(SEARCH("rapid grass",E606)),"Rapid Grass",
ISNUMBER(SEARCH("thick'r lawn",E606)),"Thick'R Lawn",
ISNUMBER(SEARCH("fungicide",E606)),"Fungicide",
ISNUMBER(SEARCH("moss",E606)),"Moss Control",
ISNUMBER(SEARCH("perlite",E606)),"Perlite",
ISNUMBER(SEARCH("plant food",E606)),"Plant Food",
ISNUMBER(SEARCH("spreader",E606)),"Spreader",
ISNUMBER(SEARCH("sprayer",E606)),"Sprayer",
ISNUMBER(SEARCH("mower",E606)),"Lawn Mower",
ISNUMBER(SEARCH("sweeper",E606)),"Lawn Sweeper",
OR(ISNUMBER(SEARCH("pruner",E606)),ISNUMBER(SEARCH("trimmer",E606)),ISNUMBER(SEARCH("pole saw",E606))),"Pruning Tools",
TRUE,"Other"
)</f>
        <v>Repellents</v>
      </c>
      <c r="J606" s="7" t="str">
        <f t="shared" si="171"/>
        <v>Garden Pest Control - Repellents</v>
      </c>
      <c r="K606" s="4">
        <v>500</v>
      </c>
      <c r="L606" s="4">
        <v>3.7</v>
      </c>
      <c r="M606" s="4">
        <v>6291</v>
      </c>
      <c r="N606" s="4" t="s">
        <v>3234</v>
      </c>
      <c r="O606" s="4">
        <f>VLOOKUP(A606,[13]Sheet1!$A:$M,2,0)</f>
        <v>0</v>
      </c>
      <c r="P606" s="4">
        <f>VLOOKUP(A606,[13]Sheet1!$A:$M,3,0)</f>
        <v>0</v>
      </c>
      <c r="Q606" s="4">
        <f>VLOOKUP(A606,[13]Sheet1!$A:$M,4,0)</f>
        <v>500</v>
      </c>
      <c r="R606" s="4">
        <f>VLOOKUP(A606,[13]Sheet1!$A:$M,5,0)</f>
        <v>800</v>
      </c>
      <c r="S606" s="4">
        <f>VLOOKUP(A606,[13]Sheet1!$A:$M,6,0)</f>
        <v>900</v>
      </c>
      <c r="T606" s="4">
        <f>VLOOKUP(A606,[13]Sheet1!$A:$M,7,0)</f>
        <v>1000</v>
      </c>
      <c r="U606" s="4">
        <f>VLOOKUP(A606,[13]Sheet1!$A:$M,8,0)</f>
        <v>1000</v>
      </c>
      <c r="V606" s="4">
        <f>VLOOKUP(A606,[13]Sheet1!$A:$M,9,0)</f>
        <v>600</v>
      </c>
      <c r="W606" s="4">
        <f>VLOOKUP(A606,[13]Sheet1!$A:$M,10,0)</f>
        <v>500</v>
      </c>
      <c r="X606" s="4">
        <f>VLOOKUP(A606,[13]Sheet1!$A:$M,11,0)</f>
        <v>0</v>
      </c>
      <c r="Y606" s="4">
        <f>VLOOKUP(A606,[13]Sheet1!$A:$M,12,0)</f>
        <v>0</v>
      </c>
      <c r="Z606" s="4">
        <f>VLOOKUP(A606,[13]Sheet1!$A:$M,13,0)</f>
        <v>0</v>
      </c>
      <c r="AA606" s="4">
        <f t="shared" si="176"/>
        <v>5300</v>
      </c>
      <c r="AB606" s="7">
        <f t="shared" si="177"/>
        <v>442</v>
      </c>
      <c r="AC606" s="15">
        <f t="shared" si="178"/>
        <v>441.66666666666669</v>
      </c>
      <c r="AD606" s="16">
        <f t="shared" si="179"/>
        <v>79341</v>
      </c>
      <c r="AE606" s="16">
        <f t="shared" si="180"/>
        <v>6611.7500000000009</v>
      </c>
      <c r="AF606" s="21">
        <v>8.0399999999999991</v>
      </c>
      <c r="AG606" s="21">
        <v>14.97</v>
      </c>
      <c r="AH606" s="15">
        <f t="shared" si="158"/>
        <v>-0.20346666666666668</v>
      </c>
      <c r="AI606" s="15">
        <f t="shared" si="159"/>
        <v>-0.7121333333333334</v>
      </c>
      <c r="AJ606" s="10">
        <v>0.5</v>
      </c>
      <c r="AK606" s="10">
        <v>0.5</v>
      </c>
      <c r="AL606" s="21">
        <v>8.0399999999999991</v>
      </c>
      <c r="AM606" s="9">
        <f t="shared" si="181"/>
        <v>2.2454999999999998</v>
      </c>
      <c r="AN606" s="9">
        <f t="shared" si="182"/>
        <v>0.4491</v>
      </c>
      <c r="AO606" s="9">
        <f t="shared" si="183"/>
        <v>2.9940000000000002</v>
      </c>
      <c r="AP606" s="9">
        <f t="shared" si="184"/>
        <v>0.2994</v>
      </c>
      <c r="AQ606" s="9">
        <f t="shared" si="185"/>
        <v>2.9940000000000002</v>
      </c>
      <c r="AR606" s="9">
        <f t="shared" si="186"/>
        <v>3.7425000000000002</v>
      </c>
      <c r="AS606" s="11">
        <f t="shared" si="187"/>
        <v>-2.0346666666666668</v>
      </c>
      <c r="AT606" s="12">
        <f t="shared" si="188"/>
        <v>-2.5336666666666665</v>
      </c>
    </row>
    <row r="607" spans="1:46" ht="16.5" x14ac:dyDescent="0.4">
      <c r="A607" s="4" t="s">
        <v>2597</v>
      </c>
      <c r="B607" s="4" t="s">
        <v>2710</v>
      </c>
      <c r="C607" s="4" t="s">
        <v>2712</v>
      </c>
      <c r="D607" s="4" t="s">
        <v>2776</v>
      </c>
      <c r="E607" s="4" t="s">
        <v>2935</v>
      </c>
      <c r="F607" s="4" t="s">
        <v>3094</v>
      </c>
      <c r="G607" s="7" t="str">
        <f>VLOOKUP(A607,[1]done!$A:$I,9,0)</f>
        <v>Insecticide/Fungicide</v>
      </c>
      <c r="H607" s="7" t="str" cm="1">
        <f t="array" ref="H607">_xlfn.IFS(
OR(ISNUMBER(SEARCH("mouse",E607)),ISNUMBER(SEARCH("rat",E607)),ISNUMBER(SEARCH("mice",E607)),ISNUMBER(SEARCH("rodent",E607))),"Rodent Control",
OR(ISNUMBER(SEARCH("fly",E607)),ISNUMBER(SEARCH("gnat",E607)),ISNUMBER(SEARCH("insect",E607)),ISNUMBER(SEARCH("mosquito",E607))),"Flying Insect Control",
OR(ISNUMBER(SEARCH("roach",E607)),ISNUMBER(SEARCH("ant",E607)),ISNUMBER(SEARCH("spider",E607)),ISNUMBER(SEARCH("cricket",E607)),ISNUMBER(SEARCH("scorpion",E607)),ISNUMBER(SEARCH("centipede",E607)),ISNUMBER(SEARCH("beetle",E607))),"Crawling Insect Control",
OR(ISNUMBER(SEARCH("tree",E607)),ISNUMBER(SEARCH("lantern",E607)),ISNUMBER(SEARCH("garden",E607)),ISNUMBER(SEARCH("plant",E607))),"Garden Pest Control",
OR(ISNUMBER(SEARCH("grass seed",E607)),ISNUMBER(SEARCH("seed mix",E607))),"Grass Seed",
OR(ISNUMBER(SEARCH("lawn food",E607)),ISNUMBER(SEARCH("fertilizer",E607))),"Lawn Fertilizer",
OR(ISNUMBER(SEARCH("patch",E607)),ISNUMBER(SEARCH("repair",E607)),ISNUMBER(SEARCH("thick'r",E607)),ISNUMBER(SEARCH("thick'r lawn",E607)),ISNUMBER(SEARCH("rapid grass",E607))),"Lawn Repair",
OR(ISNUMBER(SEARCH("weed",E607)),ISNUMBER(SEARCH("crabgrass",E607))),"Weed Control",
OR(ISNUMBER(SEARCH("fungicide",E607)),ISNUMBER(SEARCH("moss",E607))),"Disease &amp; Moss Control",
OR(ISNUMBER(SEARCH("plant food",E607)),ISNUMBER(SEARCH("miracid",E607))),"Plant Nutrition",
OR(ISNUMBER(SEARCH("perlite",E607))),"Soil Amendment",
OR(ISNUMBER(SEARCH("spreader",E607)),ISNUMBER(SEARCH("sprayer",E607)),ISNUMBER(SEARCH("mower",E607)),ISNUMBER(SEARCH("sweeper",E607)),ISNUMBER(SEARCH("pruner",E607)),ISNUMBER(SEARCH("trimmer",E607)),ISNUMBER(SEARCH("pole saw",E607))),"Garden Equipment",
TRUE,"Other"
)</f>
        <v>Other</v>
      </c>
      <c r="I607" s="7" t="str" cm="1">
        <f t="array" ref="I607">_xlfn.IFS(
OR(ISNUMBER(SEARCH("glue trap",E607)),ISNUMBER(SEARCH("glue board",E607))),"Glue Traps",
OR(ISNUMBER(SEARCH("snap trap",E607)),ISNUMBER(SEARCH("power-kill",E607)),ISNUMBER(SEARCH("wide pedal",E607)),ISNUMBER(SEARCH("metal pedal",E607))),"Snap Traps",
OR(ISNUMBER(SEARCH("electronic",E607)),ISNUMBER(SEARCH("zapper",E607))),"Electronic Traps",
OR(ISNUMBER(SEARCH("live catch",E607)),ISNUMBER(SEARCH("multi-catch",E607)),ISNUMBER(SEARCH("catch &amp; hold",E607)),ISNUMBER(SEARCH("tin cat",E607))),"Live Catch Traps",
OR(ISNUMBER(SEARCH("bait",E607)),ISNUMBER(SEARCH("poison",E607))),"Bait &amp; Poison",
ISNUMBER(SEARCH("repellent",E607)),"Repellents",
OR(ISNUMBER(SEARCH("fly trap",E607)),ISNUMBER(SEARCH("fly ribbon",E607)),ISNUMBER(SEARCH("fly stick",E607)),ISNUMBER(SEARCH("window fly",E607)),ISNUMBER(SEARCH("fly magnet",E607))),"Fly Traps",
OR(ISNUMBER(SEARCH("uv",E607)),ISNUMBER(SEARCH("fly light",E607)),ISNUMBER(SEARCH("plug-in",E607))),"UV Fly Traps",
ISNUMBER(SEARCH("roach",E607)),"Roach Traps",
ISNUMBER(SEARCH("ant",E607)),"Ant Traps",
ISNUMBER(SEARCH("spider",E607)),"Spider Traps",
ISNUMBER(SEARCH("mosquito",E607)),"Mosquito Traps",
ISNUMBER(SEARCH("beetle",E607)),"Beetle Traps",
ISNUMBER(SEARCH("lantern",E607)),"Lanternfly Control",
OR(ISNUMBER(SEARCH("tree shield",E607)),ISNUMBER(SEARCH("tree banding",E607)),ISNUMBER(SEARCH("insect barrier",E607))),"Tree Barriers",
OR(ISNUMBER(SEARCH("sun &amp; shade",E607)),ISNUMBER(SEARCH("sun and shade",E607))),"Sun &amp; Shade Mix",
ISNUMBER(SEARCH("tall fescue",E607)),"Tall Fescue",
ISNUMBER(SEARCH("bermudagrass",E607)),"Bermudagrass",
ISNUMBER(SEARCH("kentucky",E607)),"Kentucky Bluegrass",
ISNUMBER(SEARCH("zoysia",E607)),"Zoysia",
ISNUMBER(SEARCH("ryegrass",E607)),"Perennial Ryegrass",
ISNUMBER(SEARCH("centipede",E607)),"Centipede Grass",
ISNUMBER(SEARCH("dense shade",E607)),"Dense Shade Mix",
ISNUMBER(SEARCH("southern gold",E607)),"Southern Gold Mix",
ISNUMBER(SEARCH("heat-tolerant blue",E607)),"Heat-Tolerant Blue Mix",
ISNUMBER(SEARCH("high traffic",E607)),"High Traffic Mix",
ISNUMBER(SEARCH("quick fix",E607)),"Quick Fix Mix",
ISNUMBER(SEARCH("starter",E607)),"Starter Fertilizer",
ISNUMBER(SEARCH("weed &amp; feed",E607)),"Weed &amp; Feed",
ISNUMBER(SEARCH("lawn food",E607)),"Lawn Food",
ISNUMBER(SEARCH("triple action",E607)),"Triple Action Fertilizer",
ISNUMBER(SEARCH("green max",E607)),"Green Max Lawn Food",
ISNUMBER(SEARCH("patchmaster",E607)),"PatchMaster Repair",
ISNUMBER(SEARCH("ez seed",E607)),"EZ Seed Repair",
ISNUMBER(SEARCH("rapid grass",E607)),"Rapid Grass",
ISNUMBER(SEARCH("thick'r lawn",E607)),"Thick'R Lawn",
ISNUMBER(SEARCH("fungicide",E607)),"Fungicide",
ISNUMBER(SEARCH("moss",E607)),"Moss Control",
ISNUMBER(SEARCH("perlite",E607)),"Perlite",
ISNUMBER(SEARCH("plant food",E607)),"Plant Food",
ISNUMBER(SEARCH("spreader",E607)),"Spreader",
ISNUMBER(SEARCH("sprayer",E607)),"Sprayer",
ISNUMBER(SEARCH("mower",E607)),"Lawn Mower",
ISNUMBER(SEARCH("sweeper",E607)),"Lawn Sweeper",
OR(ISNUMBER(SEARCH("pruner",E607)),ISNUMBER(SEARCH("trimmer",E607)),ISNUMBER(SEARCH("pole saw",E607))),"Pruning Tools",
TRUE,"Other"
)</f>
        <v>Other</v>
      </c>
      <c r="J607" s="7" t="str">
        <f t="shared" si="171"/>
        <v>Other - Other</v>
      </c>
      <c r="K607" s="4">
        <v>500</v>
      </c>
      <c r="L607" s="4">
        <v>4.2</v>
      </c>
      <c r="M607" s="4">
        <v>2785</v>
      </c>
      <c r="N607" s="4" t="s">
        <v>3217</v>
      </c>
      <c r="O607" s="4">
        <f>VLOOKUP(A607,[13]Sheet1!$A:$M,2,0)</f>
        <v>50</v>
      </c>
      <c r="P607" s="4">
        <f>VLOOKUP(A607,[13]Sheet1!$A:$M,3,0)</f>
        <v>100</v>
      </c>
      <c r="Q607" s="4">
        <f>VLOOKUP(A607,[13]Sheet1!$A:$M,4,0)</f>
        <v>200</v>
      </c>
      <c r="R607" s="4">
        <f>VLOOKUP(A607,[13]Sheet1!$A:$M,5,0)</f>
        <v>1000</v>
      </c>
      <c r="S607" s="4">
        <f>VLOOKUP(A607,[13]Sheet1!$A:$M,6,0)</f>
        <v>200</v>
      </c>
      <c r="T607" s="4">
        <f>VLOOKUP(A607,[13]Sheet1!$A:$M,7,0)</f>
        <v>100</v>
      </c>
      <c r="U607" s="4">
        <f>VLOOKUP(A607,[13]Sheet1!$A:$M,8,0)</f>
        <v>1000</v>
      </c>
      <c r="V607" s="4">
        <f>VLOOKUP(A607,[13]Sheet1!$A:$M,9,0)</f>
        <v>1000</v>
      </c>
      <c r="W607" s="4">
        <f>VLOOKUP(A607,[13]Sheet1!$A:$M,10,0)</f>
        <v>500</v>
      </c>
      <c r="X607" s="4">
        <f>VLOOKUP(A607,[13]Sheet1!$A:$M,11,0)</f>
        <v>1000</v>
      </c>
      <c r="Y607" s="4">
        <f>VLOOKUP(A607,[13]Sheet1!$A:$M,12,0)</f>
        <v>200</v>
      </c>
      <c r="Z607" s="4">
        <f>VLOOKUP(A607,[13]Sheet1!$A:$M,13,0)</f>
        <v>50</v>
      </c>
      <c r="AA607" s="4">
        <f t="shared" si="176"/>
        <v>5400</v>
      </c>
      <c r="AB607" s="7">
        <f t="shared" si="177"/>
        <v>450</v>
      </c>
      <c r="AC607" s="15">
        <f t="shared" si="178"/>
        <v>450</v>
      </c>
      <c r="AD607" s="16">
        <f t="shared" si="179"/>
        <v>175446</v>
      </c>
      <c r="AE607" s="16">
        <f t="shared" si="180"/>
        <v>14620.5</v>
      </c>
      <c r="AF607" s="21">
        <v>5.61</v>
      </c>
      <c r="AG607" s="21">
        <v>32.49</v>
      </c>
      <c r="AH607" s="15">
        <f t="shared" si="158"/>
        <v>0.4257333333333333</v>
      </c>
      <c r="AI607" s="15">
        <f t="shared" si="159"/>
        <v>1.4900666666666662</v>
      </c>
      <c r="AJ607" s="10">
        <v>0.5</v>
      </c>
      <c r="AK607" s="10">
        <v>0.5</v>
      </c>
      <c r="AL607" s="21">
        <v>5.61</v>
      </c>
      <c r="AM607" s="9">
        <f t="shared" si="181"/>
        <v>4.8734999999999999</v>
      </c>
      <c r="AN607" s="9">
        <f t="shared" si="182"/>
        <v>0.97470000000000001</v>
      </c>
      <c r="AO607" s="9">
        <f t="shared" si="183"/>
        <v>6.4980000000000011</v>
      </c>
      <c r="AP607" s="9">
        <f t="shared" si="184"/>
        <v>0.64980000000000004</v>
      </c>
      <c r="AQ607" s="9">
        <f t="shared" si="185"/>
        <v>6.4980000000000011</v>
      </c>
      <c r="AR607" s="9">
        <f t="shared" si="186"/>
        <v>8.1225000000000005</v>
      </c>
      <c r="AS607" s="11">
        <f t="shared" si="187"/>
        <v>4.2573333333333325</v>
      </c>
      <c r="AT607" s="12">
        <f t="shared" si="188"/>
        <v>3.1743333333333332</v>
      </c>
    </row>
    <row r="608" spans="1:46" ht="16.5" x14ac:dyDescent="0.4">
      <c r="A608" s="4" t="s">
        <v>2598</v>
      </c>
      <c r="B608" s="4" t="s">
        <v>2710</v>
      </c>
      <c r="C608" s="4" t="s">
        <v>2712</v>
      </c>
      <c r="D608" s="4" t="s">
        <v>2777</v>
      </c>
      <c r="E608" s="4" t="s">
        <v>2936</v>
      </c>
      <c r="F608" s="4" t="s">
        <v>3095</v>
      </c>
      <c r="G608" s="7" t="str">
        <f>VLOOKUP(A608,[1]done!$A:$I,9,0)</f>
        <v>Insecticide/Fungicide</v>
      </c>
      <c r="H608" s="7" t="str" cm="1">
        <f t="array" ref="H608">_xlfn.IFS(
OR(ISNUMBER(SEARCH("mouse",E608)),ISNUMBER(SEARCH("rat",E608)),ISNUMBER(SEARCH("mice",E608)),ISNUMBER(SEARCH("rodent",E608))),"Rodent Control",
OR(ISNUMBER(SEARCH("fly",E608)),ISNUMBER(SEARCH("gnat",E608)),ISNUMBER(SEARCH("insect",E608)),ISNUMBER(SEARCH("mosquito",E608))),"Flying Insect Control",
OR(ISNUMBER(SEARCH("roach",E608)),ISNUMBER(SEARCH("ant",E608)),ISNUMBER(SEARCH("spider",E608)),ISNUMBER(SEARCH("cricket",E608)),ISNUMBER(SEARCH("scorpion",E608)),ISNUMBER(SEARCH("centipede",E608)),ISNUMBER(SEARCH("beetle",E608))),"Crawling Insect Control",
OR(ISNUMBER(SEARCH("tree",E608)),ISNUMBER(SEARCH("lantern",E608)),ISNUMBER(SEARCH("garden",E608)),ISNUMBER(SEARCH("plant",E608))),"Garden Pest Control",
OR(ISNUMBER(SEARCH("grass seed",E608)),ISNUMBER(SEARCH("seed mix",E608))),"Grass Seed",
OR(ISNUMBER(SEARCH("lawn food",E608)),ISNUMBER(SEARCH("fertilizer",E608))),"Lawn Fertilizer",
OR(ISNUMBER(SEARCH("patch",E608)),ISNUMBER(SEARCH("repair",E608)),ISNUMBER(SEARCH("thick'r",E608)),ISNUMBER(SEARCH("thick'r lawn",E608)),ISNUMBER(SEARCH("rapid grass",E608))),"Lawn Repair",
OR(ISNUMBER(SEARCH("weed",E608)),ISNUMBER(SEARCH("crabgrass",E608))),"Weed Control",
OR(ISNUMBER(SEARCH("fungicide",E608)),ISNUMBER(SEARCH("moss",E608))),"Disease &amp; Moss Control",
OR(ISNUMBER(SEARCH("plant food",E608)),ISNUMBER(SEARCH("miracid",E608))),"Plant Nutrition",
OR(ISNUMBER(SEARCH("perlite",E608))),"Soil Amendment",
OR(ISNUMBER(SEARCH("spreader",E608)),ISNUMBER(SEARCH("sprayer",E608)),ISNUMBER(SEARCH("mower",E608)),ISNUMBER(SEARCH("sweeper",E608)),ISNUMBER(SEARCH("pruner",E608)),ISNUMBER(SEARCH("trimmer",E608)),ISNUMBER(SEARCH("pole saw",E608))),"Garden Equipment",
TRUE,"Other"
)</f>
        <v>Rodent Control</v>
      </c>
      <c r="I608" s="7" t="str" cm="1">
        <f t="array" ref="I608">_xlfn.IFS(
OR(ISNUMBER(SEARCH("glue trap",E608)),ISNUMBER(SEARCH("glue board",E608))),"Glue Traps",
OR(ISNUMBER(SEARCH("snap trap",E608)),ISNUMBER(SEARCH("power-kill",E608)),ISNUMBER(SEARCH("wide pedal",E608)),ISNUMBER(SEARCH("metal pedal",E608))),"Snap Traps",
OR(ISNUMBER(SEARCH("electronic",E608)),ISNUMBER(SEARCH("zapper",E608))),"Electronic Traps",
OR(ISNUMBER(SEARCH("live catch",E608)),ISNUMBER(SEARCH("multi-catch",E608)),ISNUMBER(SEARCH("catch &amp; hold",E608)),ISNUMBER(SEARCH("tin cat",E608))),"Live Catch Traps",
OR(ISNUMBER(SEARCH("bait",E608)),ISNUMBER(SEARCH("poison",E608))),"Bait &amp; Poison",
ISNUMBER(SEARCH("repellent",E608)),"Repellents",
OR(ISNUMBER(SEARCH("fly trap",E608)),ISNUMBER(SEARCH("fly ribbon",E608)),ISNUMBER(SEARCH("fly stick",E608)),ISNUMBER(SEARCH("window fly",E608)),ISNUMBER(SEARCH("fly magnet",E608))),"Fly Traps",
OR(ISNUMBER(SEARCH("uv",E608)),ISNUMBER(SEARCH("fly light",E608)),ISNUMBER(SEARCH("plug-in",E608))),"UV Fly Traps",
ISNUMBER(SEARCH("roach",E608)),"Roach Traps",
ISNUMBER(SEARCH("ant",E608)),"Ant Traps",
ISNUMBER(SEARCH("spider",E608)),"Spider Traps",
ISNUMBER(SEARCH("mosquito",E608)),"Mosquito Traps",
ISNUMBER(SEARCH("beetle",E608)),"Beetle Traps",
ISNUMBER(SEARCH("lantern",E608)),"Lanternfly Control",
OR(ISNUMBER(SEARCH("tree shield",E608)),ISNUMBER(SEARCH("tree banding",E608)),ISNUMBER(SEARCH("insect barrier",E608))),"Tree Barriers",
OR(ISNUMBER(SEARCH("sun &amp; shade",E608)),ISNUMBER(SEARCH("sun and shade",E608))),"Sun &amp; Shade Mix",
ISNUMBER(SEARCH("tall fescue",E608)),"Tall Fescue",
ISNUMBER(SEARCH("bermudagrass",E608)),"Bermudagrass",
ISNUMBER(SEARCH("kentucky",E608)),"Kentucky Bluegrass",
ISNUMBER(SEARCH("zoysia",E608)),"Zoysia",
ISNUMBER(SEARCH("ryegrass",E608)),"Perennial Ryegrass",
ISNUMBER(SEARCH("centipede",E608)),"Centipede Grass",
ISNUMBER(SEARCH("dense shade",E608)),"Dense Shade Mix",
ISNUMBER(SEARCH("southern gold",E608)),"Southern Gold Mix",
ISNUMBER(SEARCH("heat-tolerant blue",E608)),"Heat-Tolerant Blue Mix",
ISNUMBER(SEARCH("high traffic",E608)),"High Traffic Mix",
ISNUMBER(SEARCH("quick fix",E608)),"Quick Fix Mix",
ISNUMBER(SEARCH("starter",E608)),"Starter Fertilizer",
ISNUMBER(SEARCH("weed &amp; feed",E608)),"Weed &amp; Feed",
ISNUMBER(SEARCH("lawn food",E608)),"Lawn Food",
ISNUMBER(SEARCH("triple action",E608)),"Triple Action Fertilizer",
ISNUMBER(SEARCH("green max",E608)),"Green Max Lawn Food",
ISNUMBER(SEARCH("patchmaster",E608)),"PatchMaster Repair",
ISNUMBER(SEARCH("ez seed",E608)),"EZ Seed Repair",
ISNUMBER(SEARCH("rapid grass",E608)),"Rapid Grass",
ISNUMBER(SEARCH("thick'r lawn",E608)),"Thick'R Lawn",
ISNUMBER(SEARCH("fungicide",E608)),"Fungicide",
ISNUMBER(SEARCH("moss",E608)),"Moss Control",
ISNUMBER(SEARCH("perlite",E608)),"Perlite",
ISNUMBER(SEARCH("plant food",E608)),"Plant Food",
ISNUMBER(SEARCH("spreader",E608)),"Spreader",
ISNUMBER(SEARCH("sprayer",E608)),"Sprayer",
ISNUMBER(SEARCH("mower",E608)),"Lawn Mower",
ISNUMBER(SEARCH("sweeper",E608)),"Lawn Sweeper",
OR(ISNUMBER(SEARCH("pruner",E608)),ISNUMBER(SEARCH("trimmer",E608)),ISNUMBER(SEARCH("pole saw",E608))),"Pruning Tools",
TRUE,"Other"
)</f>
        <v>Other</v>
      </c>
      <c r="J608" s="7" t="str">
        <f t="shared" si="171"/>
        <v>Rodent Control - Other</v>
      </c>
      <c r="K608" s="4">
        <v>500</v>
      </c>
      <c r="L608" s="4">
        <v>4.5999999999999996</v>
      </c>
      <c r="M608" s="4">
        <v>3121</v>
      </c>
      <c r="N608" s="4" t="s">
        <v>3223</v>
      </c>
      <c r="O608" s="4">
        <f>VLOOKUP(A608,[13]Sheet1!$A:$M,2,0)</f>
        <v>300</v>
      </c>
      <c r="P608" s="4">
        <f>VLOOKUP(A608,[13]Sheet1!$A:$M,3,0)</f>
        <v>300</v>
      </c>
      <c r="Q608" s="4">
        <f>VLOOKUP(A608,[13]Sheet1!$A:$M,4,0)</f>
        <v>1000</v>
      </c>
      <c r="R608" s="4">
        <f>VLOOKUP(A608,[13]Sheet1!$A:$M,5,0)</f>
        <v>2000</v>
      </c>
      <c r="S608" s="4">
        <f>VLOOKUP(A608,[13]Sheet1!$A:$M,6,0)</f>
        <v>1000</v>
      </c>
      <c r="T608" s="4">
        <f>VLOOKUP(A608,[13]Sheet1!$A:$M,7,0)</f>
        <v>1000</v>
      </c>
      <c r="U608" s="4">
        <f>VLOOKUP(A608,[13]Sheet1!$A:$M,8,0)</f>
        <v>900</v>
      </c>
      <c r="V608" s="4">
        <f>VLOOKUP(A608,[13]Sheet1!$A:$M,9,0)</f>
        <v>700</v>
      </c>
      <c r="W608" s="4">
        <f>VLOOKUP(A608,[13]Sheet1!$A:$M,10,0)</f>
        <v>500</v>
      </c>
      <c r="X608" s="4">
        <f>VLOOKUP(A608,[13]Sheet1!$A:$M,11,0)</f>
        <v>1000</v>
      </c>
      <c r="Y608" s="4">
        <f>VLOOKUP(A608,[13]Sheet1!$A:$M,12,0)</f>
        <v>600</v>
      </c>
      <c r="Z608" s="4">
        <f>VLOOKUP(A608,[13]Sheet1!$A:$M,13,0)</f>
        <v>1000</v>
      </c>
      <c r="AA608" s="4">
        <f t="shared" si="176"/>
        <v>10300</v>
      </c>
      <c r="AB608" s="7">
        <f t="shared" si="177"/>
        <v>858</v>
      </c>
      <c r="AC608" s="15">
        <f t="shared" si="178"/>
        <v>858.33333333333337</v>
      </c>
      <c r="AD608" s="16">
        <f t="shared" si="179"/>
        <v>328158</v>
      </c>
      <c r="AE608" s="16">
        <f t="shared" si="180"/>
        <v>27346.5</v>
      </c>
      <c r="AF608" s="21">
        <v>9.0399999999999991</v>
      </c>
      <c r="AG608" s="21">
        <v>31.86</v>
      </c>
      <c r="AH608" s="15">
        <f t="shared" si="158"/>
        <v>0.18026666666666671</v>
      </c>
      <c r="AI608" s="15">
        <f t="shared" si="159"/>
        <v>0.63093333333333346</v>
      </c>
      <c r="AJ608" s="10">
        <v>0.5</v>
      </c>
      <c r="AK608" s="10">
        <v>0.5</v>
      </c>
      <c r="AL608" s="21">
        <v>9.0399999999999991</v>
      </c>
      <c r="AM608" s="9">
        <f t="shared" si="181"/>
        <v>4.7789999999999999</v>
      </c>
      <c r="AN608" s="9">
        <f t="shared" si="182"/>
        <v>0.95579999999999998</v>
      </c>
      <c r="AO608" s="9">
        <f t="shared" si="183"/>
        <v>6.3719999999999999</v>
      </c>
      <c r="AP608" s="9">
        <f t="shared" si="184"/>
        <v>0.63719999999999999</v>
      </c>
      <c r="AQ608" s="9">
        <f t="shared" si="185"/>
        <v>6.3719999999999999</v>
      </c>
      <c r="AR608" s="9">
        <f t="shared" si="186"/>
        <v>7.9649999999999999</v>
      </c>
      <c r="AS608" s="11">
        <f t="shared" si="187"/>
        <v>1.8026666666666671</v>
      </c>
      <c r="AT608" s="12">
        <f t="shared" si="188"/>
        <v>0.74066666666666714</v>
      </c>
    </row>
    <row r="609" spans="1:46" ht="16.5" x14ac:dyDescent="0.4">
      <c r="A609" s="4" t="s">
        <v>2599</v>
      </c>
      <c r="B609" s="4" t="s">
        <v>2710</v>
      </c>
      <c r="C609" s="4" t="s">
        <v>2714</v>
      </c>
      <c r="D609" s="4" t="s">
        <v>2778</v>
      </c>
      <c r="E609" s="4" t="s">
        <v>2937</v>
      </c>
      <c r="F609" s="4" t="s">
        <v>3096</v>
      </c>
      <c r="G609" s="7" t="str">
        <f>VLOOKUP(A609,[1]done!$A:$I,9,0)</f>
        <v>Insecticide/Fungicide</v>
      </c>
      <c r="H609" s="7" t="str" cm="1">
        <f t="array" ref="H609">_xlfn.IFS(
OR(ISNUMBER(SEARCH("mouse",E609)),ISNUMBER(SEARCH("rat",E609)),ISNUMBER(SEARCH("mice",E609)),ISNUMBER(SEARCH("rodent",E609))),"Rodent Control",
OR(ISNUMBER(SEARCH("fly",E609)),ISNUMBER(SEARCH("gnat",E609)),ISNUMBER(SEARCH("insect",E609)),ISNUMBER(SEARCH("mosquito",E609))),"Flying Insect Control",
OR(ISNUMBER(SEARCH("roach",E609)),ISNUMBER(SEARCH("ant",E609)),ISNUMBER(SEARCH("spider",E609)),ISNUMBER(SEARCH("cricket",E609)),ISNUMBER(SEARCH("scorpion",E609)),ISNUMBER(SEARCH("centipede",E609)),ISNUMBER(SEARCH("beetle",E609))),"Crawling Insect Control",
OR(ISNUMBER(SEARCH("tree",E609)),ISNUMBER(SEARCH("lantern",E609)),ISNUMBER(SEARCH("garden",E609)),ISNUMBER(SEARCH("plant",E609))),"Garden Pest Control",
OR(ISNUMBER(SEARCH("grass seed",E609)),ISNUMBER(SEARCH("seed mix",E609))),"Grass Seed",
OR(ISNUMBER(SEARCH("lawn food",E609)),ISNUMBER(SEARCH("fertilizer",E609))),"Lawn Fertilizer",
OR(ISNUMBER(SEARCH("patch",E609)),ISNUMBER(SEARCH("repair",E609)),ISNUMBER(SEARCH("thick'r",E609)),ISNUMBER(SEARCH("thick'r lawn",E609)),ISNUMBER(SEARCH("rapid grass",E609))),"Lawn Repair",
OR(ISNUMBER(SEARCH("weed",E609)),ISNUMBER(SEARCH("crabgrass",E609))),"Weed Control",
OR(ISNUMBER(SEARCH("fungicide",E609)),ISNUMBER(SEARCH("moss",E609))),"Disease &amp; Moss Control",
OR(ISNUMBER(SEARCH("plant food",E609)),ISNUMBER(SEARCH("miracid",E609))),"Plant Nutrition",
OR(ISNUMBER(SEARCH("perlite",E609))),"Soil Amendment",
OR(ISNUMBER(SEARCH("spreader",E609)),ISNUMBER(SEARCH("sprayer",E609)),ISNUMBER(SEARCH("mower",E609)),ISNUMBER(SEARCH("sweeper",E609)),ISNUMBER(SEARCH("pruner",E609)),ISNUMBER(SEARCH("trimmer",E609)),ISNUMBER(SEARCH("pole saw",E609))),"Garden Equipment",
TRUE,"Other"
)</f>
        <v>Rodent Control</v>
      </c>
      <c r="I609" s="7" t="str" cm="1">
        <f t="array" ref="I609">_xlfn.IFS(
OR(ISNUMBER(SEARCH("glue trap",E609)),ISNUMBER(SEARCH("glue board",E609))),"Glue Traps",
OR(ISNUMBER(SEARCH("snap trap",E609)),ISNUMBER(SEARCH("power-kill",E609)),ISNUMBER(SEARCH("wide pedal",E609)),ISNUMBER(SEARCH("metal pedal",E609))),"Snap Traps",
OR(ISNUMBER(SEARCH("electronic",E609)),ISNUMBER(SEARCH("zapper",E609))),"Electronic Traps",
OR(ISNUMBER(SEARCH("live catch",E609)),ISNUMBER(SEARCH("multi-catch",E609)),ISNUMBER(SEARCH("catch &amp; hold",E609)),ISNUMBER(SEARCH("tin cat",E609))),"Live Catch Traps",
OR(ISNUMBER(SEARCH("bait",E609)),ISNUMBER(SEARCH("poison",E609))),"Bait &amp; Poison",
ISNUMBER(SEARCH("repellent",E609)),"Repellents",
OR(ISNUMBER(SEARCH("fly trap",E609)),ISNUMBER(SEARCH("fly ribbon",E609)),ISNUMBER(SEARCH("fly stick",E609)),ISNUMBER(SEARCH("window fly",E609)),ISNUMBER(SEARCH("fly magnet",E609))),"Fly Traps",
OR(ISNUMBER(SEARCH("uv",E609)),ISNUMBER(SEARCH("fly light",E609)),ISNUMBER(SEARCH("plug-in",E609))),"UV Fly Traps",
ISNUMBER(SEARCH("roach",E609)),"Roach Traps",
ISNUMBER(SEARCH("ant",E609)),"Ant Traps",
ISNUMBER(SEARCH("spider",E609)),"Spider Traps",
ISNUMBER(SEARCH("mosquito",E609)),"Mosquito Traps",
ISNUMBER(SEARCH("beetle",E609)),"Beetle Traps",
ISNUMBER(SEARCH("lantern",E609)),"Lanternfly Control",
OR(ISNUMBER(SEARCH("tree shield",E609)),ISNUMBER(SEARCH("tree banding",E609)),ISNUMBER(SEARCH("insect barrier",E609))),"Tree Barriers",
OR(ISNUMBER(SEARCH("sun &amp; shade",E609)),ISNUMBER(SEARCH("sun and shade",E609))),"Sun &amp; Shade Mix",
ISNUMBER(SEARCH("tall fescue",E609)),"Tall Fescue",
ISNUMBER(SEARCH("bermudagrass",E609)),"Bermudagrass",
ISNUMBER(SEARCH("kentucky",E609)),"Kentucky Bluegrass",
ISNUMBER(SEARCH("zoysia",E609)),"Zoysia",
ISNUMBER(SEARCH("ryegrass",E609)),"Perennial Ryegrass",
ISNUMBER(SEARCH("centipede",E609)),"Centipede Grass",
ISNUMBER(SEARCH("dense shade",E609)),"Dense Shade Mix",
ISNUMBER(SEARCH("southern gold",E609)),"Southern Gold Mix",
ISNUMBER(SEARCH("heat-tolerant blue",E609)),"Heat-Tolerant Blue Mix",
ISNUMBER(SEARCH("high traffic",E609)),"High Traffic Mix",
ISNUMBER(SEARCH("quick fix",E609)),"Quick Fix Mix",
ISNUMBER(SEARCH("starter",E609)),"Starter Fertilizer",
ISNUMBER(SEARCH("weed &amp; feed",E609)),"Weed &amp; Feed",
ISNUMBER(SEARCH("lawn food",E609)),"Lawn Food",
ISNUMBER(SEARCH("triple action",E609)),"Triple Action Fertilizer",
ISNUMBER(SEARCH("green max",E609)),"Green Max Lawn Food",
ISNUMBER(SEARCH("patchmaster",E609)),"PatchMaster Repair",
ISNUMBER(SEARCH("ez seed",E609)),"EZ Seed Repair",
ISNUMBER(SEARCH("rapid grass",E609)),"Rapid Grass",
ISNUMBER(SEARCH("thick'r lawn",E609)),"Thick'R Lawn",
ISNUMBER(SEARCH("fungicide",E609)),"Fungicide",
ISNUMBER(SEARCH("moss",E609)),"Moss Control",
ISNUMBER(SEARCH("perlite",E609)),"Perlite",
ISNUMBER(SEARCH("plant food",E609)),"Plant Food",
ISNUMBER(SEARCH("spreader",E609)),"Spreader",
ISNUMBER(SEARCH("sprayer",E609)),"Sprayer",
ISNUMBER(SEARCH("mower",E609)),"Lawn Mower",
ISNUMBER(SEARCH("sweeper",E609)),"Lawn Sweeper",
OR(ISNUMBER(SEARCH("pruner",E609)),ISNUMBER(SEARCH("trimmer",E609)),ISNUMBER(SEARCH("pole saw",E609))),"Pruning Tools",
TRUE,"Other"
)</f>
        <v>Other</v>
      </c>
      <c r="J609" s="7" t="str">
        <f t="shared" si="171"/>
        <v>Rodent Control - Other</v>
      </c>
      <c r="K609" s="4">
        <v>500</v>
      </c>
      <c r="L609" s="4">
        <v>4.4000000000000004</v>
      </c>
      <c r="M609" s="4">
        <v>3575</v>
      </c>
      <c r="N609" s="4" t="s">
        <v>3224</v>
      </c>
      <c r="O609" s="4">
        <f>VLOOKUP(A609,[13]Sheet1!$A:$M,2,0)</f>
        <v>200</v>
      </c>
      <c r="P609" s="4">
        <f>VLOOKUP(A609,[13]Sheet1!$A:$M,3,0)</f>
        <v>200</v>
      </c>
      <c r="Q609" s="4">
        <f>VLOOKUP(A609,[13]Sheet1!$A:$M,4,0)</f>
        <v>600</v>
      </c>
      <c r="R609" s="4">
        <f>VLOOKUP(A609,[13]Sheet1!$A:$M,5,0)</f>
        <v>600</v>
      </c>
      <c r="S609" s="4">
        <f>VLOOKUP(A609,[13]Sheet1!$A:$M,6,0)</f>
        <v>1000</v>
      </c>
      <c r="T609" s="4">
        <f>VLOOKUP(A609,[13]Sheet1!$A:$M,7,0)</f>
        <v>2000</v>
      </c>
      <c r="U609" s="4">
        <f>VLOOKUP(A609,[13]Sheet1!$A:$M,8,0)</f>
        <v>2000</v>
      </c>
      <c r="V609" s="4">
        <f>VLOOKUP(A609,[13]Sheet1!$A:$M,9,0)</f>
        <v>1000</v>
      </c>
      <c r="W609" s="4">
        <f>VLOOKUP(A609,[13]Sheet1!$A:$M,10,0)</f>
        <v>500</v>
      </c>
      <c r="X609" s="4">
        <f>VLOOKUP(A609,[13]Sheet1!$A:$M,11,0)</f>
        <v>600</v>
      </c>
      <c r="Y609" s="4">
        <f>VLOOKUP(A609,[13]Sheet1!$A:$M,12,0)</f>
        <v>300</v>
      </c>
      <c r="Z609" s="4">
        <f>VLOOKUP(A609,[13]Sheet1!$A:$M,13,0)</f>
        <v>100</v>
      </c>
      <c r="AA609" s="4">
        <f t="shared" si="176"/>
        <v>9100</v>
      </c>
      <c r="AB609" s="7">
        <f t="shared" si="177"/>
        <v>758</v>
      </c>
      <c r="AC609" s="15">
        <f t="shared" si="178"/>
        <v>758.33333333333337</v>
      </c>
      <c r="AD609" s="16">
        <f t="shared" si="179"/>
        <v>131768</v>
      </c>
      <c r="AE609" s="16">
        <f t="shared" si="180"/>
        <v>10980.666666666668</v>
      </c>
      <c r="AF609" s="21">
        <v>4.3499999999999996</v>
      </c>
      <c r="AG609" s="21">
        <v>14.48</v>
      </c>
      <c r="AH609" s="15">
        <f t="shared" ref="AH609:AH672" si="189">0.1*AS609</f>
        <v>2.946666666666671E-2</v>
      </c>
      <c r="AI609" s="15">
        <f t="shared" ref="AI609:AI672" si="190">0.35*AS609</f>
        <v>0.10313333333333347</v>
      </c>
      <c r="AJ609" s="10">
        <v>0.5</v>
      </c>
      <c r="AK609" s="10">
        <v>0.5</v>
      </c>
      <c r="AL609" s="21">
        <v>4.3499999999999996</v>
      </c>
      <c r="AM609" s="9">
        <f t="shared" si="181"/>
        <v>2.1720000000000002</v>
      </c>
      <c r="AN609" s="9">
        <f t="shared" si="182"/>
        <v>0.43440000000000001</v>
      </c>
      <c r="AO609" s="9">
        <f t="shared" si="183"/>
        <v>2.8960000000000004</v>
      </c>
      <c r="AP609" s="9">
        <f t="shared" si="184"/>
        <v>0.28960000000000002</v>
      </c>
      <c r="AQ609" s="9">
        <f t="shared" si="185"/>
        <v>2.8960000000000004</v>
      </c>
      <c r="AR609" s="9">
        <f t="shared" si="186"/>
        <v>3.62</v>
      </c>
      <c r="AS609" s="11">
        <f t="shared" si="187"/>
        <v>0.29466666666666708</v>
      </c>
      <c r="AT609" s="12">
        <f t="shared" si="188"/>
        <v>-0.18799999999999942</v>
      </c>
    </row>
    <row r="610" spans="1:46" ht="16.5" x14ac:dyDescent="0.4">
      <c r="A610" s="4" t="s">
        <v>2600</v>
      </c>
      <c r="B610" s="4" t="s">
        <v>2710</v>
      </c>
      <c r="C610" s="4" t="s">
        <v>2712</v>
      </c>
      <c r="D610" s="4" t="s">
        <v>2779</v>
      </c>
      <c r="E610" s="4" t="s">
        <v>2938</v>
      </c>
      <c r="F610" s="4" t="s">
        <v>3097</v>
      </c>
      <c r="G610" s="7" t="str">
        <f>VLOOKUP(A610,[1]done!$A:$I,9,0)</f>
        <v>Other crawling insects</v>
      </c>
      <c r="H610" s="7" t="str" cm="1">
        <f t="array" ref="H610">_xlfn.IFS(
OR(ISNUMBER(SEARCH("mouse",E610)),ISNUMBER(SEARCH("rat",E610)),ISNUMBER(SEARCH("mice",E610)),ISNUMBER(SEARCH("rodent",E610))),"Rodent Control",
OR(ISNUMBER(SEARCH("fly",E610)),ISNUMBER(SEARCH("gnat",E610)),ISNUMBER(SEARCH("insect",E610)),ISNUMBER(SEARCH("mosquito",E610))),"Flying Insect Control",
OR(ISNUMBER(SEARCH("roach",E610)),ISNUMBER(SEARCH("ant",E610)),ISNUMBER(SEARCH("spider",E610)),ISNUMBER(SEARCH("cricket",E610)),ISNUMBER(SEARCH("scorpion",E610)),ISNUMBER(SEARCH("centipede",E610)),ISNUMBER(SEARCH("beetle",E610))),"Crawling Insect Control",
OR(ISNUMBER(SEARCH("tree",E610)),ISNUMBER(SEARCH("lantern",E610)),ISNUMBER(SEARCH("garden",E610)),ISNUMBER(SEARCH("plant",E610))),"Garden Pest Control",
OR(ISNUMBER(SEARCH("grass seed",E610)),ISNUMBER(SEARCH("seed mix",E610))),"Grass Seed",
OR(ISNUMBER(SEARCH("lawn food",E610)),ISNUMBER(SEARCH("fertilizer",E610))),"Lawn Fertilizer",
OR(ISNUMBER(SEARCH("patch",E610)),ISNUMBER(SEARCH("repair",E610)),ISNUMBER(SEARCH("thick'r",E610)),ISNUMBER(SEARCH("thick'r lawn",E610)),ISNUMBER(SEARCH("rapid grass",E610))),"Lawn Repair",
OR(ISNUMBER(SEARCH("weed",E610)),ISNUMBER(SEARCH("crabgrass",E610))),"Weed Control",
OR(ISNUMBER(SEARCH("fungicide",E610)),ISNUMBER(SEARCH("moss",E610))),"Disease &amp; Moss Control",
OR(ISNUMBER(SEARCH("plant food",E610)),ISNUMBER(SEARCH("miracid",E610))),"Plant Nutrition",
OR(ISNUMBER(SEARCH("perlite",E610))),"Soil Amendment",
OR(ISNUMBER(SEARCH("spreader",E610)),ISNUMBER(SEARCH("sprayer",E610)),ISNUMBER(SEARCH("mower",E610)),ISNUMBER(SEARCH("sweeper",E610)),ISNUMBER(SEARCH("pruner",E610)),ISNUMBER(SEARCH("trimmer",E610)),ISNUMBER(SEARCH("pole saw",E610))),"Garden Equipment",
TRUE,"Other"
)</f>
        <v>Rodent Control</v>
      </c>
      <c r="I610" s="7" t="str" cm="1">
        <f t="array" ref="I610">_xlfn.IFS(
OR(ISNUMBER(SEARCH("glue trap",E610)),ISNUMBER(SEARCH("glue board",E610))),"Glue Traps",
OR(ISNUMBER(SEARCH("snap trap",E610)),ISNUMBER(SEARCH("power-kill",E610)),ISNUMBER(SEARCH("wide pedal",E610)),ISNUMBER(SEARCH("metal pedal",E610))),"Snap Traps",
OR(ISNUMBER(SEARCH("electronic",E610)),ISNUMBER(SEARCH("zapper",E610))),"Electronic Traps",
OR(ISNUMBER(SEARCH("live catch",E610)),ISNUMBER(SEARCH("multi-catch",E610)),ISNUMBER(SEARCH("catch &amp; hold",E610)),ISNUMBER(SEARCH("tin cat",E610))),"Live Catch Traps",
OR(ISNUMBER(SEARCH("bait",E610)),ISNUMBER(SEARCH("poison",E610))),"Bait &amp; Poison",
ISNUMBER(SEARCH("repellent",E610)),"Repellents",
OR(ISNUMBER(SEARCH("fly trap",E610)),ISNUMBER(SEARCH("fly ribbon",E610)),ISNUMBER(SEARCH("fly stick",E610)),ISNUMBER(SEARCH("window fly",E610)),ISNUMBER(SEARCH("fly magnet",E610))),"Fly Traps",
OR(ISNUMBER(SEARCH("uv",E610)),ISNUMBER(SEARCH("fly light",E610)),ISNUMBER(SEARCH("plug-in",E610))),"UV Fly Traps",
ISNUMBER(SEARCH("roach",E610)),"Roach Traps",
ISNUMBER(SEARCH("ant",E610)),"Ant Traps",
ISNUMBER(SEARCH("spider",E610)),"Spider Traps",
ISNUMBER(SEARCH("mosquito",E610)),"Mosquito Traps",
ISNUMBER(SEARCH("beetle",E610)),"Beetle Traps",
ISNUMBER(SEARCH("lantern",E610)),"Lanternfly Control",
OR(ISNUMBER(SEARCH("tree shield",E610)),ISNUMBER(SEARCH("tree banding",E610)),ISNUMBER(SEARCH("insect barrier",E610))),"Tree Barriers",
OR(ISNUMBER(SEARCH("sun &amp; shade",E610)),ISNUMBER(SEARCH("sun and shade",E610))),"Sun &amp; Shade Mix",
ISNUMBER(SEARCH("tall fescue",E610)),"Tall Fescue",
ISNUMBER(SEARCH("bermudagrass",E610)),"Bermudagrass",
ISNUMBER(SEARCH("kentucky",E610)),"Kentucky Bluegrass",
ISNUMBER(SEARCH("zoysia",E610)),"Zoysia",
ISNUMBER(SEARCH("ryegrass",E610)),"Perennial Ryegrass",
ISNUMBER(SEARCH("centipede",E610)),"Centipede Grass",
ISNUMBER(SEARCH("dense shade",E610)),"Dense Shade Mix",
ISNUMBER(SEARCH("southern gold",E610)),"Southern Gold Mix",
ISNUMBER(SEARCH("heat-tolerant blue",E610)),"Heat-Tolerant Blue Mix",
ISNUMBER(SEARCH("high traffic",E610)),"High Traffic Mix",
ISNUMBER(SEARCH("quick fix",E610)),"Quick Fix Mix",
ISNUMBER(SEARCH("starter",E610)),"Starter Fertilizer",
ISNUMBER(SEARCH("weed &amp; feed",E610)),"Weed &amp; Feed",
ISNUMBER(SEARCH("lawn food",E610)),"Lawn Food",
ISNUMBER(SEARCH("triple action",E610)),"Triple Action Fertilizer",
ISNUMBER(SEARCH("green max",E610)),"Green Max Lawn Food",
ISNUMBER(SEARCH("patchmaster",E610)),"PatchMaster Repair",
ISNUMBER(SEARCH("ez seed",E610)),"EZ Seed Repair",
ISNUMBER(SEARCH("rapid grass",E610)),"Rapid Grass",
ISNUMBER(SEARCH("thick'r lawn",E610)),"Thick'R Lawn",
ISNUMBER(SEARCH("fungicide",E610)),"Fungicide",
ISNUMBER(SEARCH("moss",E610)),"Moss Control",
ISNUMBER(SEARCH("perlite",E610)),"Perlite",
ISNUMBER(SEARCH("plant food",E610)),"Plant Food",
ISNUMBER(SEARCH("spreader",E610)),"Spreader",
ISNUMBER(SEARCH("sprayer",E610)),"Sprayer",
ISNUMBER(SEARCH("mower",E610)),"Lawn Mower",
ISNUMBER(SEARCH("sweeper",E610)),"Lawn Sweeper",
OR(ISNUMBER(SEARCH("pruner",E610)),ISNUMBER(SEARCH("trimmer",E610)),ISNUMBER(SEARCH("pole saw",E610))),"Pruning Tools",
TRUE,"Other"
)</f>
        <v>Ant Traps</v>
      </c>
      <c r="J610" s="7" t="str">
        <f t="shared" si="171"/>
        <v>Rodent Control - Ant Traps</v>
      </c>
      <c r="K610" s="4">
        <v>500</v>
      </c>
      <c r="L610" s="4">
        <v>4.5</v>
      </c>
      <c r="M610" s="4">
        <v>1705</v>
      </c>
      <c r="N610" s="4" t="s">
        <v>3217</v>
      </c>
      <c r="O610" s="4">
        <f>VLOOKUP(A610,[13]Sheet1!$A:$M,2,0)</f>
        <v>100</v>
      </c>
      <c r="P610" s="4">
        <f>VLOOKUP(A610,[13]Sheet1!$A:$M,3,0)</f>
        <v>100</v>
      </c>
      <c r="Q610" s="4">
        <f>VLOOKUP(A610,[13]Sheet1!$A:$M,4,0)</f>
        <v>400</v>
      </c>
      <c r="R610" s="4">
        <f>VLOOKUP(A610,[13]Sheet1!$A:$M,5,0)</f>
        <v>500</v>
      </c>
      <c r="S610" s="4">
        <f>VLOOKUP(A610,[13]Sheet1!$A:$M,6,0)</f>
        <v>600</v>
      </c>
      <c r="T610" s="4">
        <f>VLOOKUP(A610,[13]Sheet1!$A:$M,7,0)</f>
        <v>800</v>
      </c>
      <c r="U610" s="4">
        <f>VLOOKUP(A610,[13]Sheet1!$A:$M,8,0)</f>
        <v>800</v>
      </c>
      <c r="V610" s="4">
        <f>VLOOKUP(A610,[13]Sheet1!$A:$M,9,0)</f>
        <v>800</v>
      </c>
      <c r="W610" s="4">
        <f>VLOOKUP(A610,[13]Sheet1!$A:$M,10,0)</f>
        <v>500</v>
      </c>
      <c r="X610" s="4">
        <f>VLOOKUP(A610,[13]Sheet1!$A:$M,11,0)</f>
        <v>500</v>
      </c>
      <c r="Y610" s="4">
        <f>VLOOKUP(A610,[13]Sheet1!$A:$M,12,0)</f>
        <v>100</v>
      </c>
      <c r="Z610" s="4">
        <f>VLOOKUP(A610,[13]Sheet1!$A:$M,13,0)</f>
        <v>100</v>
      </c>
      <c r="AA610" s="4">
        <f t="shared" si="176"/>
        <v>5300</v>
      </c>
      <c r="AB610" s="7">
        <f t="shared" si="177"/>
        <v>442</v>
      </c>
      <c r="AC610" s="15">
        <f t="shared" si="178"/>
        <v>441.66666666666669</v>
      </c>
      <c r="AD610" s="16">
        <f t="shared" si="179"/>
        <v>84747</v>
      </c>
      <c r="AE610" s="16">
        <f t="shared" si="180"/>
        <v>7062.25</v>
      </c>
      <c r="AF610" s="21">
        <v>5.22</v>
      </c>
      <c r="AG610" s="21">
        <v>15.99</v>
      </c>
      <c r="AH610" s="15">
        <f t="shared" si="189"/>
        <v>1.1733333333333285E-2</v>
      </c>
      <c r="AI610" s="15">
        <f t="shared" si="190"/>
        <v>4.1066666666666495E-2</v>
      </c>
      <c r="AJ610" s="10">
        <v>0.5</v>
      </c>
      <c r="AK610" s="10">
        <v>0.5</v>
      </c>
      <c r="AL610" s="21">
        <v>5.22</v>
      </c>
      <c r="AM610" s="9">
        <f t="shared" si="181"/>
        <v>2.3984999999999999</v>
      </c>
      <c r="AN610" s="9">
        <f t="shared" si="182"/>
        <v>0.47970000000000002</v>
      </c>
      <c r="AO610" s="9">
        <f t="shared" si="183"/>
        <v>3.1980000000000004</v>
      </c>
      <c r="AP610" s="9">
        <f t="shared" si="184"/>
        <v>0.31980000000000003</v>
      </c>
      <c r="AQ610" s="9">
        <f t="shared" si="185"/>
        <v>3.1980000000000004</v>
      </c>
      <c r="AR610" s="9">
        <f t="shared" si="186"/>
        <v>3.9975000000000001</v>
      </c>
      <c r="AS610" s="11">
        <f t="shared" si="187"/>
        <v>0.11733333333333285</v>
      </c>
      <c r="AT610" s="12">
        <f t="shared" si="188"/>
        <v>-0.41566666666666691</v>
      </c>
    </row>
    <row r="611" spans="1:46" ht="16.5" x14ac:dyDescent="0.4">
      <c r="A611" s="4" t="s">
        <v>2601</v>
      </c>
      <c r="B611" s="4" t="s">
        <v>2710</v>
      </c>
      <c r="C611" s="4" t="s">
        <v>2712</v>
      </c>
      <c r="D611" s="4" t="s">
        <v>2780</v>
      </c>
      <c r="E611" s="4" t="s">
        <v>2939</v>
      </c>
      <c r="F611" s="4" t="s">
        <v>3098</v>
      </c>
      <c r="G611" s="7" t="str">
        <f>VLOOKUP(A611,[1]done!$A:$I,9,0)</f>
        <v>Oil based pest repellent</v>
      </c>
      <c r="H611" s="7" t="str" cm="1">
        <f t="array" ref="H611">_xlfn.IFS(
OR(ISNUMBER(SEARCH("mouse",E611)),ISNUMBER(SEARCH("rat",E611)),ISNUMBER(SEARCH("mice",E611)),ISNUMBER(SEARCH("rodent",E611))),"Rodent Control",
OR(ISNUMBER(SEARCH("fly",E611)),ISNUMBER(SEARCH("gnat",E611)),ISNUMBER(SEARCH("insect",E611)),ISNUMBER(SEARCH("mosquito",E611))),"Flying Insect Control",
OR(ISNUMBER(SEARCH("roach",E611)),ISNUMBER(SEARCH("ant",E611)),ISNUMBER(SEARCH("spider",E611)),ISNUMBER(SEARCH("cricket",E611)),ISNUMBER(SEARCH("scorpion",E611)),ISNUMBER(SEARCH("centipede",E611)),ISNUMBER(SEARCH("beetle",E611))),"Crawling Insect Control",
OR(ISNUMBER(SEARCH("tree",E611)),ISNUMBER(SEARCH("lantern",E611)),ISNUMBER(SEARCH("garden",E611)),ISNUMBER(SEARCH("plant",E611))),"Garden Pest Control",
OR(ISNUMBER(SEARCH("grass seed",E611)),ISNUMBER(SEARCH("seed mix",E611))),"Grass Seed",
OR(ISNUMBER(SEARCH("lawn food",E611)),ISNUMBER(SEARCH("fertilizer",E611))),"Lawn Fertilizer",
OR(ISNUMBER(SEARCH("patch",E611)),ISNUMBER(SEARCH("repair",E611)),ISNUMBER(SEARCH("thick'r",E611)),ISNUMBER(SEARCH("thick'r lawn",E611)),ISNUMBER(SEARCH("rapid grass",E611))),"Lawn Repair",
OR(ISNUMBER(SEARCH("weed",E611)),ISNUMBER(SEARCH("crabgrass",E611))),"Weed Control",
OR(ISNUMBER(SEARCH("fungicide",E611)),ISNUMBER(SEARCH("moss",E611))),"Disease &amp; Moss Control",
OR(ISNUMBER(SEARCH("plant food",E611)),ISNUMBER(SEARCH("miracid",E611))),"Plant Nutrition",
OR(ISNUMBER(SEARCH("perlite",E611))),"Soil Amendment",
OR(ISNUMBER(SEARCH("spreader",E611)),ISNUMBER(SEARCH("sprayer",E611)),ISNUMBER(SEARCH("mower",E611)),ISNUMBER(SEARCH("sweeper",E611)),ISNUMBER(SEARCH("pruner",E611)),ISNUMBER(SEARCH("trimmer",E611)),ISNUMBER(SEARCH("pole saw",E611))),"Garden Equipment",
TRUE,"Other"
)</f>
        <v>Other</v>
      </c>
      <c r="I611" s="7" t="str" cm="1">
        <f t="array" ref="I611">_xlfn.IFS(
OR(ISNUMBER(SEARCH("glue trap",E611)),ISNUMBER(SEARCH("glue board",E611))),"Glue Traps",
OR(ISNUMBER(SEARCH("snap trap",E611)),ISNUMBER(SEARCH("power-kill",E611)),ISNUMBER(SEARCH("wide pedal",E611)),ISNUMBER(SEARCH("metal pedal",E611))),"Snap Traps",
OR(ISNUMBER(SEARCH("electronic",E611)),ISNUMBER(SEARCH("zapper",E611))),"Electronic Traps",
OR(ISNUMBER(SEARCH("live catch",E611)),ISNUMBER(SEARCH("multi-catch",E611)),ISNUMBER(SEARCH("catch &amp; hold",E611)),ISNUMBER(SEARCH("tin cat",E611))),"Live Catch Traps",
OR(ISNUMBER(SEARCH("bait",E611)),ISNUMBER(SEARCH("poison",E611))),"Bait &amp; Poison",
ISNUMBER(SEARCH("repellent",E611)),"Repellents",
OR(ISNUMBER(SEARCH("fly trap",E611)),ISNUMBER(SEARCH("fly ribbon",E611)),ISNUMBER(SEARCH("fly stick",E611)),ISNUMBER(SEARCH("window fly",E611)),ISNUMBER(SEARCH("fly magnet",E611))),"Fly Traps",
OR(ISNUMBER(SEARCH("uv",E611)),ISNUMBER(SEARCH("fly light",E611)),ISNUMBER(SEARCH("plug-in",E611))),"UV Fly Traps",
ISNUMBER(SEARCH("roach",E611)),"Roach Traps",
ISNUMBER(SEARCH("ant",E611)),"Ant Traps",
ISNUMBER(SEARCH("spider",E611)),"Spider Traps",
ISNUMBER(SEARCH("mosquito",E611)),"Mosquito Traps",
ISNUMBER(SEARCH("beetle",E611)),"Beetle Traps",
ISNUMBER(SEARCH("lantern",E611)),"Lanternfly Control",
OR(ISNUMBER(SEARCH("tree shield",E611)),ISNUMBER(SEARCH("tree banding",E611)),ISNUMBER(SEARCH("insect barrier",E611))),"Tree Barriers",
OR(ISNUMBER(SEARCH("sun &amp; shade",E611)),ISNUMBER(SEARCH("sun and shade",E611))),"Sun &amp; Shade Mix",
ISNUMBER(SEARCH("tall fescue",E611)),"Tall Fescue",
ISNUMBER(SEARCH("bermudagrass",E611)),"Bermudagrass",
ISNUMBER(SEARCH("kentucky",E611)),"Kentucky Bluegrass",
ISNUMBER(SEARCH("zoysia",E611)),"Zoysia",
ISNUMBER(SEARCH("ryegrass",E611)),"Perennial Ryegrass",
ISNUMBER(SEARCH("centipede",E611)),"Centipede Grass",
ISNUMBER(SEARCH("dense shade",E611)),"Dense Shade Mix",
ISNUMBER(SEARCH("southern gold",E611)),"Southern Gold Mix",
ISNUMBER(SEARCH("heat-tolerant blue",E611)),"Heat-Tolerant Blue Mix",
ISNUMBER(SEARCH("high traffic",E611)),"High Traffic Mix",
ISNUMBER(SEARCH("quick fix",E611)),"Quick Fix Mix",
ISNUMBER(SEARCH("starter",E611)),"Starter Fertilizer",
ISNUMBER(SEARCH("weed &amp; feed",E611)),"Weed &amp; Feed",
ISNUMBER(SEARCH("lawn food",E611)),"Lawn Food",
ISNUMBER(SEARCH("triple action",E611)),"Triple Action Fertilizer",
ISNUMBER(SEARCH("green max",E611)),"Green Max Lawn Food",
ISNUMBER(SEARCH("patchmaster",E611)),"PatchMaster Repair",
ISNUMBER(SEARCH("ez seed",E611)),"EZ Seed Repair",
ISNUMBER(SEARCH("rapid grass",E611)),"Rapid Grass",
ISNUMBER(SEARCH("thick'r lawn",E611)),"Thick'R Lawn",
ISNUMBER(SEARCH("fungicide",E611)),"Fungicide",
ISNUMBER(SEARCH("moss",E611)),"Moss Control",
ISNUMBER(SEARCH("perlite",E611)),"Perlite",
ISNUMBER(SEARCH("plant food",E611)),"Plant Food",
ISNUMBER(SEARCH("spreader",E611)),"Spreader",
ISNUMBER(SEARCH("sprayer",E611)),"Sprayer",
ISNUMBER(SEARCH("mower",E611)),"Lawn Mower",
ISNUMBER(SEARCH("sweeper",E611)),"Lawn Sweeper",
OR(ISNUMBER(SEARCH("pruner",E611)),ISNUMBER(SEARCH("trimmer",E611)),ISNUMBER(SEARCH("pole saw",E611))),"Pruning Tools",
TRUE,"Other"
)</f>
        <v>Other</v>
      </c>
      <c r="J611" s="7" t="str">
        <f t="shared" si="171"/>
        <v>Other - Other</v>
      </c>
      <c r="K611" s="4">
        <v>500</v>
      </c>
      <c r="L611" s="4">
        <v>4.4000000000000004</v>
      </c>
      <c r="M611" s="4">
        <v>287</v>
      </c>
      <c r="O611" s="4">
        <f>VLOOKUP(A611,[13]Sheet1!$A:$M,2,0)</f>
        <v>50</v>
      </c>
      <c r="P611" s="4">
        <f>VLOOKUP(A611,[13]Sheet1!$A:$M,3,0)</f>
        <v>50</v>
      </c>
      <c r="Q611" s="4">
        <f>VLOOKUP(A611,[13]Sheet1!$A:$M,4,0)</f>
        <v>100</v>
      </c>
      <c r="R611" s="4">
        <f>VLOOKUP(A611,[13]Sheet1!$A:$M,5,0)</f>
        <v>600</v>
      </c>
      <c r="S611" s="4">
        <f>VLOOKUP(A611,[13]Sheet1!$A:$M,6,0)</f>
        <v>1000</v>
      </c>
      <c r="T611" s="4">
        <f>VLOOKUP(A611,[13]Sheet1!$A:$M,7,0)</f>
        <v>1000</v>
      </c>
      <c r="U611" s="4">
        <f>VLOOKUP(A611,[13]Sheet1!$A:$M,8,0)</f>
        <v>1000</v>
      </c>
      <c r="V611" s="4">
        <f>VLOOKUP(A611,[13]Sheet1!$A:$M,9,0)</f>
        <v>1000</v>
      </c>
      <c r="W611" s="4">
        <f>VLOOKUP(A611,[13]Sheet1!$A:$M,10,0)</f>
        <v>500</v>
      </c>
      <c r="X611" s="4">
        <f>VLOOKUP(A611,[13]Sheet1!$A:$M,11,0)</f>
        <v>400</v>
      </c>
      <c r="Y611" s="4">
        <f>VLOOKUP(A611,[13]Sheet1!$A:$M,12,0)</f>
        <v>200</v>
      </c>
      <c r="Z611" s="4">
        <f>VLOOKUP(A611,[13]Sheet1!$A:$M,13,0)</f>
        <v>100</v>
      </c>
      <c r="AA611" s="4">
        <f t="shared" si="176"/>
        <v>6000</v>
      </c>
      <c r="AB611" s="7">
        <f t="shared" si="177"/>
        <v>500</v>
      </c>
      <c r="AC611" s="15">
        <f t="shared" si="178"/>
        <v>500</v>
      </c>
      <c r="AD611" s="16">
        <f t="shared" si="179"/>
        <v>132000</v>
      </c>
      <c r="AE611" s="16">
        <f t="shared" si="180"/>
        <v>11000</v>
      </c>
      <c r="AF611" s="21">
        <v>5.22</v>
      </c>
      <c r="AG611" s="21">
        <v>22</v>
      </c>
      <c r="AH611" s="15">
        <f t="shared" si="189"/>
        <v>0.17199999999999996</v>
      </c>
      <c r="AI611" s="15">
        <f t="shared" si="190"/>
        <v>0.60199999999999976</v>
      </c>
      <c r="AJ611" s="10">
        <v>0.5</v>
      </c>
      <c r="AK611" s="10">
        <v>0.5</v>
      </c>
      <c r="AL611" s="21">
        <v>5.22</v>
      </c>
      <c r="AM611" s="9">
        <f t="shared" si="181"/>
        <v>3.3</v>
      </c>
      <c r="AN611" s="9">
        <f t="shared" si="182"/>
        <v>0.65999999999999992</v>
      </c>
      <c r="AO611" s="9">
        <f t="shared" si="183"/>
        <v>4.4000000000000004</v>
      </c>
      <c r="AP611" s="9">
        <f t="shared" si="184"/>
        <v>0.44</v>
      </c>
      <c r="AQ611" s="9">
        <f t="shared" si="185"/>
        <v>4.4000000000000004</v>
      </c>
      <c r="AR611" s="9">
        <f t="shared" si="186"/>
        <v>5.5</v>
      </c>
      <c r="AS611" s="11">
        <f t="shared" si="187"/>
        <v>1.7199999999999995</v>
      </c>
      <c r="AT611" s="12">
        <f t="shared" si="188"/>
        <v>0.98666666666666636</v>
      </c>
    </row>
    <row r="612" spans="1:46" ht="16.5" x14ac:dyDescent="0.4">
      <c r="A612" s="4" t="s">
        <v>2602</v>
      </c>
      <c r="B612" s="4" t="s">
        <v>2710</v>
      </c>
      <c r="C612" s="4" t="s">
        <v>2712</v>
      </c>
      <c r="D612" s="4" t="s">
        <v>2781</v>
      </c>
      <c r="E612" s="4" t="s">
        <v>2940</v>
      </c>
      <c r="F612" s="4" t="s">
        <v>3099</v>
      </c>
      <c r="G612" s="7" t="str">
        <f>VLOOKUP(A612,[1]done!$A:$I,9,0)</f>
        <v>Insecticide/Fungicide</v>
      </c>
      <c r="H612" s="7" t="str" cm="1">
        <f t="array" ref="H612">_xlfn.IFS(
OR(ISNUMBER(SEARCH("mouse",E612)),ISNUMBER(SEARCH("rat",E612)),ISNUMBER(SEARCH("mice",E612)),ISNUMBER(SEARCH("rodent",E612))),"Rodent Control",
OR(ISNUMBER(SEARCH("fly",E612)),ISNUMBER(SEARCH("gnat",E612)),ISNUMBER(SEARCH("insect",E612)),ISNUMBER(SEARCH("mosquito",E612))),"Flying Insect Control",
OR(ISNUMBER(SEARCH("roach",E612)),ISNUMBER(SEARCH("ant",E612)),ISNUMBER(SEARCH("spider",E612)),ISNUMBER(SEARCH("cricket",E612)),ISNUMBER(SEARCH("scorpion",E612)),ISNUMBER(SEARCH("centipede",E612)),ISNUMBER(SEARCH("beetle",E612))),"Crawling Insect Control",
OR(ISNUMBER(SEARCH("tree",E612)),ISNUMBER(SEARCH("lantern",E612)),ISNUMBER(SEARCH("garden",E612)),ISNUMBER(SEARCH("plant",E612))),"Garden Pest Control",
OR(ISNUMBER(SEARCH("grass seed",E612)),ISNUMBER(SEARCH("seed mix",E612))),"Grass Seed",
OR(ISNUMBER(SEARCH("lawn food",E612)),ISNUMBER(SEARCH("fertilizer",E612))),"Lawn Fertilizer",
OR(ISNUMBER(SEARCH("patch",E612)),ISNUMBER(SEARCH("repair",E612)),ISNUMBER(SEARCH("thick'r",E612)),ISNUMBER(SEARCH("thick'r lawn",E612)),ISNUMBER(SEARCH("rapid grass",E612))),"Lawn Repair",
OR(ISNUMBER(SEARCH("weed",E612)),ISNUMBER(SEARCH("crabgrass",E612))),"Weed Control",
OR(ISNUMBER(SEARCH("fungicide",E612)),ISNUMBER(SEARCH("moss",E612))),"Disease &amp; Moss Control",
OR(ISNUMBER(SEARCH("plant food",E612)),ISNUMBER(SEARCH("miracid",E612))),"Plant Nutrition",
OR(ISNUMBER(SEARCH("perlite",E612))),"Soil Amendment",
OR(ISNUMBER(SEARCH("spreader",E612)),ISNUMBER(SEARCH("sprayer",E612)),ISNUMBER(SEARCH("mower",E612)),ISNUMBER(SEARCH("sweeper",E612)),ISNUMBER(SEARCH("pruner",E612)),ISNUMBER(SEARCH("trimmer",E612)),ISNUMBER(SEARCH("pole saw",E612))),"Garden Equipment",
TRUE,"Other"
)</f>
        <v>Rodent Control</v>
      </c>
      <c r="I612" s="7" t="str" cm="1">
        <f t="array" ref="I612">_xlfn.IFS(
OR(ISNUMBER(SEARCH("glue trap",E612)),ISNUMBER(SEARCH("glue board",E612))),"Glue Traps",
OR(ISNUMBER(SEARCH("snap trap",E612)),ISNUMBER(SEARCH("power-kill",E612)),ISNUMBER(SEARCH("wide pedal",E612)),ISNUMBER(SEARCH("metal pedal",E612))),"Snap Traps",
OR(ISNUMBER(SEARCH("electronic",E612)),ISNUMBER(SEARCH("zapper",E612))),"Electronic Traps",
OR(ISNUMBER(SEARCH("live catch",E612)),ISNUMBER(SEARCH("multi-catch",E612)),ISNUMBER(SEARCH("catch &amp; hold",E612)),ISNUMBER(SEARCH("tin cat",E612))),"Live Catch Traps",
OR(ISNUMBER(SEARCH("bait",E612)),ISNUMBER(SEARCH("poison",E612))),"Bait &amp; Poison",
ISNUMBER(SEARCH("repellent",E612)),"Repellents",
OR(ISNUMBER(SEARCH("fly trap",E612)),ISNUMBER(SEARCH("fly ribbon",E612)),ISNUMBER(SEARCH("fly stick",E612)),ISNUMBER(SEARCH("window fly",E612)),ISNUMBER(SEARCH("fly magnet",E612))),"Fly Traps",
OR(ISNUMBER(SEARCH("uv",E612)),ISNUMBER(SEARCH("fly light",E612)),ISNUMBER(SEARCH("plug-in",E612))),"UV Fly Traps",
ISNUMBER(SEARCH("roach",E612)),"Roach Traps",
ISNUMBER(SEARCH("ant",E612)),"Ant Traps",
ISNUMBER(SEARCH("spider",E612)),"Spider Traps",
ISNUMBER(SEARCH("mosquito",E612)),"Mosquito Traps",
ISNUMBER(SEARCH("beetle",E612)),"Beetle Traps",
ISNUMBER(SEARCH("lantern",E612)),"Lanternfly Control",
OR(ISNUMBER(SEARCH("tree shield",E612)),ISNUMBER(SEARCH("tree banding",E612)),ISNUMBER(SEARCH("insect barrier",E612))),"Tree Barriers",
OR(ISNUMBER(SEARCH("sun &amp; shade",E612)),ISNUMBER(SEARCH("sun and shade",E612))),"Sun &amp; Shade Mix",
ISNUMBER(SEARCH("tall fescue",E612)),"Tall Fescue",
ISNUMBER(SEARCH("bermudagrass",E612)),"Bermudagrass",
ISNUMBER(SEARCH("kentucky",E612)),"Kentucky Bluegrass",
ISNUMBER(SEARCH("zoysia",E612)),"Zoysia",
ISNUMBER(SEARCH("ryegrass",E612)),"Perennial Ryegrass",
ISNUMBER(SEARCH("centipede",E612)),"Centipede Grass",
ISNUMBER(SEARCH("dense shade",E612)),"Dense Shade Mix",
ISNUMBER(SEARCH("southern gold",E612)),"Southern Gold Mix",
ISNUMBER(SEARCH("heat-tolerant blue",E612)),"Heat-Tolerant Blue Mix",
ISNUMBER(SEARCH("high traffic",E612)),"High Traffic Mix",
ISNUMBER(SEARCH("quick fix",E612)),"Quick Fix Mix",
ISNUMBER(SEARCH("starter",E612)),"Starter Fertilizer",
ISNUMBER(SEARCH("weed &amp; feed",E612)),"Weed &amp; Feed",
ISNUMBER(SEARCH("lawn food",E612)),"Lawn Food",
ISNUMBER(SEARCH("triple action",E612)),"Triple Action Fertilizer",
ISNUMBER(SEARCH("green max",E612)),"Green Max Lawn Food",
ISNUMBER(SEARCH("patchmaster",E612)),"PatchMaster Repair",
ISNUMBER(SEARCH("ez seed",E612)),"EZ Seed Repair",
ISNUMBER(SEARCH("rapid grass",E612)),"Rapid Grass",
ISNUMBER(SEARCH("thick'r lawn",E612)),"Thick'R Lawn",
ISNUMBER(SEARCH("fungicide",E612)),"Fungicide",
ISNUMBER(SEARCH("moss",E612)),"Moss Control",
ISNUMBER(SEARCH("perlite",E612)),"Perlite",
ISNUMBER(SEARCH("plant food",E612)),"Plant Food",
ISNUMBER(SEARCH("spreader",E612)),"Spreader",
ISNUMBER(SEARCH("sprayer",E612)),"Sprayer",
ISNUMBER(SEARCH("mower",E612)),"Lawn Mower",
ISNUMBER(SEARCH("sweeper",E612)),"Lawn Sweeper",
OR(ISNUMBER(SEARCH("pruner",E612)),ISNUMBER(SEARCH("trimmer",E612)),ISNUMBER(SEARCH("pole saw",E612))),"Pruning Tools",
TRUE,"Other"
)</f>
        <v>Other</v>
      </c>
      <c r="J612" s="7" t="str">
        <f t="shared" si="171"/>
        <v>Rodent Control - Other</v>
      </c>
      <c r="K612" s="4">
        <v>500</v>
      </c>
      <c r="L612" s="4">
        <v>4.5</v>
      </c>
      <c r="M612" s="4">
        <v>1146</v>
      </c>
      <c r="N612" s="4" t="s">
        <v>3209</v>
      </c>
      <c r="O612" s="4">
        <f>VLOOKUP(A612,[13]Sheet1!$A:$M,2,0)</f>
        <v>100</v>
      </c>
      <c r="P612" s="4">
        <f>VLOOKUP(A612,[13]Sheet1!$A:$M,3,0)</f>
        <v>200</v>
      </c>
      <c r="Q612" s="4">
        <f>VLOOKUP(A612,[13]Sheet1!$A:$M,4,0)</f>
        <v>1000</v>
      </c>
      <c r="R612" s="4">
        <f>VLOOKUP(A612,[13]Sheet1!$A:$M,5,0)</f>
        <v>2000</v>
      </c>
      <c r="S612" s="4">
        <f>VLOOKUP(A612,[13]Sheet1!$A:$M,6,0)</f>
        <v>2000</v>
      </c>
      <c r="T612" s="4">
        <f>VLOOKUP(A612,[13]Sheet1!$A:$M,7,0)</f>
        <v>1000</v>
      </c>
      <c r="U612" s="4">
        <f>VLOOKUP(A612,[13]Sheet1!$A:$M,8,0)</f>
        <v>1000</v>
      </c>
      <c r="V612" s="4">
        <f>VLOOKUP(A612,[13]Sheet1!$A:$M,9,0)</f>
        <v>500</v>
      </c>
      <c r="W612" s="4">
        <f>VLOOKUP(A612,[13]Sheet1!$A:$M,10,0)</f>
        <v>500</v>
      </c>
      <c r="X612" s="4">
        <f>VLOOKUP(A612,[13]Sheet1!$A:$M,11,0)</f>
        <v>200</v>
      </c>
      <c r="Y612" s="4">
        <f>VLOOKUP(A612,[13]Sheet1!$A:$M,12,0)</f>
        <v>100</v>
      </c>
      <c r="Z612" s="4">
        <f>VLOOKUP(A612,[13]Sheet1!$A:$M,13,0)</f>
        <v>50</v>
      </c>
      <c r="AA612" s="4">
        <f t="shared" si="176"/>
        <v>8650</v>
      </c>
      <c r="AB612" s="7">
        <f t="shared" si="177"/>
        <v>721</v>
      </c>
      <c r="AC612" s="15">
        <f t="shared" si="178"/>
        <v>720.83333333333337</v>
      </c>
      <c r="AD612" s="16">
        <f t="shared" si="179"/>
        <v>259413.5</v>
      </c>
      <c r="AE612" s="16">
        <f t="shared" si="180"/>
        <v>21617.791666666668</v>
      </c>
      <c r="AF612" s="21">
        <v>6.13</v>
      </c>
      <c r="AG612" s="21">
        <v>29.99</v>
      </c>
      <c r="AH612" s="15">
        <f t="shared" si="189"/>
        <v>0.32440000000000002</v>
      </c>
      <c r="AI612" s="15">
        <f t="shared" si="190"/>
        <v>1.1354</v>
      </c>
      <c r="AJ612" s="10">
        <v>0.5</v>
      </c>
      <c r="AK612" s="10">
        <v>0.5</v>
      </c>
      <c r="AL612" s="21">
        <v>6.13</v>
      </c>
      <c r="AM612" s="9">
        <f t="shared" si="181"/>
        <v>4.4984999999999999</v>
      </c>
      <c r="AN612" s="9">
        <f t="shared" si="182"/>
        <v>0.89969999999999994</v>
      </c>
      <c r="AO612" s="9">
        <f t="shared" si="183"/>
        <v>5.9980000000000002</v>
      </c>
      <c r="AP612" s="9">
        <f t="shared" si="184"/>
        <v>0.5998</v>
      </c>
      <c r="AQ612" s="9">
        <f t="shared" si="185"/>
        <v>5.9980000000000002</v>
      </c>
      <c r="AR612" s="9">
        <f t="shared" si="186"/>
        <v>7.4974999999999996</v>
      </c>
      <c r="AS612" s="11">
        <f t="shared" si="187"/>
        <v>3.2440000000000002</v>
      </c>
      <c r="AT612" s="12">
        <f t="shared" si="188"/>
        <v>2.244333333333334</v>
      </c>
    </row>
    <row r="613" spans="1:46" ht="16.5" x14ac:dyDescent="0.4">
      <c r="A613" s="4" t="s">
        <v>2603</v>
      </c>
      <c r="B613" s="4" t="s">
        <v>2710</v>
      </c>
      <c r="C613" s="4" t="s">
        <v>2713</v>
      </c>
      <c r="D613" s="4" t="s">
        <v>2782</v>
      </c>
      <c r="E613" s="4" t="s">
        <v>2941</v>
      </c>
      <c r="F613" s="4" t="s">
        <v>3100</v>
      </c>
      <c r="G613" s="7" t="str">
        <f>VLOOKUP(A613,[1]done!$A:$I,9,0)</f>
        <v>Mole Repellent</v>
      </c>
      <c r="H613" s="7" t="str" cm="1">
        <f t="array" ref="H613">_xlfn.IFS(
OR(ISNUMBER(SEARCH("mouse",E613)),ISNUMBER(SEARCH("rat",E613)),ISNUMBER(SEARCH("mice",E613)),ISNUMBER(SEARCH("rodent",E613))),"Rodent Control",
OR(ISNUMBER(SEARCH("fly",E613)),ISNUMBER(SEARCH("gnat",E613)),ISNUMBER(SEARCH("insect",E613)),ISNUMBER(SEARCH("mosquito",E613))),"Flying Insect Control",
OR(ISNUMBER(SEARCH("roach",E613)),ISNUMBER(SEARCH("ant",E613)),ISNUMBER(SEARCH("spider",E613)),ISNUMBER(SEARCH("cricket",E613)),ISNUMBER(SEARCH("scorpion",E613)),ISNUMBER(SEARCH("centipede",E613)),ISNUMBER(SEARCH("beetle",E613))),"Crawling Insect Control",
OR(ISNUMBER(SEARCH("tree",E613)),ISNUMBER(SEARCH("lantern",E613)),ISNUMBER(SEARCH("garden",E613)),ISNUMBER(SEARCH("plant",E613))),"Garden Pest Control",
OR(ISNUMBER(SEARCH("grass seed",E613)),ISNUMBER(SEARCH("seed mix",E613))),"Grass Seed",
OR(ISNUMBER(SEARCH("lawn food",E613)),ISNUMBER(SEARCH("fertilizer",E613))),"Lawn Fertilizer",
OR(ISNUMBER(SEARCH("patch",E613)),ISNUMBER(SEARCH("repair",E613)),ISNUMBER(SEARCH("thick'r",E613)),ISNUMBER(SEARCH("thick'r lawn",E613)),ISNUMBER(SEARCH("rapid grass",E613))),"Lawn Repair",
OR(ISNUMBER(SEARCH("weed",E613)),ISNUMBER(SEARCH("crabgrass",E613))),"Weed Control",
OR(ISNUMBER(SEARCH("fungicide",E613)),ISNUMBER(SEARCH("moss",E613))),"Disease &amp; Moss Control",
OR(ISNUMBER(SEARCH("plant food",E613)),ISNUMBER(SEARCH("miracid",E613))),"Plant Nutrition",
OR(ISNUMBER(SEARCH("perlite",E613))),"Soil Amendment",
OR(ISNUMBER(SEARCH("spreader",E613)),ISNUMBER(SEARCH("sprayer",E613)),ISNUMBER(SEARCH("mower",E613)),ISNUMBER(SEARCH("sweeper",E613)),ISNUMBER(SEARCH("pruner",E613)),ISNUMBER(SEARCH("trimmer",E613)),ISNUMBER(SEARCH("pole saw",E613))),"Garden Equipment",
TRUE,"Other"
)</f>
        <v>Other</v>
      </c>
      <c r="I613" s="7" t="str" cm="1">
        <f t="array" ref="I613">_xlfn.IFS(
OR(ISNUMBER(SEARCH("glue trap",E613)),ISNUMBER(SEARCH("glue board",E613))),"Glue Traps",
OR(ISNUMBER(SEARCH("snap trap",E613)),ISNUMBER(SEARCH("power-kill",E613)),ISNUMBER(SEARCH("wide pedal",E613)),ISNUMBER(SEARCH("metal pedal",E613))),"Snap Traps",
OR(ISNUMBER(SEARCH("electronic",E613)),ISNUMBER(SEARCH("zapper",E613))),"Electronic Traps",
OR(ISNUMBER(SEARCH("live catch",E613)),ISNUMBER(SEARCH("multi-catch",E613)),ISNUMBER(SEARCH("catch &amp; hold",E613)),ISNUMBER(SEARCH("tin cat",E613))),"Live Catch Traps",
OR(ISNUMBER(SEARCH("bait",E613)),ISNUMBER(SEARCH("poison",E613))),"Bait &amp; Poison",
ISNUMBER(SEARCH("repellent",E613)),"Repellents",
OR(ISNUMBER(SEARCH("fly trap",E613)),ISNUMBER(SEARCH("fly ribbon",E613)),ISNUMBER(SEARCH("fly stick",E613)),ISNUMBER(SEARCH("window fly",E613)),ISNUMBER(SEARCH("fly magnet",E613))),"Fly Traps",
OR(ISNUMBER(SEARCH("uv",E613)),ISNUMBER(SEARCH("fly light",E613)),ISNUMBER(SEARCH("plug-in",E613))),"UV Fly Traps",
ISNUMBER(SEARCH("roach",E613)),"Roach Traps",
ISNUMBER(SEARCH("ant",E613)),"Ant Traps",
ISNUMBER(SEARCH("spider",E613)),"Spider Traps",
ISNUMBER(SEARCH("mosquito",E613)),"Mosquito Traps",
ISNUMBER(SEARCH("beetle",E613)),"Beetle Traps",
ISNUMBER(SEARCH("lantern",E613)),"Lanternfly Control",
OR(ISNUMBER(SEARCH("tree shield",E613)),ISNUMBER(SEARCH("tree banding",E613)),ISNUMBER(SEARCH("insect barrier",E613))),"Tree Barriers",
OR(ISNUMBER(SEARCH("sun &amp; shade",E613)),ISNUMBER(SEARCH("sun and shade",E613))),"Sun &amp; Shade Mix",
ISNUMBER(SEARCH("tall fescue",E613)),"Tall Fescue",
ISNUMBER(SEARCH("bermudagrass",E613)),"Bermudagrass",
ISNUMBER(SEARCH("kentucky",E613)),"Kentucky Bluegrass",
ISNUMBER(SEARCH("zoysia",E613)),"Zoysia",
ISNUMBER(SEARCH("ryegrass",E613)),"Perennial Ryegrass",
ISNUMBER(SEARCH("centipede",E613)),"Centipede Grass",
ISNUMBER(SEARCH("dense shade",E613)),"Dense Shade Mix",
ISNUMBER(SEARCH("southern gold",E613)),"Southern Gold Mix",
ISNUMBER(SEARCH("heat-tolerant blue",E613)),"Heat-Tolerant Blue Mix",
ISNUMBER(SEARCH("high traffic",E613)),"High Traffic Mix",
ISNUMBER(SEARCH("quick fix",E613)),"Quick Fix Mix",
ISNUMBER(SEARCH("starter",E613)),"Starter Fertilizer",
ISNUMBER(SEARCH("weed &amp; feed",E613)),"Weed &amp; Feed",
ISNUMBER(SEARCH("lawn food",E613)),"Lawn Food",
ISNUMBER(SEARCH("triple action",E613)),"Triple Action Fertilizer",
ISNUMBER(SEARCH("green max",E613)),"Green Max Lawn Food",
ISNUMBER(SEARCH("patchmaster",E613)),"PatchMaster Repair",
ISNUMBER(SEARCH("ez seed",E613)),"EZ Seed Repair",
ISNUMBER(SEARCH("rapid grass",E613)),"Rapid Grass",
ISNUMBER(SEARCH("thick'r lawn",E613)),"Thick'R Lawn",
ISNUMBER(SEARCH("fungicide",E613)),"Fungicide",
ISNUMBER(SEARCH("moss",E613)),"Moss Control",
ISNUMBER(SEARCH("perlite",E613)),"Perlite",
ISNUMBER(SEARCH("plant food",E613)),"Plant Food",
ISNUMBER(SEARCH("spreader",E613)),"Spreader",
ISNUMBER(SEARCH("sprayer",E613)),"Sprayer",
ISNUMBER(SEARCH("mower",E613)),"Lawn Mower",
ISNUMBER(SEARCH("sweeper",E613)),"Lawn Sweeper",
OR(ISNUMBER(SEARCH("pruner",E613)),ISNUMBER(SEARCH("trimmer",E613)),ISNUMBER(SEARCH("pole saw",E613))),"Pruning Tools",
TRUE,"Other"
)</f>
        <v>Bait &amp; Poison</v>
      </c>
      <c r="J613" s="7" t="str">
        <f t="shared" si="171"/>
        <v>Other - Bait &amp; Poison</v>
      </c>
      <c r="K613" s="4">
        <v>500</v>
      </c>
      <c r="L613" s="4">
        <v>3.9</v>
      </c>
      <c r="M613" s="4">
        <v>1000</v>
      </c>
      <c r="N613" s="4" t="s">
        <v>1400</v>
      </c>
      <c r="O613" s="4">
        <f>VLOOKUP(A613,[13]Sheet1!$A:$M,2,0)</f>
        <v>100</v>
      </c>
      <c r="P613" s="4">
        <f>VLOOKUP(A613,[13]Sheet1!$A:$M,3,0)</f>
        <v>100</v>
      </c>
      <c r="Q613" s="4">
        <f>VLOOKUP(A613,[13]Sheet1!$A:$M,4,0)</f>
        <v>400</v>
      </c>
      <c r="R613" s="4">
        <f>VLOOKUP(A613,[13]Sheet1!$A:$M,5,0)</f>
        <v>800</v>
      </c>
      <c r="S613" s="4">
        <f>VLOOKUP(A613,[13]Sheet1!$A:$M,6,0)</f>
        <v>1000</v>
      </c>
      <c r="T613" s="4">
        <f>VLOOKUP(A613,[13]Sheet1!$A:$M,7,0)</f>
        <v>900</v>
      </c>
      <c r="U613" s="4">
        <f>VLOOKUP(A613,[13]Sheet1!$A:$M,8,0)</f>
        <v>950</v>
      </c>
      <c r="V613" s="4">
        <f>VLOOKUP(A613,[13]Sheet1!$A:$M,9,0)</f>
        <v>400</v>
      </c>
      <c r="W613" s="4">
        <f>VLOOKUP(A613,[13]Sheet1!$A:$M,10,0)</f>
        <v>500</v>
      </c>
      <c r="X613" s="4">
        <f>VLOOKUP(A613,[13]Sheet1!$A:$M,11,0)</f>
        <v>300</v>
      </c>
      <c r="Y613" s="4">
        <f>VLOOKUP(A613,[13]Sheet1!$A:$M,12,0)</f>
        <v>200</v>
      </c>
      <c r="Z613" s="4">
        <f>VLOOKUP(A613,[13]Sheet1!$A:$M,13,0)</f>
        <v>100</v>
      </c>
      <c r="AA613" s="4">
        <f t="shared" si="176"/>
        <v>5750</v>
      </c>
      <c r="AB613" s="7">
        <f t="shared" si="177"/>
        <v>479</v>
      </c>
      <c r="AC613" s="15">
        <f t="shared" si="178"/>
        <v>479.16666666666669</v>
      </c>
      <c r="AD613" s="16">
        <f t="shared" si="179"/>
        <v>91827.5</v>
      </c>
      <c r="AE613" s="16">
        <f t="shared" si="180"/>
        <v>7652.291666666667</v>
      </c>
      <c r="AF613" s="21">
        <v>5.22</v>
      </c>
      <c r="AG613" s="21">
        <v>15.97</v>
      </c>
      <c r="AH613" s="15">
        <f t="shared" si="189"/>
        <v>1.120000000000004E-2</v>
      </c>
      <c r="AI613" s="15">
        <f t="shared" si="190"/>
        <v>3.9200000000000138E-2</v>
      </c>
      <c r="AJ613" s="10">
        <v>0.5</v>
      </c>
      <c r="AK613" s="10">
        <v>0.5</v>
      </c>
      <c r="AL613" s="21">
        <v>5.22</v>
      </c>
      <c r="AM613" s="9">
        <f t="shared" si="181"/>
        <v>2.3955000000000002</v>
      </c>
      <c r="AN613" s="9">
        <f t="shared" si="182"/>
        <v>0.47910000000000003</v>
      </c>
      <c r="AO613" s="9">
        <f t="shared" si="183"/>
        <v>3.1940000000000004</v>
      </c>
      <c r="AP613" s="9">
        <f t="shared" si="184"/>
        <v>0.31940000000000002</v>
      </c>
      <c r="AQ613" s="9">
        <f t="shared" si="185"/>
        <v>3.1940000000000004</v>
      </c>
      <c r="AR613" s="9">
        <f t="shared" si="186"/>
        <v>3.9925000000000002</v>
      </c>
      <c r="AS613" s="11">
        <f t="shared" si="187"/>
        <v>0.11200000000000039</v>
      </c>
      <c r="AT613" s="12">
        <f t="shared" si="188"/>
        <v>-0.42033333333333278</v>
      </c>
    </row>
    <row r="614" spans="1:46" ht="16.5" x14ac:dyDescent="0.4">
      <c r="A614" s="4" t="s">
        <v>2604</v>
      </c>
      <c r="B614" s="4" t="s">
        <v>2710</v>
      </c>
      <c r="C614" s="4" t="s">
        <v>2712</v>
      </c>
      <c r="D614" s="4" t="s">
        <v>2783</v>
      </c>
      <c r="E614" s="4" t="s">
        <v>2942</v>
      </c>
      <c r="F614" s="4" t="s">
        <v>3101</v>
      </c>
      <c r="G614" s="7" t="str">
        <f>VLOOKUP(A614,[1]done!$A:$I,9,0)</f>
        <v>Weed Control</v>
      </c>
      <c r="H614" s="7" t="str" cm="1">
        <f t="array" ref="H614">_xlfn.IFS(
OR(ISNUMBER(SEARCH("mouse",E614)),ISNUMBER(SEARCH("rat",E614)),ISNUMBER(SEARCH("mice",E614)),ISNUMBER(SEARCH("rodent",E614))),"Rodent Control",
OR(ISNUMBER(SEARCH("fly",E614)),ISNUMBER(SEARCH("gnat",E614)),ISNUMBER(SEARCH("insect",E614)),ISNUMBER(SEARCH("mosquito",E614))),"Flying Insect Control",
OR(ISNUMBER(SEARCH("roach",E614)),ISNUMBER(SEARCH("ant",E614)),ISNUMBER(SEARCH("spider",E614)),ISNUMBER(SEARCH("cricket",E614)),ISNUMBER(SEARCH("scorpion",E614)),ISNUMBER(SEARCH("centipede",E614)),ISNUMBER(SEARCH("beetle",E614))),"Crawling Insect Control",
OR(ISNUMBER(SEARCH("tree",E614)),ISNUMBER(SEARCH("lantern",E614)),ISNUMBER(SEARCH("garden",E614)),ISNUMBER(SEARCH("plant",E614))),"Garden Pest Control",
OR(ISNUMBER(SEARCH("grass seed",E614)),ISNUMBER(SEARCH("seed mix",E614))),"Grass Seed",
OR(ISNUMBER(SEARCH("lawn food",E614)),ISNUMBER(SEARCH("fertilizer",E614))),"Lawn Fertilizer",
OR(ISNUMBER(SEARCH("patch",E614)),ISNUMBER(SEARCH("repair",E614)),ISNUMBER(SEARCH("thick'r",E614)),ISNUMBER(SEARCH("thick'r lawn",E614)),ISNUMBER(SEARCH("rapid grass",E614))),"Lawn Repair",
OR(ISNUMBER(SEARCH("weed",E614)),ISNUMBER(SEARCH("crabgrass",E614))),"Weed Control",
OR(ISNUMBER(SEARCH("fungicide",E614)),ISNUMBER(SEARCH("moss",E614))),"Disease &amp; Moss Control",
OR(ISNUMBER(SEARCH("plant food",E614)),ISNUMBER(SEARCH("miracid",E614))),"Plant Nutrition",
OR(ISNUMBER(SEARCH("perlite",E614))),"Soil Amendment",
OR(ISNUMBER(SEARCH("spreader",E614)),ISNUMBER(SEARCH("sprayer",E614)),ISNUMBER(SEARCH("mower",E614)),ISNUMBER(SEARCH("sweeper",E614)),ISNUMBER(SEARCH("pruner",E614)),ISNUMBER(SEARCH("trimmer",E614)),ISNUMBER(SEARCH("pole saw",E614))),"Garden Equipment",
TRUE,"Other"
)</f>
        <v>Rodent Control</v>
      </c>
      <c r="I614" s="7" t="str" cm="1">
        <f t="array" ref="I614">_xlfn.IFS(
OR(ISNUMBER(SEARCH("glue trap",E614)),ISNUMBER(SEARCH("glue board",E614))),"Glue Traps",
OR(ISNUMBER(SEARCH("snap trap",E614)),ISNUMBER(SEARCH("power-kill",E614)),ISNUMBER(SEARCH("wide pedal",E614)),ISNUMBER(SEARCH("metal pedal",E614))),"Snap Traps",
OR(ISNUMBER(SEARCH("electronic",E614)),ISNUMBER(SEARCH("zapper",E614))),"Electronic Traps",
OR(ISNUMBER(SEARCH("live catch",E614)),ISNUMBER(SEARCH("multi-catch",E614)),ISNUMBER(SEARCH("catch &amp; hold",E614)),ISNUMBER(SEARCH("tin cat",E614))),"Live Catch Traps",
OR(ISNUMBER(SEARCH("bait",E614)),ISNUMBER(SEARCH("poison",E614))),"Bait &amp; Poison",
ISNUMBER(SEARCH("repellent",E614)),"Repellents",
OR(ISNUMBER(SEARCH("fly trap",E614)),ISNUMBER(SEARCH("fly ribbon",E614)),ISNUMBER(SEARCH("fly stick",E614)),ISNUMBER(SEARCH("window fly",E614)),ISNUMBER(SEARCH("fly magnet",E614))),"Fly Traps",
OR(ISNUMBER(SEARCH("uv",E614)),ISNUMBER(SEARCH("fly light",E614)),ISNUMBER(SEARCH("plug-in",E614))),"UV Fly Traps",
ISNUMBER(SEARCH("roach",E614)),"Roach Traps",
ISNUMBER(SEARCH("ant",E614)),"Ant Traps",
ISNUMBER(SEARCH("spider",E614)),"Spider Traps",
ISNUMBER(SEARCH("mosquito",E614)),"Mosquito Traps",
ISNUMBER(SEARCH("beetle",E614)),"Beetle Traps",
ISNUMBER(SEARCH("lantern",E614)),"Lanternfly Control",
OR(ISNUMBER(SEARCH("tree shield",E614)),ISNUMBER(SEARCH("tree banding",E614)),ISNUMBER(SEARCH("insect barrier",E614))),"Tree Barriers",
OR(ISNUMBER(SEARCH("sun &amp; shade",E614)),ISNUMBER(SEARCH("sun and shade",E614))),"Sun &amp; Shade Mix",
ISNUMBER(SEARCH("tall fescue",E614)),"Tall Fescue",
ISNUMBER(SEARCH("bermudagrass",E614)),"Bermudagrass",
ISNUMBER(SEARCH("kentucky",E614)),"Kentucky Bluegrass",
ISNUMBER(SEARCH("zoysia",E614)),"Zoysia",
ISNUMBER(SEARCH("ryegrass",E614)),"Perennial Ryegrass",
ISNUMBER(SEARCH("centipede",E614)),"Centipede Grass",
ISNUMBER(SEARCH("dense shade",E614)),"Dense Shade Mix",
ISNUMBER(SEARCH("southern gold",E614)),"Southern Gold Mix",
ISNUMBER(SEARCH("heat-tolerant blue",E614)),"Heat-Tolerant Blue Mix",
ISNUMBER(SEARCH("high traffic",E614)),"High Traffic Mix",
ISNUMBER(SEARCH("quick fix",E614)),"Quick Fix Mix",
ISNUMBER(SEARCH("starter",E614)),"Starter Fertilizer",
ISNUMBER(SEARCH("weed &amp; feed",E614)),"Weed &amp; Feed",
ISNUMBER(SEARCH("lawn food",E614)),"Lawn Food",
ISNUMBER(SEARCH("triple action",E614)),"Triple Action Fertilizer",
ISNUMBER(SEARCH("green max",E614)),"Green Max Lawn Food",
ISNUMBER(SEARCH("patchmaster",E614)),"PatchMaster Repair",
ISNUMBER(SEARCH("ez seed",E614)),"EZ Seed Repair",
ISNUMBER(SEARCH("rapid grass",E614)),"Rapid Grass",
ISNUMBER(SEARCH("thick'r lawn",E614)),"Thick'R Lawn",
ISNUMBER(SEARCH("fungicide",E614)),"Fungicide",
ISNUMBER(SEARCH("moss",E614)),"Moss Control",
ISNUMBER(SEARCH("perlite",E614)),"Perlite",
ISNUMBER(SEARCH("plant food",E614)),"Plant Food",
ISNUMBER(SEARCH("spreader",E614)),"Spreader",
ISNUMBER(SEARCH("sprayer",E614)),"Sprayer",
ISNUMBER(SEARCH("mower",E614)),"Lawn Mower",
ISNUMBER(SEARCH("sweeper",E614)),"Lawn Sweeper",
OR(ISNUMBER(SEARCH("pruner",E614)),ISNUMBER(SEARCH("trimmer",E614)),ISNUMBER(SEARCH("pole saw",E614))),"Pruning Tools",
TRUE,"Other"
)</f>
        <v>Other</v>
      </c>
      <c r="J614" s="7" t="str">
        <f t="shared" si="171"/>
        <v>Rodent Control - Other</v>
      </c>
      <c r="K614" s="4">
        <v>500</v>
      </c>
      <c r="L614" s="4">
        <v>4.2</v>
      </c>
      <c r="M614" s="4">
        <v>1206</v>
      </c>
      <c r="N614" s="4">
        <v>1</v>
      </c>
      <c r="O614" s="4">
        <f>VLOOKUP(A614,[13]Sheet1!$A:$M,2,0)</f>
        <v>0</v>
      </c>
      <c r="P614" s="4">
        <f>VLOOKUP(A614,[13]Sheet1!$A:$M,3,0)</f>
        <v>0</v>
      </c>
      <c r="Q614" s="4">
        <f>VLOOKUP(A614,[13]Sheet1!$A:$M,4,0)</f>
        <v>100</v>
      </c>
      <c r="R614" s="4">
        <f>VLOOKUP(A614,[13]Sheet1!$A:$M,5,0)</f>
        <v>700</v>
      </c>
      <c r="S614" s="4">
        <f>VLOOKUP(A614,[13]Sheet1!$A:$M,6,0)</f>
        <v>800</v>
      </c>
      <c r="T614" s="4">
        <f>VLOOKUP(A614,[13]Sheet1!$A:$M,7,0)</f>
        <v>900</v>
      </c>
      <c r="U614" s="4">
        <f>VLOOKUP(A614,[13]Sheet1!$A:$M,8,0)</f>
        <v>1000</v>
      </c>
      <c r="V614" s="4">
        <f>VLOOKUP(A614,[13]Sheet1!$A:$M,9,0)</f>
        <v>600</v>
      </c>
      <c r="W614" s="4">
        <f>VLOOKUP(A614,[13]Sheet1!$A:$M,10,0)</f>
        <v>500</v>
      </c>
      <c r="X614" s="4">
        <f>VLOOKUP(A614,[13]Sheet1!$A:$M,11,0)</f>
        <v>400</v>
      </c>
      <c r="Y614" s="4">
        <f>VLOOKUP(A614,[13]Sheet1!$A:$M,12,0)</f>
        <v>50</v>
      </c>
      <c r="Z614" s="4">
        <f>VLOOKUP(A614,[13]Sheet1!$A:$M,13,0)</f>
        <v>50</v>
      </c>
      <c r="AA614" s="4">
        <f t="shared" si="176"/>
        <v>5100</v>
      </c>
      <c r="AB614" s="7">
        <f t="shared" si="177"/>
        <v>425</v>
      </c>
      <c r="AC614" s="15">
        <f t="shared" si="178"/>
        <v>425</v>
      </c>
      <c r="AD614" s="16">
        <f t="shared" si="179"/>
        <v>97563</v>
      </c>
      <c r="AE614" s="16">
        <f t="shared" si="180"/>
        <v>8130.25</v>
      </c>
      <c r="AF614" s="21">
        <v>5.61</v>
      </c>
      <c r="AG614" s="21">
        <v>19.13</v>
      </c>
      <c r="AH614" s="15">
        <f t="shared" si="189"/>
        <v>6.9466666666666621E-2</v>
      </c>
      <c r="AI614" s="15">
        <f t="shared" si="190"/>
        <v>0.24313333333333315</v>
      </c>
      <c r="AJ614" s="10">
        <v>0.5</v>
      </c>
      <c r="AK614" s="10">
        <v>0.5</v>
      </c>
      <c r="AL614" s="21">
        <v>5.61</v>
      </c>
      <c r="AM614" s="9">
        <f t="shared" si="181"/>
        <v>2.8694999999999999</v>
      </c>
      <c r="AN614" s="9">
        <f t="shared" si="182"/>
        <v>0.57389999999999997</v>
      </c>
      <c r="AO614" s="9">
        <f t="shared" si="183"/>
        <v>3.8260000000000001</v>
      </c>
      <c r="AP614" s="9">
        <f t="shared" si="184"/>
        <v>0.3826</v>
      </c>
      <c r="AQ614" s="9">
        <f t="shared" si="185"/>
        <v>3.8260000000000001</v>
      </c>
      <c r="AR614" s="9">
        <f t="shared" si="186"/>
        <v>4.7824999999999998</v>
      </c>
      <c r="AS614" s="11">
        <f t="shared" si="187"/>
        <v>0.69466666666666621</v>
      </c>
      <c r="AT614" s="12">
        <f t="shared" si="188"/>
        <v>5.6999999999999794E-2</v>
      </c>
    </row>
    <row r="615" spans="1:46" ht="16.5" x14ac:dyDescent="0.4">
      <c r="A615" s="4" t="s">
        <v>2605</v>
      </c>
      <c r="B615" s="4" t="s">
        <v>2710</v>
      </c>
      <c r="C615" s="4" t="s">
        <v>2712</v>
      </c>
      <c r="D615" s="4" t="s">
        <v>2784</v>
      </c>
      <c r="E615" s="4" t="s">
        <v>2943</v>
      </c>
      <c r="F615" s="4" t="s">
        <v>3102</v>
      </c>
      <c r="G615" s="7" t="str">
        <f>VLOOKUP(A615,[1]done!$A:$I,9,0)</f>
        <v>Rodent</v>
      </c>
      <c r="H615" s="7" t="str" cm="1">
        <f t="array" ref="H615">_xlfn.IFS(
OR(ISNUMBER(SEARCH("mouse",E615)),ISNUMBER(SEARCH("rat",E615)),ISNUMBER(SEARCH("mice",E615)),ISNUMBER(SEARCH("rodent",E615))),"Rodent Control",
OR(ISNUMBER(SEARCH("fly",E615)),ISNUMBER(SEARCH("gnat",E615)),ISNUMBER(SEARCH("insect",E615)),ISNUMBER(SEARCH("mosquito",E615))),"Flying Insect Control",
OR(ISNUMBER(SEARCH("roach",E615)),ISNUMBER(SEARCH("ant",E615)),ISNUMBER(SEARCH("spider",E615)),ISNUMBER(SEARCH("cricket",E615)),ISNUMBER(SEARCH("scorpion",E615)),ISNUMBER(SEARCH("centipede",E615)),ISNUMBER(SEARCH("beetle",E615))),"Crawling Insect Control",
OR(ISNUMBER(SEARCH("tree",E615)),ISNUMBER(SEARCH("lantern",E615)),ISNUMBER(SEARCH("garden",E615)),ISNUMBER(SEARCH("plant",E615))),"Garden Pest Control",
OR(ISNUMBER(SEARCH("grass seed",E615)),ISNUMBER(SEARCH("seed mix",E615))),"Grass Seed",
OR(ISNUMBER(SEARCH("lawn food",E615)),ISNUMBER(SEARCH("fertilizer",E615))),"Lawn Fertilizer",
OR(ISNUMBER(SEARCH("patch",E615)),ISNUMBER(SEARCH("repair",E615)),ISNUMBER(SEARCH("thick'r",E615)),ISNUMBER(SEARCH("thick'r lawn",E615)),ISNUMBER(SEARCH("rapid grass",E615))),"Lawn Repair",
OR(ISNUMBER(SEARCH("weed",E615)),ISNUMBER(SEARCH("crabgrass",E615))),"Weed Control",
OR(ISNUMBER(SEARCH("fungicide",E615)),ISNUMBER(SEARCH("moss",E615))),"Disease &amp; Moss Control",
OR(ISNUMBER(SEARCH("plant food",E615)),ISNUMBER(SEARCH("miracid",E615))),"Plant Nutrition",
OR(ISNUMBER(SEARCH("perlite",E615))),"Soil Amendment",
OR(ISNUMBER(SEARCH("spreader",E615)),ISNUMBER(SEARCH("sprayer",E615)),ISNUMBER(SEARCH("mower",E615)),ISNUMBER(SEARCH("sweeper",E615)),ISNUMBER(SEARCH("pruner",E615)),ISNUMBER(SEARCH("trimmer",E615)),ISNUMBER(SEARCH("pole saw",E615))),"Garden Equipment",
TRUE,"Other"
)</f>
        <v>Rodent Control</v>
      </c>
      <c r="I615" s="7" t="str" cm="1">
        <f t="array" ref="I615">_xlfn.IFS(
OR(ISNUMBER(SEARCH("glue trap",E615)),ISNUMBER(SEARCH("glue board",E615))),"Glue Traps",
OR(ISNUMBER(SEARCH("snap trap",E615)),ISNUMBER(SEARCH("power-kill",E615)),ISNUMBER(SEARCH("wide pedal",E615)),ISNUMBER(SEARCH("metal pedal",E615))),"Snap Traps",
OR(ISNUMBER(SEARCH("electronic",E615)),ISNUMBER(SEARCH("zapper",E615))),"Electronic Traps",
OR(ISNUMBER(SEARCH("live catch",E615)),ISNUMBER(SEARCH("multi-catch",E615)),ISNUMBER(SEARCH("catch &amp; hold",E615)),ISNUMBER(SEARCH("tin cat",E615))),"Live Catch Traps",
OR(ISNUMBER(SEARCH("bait",E615)),ISNUMBER(SEARCH("poison",E615))),"Bait &amp; Poison",
ISNUMBER(SEARCH("repellent",E615)),"Repellents",
OR(ISNUMBER(SEARCH("fly trap",E615)),ISNUMBER(SEARCH("fly ribbon",E615)),ISNUMBER(SEARCH("fly stick",E615)),ISNUMBER(SEARCH("window fly",E615)),ISNUMBER(SEARCH("fly magnet",E615))),"Fly Traps",
OR(ISNUMBER(SEARCH("uv",E615)),ISNUMBER(SEARCH("fly light",E615)),ISNUMBER(SEARCH("plug-in",E615))),"UV Fly Traps",
ISNUMBER(SEARCH("roach",E615)),"Roach Traps",
ISNUMBER(SEARCH("ant",E615)),"Ant Traps",
ISNUMBER(SEARCH("spider",E615)),"Spider Traps",
ISNUMBER(SEARCH("mosquito",E615)),"Mosquito Traps",
ISNUMBER(SEARCH("beetle",E615)),"Beetle Traps",
ISNUMBER(SEARCH("lantern",E615)),"Lanternfly Control",
OR(ISNUMBER(SEARCH("tree shield",E615)),ISNUMBER(SEARCH("tree banding",E615)),ISNUMBER(SEARCH("insect barrier",E615))),"Tree Barriers",
OR(ISNUMBER(SEARCH("sun &amp; shade",E615)),ISNUMBER(SEARCH("sun and shade",E615))),"Sun &amp; Shade Mix",
ISNUMBER(SEARCH("tall fescue",E615)),"Tall Fescue",
ISNUMBER(SEARCH("bermudagrass",E615)),"Bermudagrass",
ISNUMBER(SEARCH("kentucky",E615)),"Kentucky Bluegrass",
ISNUMBER(SEARCH("zoysia",E615)),"Zoysia",
ISNUMBER(SEARCH("ryegrass",E615)),"Perennial Ryegrass",
ISNUMBER(SEARCH("centipede",E615)),"Centipede Grass",
ISNUMBER(SEARCH("dense shade",E615)),"Dense Shade Mix",
ISNUMBER(SEARCH("southern gold",E615)),"Southern Gold Mix",
ISNUMBER(SEARCH("heat-tolerant blue",E615)),"Heat-Tolerant Blue Mix",
ISNUMBER(SEARCH("high traffic",E615)),"High Traffic Mix",
ISNUMBER(SEARCH("quick fix",E615)),"Quick Fix Mix",
ISNUMBER(SEARCH("starter",E615)),"Starter Fertilizer",
ISNUMBER(SEARCH("weed &amp; feed",E615)),"Weed &amp; Feed",
ISNUMBER(SEARCH("lawn food",E615)),"Lawn Food",
ISNUMBER(SEARCH("triple action",E615)),"Triple Action Fertilizer",
ISNUMBER(SEARCH("green max",E615)),"Green Max Lawn Food",
ISNUMBER(SEARCH("patchmaster",E615)),"PatchMaster Repair",
ISNUMBER(SEARCH("ez seed",E615)),"EZ Seed Repair",
ISNUMBER(SEARCH("rapid grass",E615)),"Rapid Grass",
ISNUMBER(SEARCH("thick'r lawn",E615)),"Thick'R Lawn",
ISNUMBER(SEARCH("fungicide",E615)),"Fungicide",
ISNUMBER(SEARCH("moss",E615)),"Moss Control",
ISNUMBER(SEARCH("perlite",E615)),"Perlite",
ISNUMBER(SEARCH("plant food",E615)),"Plant Food",
ISNUMBER(SEARCH("spreader",E615)),"Spreader",
ISNUMBER(SEARCH("sprayer",E615)),"Sprayer",
ISNUMBER(SEARCH("mower",E615)),"Lawn Mower",
ISNUMBER(SEARCH("sweeper",E615)),"Lawn Sweeper",
OR(ISNUMBER(SEARCH("pruner",E615)),ISNUMBER(SEARCH("trimmer",E615)),ISNUMBER(SEARCH("pole saw",E615))),"Pruning Tools",
TRUE,"Other"
)</f>
        <v>Repellents</v>
      </c>
      <c r="J615" s="7" t="str">
        <f t="shared" si="171"/>
        <v>Rodent Control - Repellents</v>
      </c>
      <c r="K615" s="4">
        <v>500</v>
      </c>
      <c r="L615" s="4">
        <v>3.9</v>
      </c>
      <c r="M615" s="4">
        <v>553</v>
      </c>
      <c r="N615" s="4" t="s">
        <v>3235</v>
      </c>
      <c r="O615" s="4">
        <f>VLOOKUP(A615,[13]Sheet1!$A:$M,2,0)</f>
        <v>50</v>
      </c>
      <c r="P615" s="4">
        <f>VLOOKUP(A615,[13]Sheet1!$A:$M,3,0)</f>
        <v>50</v>
      </c>
      <c r="Q615" s="4">
        <f>VLOOKUP(A615,[13]Sheet1!$A:$M,4,0)</f>
        <v>100</v>
      </c>
      <c r="R615" s="4">
        <f>VLOOKUP(A615,[13]Sheet1!$A:$M,5,0)</f>
        <v>100</v>
      </c>
      <c r="S615" s="4">
        <f>VLOOKUP(A615,[13]Sheet1!$A:$M,6,0)</f>
        <v>200</v>
      </c>
      <c r="T615" s="4">
        <f>VLOOKUP(A615,[13]Sheet1!$A:$M,7,0)</f>
        <v>300</v>
      </c>
      <c r="U615" s="4">
        <f>VLOOKUP(A615,[13]Sheet1!$A:$M,8,0)</f>
        <v>300</v>
      </c>
      <c r="V615" s="4">
        <f>VLOOKUP(A615,[13]Sheet1!$A:$M,9,0)</f>
        <v>300</v>
      </c>
      <c r="W615" s="4">
        <f>VLOOKUP(A615,[13]Sheet1!$A:$M,10,0)</f>
        <v>400</v>
      </c>
      <c r="X615" s="4">
        <f>VLOOKUP(A615,[13]Sheet1!$A:$M,11,0)</f>
        <v>400</v>
      </c>
      <c r="Y615" s="4">
        <f>VLOOKUP(A615,[13]Sheet1!$A:$M,12,0)</f>
        <v>300</v>
      </c>
      <c r="Z615" s="4">
        <f>VLOOKUP(A615,[13]Sheet1!$A:$M,13,0)</f>
        <v>0</v>
      </c>
      <c r="AA615" s="4">
        <f t="shared" si="176"/>
        <v>2500</v>
      </c>
      <c r="AB615" s="7">
        <f t="shared" si="177"/>
        <v>208</v>
      </c>
      <c r="AC615" s="15">
        <f t="shared" si="178"/>
        <v>208.33333333333334</v>
      </c>
      <c r="AD615" s="16">
        <f t="shared" si="179"/>
        <v>52800</v>
      </c>
      <c r="AE615" s="16">
        <f t="shared" si="180"/>
        <v>4400</v>
      </c>
      <c r="AF615" s="21">
        <v>8.1199999999999992</v>
      </c>
      <c r="AG615" s="21">
        <v>21.12</v>
      </c>
      <c r="AH615" s="15">
        <f t="shared" si="189"/>
        <v>-4.4799999999999923E-2</v>
      </c>
      <c r="AI615" s="15">
        <f t="shared" si="190"/>
        <v>-0.15679999999999972</v>
      </c>
      <c r="AJ615" s="10">
        <v>0.5</v>
      </c>
      <c r="AK615" s="10">
        <v>0.5</v>
      </c>
      <c r="AL615" s="21">
        <v>8.1199999999999992</v>
      </c>
      <c r="AM615" s="9">
        <f t="shared" si="181"/>
        <v>3.1680000000000001</v>
      </c>
      <c r="AN615" s="9">
        <f t="shared" si="182"/>
        <v>0.63360000000000005</v>
      </c>
      <c r="AO615" s="9">
        <f t="shared" si="183"/>
        <v>4.2240000000000002</v>
      </c>
      <c r="AP615" s="9">
        <f t="shared" si="184"/>
        <v>0.42240000000000005</v>
      </c>
      <c r="AQ615" s="9">
        <f t="shared" si="185"/>
        <v>4.2240000000000002</v>
      </c>
      <c r="AR615" s="9">
        <f t="shared" si="186"/>
        <v>5.28</v>
      </c>
      <c r="AS615" s="11">
        <f t="shared" si="187"/>
        <v>-0.44799999999999923</v>
      </c>
      <c r="AT615" s="12">
        <f t="shared" si="188"/>
        <v>-1.1519999999999992</v>
      </c>
    </row>
    <row r="616" spans="1:46" ht="16.5" x14ac:dyDescent="0.4">
      <c r="A616" s="4" t="s">
        <v>2606</v>
      </c>
      <c r="B616" s="4" t="s">
        <v>2710</v>
      </c>
      <c r="C616" s="4" t="s">
        <v>2710</v>
      </c>
      <c r="D616" s="4" t="s">
        <v>2785</v>
      </c>
      <c r="E616" s="4" t="s">
        <v>2944</v>
      </c>
      <c r="F616" s="4" t="s">
        <v>3103</v>
      </c>
      <c r="G616" s="7" t="str">
        <f>VLOOKUP(A616,[1]done!$A:$I,9,0)</f>
        <v>Other crawling insects</v>
      </c>
      <c r="H616" s="7" t="str" cm="1">
        <f t="array" ref="H616">_xlfn.IFS(
OR(ISNUMBER(SEARCH("mouse",E616)),ISNUMBER(SEARCH("rat",E616)),ISNUMBER(SEARCH("mice",E616)),ISNUMBER(SEARCH("rodent",E616))),"Rodent Control",
OR(ISNUMBER(SEARCH("fly",E616)),ISNUMBER(SEARCH("gnat",E616)),ISNUMBER(SEARCH("insect",E616)),ISNUMBER(SEARCH("mosquito",E616))),"Flying Insect Control",
OR(ISNUMBER(SEARCH("roach",E616)),ISNUMBER(SEARCH("ant",E616)),ISNUMBER(SEARCH("spider",E616)),ISNUMBER(SEARCH("cricket",E616)),ISNUMBER(SEARCH("scorpion",E616)),ISNUMBER(SEARCH("centipede",E616)),ISNUMBER(SEARCH("beetle",E616))),"Crawling Insect Control",
OR(ISNUMBER(SEARCH("tree",E616)),ISNUMBER(SEARCH("lantern",E616)),ISNUMBER(SEARCH("garden",E616)),ISNUMBER(SEARCH("plant",E616))),"Garden Pest Control",
OR(ISNUMBER(SEARCH("grass seed",E616)),ISNUMBER(SEARCH("seed mix",E616))),"Grass Seed",
OR(ISNUMBER(SEARCH("lawn food",E616)),ISNUMBER(SEARCH("fertilizer",E616))),"Lawn Fertilizer",
OR(ISNUMBER(SEARCH("patch",E616)),ISNUMBER(SEARCH("repair",E616)),ISNUMBER(SEARCH("thick'r",E616)),ISNUMBER(SEARCH("thick'r lawn",E616)),ISNUMBER(SEARCH("rapid grass",E616))),"Lawn Repair",
OR(ISNUMBER(SEARCH("weed",E616)),ISNUMBER(SEARCH("crabgrass",E616))),"Weed Control",
OR(ISNUMBER(SEARCH("fungicide",E616)),ISNUMBER(SEARCH("moss",E616))),"Disease &amp; Moss Control",
OR(ISNUMBER(SEARCH("plant food",E616)),ISNUMBER(SEARCH("miracid",E616))),"Plant Nutrition",
OR(ISNUMBER(SEARCH("perlite",E616))),"Soil Amendment",
OR(ISNUMBER(SEARCH("spreader",E616)),ISNUMBER(SEARCH("sprayer",E616)),ISNUMBER(SEARCH("mower",E616)),ISNUMBER(SEARCH("sweeper",E616)),ISNUMBER(SEARCH("pruner",E616)),ISNUMBER(SEARCH("trimmer",E616)),ISNUMBER(SEARCH("pole saw",E616))),"Garden Equipment",
TRUE,"Other"
)</f>
        <v>Flying Insect Control</v>
      </c>
      <c r="I616" s="7" t="str" cm="1">
        <f t="array" ref="I616">_xlfn.IFS(
OR(ISNUMBER(SEARCH("glue trap",E616)),ISNUMBER(SEARCH("glue board",E616))),"Glue Traps",
OR(ISNUMBER(SEARCH("snap trap",E616)),ISNUMBER(SEARCH("power-kill",E616)),ISNUMBER(SEARCH("wide pedal",E616)),ISNUMBER(SEARCH("metal pedal",E616))),"Snap Traps",
OR(ISNUMBER(SEARCH("electronic",E616)),ISNUMBER(SEARCH("zapper",E616))),"Electronic Traps",
OR(ISNUMBER(SEARCH("live catch",E616)),ISNUMBER(SEARCH("multi-catch",E616)),ISNUMBER(SEARCH("catch &amp; hold",E616)),ISNUMBER(SEARCH("tin cat",E616))),"Live Catch Traps",
OR(ISNUMBER(SEARCH("bait",E616)),ISNUMBER(SEARCH("poison",E616))),"Bait &amp; Poison",
ISNUMBER(SEARCH("repellent",E616)),"Repellents",
OR(ISNUMBER(SEARCH("fly trap",E616)),ISNUMBER(SEARCH("fly ribbon",E616)),ISNUMBER(SEARCH("fly stick",E616)),ISNUMBER(SEARCH("window fly",E616)),ISNUMBER(SEARCH("fly magnet",E616))),"Fly Traps",
OR(ISNUMBER(SEARCH("uv",E616)),ISNUMBER(SEARCH("fly light",E616)),ISNUMBER(SEARCH("plug-in",E616))),"UV Fly Traps",
ISNUMBER(SEARCH("roach",E616)),"Roach Traps",
ISNUMBER(SEARCH("ant",E616)),"Ant Traps",
ISNUMBER(SEARCH("spider",E616)),"Spider Traps",
ISNUMBER(SEARCH("mosquito",E616)),"Mosquito Traps",
ISNUMBER(SEARCH("beetle",E616)),"Beetle Traps",
ISNUMBER(SEARCH("lantern",E616)),"Lanternfly Control",
OR(ISNUMBER(SEARCH("tree shield",E616)),ISNUMBER(SEARCH("tree banding",E616)),ISNUMBER(SEARCH("insect barrier",E616))),"Tree Barriers",
OR(ISNUMBER(SEARCH("sun &amp; shade",E616)),ISNUMBER(SEARCH("sun and shade",E616))),"Sun &amp; Shade Mix",
ISNUMBER(SEARCH("tall fescue",E616)),"Tall Fescue",
ISNUMBER(SEARCH("bermudagrass",E616)),"Bermudagrass",
ISNUMBER(SEARCH("kentucky",E616)),"Kentucky Bluegrass",
ISNUMBER(SEARCH("zoysia",E616)),"Zoysia",
ISNUMBER(SEARCH("ryegrass",E616)),"Perennial Ryegrass",
ISNUMBER(SEARCH("centipede",E616)),"Centipede Grass",
ISNUMBER(SEARCH("dense shade",E616)),"Dense Shade Mix",
ISNUMBER(SEARCH("southern gold",E616)),"Southern Gold Mix",
ISNUMBER(SEARCH("heat-tolerant blue",E616)),"Heat-Tolerant Blue Mix",
ISNUMBER(SEARCH("high traffic",E616)),"High Traffic Mix",
ISNUMBER(SEARCH("quick fix",E616)),"Quick Fix Mix",
ISNUMBER(SEARCH("starter",E616)),"Starter Fertilizer",
ISNUMBER(SEARCH("weed &amp; feed",E616)),"Weed &amp; Feed",
ISNUMBER(SEARCH("lawn food",E616)),"Lawn Food",
ISNUMBER(SEARCH("triple action",E616)),"Triple Action Fertilizer",
ISNUMBER(SEARCH("green max",E616)),"Green Max Lawn Food",
ISNUMBER(SEARCH("patchmaster",E616)),"PatchMaster Repair",
ISNUMBER(SEARCH("ez seed",E616)),"EZ Seed Repair",
ISNUMBER(SEARCH("rapid grass",E616)),"Rapid Grass",
ISNUMBER(SEARCH("thick'r lawn",E616)),"Thick'R Lawn",
ISNUMBER(SEARCH("fungicide",E616)),"Fungicide",
ISNUMBER(SEARCH("moss",E616)),"Moss Control",
ISNUMBER(SEARCH("perlite",E616)),"Perlite",
ISNUMBER(SEARCH("plant food",E616)),"Plant Food",
ISNUMBER(SEARCH("spreader",E616)),"Spreader",
ISNUMBER(SEARCH("sprayer",E616)),"Sprayer",
ISNUMBER(SEARCH("mower",E616)),"Lawn Mower",
ISNUMBER(SEARCH("sweeper",E616)),"Lawn Sweeper",
OR(ISNUMBER(SEARCH("pruner",E616)),ISNUMBER(SEARCH("trimmer",E616)),ISNUMBER(SEARCH("pole saw",E616))),"Pruning Tools",
TRUE,"Other"
)</f>
        <v>Ant Traps</v>
      </c>
      <c r="J616" s="7" t="str">
        <f t="shared" si="171"/>
        <v>Flying Insect Control - Ant Traps</v>
      </c>
      <c r="K616" s="4">
        <v>500</v>
      </c>
      <c r="L616" s="4">
        <v>4.5999999999999996</v>
      </c>
      <c r="M616" s="4">
        <v>135</v>
      </c>
      <c r="O616" s="4">
        <f>VLOOKUP(A616,[13]Sheet1!$A:$M,2,0)</f>
        <v>200</v>
      </c>
      <c r="P616" s="4">
        <f>VLOOKUP(A616,[13]Sheet1!$A:$M,3,0)</f>
        <v>200</v>
      </c>
      <c r="Q616" s="4">
        <f>VLOOKUP(A616,[13]Sheet1!$A:$M,4,0)</f>
        <v>100</v>
      </c>
      <c r="R616" s="4">
        <f>VLOOKUP(A616,[13]Sheet1!$A:$M,5,0)</f>
        <v>400</v>
      </c>
      <c r="S616" s="4">
        <f>VLOOKUP(A616,[13]Sheet1!$A:$M,6,0)</f>
        <v>400</v>
      </c>
      <c r="T616" s="4">
        <f>VLOOKUP(A616,[13]Sheet1!$A:$M,7,0)</f>
        <v>200</v>
      </c>
      <c r="U616" s="4">
        <f>VLOOKUP(A616,[13]Sheet1!$A:$M,8,0)</f>
        <v>200</v>
      </c>
      <c r="V616" s="4">
        <f>VLOOKUP(A616,[13]Sheet1!$A:$M,9,0)</f>
        <v>400</v>
      </c>
      <c r="W616" s="4">
        <f>VLOOKUP(A616,[13]Sheet1!$A:$M,10,0)</f>
        <v>500</v>
      </c>
      <c r="X616" s="4">
        <f>VLOOKUP(A616,[13]Sheet1!$A:$M,11,0)</f>
        <v>100</v>
      </c>
      <c r="Y616" s="4">
        <f>VLOOKUP(A616,[13]Sheet1!$A:$M,12,0)</f>
        <v>50</v>
      </c>
      <c r="Z616" s="4">
        <f>VLOOKUP(A616,[13]Sheet1!$A:$M,13,0)</f>
        <v>50</v>
      </c>
      <c r="AA616" s="4">
        <f t="shared" si="176"/>
        <v>2800</v>
      </c>
      <c r="AB616" s="7">
        <f t="shared" si="177"/>
        <v>233</v>
      </c>
      <c r="AC616" s="15">
        <f t="shared" si="178"/>
        <v>233.33333333333334</v>
      </c>
      <c r="AD616" s="16">
        <f t="shared" si="179"/>
        <v>83972</v>
      </c>
      <c r="AE616" s="16">
        <f t="shared" si="180"/>
        <v>6997.666666666667</v>
      </c>
      <c r="AF616" s="21">
        <v>6.13</v>
      </c>
      <c r="AG616" s="21">
        <v>29.99</v>
      </c>
      <c r="AH616" s="15">
        <f t="shared" si="189"/>
        <v>0.32440000000000002</v>
      </c>
      <c r="AI616" s="15">
        <f t="shared" si="190"/>
        <v>1.1354</v>
      </c>
      <c r="AJ616" s="10">
        <v>0.5</v>
      </c>
      <c r="AK616" s="10">
        <v>0.5</v>
      </c>
      <c r="AL616" s="21">
        <v>6.13</v>
      </c>
      <c r="AM616" s="9">
        <f t="shared" si="181"/>
        <v>4.4984999999999999</v>
      </c>
      <c r="AN616" s="9">
        <f t="shared" si="182"/>
        <v>0.89969999999999994</v>
      </c>
      <c r="AO616" s="9">
        <f t="shared" si="183"/>
        <v>5.9980000000000002</v>
      </c>
      <c r="AP616" s="9">
        <f t="shared" si="184"/>
        <v>0.5998</v>
      </c>
      <c r="AQ616" s="9">
        <f t="shared" si="185"/>
        <v>5.9980000000000002</v>
      </c>
      <c r="AR616" s="9">
        <f t="shared" si="186"/>
        <v>7.4974999999999996</v>
      </c>
      <c r="AS616" s="11">
        <f t="shared" si="187"/>
        <v>3.2440000000000002</v>
      </c>
      <c r="AT616" s="12">
        <f t="shared" si="188"/>
        <v>2.244333333333334</v>
      </c>
    </row>
    <row r="617" spans="1:46" ht="16.5" x14ac:dyDescent="0.4">
      <c r="A617" s="4" t="s">
        <v>2607</v>
      </c>
      <c r="B617" s="4" t="s">
        <v>2710</v>
      </c>
      <c r="C617" s="4" t="s">
        <v>2721</v>
      </c>
      <c r="D617" s="4" t="s">
        <v>2786</v>
      </c>
      <c r="E617" s="4" t="s">
        <v>2945</v>
      </c>
      <c r="F617" s="4" t="s">
        <v>3104</v>
      </c>
      <c r="G617" s="7" t="str">
        <f>VLOOKUP(A617,[1]done!$A:$I,9,0)</f>
        <v>Other crawling insects</v>
      </c>
      <c r="H617" s="7" t="str" cm="1">
        <f t="array" ref="H617">_xlfn.IFS(
OR(ISNUMBER(SEARCH("mouse",E617)),ISNUMBER(SEARCH("rat",E617)),ISNUMBER(SEARCH("mice",E617)),ISNUMBER(SEARCH("rodent",E617))),"Rodent Control",
OR(ISNUMBER(SEARCH("fly",E617)),ISNUMBER(SEARCH("gnat",E617)),ISNUMBER(SEARCH("insect",E617)),ISNUMBER(SEARCH("mosquito",E617))),"Flying Insect Control",
OR(ISNUMBER(SEARCH("roach",E617)),ISNUMBER(SEARCH("ant",E617)),ISNUMBER(SEARCH("spider",E617)),ISNUMBER(SEARCH("cricket",E617)),ISNUMBER(SEARCH("scorpion",E617)),ISNUMBER(SEARCH("centipede",E617)),ISNUMBER(SEARCH("beetle",E617))),"Crawling Insect Control",
OR(ISNUMBER(SEARCH("tree",E617)),ISNUMBER(SEARCH("lantern",E617)),ISNUMBER(SEARCH("garden",E617)),ISNUMBER(SEARCH("plant",E617))),"Garden Pest Control",
OR(ISNUMBER(SEARCH("grass seed",E617)),ISNUMBER(SEARCH("seed mix",E617))),"Grass Seed",
OR(ISNUMBER(SEARCH("lawn food",E617)),ISNUMBER(SEARCH("fertilizer",E617))),"Lawn Fertilizer",
OR(ISNUMBER(SEARCH("patch",E617)),ISNUMBER(SEARCH("repair",E617)),ISNUMBER(SEARCH("thick'r",E617)),ISNUMBER(SEARCH("thick'r lawn",E617)),ISNUMBER(SEARCH("rapid grass",E617))),"Lawn Repair",
OR(ISNUMBER(SEARCH("weed",E617)),ISNUMBER(SEARCH("crabgrass",E617))),"Weed Control",
OR(ISNUMBER(SEARCH("fungicide",E617)),ISNUMBER(SEARCH("moss",E617))),"Disease &amp; Moss Control",
OR(ISNUMBER(SEARCH("plant food",E617)),ISNUMBER(SEARCH("miracid",E617))),"Plant Nutrition",
OR(ISNUMBER(SEARCH("perlite",E617))),"Soil Amendment",
OR(ISNUMBER(SEARCH("spreader",E617)),ISNUMBER(SEARCH("sprayer",E617)),ISNUMBER(SEARCH("mower",E617)),ISNUMBER(SEARCH("sweeper",E617)),ISNUMBER(SEARCH("pruner",E617)),ISNUMBER(SEARCH("trimmer",E617)),ISNUMBER(SEARCH("pole saw",E617))),"Garden Equipment",
TRUE,"Other"
)</f>
        <v>Crawling Insect Control</v>
      </c>
      <c r="I617" s="7" t="str" cm="1">
        <f t="array" ref="I617">_xlfn.IFS(
OR(ISNUMBER(SEARCH("glue trap",E617)),ISNUMBER(SEARCH("glue board",E617))),"Glue Traps",
OR(ISNUMBER(SEARCH("snap trap",E617)),ISNUMBER(SEARCH("power-kill",E617)),ISNUMBER(SEARCH("wide pedal",E617)),ISNUMBER(SEARCH("metal pedal",E617))),"Snap Traps",
OR(ISNUMBER(SEARCH("electronic",E617)),ISNUMBER(SEARCH("zapper",E617))),"Electronic Traps",
OR(ISNUMBER(SEARCH("live catch",E617)),ISNUMBER(SEARCH("multi-catch",E617)),ISNUMBER(SEARCH("catch &amp; hold",E617)),ISNUMBER(SEARCH("tin cat",E617))),"Live Catch Traps",
OR(ISNUMBER(SEARCH("bait",E617)),ISNUMBER(SEARCH("poison",E617))),"Bait &amp; Poison",
ISNUMBER(SEARCH("repellent",E617)),"Repellents",
OR(ISNUMBER(SEARCH("fly trap",E617)),ISNUMBER(SEARCH("fly ribbon",E617)),ISNUMBER(SEARCH("fly stick",E617)),ISNUMBER(SEARCH("window fly",E617)),ISNUMBER(SEARCH("fly magnet",E617))),"Fly Traps",
OR(ISNUMBER(SEARCH("uv",E617)),ISNUMBER(SEARCH("fly light",E617)),ISNUMBER(SEARCH("plug-in",E617))),"UV Fly Traps",
ISNUMBER(SEARCH("roach",E617)),"Roach Traps",
ISNUMBER(SEARCH("ant",E617)),"Ant Traps",
ISNUMBER(SEARCH("spider",E617)),"Spider Traps",
ISNUMBER(SEARCH("mosquito",E617)),"Mosquito Traps",
ISNUMBER(SEARCH("beetle",E617)),"Beetle Traps",
ISNUMBER(SEARCH("lantern",E617)),"Lanternfly Control",
OR(ISNUMBER(SEARCH("tree shield",E617)),ISNUMBER(SEARCH("tree banding",E617)),ISNUMBER(SEARCH("insect barrier",E617))),"Tree Barriers",
OR(ISNUMBER(SEARCH("sun &amp; shade",E617)),ISNUMBER(SEARCH("sun and shade",E617))),"Sun &amp; Shade Mix",
ISNUMBER(SEARCH("tall fescue",E617)),"Tall Fescue",
ISNUMBER(SEARCH("bermudagrass",E617)),"Bermudagrass",
ISNUMBER(SEARCH("kentucky",E617)),"Kentucky Bluegrass",
ISNUMBER(SEARCH("zoysia",E617)),"Zoysia",
ISNUMBER(SEARCH("ryegrass",E617)),"Perennial Ryegrass",
ISNUMBER(SEARCH("centipede",E617)),"Centipede Grass",
ISNUMBER(SEARCH("dense shade",E617)),"Dense Shade Mix",
ISNUMBER(SEARCH("southern gold",E617)),"Southern Gold Mix",
ISNUMBER(SEARCH("heat-tolerant blue",E617)),"Heat-Tolerant Blue Mix",
ISNUMBER(SEARCH("high traffic",E617)),"High Traffic Mix",
ISNUMBER(SEARCH("quick fix",E617)),"Quick Fix Mix",
ISNUMBER(SEARCH("starter",E617)),"Starter Fertilizer",
ISNUMBER(SEARCH("weed &amp; feed",E617)),"Weed &amp; Feed",
ISNUMBER(SEARCH("lawn food",E617)),"Lawn Food",
ISNUMBER(SEARCH("triple action",E617)),"Triple Action Fertilizer",
ISNUMBER(SEARCH("green max",E617)),"Green Max Lawn Food",
ISNUMBER(SEARCH("patchmaster",E617)),"PatchMaster Repair",
ISNUMBER(SEARCH("ez seed",E617)),"EZ Seed Repair",
ISNUMBER(SEARCH("rapid grass",E617)),"Rapid Grass",
ISNUMBER(SEARCH("thick'r lawn",E617)),"Thick'R Lawn",
ISNUMBER(SEARCH("fungicide",E617)),"Fungicide",
ISNUMBER(SEARCH("moss",E617)),"Moss Control",
ISNUMBER(SEARCH("perlite",E617)),"Perlite",
ISNUMBER(SEARCH("plant food",E617)),"Plant Food",
ISNUMBER(SEARCH("spreader",E617)),"Spreader",
ISNUMBER(SEARCH("sprayer",E617)),"Sprayer",
ISNUMBER(SEARCH("mower",E617)),"Lawn Mower",
ISNUMBER(SEARCH("sweeper",E617)),"Lawn Sweeper",
OR(ISNUMBER(SEARCH("pruner",E617)),ISNUMBER(SEARCH("trimmer",E617)),ISNUMBER(SEARCH("pole saw",E617))),"Pruning Tools",
TRUE,"Other"
)</f>
        <v>Spider Traps</v>
      </c>
      <c r="J617" s="7" t="str">
        <f t="shared" si="171"/>
        <v>Crawling Insect Control - Spider Traps</v>
      </c>
      <c r="K617" s="4">
        <v>500</v>
      </c>
      <c r="L617" s="4">
        <v>4.5</v>
      </c>
      <c r="M617" s="4">
        <v>846</v>
      </c>
      <c r="N617" s="4" t="s">
        <v>1400</v>
      </c>
      <c r="O617" s="4">
        <f>VLOOKUP(A617,[13]Sheet1!$A:$M,2,0)</f>
        <v>0</v>
      </c>
      <c r="P617" s="4">
        <f>VLOOKUP(A617,[13]Sheet1!$A:$M,3,0)</f>
        <v>0</v>
      </c>
      <c r="Q617" s="4">
        <f>VLOOKUP(A617,[13]Sheet1!$A:$M,4,0)</f>
        <v>0</v>
      </c>
      <c r="R617" s="4">
        <f>VLOOKUP(A617,[13]Sheet1!$A:$M,5,0)</f>
        <v>50</v>
      </c>
      <c r="S617" s="4">
        <f>VLOOKUP(A617,[13]Sheet1!$A:$M,6,0)</f>
        <v>50</v>
      </c>
      <c r="T617" s="4">
        <f>VLOOKUP(A617,[13]Sheet1!$A:$M,7,0)</f>
        <v>50</v>
      </c>
      <c r="U617" s="4">
        <f>VLOOKUP(A617,[13]Sheet1!$A:$M,8,0)</f>
        <v>50</v>
      </c>
      <c r="V617" s="4">
        <f>VLOOKUP(A617,[13]Sheet1!$A:$M,9,0)</f>
        <v>100</v>
      </c>
      <c r="W617" s="4">
        <f>VLOOKUP(A617,[13]Sheet1!$A:$M,10,0)</f>
        <v>500</v>
      </c>
      <c r="X617" s="4">
        <f>VLOOKUP(A617,[13]Sheet1!$A:$M,11,0)</f>
        <v>50</v>
      </c>
      <c r="Y617" s="4">
        <f>VLOOKUP(A617,[13]Sheet1!$A:$M,12,0)</f>
        <v>0</v>
      </c>
      <c r="Z617" s="4">
        <f>VLOOKUP(A617,[13]Sheet1!$A:$M,13,0)</f>
        <v>0</v>
      </c>
      <c r="AA617" s="4">
        <f t="shared" si="176"/>
        <v>850</v>
      </c>
      <c r="AB617" s="7">
        <f t="shared" si="177"/>
        <v>71</v>
      </c>
      <c r="AC617" s="15">
        <f t="shared" si="178"/>
        <v>70.833333333333329</v>
      </c>
      <c r="AD617" s="16">
        <f t="shared" si="179"/>
        <v>10548.5</v>
      </c>
      <c r="AE617" s="16">
        <f t="shared" si="180"/>
        <v>879.04166666666663</v>
      </c>
      <c r="AF617" s="21">
        <v>4.3499999999999996</v>
      </c>
      <c r="AG617" s="21">
        <v>12.41</v>
      </c>
      <c r="AH617" s="15">
        <f t="shared" si="189"/>
        <v>-2.5733333333333344E-2</v>
      </c>
      <c r="AI617" s="15">
        <f t="shared" si="190"/>
        <v>-9.0066666666666684E-2</v>
      </c>
      <c r="AJ617" s="10">
        <v>0.5</v>
      </c>
      <c r="AK617" s="10">
        <v>0.5</v>
      </c>
      <c r="AL617" s="21">
        <v>4.3499999999999996</v>
      </c>
      <c r="AM617" s="9">
        <f t="shared" si="181"/>
        <v>1.8614999999999999</v>
      </c>
      <c r="AN617" s="9">
        <f t="shared" si="182"/>
        <v>0.37229999999999996</v>
      </c>
      <c r="AO617" s="9">
        <f t="shared" si="183"/>
        <v>2.4820000000000002</v>
      </c>
      <c r="AP617" s="9">
        <f t="shared" si="184"/>
        <v>0.2482</v>
      </c>
      <c r="AQ617" s="9">
        <f t="shared" si="185"/>
        <v>2.4820000000000002</v>
      </c>
      <c r="AR617" s="9">
        <f t="shared" si="186"/>
        <v>3.1025</v>
      </c>
      <c r="AS617" s="11">
        <f t="shared" si="187"/>
        <v>-0.25733333333333341</v>
      </c>
      <c r="AT617" s="12">
        <f t="shared" si="188"/>
        <v>-0.67099999999999993</v>
      </c>
    </row>
    <row r="618" spans="1:46" ht="16.5" x14ac:dyDescent="0.4">
      <c r="A618" s="4" t="s">
        <v>2608</v>
      </c>
      <c r="B618" s="4" t="s">
        <v>2711</v>
      </c>
      <c r="D618" s="4" t="s">
        <v>2787</v>
      </c>
      <c r="E618" s="4" t="s">
        <v>2946</v>
      </c>
      <c r="F618" s="4" t="s">
        <v>3105</v>
      </c>
      <c r="G618" s="7" t="str">
        <f>VLOOKUP(A618,[1]done!$A:$I,9,0)</f>
        <v>Other crawling insects</v>
      </c>
      <c r="H618" s="7" t="str" cm="1">
        <f t="array" ref="H618">_xlfn.IFS(
OR(ISNUMBER(SEARCH("mouse",E618)),ISNUMBER(SEARCH("rat",E618)),ISNUMBER(SEARCH("mice",E618)),ISNUMBER(SEARCH("rodent",E618))),"Rodent Control",
OR(ISNUMBER(SEARCH("fly",E618)),ISNUMBER(SEARCH("gnat",E618)),ISNUMBER(SEARCH("insect",E618)),ISNUMBER(SEARCH("mosquito",E618))),"Flying Insect Control",
OR(ISNUMBER(SEARCH("roach",E618)),ISNUMBER(SEARCH("ant",E618)),ISNUMBER(SEARCH("spider",E618)),ISNUMBER(SEARCH("cricket",E618)),ISNUMBER(SEARCH("scorpion",E618)),ISNUMBER(SEARCH("centipede",E618)),ISNUMBER(SEARCH("beetle",E618))),"Crawling Insect Control",
OR(ISNUMBER(SEARCH("tree",E618)),ISNUMBER(SEARCH("lantern",E618)),ISNUMBER(SEARCH("garden",E618)),ISNUMBER(SEARCH("plant",E618))),"Garden Pest Control",
OR(ISNUMBER(SEARCH("grass seed",E618)),ISNUMBER(SEARCH("seed mix",E618))),"Grass Seed",
OR(ISNUMBER(SEARCH("lawn food",E618)),ISNUMBER(SEARCH("fertilizer",E618))),"Lawn Fertilizer",
OR(ISNUMBER(SEARCH("patch",E618)),ISNUMBER(SEARCH("repair",E618)),ISNUMBER(SEARCH("thick'r",E618)),ISNUMBER(SEARCH("thick'r lawn",E618)),ISNUMBER(SEARCH("rapid grass",E618))),"Lawn Repair",
OR(ISNUMBER(SEARCH("weed",E618)),ISNUMBER(SEARCH("crabgrass",E618))),"Weed Control",
OR(ISNUMBER(SEARCH("fungicide",E618)),ISNUMBER(SEARCH("moss",E618))),"Disease &amp; Moss Control",
OR(ISNUMBER(SEARCH("plant food",E618)),ISNUMBER(SEARCH("miracid",E618))),"Plant Nutrition",
OR(ISNUMBER(SEARCH("perlite",E618))),"Soil Amendment",
OR(ISNUMBER(SEARCH("spreader",E618)),ISNUMBER(SEARCH("sprayer",E618)),ISNUMBER(SEARCH("mower",E618)),ISNUMBER(SEARCH("sweeper",E618)),ISNUMBER(SEARCH("pruner",E618)),ISNUMBER(SEARCH("trimmer",E618)),ISNUMBER(SEARCH("pole saw",E618))),"Garden Equipment",
TRUE,"Other"
)</f>
        <v>Flying Insect Control</v>
      </c>
      <c r="I618" s="7" t="str" cm="1">
        <f t="array" ref="I618">_xlfn.IFS(
OR(ISNUMBER(SEARCH("glue trap",E618)),ISNUMBER(SEARCH("glue board",E618))),"Glue Traps",
OR(ISNUMBER(SEARCH("snap trap",E618)),ISNUMBER(SEARCH("power-kill",E618)),ISNUMBER(SEARCH("wide pedal",E618)),ISNUMBER(SEARCH("metal pedal",E618))),"Snap Traps",
OR(ISNUMBER(SEARCH("electronic",E618)),ISNUMBER(SEARCH("zapper",E618))),"Electronic Traps",
OR(ISNUMBER(SEARCH("live catch",E618)),ISNUMBER(SEARCH("multi-catch",E618)),ISNUMBER(SEARCH("catch &amp; hold",E618)),ISNUMBER(SEARCH("tin cat",E618))),"Live Catch Traps",
OR(ISNUMBER(SEARCH("bait",E618)),ISNUMBER(SEARCH("poison",E618))),"Bait &amp; Poison",
ISNUMBER(SEARCH("repellent",E618)),"Repellents",
OR(ISNUMBER(SEARCH("fly trap",E618)),ISNUMBER(SEARCH("fly ribbon",E618)),ISNUMBER(SEARCH("fly stick",E618)),ISNUMBER(SEARCH("window fly",E618)),ISNUMBER(SEARCH("fly magnet",E618))),"Fly Traps",
OR(ISNUMBER(SEARCH("uv",E618)),ISNUMBER(SEARCH("fly light",E618)),ISNUMBER(SEARCH("plug-in",E618))),"UV Fly Traps",
ISNUMBER(SEARCH("roach",E618)),"Roach Traps",
ISNUMBER(SEARCH("ant",E618)),"Ant Traps",
ISNUMBER(SEARCH("spider",E618)),"Spider Traps",
ISNUMBER(SEARCH("mosquito",E618)),"Mosquito Traps",
ISNUMBER(SEARCH("beetle",E618)),"Beetle Traps",
ISNUMBER(SEARCH("lantern",E618)),"Lanternfly Control",
OR(ISNUMBER(SEARCH("tree shield",E618)),ISNUMBER(SEARCH("tree banding",E618)),ISNUMBER(SEARCH("insect barrier",E618))),"Tree Barriers",
OR(ISNUMBER(SEARCH("sun &amp; shade",E618)),ISNUMBER(SEARCH("sun and shade",E618))),"Sun &amp; Shade Mix",
ISNUMBER(SEARCH("tall fescue",E618)),"Tall Fescue",
ISNUMBER(SEARCH("bermudagrass",E618)),"Bermudagrass",
ISNUMBER(SEARCH("kentucky",E618)),"Kentucky Bluegrass",
ISNUMBER(SEARCH("zoysia",E618)),"Zoysia",
ISNUMBER(SEARCH("ryegrass",E618)),"Perennial Ryegrass",
ISNUMBER(SEARCH("centipede",E618)),"Centipede Grass",
ISNUMBER(SEARCH("dense shade",E618)),"Dense Shade Mix",
ISNUMBER(SEARCH("southern gold",E618)),"Southern Gold Mix",
ISNUMBER(SEARCH("heat-tolerant blue",E618)),"Heat-Tolerant Blue Mix",
ISNUMBER(SEARCH("high traffic",E618)),"High Traffic Mix",
ISNUMBER(SEARCH("quick fix",E618)),"Quick Fix Mix",
ISNUMBER(SEARCH("starter",E618)),"Starter Fertilizer",
ISNUMBER(SEARCH("weed &amp; feed",E618)),"Weed &amp; Feed",
ISNUMBER(SEARCH("lawn food",E618)),"Lawn Food",
ISNUMBER(SEARCH("triple action",E618)),"Triple Action Fertilizer",
ISNUMBER(SEARCH("green max",E618)),"Green Max Lawn Food",
ISNUMBER(SEARCH("patchmaster",E618)),"PatchMaster Repair",
ISNUMBER(SEARCH("ez seed",E618)),"EZ Seed Repair",
ISNUMBER(SEARCH("rapid grass",E618)),"Rapid Grass",
ISNUMBER(SEARCH("thick'r lawn",E618)),"Thick'R Lawn",
ISNUMBER(SEARCH("fungicide",E618)),"Fungicide",
ISNUMBER(SEARCH("moss",E618)),"Moss Control",
ISNUMBER(SEARCH("perlite",E618)),"Perlite",
ISNUMBER(SEARCH("plant food",E618)),"Plant Food",
ISNUMBER(SEARCH("spreader",E618)),"Spreader",
ISNUMBER(SEARCH("sprayer",E618)),"Sprayer",
ISNUMBER(SEARCH("mower",E618)),"Lawn Mower",
ISNUMBER(SEARCH("sweeper",E618)),"Lawn Sweeper",
OR(ISNUMBER(SEARCH("pruner",E618)),ISNUMBER(SEARCH("trimmer",E618)),ISNUMBER(SEARCH("pole saw",E618))),"Pruning Tools",
TRUE,"Other"
)</f>
        <v>Ant Traps</v>
      </c>
      <c r="J618" s="7" t="str">
        <f t="shared" si="171"/>
        <v>Flying Insect Control - Ant Traps</v>
      </c>
      <c r="K618" s="4">
        <v>500</v>
      </c>
      <c r="L618" s="4">
        <v>4.3</v>
      </c>
      <c r="M618" s="4">
        <v>42</v>
      </c>
      <c r="O618" s="4">
        <f>VLOOKUP(A618,[13]Sheet1!$A:$M,2,0)</f>
        <v>0</v>
      </c>
      <c r="P618" s="4">
        <f>VLOOKUP(A618,[13]Sheet1!$A:$M,3,0)</f>
        <v>50</v>
      </c>
      <c r="Q618" s="4">
        <f>VLOOKUP(A618,[13]Sheet1!$A:$M,4,0)</f>
        <v>50</v>
      </c>
      <c r="R618" s="4">
        <f>VLOOKUP(A618,[13]Sheet1!$A:$M,5,0)</f>
        <v>50</v>
      </c>
      <c r="S618" s="4">
        <f>VLOOKUP(A618,[13]Sheet1!$A:$M,6,0)</f>
        <v>50</v>
      </c>
      <c r="T618" s="4">
        <f>VLOOKUP(A618,[13]Sheet1!$A:$M,7,0)</f>
        <v>100</v>
      </c>
      <c r="U618" s="4">
        <f>VLOOKUP(A618,[13]Sheet1!$A:$M,8,0)</f>
        <v>200</v>
      </c>
      <c r="V618" s="4">
        <f>VLOOKUP(A618,[13]Sheet1!$A:$M,9,0)</f>
        <v>100</v>
      </c>
      <c r="W618" s="4">
        <f>VLOOKUP(A618,[13]Sheet1!$A:$M,10,0)</f>
        <v>500</v>
      </c>
      <c r="X618" s="4">
        <f>VLOOKUP(A618,[13]Sheet1!$A:$M,11,0)</f>
        <v>0</v>
      </c>
      <c r="Y618" s="4">
        <f>VLOOKUP(A618,[13]Sheet1!$A:$M,12,0)</f>
        <v>0</v>
      </c>
      <c r="Z618" s="4">
        <f>VLOOKUP(A618,[13]Sheet1!$A:$M,13,0)</f>
        <v>0</v>
      </c>
      <c r="AA618" s="4">
        <f t="shared" si="176"/>
        <v>1100</v>
      </c>
      <c r="AB618" s="7">
        <f t="shared" si="177"/>
        <v>92</v>
      </c>
      <c r="AC618" s="15">
        <f t="shared" si="178"/>
        <v>91.666666666666671</v>
      </c>
      <c r="AD618" s="16">
        <f t="shared" si="179"/>
        <v>15939</v>
      </c>
      <c r="AE618" s="16">
        <f t="shared" si="180"/>
        <v>1328.25</v>
      </c>
      <c r="AF618" s="21">
        <v>4.3499999999999996</v>
      </c>
      <c r="AG618" s="21">
        <v>14.49</v>
      </c>
      <c r="AH618" s="15">
        <f t="shared" si="189"/>
        <v>2.9733333333333285E-2</v>
      </c>
      <c r="AI618" s="15">
        <f t="shared" si="190"/>
        <v>0.10406666666666649</v>
      </c>
      <c r="AJ618" s="10">
        <v>0.5</v>
      </c>
      <c r="AK618" s="10">
        <v>0.5</v>
      </c>
      <c r="AL618" s="21">
        <v>4.3499999999999996</v>
      </c>
      <c r="AM618" s="9">
        <f t="shared" si="181"/>
        <v>2.1734999999999998</v>
      </c>
      <c r="AN618" s="9">
        <f t="shared" si="182"/>
        <v>0.43469999999999998</v>
      </c>
      <c r="AO618" s="9">
        <f t="shared" si="183"/>
        <v>2.8980000000000001</v>
      </c>
      <c r="AP618" s="9">
        <f t="shared" si="184"/>
        <v>0.2898</v>
      </c>
      <c r="AQ618" s="9">
        <f t="shared" si="185"/>
        <v>2.8980000000000001</v>
      </c>
      <c r="AR618" s="9">
        <f t="shared" si="186"/>
        <v>3.6225000000000001</v>
      </c>
      <c r="AS618" s="11">
        <f t="shared" si="187"/>
        <v>0.29733333333333284</v>
      </c>
      <c r="AT618" s="12">
        <f t="shared" si="188"/>
        <v>-0.18566666666666709</v>
      </c>
    </row>
    <row r="619" spans="1:46" ht="16.5" x14ac:dyDescent="0.4">
      <c r="A619" s="4" t="s">
        <v>2609</v>
      </c>
      <c r="B619" s="4" t="s">
        <v>2710</v>
      </c>
      <c r="C619" s="4" t="s">
        <v>2710</v>
      </c>
      <c r="D619" s="4" t="s">
        <v>2788</v>
      </c>
      <c r="E619" s="4" t="s">
        <v>2947</v>
      </c>
      <c r="F619" s="4" t="s">
        <v>3106</v>
      </c>
      <c r="G619" s="7" t="str">
        <f>VLOOKUP(A619,[1]done!$A:$I,9,0)</f>
        <v>Other crawling insects</v>
      </c>
      <c r="H619" s="7" t="str" cm="1">
        <f t="array" ref="H619">_xlfn.IFS(
OR(ISNUMBER(SEARCH("mouse",E619)),ISNUMBER(SEARCH("rat",E619)),ISNUMBER(SEARCH("mice",E619)),ISNUMBER(SEARCH("rodent",E619))),"Rodent Control",
OR(ISNUMBER(SEARCH("fly",E619)),ISNUMBER(SEARCH("gnat",E619)),ISNUMBER(SEARCH("insect",E619)),ISNUMBER(SEARCH("mosquito",E619))),"Flying Insect Control",
OR(ISNUMBER(SEARCH("roach",E619)),ISNUMBER(SEARCH("ant",E619)),ISNUMBER(SEARCH("spider",E619)),ISNUMBER(SEARCH("cricket",E619)),ISNUMBER(SEARCH("scorpion",E619)),ISNUMBER(SEARCH("centipede",E619)),ISNUMBER(SEARCH("beetle",E619))),"Crawling Insect Control",
OR(ISNUMBER(SEARCH("tree",E619)),ISNUMBER(SEARCH("lantern",E619)),ISNUMBER(SEARCH("garden",E619)),ISNUMBER(SEARCH("plant",E619))),"Garden Pest Control",
OR(ISNUMBER(SEARCH("grass seed",E619)),ISNUMBER(SEARCH("seed mix",E619))),"Grass Seed",
OR(ISNUMBER(SEARCH("lawn food",E619)),ISNUMBER(SEARCH("fertilizer",E619))),"Lawn Fertilizer",
OR(ISNUMBER(SEARCH("patch",E619)),ISNUMBER(SEARCH("repair",E619)),ISNUMBER(SEARCH("thick'r",E619)),ISNUMBER(SEARCH("thick'r lawn",E619)),ISNUMBER(SEARCH("rapid grass",E619))),"Lawn Repair",
OR(ISNUMBER(SEARCH("weed",E619)),ISNUMBER(SEARCH("crabgrass",E619))),"Weed Control",
OR(ISNUMBER(SEARCH("fungicide",E619)),ISNUMBER(SEARCH("moss",E619))),"Disease &amp; Moss Control",
OR(ISNUMBER(SEARCH("plant food",E619)),ISNUMBER(SEARCH("miracid",E619))),"Plant Nutrition",
OR(ISNUMBER(SEARCH("perlite",E619))),"Soil Amendment",
OR(ISNUMBER(SEARCH("spreader",E619)),ISNUMBER(SEARCH("sprayer",E619)),ISNUMBER(SEARCH("mower",E619)),ISNUMBER(SEARCH("sweeper",E619)),ISNUMBER(SEARCH("pruner",E619)),ISNUMBER(SEARCH("trimmer",E619)),ISNUMBER(SEARCH("pole saw",E619))),"Garden Equipment",
TRUE,"Other"
)</f>
        <v>Crawling Insect Control</v>
      </c>
      <c r="I619" s="7" t="str" cm="1">
        <f t="array" ref="I619">_xlfn.IFS(
OR(ISNUMBER(SEARCH("glue trap",E619)),ISNUMBER(SEARCH("glue board",E619))),"Glue Traps",
OR(ISNUMBER(SEARCH("snap trap",E619)),ISNUMBER(SEARCH("power-kill",E619)),ISNUMBER(SEARCH("wide pedal",E619)),ISNUMBER(SEARCH("metal pedal",E619))),"Snap Traps",
OR(ISNUMBER(SEARCH("electronic",E619)),ISNUMBER(SEARCH("zapper",E619))),"Electronic Traps",
OR(ISNUMBER(SEARCH("live catch",E619)),ISNUMBER(SEARCH("multi-catch",E619)),ISNUMBER(SEARCH("catch &amp; hold",E619)),ISNUMBER(SEARCH("tin cat",E619))),"Live Catch Traps",
OR(ISNUMBER(SEARCH("bait",E619)),ISNUMBER(SEARCH("poison",E619))),"Bait &amp; Poison",
ISNUMBER(SEARCH("repellent",E619)),"Repellents",
OR(ISNUMBER(SEARCH("fly trap",E619)),ISNUMBER(SEARCH("fly ribbon",E619)),ISNUMBER(SEARCH("fly stick",E619)),ISNUMBER(SEARCH("window fly",E619)),ISNUMBER(SEARCH("fly magnet",E619))),"Fly Traps",
OR(ISNUMBER(SEARCH("uv",E619)),ISNUMBER(SEARCH("fly light",E619)),ISNUMBER(SEARCH("plug-in",E619))),"UV Fly Traps",
ISNUMBER(SEARCH("roach",E619)),"Roach Traps",
ISNUMBER(SEARCH("ant",E619)),"Ant Traps",
ISNUMBER(SEARCH("spider",E619)),"Spider Traps",
ISNUMBER(SEARCH("mosquito",E619)),"Mosquito Traps",
ISNUMBER(SEARCH("beetle",E619)),"Beetle Traps",
ISNUMBER(SEARCH("lantern",E619)),"Lanternfly Control",
OR(ISNUMBER(SEARCH("tree shield",E619)),ISNUMBER(SEARCH("tree banding",E619)),ISNUMBER(SEARCH("insect barrier",E619))),"Tree Barriers",
OR(ISNUMBER(SEARCH("sun &amp; shade",E619)),ISNUMBER(SEARCH("sun and shade",E619))),"Sun &amp; Shade Mix",
ISNUMBER(SEARCH("tall fescue",E619)),"Tall Fescue",
ISNUMBER(SEARCH("bermudagrass",E619)),"Bermudagrass",
ISNUMBER(SEARCH("kentucky",E619)),"Kentucky Bluegrass",
ISNUMBER(SEARCH("zoysia",E619)),"Zoysia",
ISNUMBER(SEARCH("ryegrass",E619)),"Perennial Ryegrass",
ISNUMBER(SEARCH("centipede",E619)),"Centipede Grass",
ISNUMBER(SEARCH("dense shade",E619)),"Dense Shade Mix",
ISNUMBER(SEARCH("southern gold",E619)),"Southern Gold Mix",
ISNUMBER(SEARCH("heat-tolerant blue",E619)),"Heat-Tolerant Blue Mix",
ISNUMBER(SEARCH("high traffic",E619)),"High Traffic Mix",
ISNUMBER(SEARCH("quick fix",E619)),"Quick Fix Mix",
ISNUMBER(SEARCH("starter",E619)),"Starter Fertilizer",
ISNUMBER(SEARCH("weed &amp; feed",E619)),"Weed &amp; Feed",
ISNUMBER(SEARCH("lawn food",E619)),"Lawn Food",
ISNUMBER(SEARCH("triple action",E619)),"Triple Action Fertilizer",
ISNUMBER(SEARCH("green max",E619)),"Green Max Lawn Food",
ISNUMBER(SEARCH("patchmaster",E619)),"PatchMaster Repair",
ISNUMBER(SEARCH("ez seed",E619)),"EZ Seed Repair",
ISNUMBER(SEARCH("rapid grass",E619)),"Rapid Grass",
ISNUMBER(SEARCH("thick'r lawn",E619)),"Thick'R Lawn",
ISNUMBER(SEARCH("fungicide",E619)),"Fungicide",
ISNUMBER(SEARCH("moss",E619)),"Moss Control",
ISNUMBER(SEARCH("perlite",E619)),"Perlite",
ISNUMBER(SEARCH("plant food",E619)),"Plant Food",
ISNUMBER(SEARCH("spreader",E619)),"Spreader",
ISNUMBER(SEARCH("sprayer",E619)),"Sprayer",
ISNUMBER(SEARCH("mower",E619)),"Lawn Mower",
ISNUMBER(SEARCH("sweeper",E619)),"Lawn Sweeper",
OR(ISNUMBER(SEARCH("pruner",E619)),ISNUMBER(SEARCH("trimmer",E619)),ISNUMBER(SEARCH("pole saw",E619))),"Pruning Tools",
TRUE,"Other"
)</f>
        <v>Spider Traps</v>
      </c>
      <c r="J619" s="7" t="str">
        <f t="shared" si="171"/>
        <v>Crawling Insect Control - Spider Traps</v>
      </c>
      <c r="K619" s="4">
        <v>500</v>
      </c>
      <c r="L619" s="4">
        <v>4.5999999999999996</v>
      </c>
      <c r="M619" s="4">
        <v>935</v>
      </c>
      <c r="N619" s="4" t="s">
        <v>3236</v>
      </c>
      <c r="O619" s="4">
        <f>VLOOKUP(A619,[13]Sheet1!$A:$M,2,0)</f>
        <v>0</v>
      </c>
      <c r="P619" s="4">
        <f>VLOOKUP(A619,[13]Sheet1!$A:$M,3,0)</f>
        <v>0</v>
      </c>
      <c r="Q619" s="4">
        <f>VLOOKUP(A619,[13]Sheet1!$A:$M,4,0)</f>
        <v>0</v>
      </c>
      <c r="R619" s="4">
        <f>VLOOKUP(A619,[13]Sheet1!$A:$M,5,0)</f>
        <v>100</v>
      </c>
      <c r="S619" s="4">
        <f>VLOOKUP(A619,[13]Sheet1!$A:$M,6,0)</f>
        <v>100</v>
      </c>
      <c r="T619" s="4">
        <f>VLOOKUP(A619,[13]Sheet1!$A:$M,7,0)</f>
        <v>100</v>
      </c>
      <c r="U619" s="4">
        <f>VLOOKUP(A619,[13]Sheet1!$A:$M,8,0)</f>
        <v>100</v>
      </c>
      <c r="V619" s="4">
        <f>VLOOKUP(A619,[13]Sheet1!$A:$M,9,0)</f>
        <v>500</v>
      </c>
      <c r="W619" s="4">
        <f>VLOOKUP(A619,[13]Sheet1!$A:$M,10,0)</f>
        <v>500</v>
      </c>
      <c r="X619" s="4">
        <f>VLOOKUP(A619,[13]Sheet1!$A:$M,11,0)</f>
        <v>100</v>
      </c>
      <c r="Y619" s="4">
        <f>VLOOKUP(A619,[13]Sheet1!$A:$M,12,0)</f>
        <v>50</v>
      </c>
      <c r="Z619" s="4">
        <f>VLOOKUP(A619,[13]Sheet1!$A:$M,13,0)</f>
        <v>0</v>
      </c>
      <c r="AA619" s="4">
        <f t="shared" si="176"/>
        <v>1550</v>
      </c>
      <c r="AB619" s="7">
        <f t="shared" si="177"/>
        <v>129</v>
      </c>
      <c r="AC619" s="15">
        <f t="shared" si="178"/>
        <v>129.16666666666666</v>
      </c>
      <c r="AD619" s="16">
        <f t="shared" si="179"/>
        <v>32534.499999999996</v>
      </c>
      <c r="AE619" s="16">
        <f t="shared" si="180"/>
        <v>2711.208333333333</v>
      </c>
      <c r="AF619" s="21">
        <v>5.61</v>
      </c>
      <c r="AG619" s="21">
        <v>20.99</v>
      </c>
      <c r="AH619" s="15">
        <f t="shared" si="189"/>
        <v>0.11906666666666664</v>
      </c>
      <c r="AI619" s="15">
        <f t="shared" si="190"/>
        <v>0.41673333333333318</v>
      </c>
      <c r="AJ619" s="10">
        <v>0.5</v>
      </c>
      <c r="AK619" s="10">
        <v>0.5</v>
      </c>
      <c r="AL619" s="21">
        <v>5.61</v>
      </c>
      <c r="AM619" s="9">
        <f t="shared" si="181"/>
        <v>3.1484999999999999</v>
      </c>
      <c r="AN619" s="9">
        <f t="shared" si="182"/>
        <v>0.62969999999999993</v>
      </c>
      <c r="AO619" s="9">
        <f t="shared" si="183"/>
        <v>4.1979999999999995</v>
      </c>
      <c r="AP619" s="9">
        <f t="shared" si="184"/>
        <v>0.41979999999999995</v>
      </c>
      <c r="AQ619" s="9">
        <f t="shared" si="185"/>
        <v>4.1979999999999995</v>
      </c>
      <c r="AR619" s="9">
        <f t="shared" si="186"/>
        <v>5.2474999999999996</v>
      </c>
      <c r="AS619" s="11">
        <f t="shared" si="187"/>
        <v>1.1906666666666663</v>
      </c>
      <c r="AT619" s="12">
        <f t="shared" si="188"/>
        <v>0.49099999999999966</v>
      </c>
    </row>
    <row r="620" spans="1:46" ht="16.5" x14ac:dyDescent="0.4">
      <c r="A620" s="4" t="s">
        <v>2610</v>
      </c>
      <c r="B620" s="4" t="s">
        <v>2710</v>
      </c>
      <c r="C620" s="4" t="s">
        <v>2717</v>
      </c>
      <c r="D620" s="4" t="s">
        <v>2789</v>
      </c>
      <c r="E620" s="4" t="s">
        <v>2948</v>
      </c>
      <c r="F620" s="4" t="s">
        <v>3107</v>
      </c>
      <c r="G620" s="7" t="str">
        <f>VLOOKUP(A620,[1]done!$A:$I,9,0)</f>
        <v>Insecticide/Fungicide</v>
      </c>
      <c r="H620" s="7" t="str" cm="1">
        <f t="array" ref="H620">_xlfn.IFS(
OR(ISNUMBER(SEARCH("mouse",E620)),ISNUMBER(SEARCH("rat",E620)),ISNUMBER(SEARCH("mice",E620)),ISNUMBER(SEARCH("rodent",E620))),"Rodent Control",
OR(ISNUMBER(SEARCH("fly",E620)),ISNUMBER(SEARCH("gnat",E620)),ISNUMBER(SEARCH("insect",E620)),ISNUMBER(SEARCH("mosquito",E620))),"Flying Insect Control",
OR(ISNUMBER(SEARCH("roach",E620)),ISNUMBER(SEARCH("ant",E620)),ISNUMBER(SEARCH("spider",E620)),ISNUMBER(SEARCH("cricket",E620)),ISNUMBER(SEARCH("scorpion",E620)),ISNUMBER(SEARCH("centipede",E620)),ISNUMBER(SEARCH("beetle",E620))),"Crawling Insect Control",
OR(ISNUMBER(SEARCH("tree",E620)),ISNUMBER(SEARCH("lantern",E620)),ISNUMBER(SEARCH("garden",E620)),ISNUMBER(SEARCH("plant",E620))),"Garden Pest Control",
OR(ISNUMBER(SEARCH("grass seed",E620)),ISNUMBER(SEARCH("seed mix",E620))),"Grass Seed",
OR(ISNUMBER(SEARCH("lawn food",E620)),ISNUMBER(SEARCH("fertilizer",E620))),"Lawn Fertilizer",
OR(ISNUMBER(SEARCH("patch",E620)),ISNUMBER(SEARCH("repair",E620)),ISNUMBER(SEARCH("thick'r",E620)),ISNUMBER(SEARCH("thick'r lawn",E620)),ISNUMBER(SEARCH("rapid grass",E620))),"Lawn Repair",
OR(ISNUMBER(SEARCH("weed",E620)),ISNUMBER(SEARCH("crabgrass",E620))),"Weed Control",
OR(ISNUMBER(SEARCH("fungicide",E620)),ISNUMBER(SEARCH("moss",E620))),"Disease &amp; Moss Control",
OR(ISNUMBER(SEARCH("plant food",E620)),ISNUMBER(SEARCH("miracid",E620))),"Plant Nutrition",
OR(ISNUMBER(SEARCH("perlite",E620))),"Soil Amendment",
OR(ISNUMBER(SEARCH("spreader",E620)),ISNUMBER(SEARCH("sprayer",E620)),ISNUMBER(SEARCH("mower",E620)),ISNUMBER(SEARCH("sweeper",E620)),ISNUMBER(SEARCH("pruner",E620)),ISNUMBER(SEARCH("trimmer",E620)),ISNUMBER(SEARCH("pole saw",E620))),"Garden Equipment",
TRUE,"Other"
)</f>
        <v>Other</v>
      </c>
      <c r="I620" s="7" t="str" cm="1">
        <f t="array" ref="I620">_xlfn.IFS(
OR(ISNUMBER(SEARCH("glue trap",E620)),ISNUMBER(SEARCH("glue board",E620))),"Glue Traps",
OR(ISNUMBER(SEARCH("snap trap",E620)),ISNUMBER(SEARCH("power-kill",E620)),ISNUMBER(SEARCH("wide pedal",E620)),ISNUMBER(SEARCH("metal pedal",E620))),"Snap Traps",
OR(ISNUMBER(SEARCH("electronic",E620)),ISNUMBER(SEARCH("zapper",E620))),"Electronic Traps",
OR(ISNUMBER(SEARCH("live catch",E620)),ISNUMBER(SEARCH("multi-catch",E620)),ISNUMBER(SEARCH("catch &amp; hold",E620)),ISNUMBER(SEARCH("tin cat",E620))),"Live Catch Traps",
OR(ISNUMBER(SEARCH("bait",E620)),ISNUMBER(SEARCH("poison",E620))),"Bait &amp; Poison",
ISNUMBER(SEARCH("repellent",E620)),"Repellents",
OR(ISNUMBER(SEARCH("fly trap",E620)),ISNUMBER(SEARCH("fly ribbon",E620)),ISNUMBER(SEARCH("fly stick",E620)),ISNUMBER(SEARCH("window fly",E620)),ISNUMBER(SEARCH("fly magnet",E620))),"Fly Traps",
OR(ISNUMBER(SEARCH("uv",E620)),ISNUMBER(SEARCH("fly light",E620)),ISNUMBER(SEARCH("plug-in",E620))),"UV Fly Traps",
ISNUMBER(SEARCH("roach",E620)),"Roach Traps",
ISNUMBER(SEARCH("ant",E620)),"Ant Traps",
ISNUMBER(SEARCH("spider",E620)),"Spider Traps",
ISNUMBER(SEARCH("mosquito",E620)),"Mosquito Traps",
ISNUMBER(SEARCH("beetle",E620)),"Beetle Traps",
ISNUMBER(SEARCH("lantern",E620)),"Lanternfly Control",
OR(ISNUMBER(SEARCH("tree shield",E620)),ISNUMBER(SEARCH("tree banding",E620)),ISNUMBER(SEARCH("insect barrier",E620))),"Tree Barriers",
OR(ISNUMBER(SEARCH("sun &amp; shade",E620)),ISNUMBER(SEARCH("sun and shade",E620))),"Sun &amp; Shade Mix",
ISNUMBER(SEARCH("tall fescue",E620)),"Tall Fescue",
ISNUMBER(SEARCH("bermudagrass",E620)),"Bermudagrass",
ISNUMBER(SEARCH("kentucky",E620)),"Kentucky Bluegrass",
ISNUMBER(SEARCH("zoysia",E620)),"Zoysia",
ISNUMBER(SEARCH("ryegrass",E620)),"Perennial Ryegrass",
ISNUMBER(SEARCH("centipede",E620)),"Centipede Grass",
ISNUMBER(SEARCH("dense shade",E620)),"Dense Shade Mix",
ISNUMBER(SEARCH("southern gold",E620)),"Southern Gold Mix",
ISNUMBER(SEARCH("heat-tolerant blue",E620)),"Heat-Tolerant Blue Mix",
ISNUMBER(SEARCH("high traffic",E620)),"High Traffic Mix",
ISNUMBER(SEARCH("quick fix",E620)),"Quick Fix Mix",
ISNUMBER(SEARCH("starter",E620)),"Starter Fertilizer",
ISNUMBER(SEARCH("weed &amp; feed",E620)),"Weed &amp; Feed",
ISNUMBER(SEARCH("lawn food",E620)),"Lawn Food",
ISNUMBER(SEARCH("triple action",E620)),"Triple Action Fertilizer",
ISNUMBER(SEARCH("green max",E620)),"Green Max Lawn Food",
ISNUMBER(SEARCH("patchmaster",E620)),"PatchMaster Repair",
ISNUMBER(SEARCH("ez seed",E620)),"EZ Seed Repair",
ISNUMBER(SEARCH("rapid grass",E620)),"Rapid Grass",
ISNUMBER(SEARCH("thick'r lawn",E620)),"Thick'R Lawn",
ISNUMBER(SEARCH("fungicide",E620)),"Fungicide",
ISNUMBER(SEARCH("moss",E620)),"Moss Control",
ISNUMBER(SEARCH("perlite",E620)),"Perlite",
ISNUMBER(SEARCH("plant food",E620)),"Plant Food",
ISNUMBER(SEARCH("spreader",E620)),"Spreader",
ISNUMBER(SEARCH("sprayer",E620)),"Sprayer",
ISNUMBER(SEARCH("mower",E620)),"Lawn Mower",
ISNUMBER(SEARCH("sweeper",E620)),"Lawn Sweeper",
OR(ISNUMBER(SEARCH("pruner",E620)),ISNUMBER(SEARCH("trimmer",E620)),ISNUMBER(SEARCH("pole saw",E620))),"Pruning Tools",
TRUE,"Other"
)</f>
        <v>Repellents</v>
      </c>
      <c r="J620" s="7" t="str">
        <f t="shared" si="171"/>
        <v>Other - Repellents</v>
      </c>
      <c r="K620" s="4">
        <v>400</v>
      </c>
      <c r="L620" s="4">
        <v>3.6</v>
      </c>
      <c r="M620" s="4">
        <v>16789</v>
      </c>
      <c r="N620" s="4" t="s">
        <v>3237</v>
      </c>
      <c r="O620" s="4">
        <f>VLOOKUP(A620,[13]Sheet1!$A:$M,2,0)</f>
        <v>200</v>
      </c>
      <c r="P620" s="4">
        <f>VLOOKUP(A620,[13]Sheet1!$A:$M,3,0)</f>
        <v>100</v>
      </c>
      <c r="Q620" s="4">
        <f>VLOOKUP(A620,[13]Sheet1!$A:$M,4,0)</f>
        <v>200</v>
      </c>
      <c r="R620" s="4">
        <f>VLOOKUP(A620,[13]Sheet1!$A:$M,5,0)</f>
        <v>200</v>
      </c>
      <c r="S620" s="4">
        <f>VLOOKUP(A620,[13]Sheet1!$A:$M,6,0)</f>
        <v>900</v>
      </c>
      <c r="T620" s="4">
        <f>VLOOKUP(A620,[13]Sheet1!$A:$M,7,0)</f>
        <v>900</v>
      </c>
      <c r="U620" s="4">
        <f>VLOOKUP(A620,[13]Sheet1!$A:$M,8,0)</f>
        <v>750</v>
      </c>
      <c r="V620" s="4">
        <f>VLOOKUP(A620,[13]Sheet1!$A:$M,9,0)</f>
        <v>400</v>
      </c>
      <c r="W620" s="4">
        <f>VLOOKUP(A620,[13]Sheet1!$A:$M,10,0)</f>
        <v>300</v>
      </c>
      <c r="X620" s="4">
        <f>VLOOKUP(A620,[13]Sheet1!$A:$M,11,0)</f>
        <v>1000</v>
      </c>
      <c r="Y620" s="4">
        <f>VLOOKUP(A620,[13]Sheet1!$A:$M,12,0)</f>
        <v>800</v>
      </c>
      <c r="Z620" s="4">
        <f>VLOOKUP(A620,[13]Sheet1!$A:$M,13,0)</f>
        <v>50</v>
      </c>
      <c r="AA620" s="4">
        <f t="shared" si="176"/>
        <v>5800</v>
      </c>
      <c r="AB620" s="7">
        <f t="shared" si="177"/>
        <v>483</v>
      </c>
      <c r="AC620" s="15">
        <f t="shared" si="178"/>
        <v>483.33333333333331</v>
      </c>
      <c r="AD620" s="16">
        <f t="shared" si="179"/>
        <v>231245.99999999997</v>
      </c>
      <c r="AE620" s="16">
        <f t="shared" si="180"/>
        <v>19270.499999999996</v>
      </c>
      <c r="AF620" s="21">
        <v>8.2899999999999991</v>
      </c>
      <c r="AG620" s="21">
        <v>39.869999999999997</v>
      </c>
      <c r="AH620" s="15">
        <f t="shared" si="189"/>
        <v>0.44386666666666658</v>
      </c>
      <c r="AI620" s="15">
        <f t="shared" si="190"/>
        <v>1.5535333333333328</v>
      </c>
      <c r="AJ620" s="10">
        <v>0.5</v>
      </c>
      <c r="AK620" s="10">
        <v>0.5</v>
      </c>
      <c r="AL620" s="21">
        <v>8.2899999999999991</v>
      </c>
      <c r="AM620" s="9">
        <f t="shared" si="181"/>
        <v>5.9804999999999993</v>
      </c>
      <c r="AN620" s="9">
        <f t="shared" si="182"/>
        <v>1.1960999999999999</v>
      </c>
      <c r="AO620" s="9">
        <f t="shared" si="183"/>
        <v>7.9740000000000002</v>
      </c>
      <c r="AP620" s="9">
        <f t="shared" si="184"/>
        <v>0.7974</v>
      </c>
      <c r="AQ620" s="9">
        <f t="shared" si="185"/>
        <v>7.9740000000000002</v>
      </c>
      <c r="AR620" s="9">
        <f t="shared" si="186"/>
        <v>9.9674999999999994</v>
      </c>
      <c r="AS620" s="11">
        <f t="shared" si="187"/>
        <v>4.4386666666666654</v>
      </c>
      <c r="AT620" s="12">
        <f t="shared" si="188"/>
        <v>3.1096666666666657</v>
      </c>
    </row>
    <row r="621" spans="1:46" ht="16.5" x14ac:dyDescent="0.4">
      <c r="A621" s="4" t="s">
        <v>2611</v>
      </c>
      <c r="B621" s="4" t="s">
        <v>2710</v>
      </c>
      <c r="C621" s="4" t="s">
        <v>2712</v>
      </c>
      <c r="D621" s="4" t="s">
        <v>2790</v>
      </c>
      <c r="E621" s="4" t="s">
        <v>2949</v>
      </c>
      <c r="F621" s="4" t="s">
        <v>3108</v>
      </c>
      <c r="G621" s="7" t="str">
        <f>VLOOKUP(A621,[1]done!$A:$I,9,0)</f>
        <v>Weed Control</v>
      </c>
      <c r="H621" s="7" t="str" cm="1">
        <f t="array" ref="H621">_xlfn.IFS(
OR(ISNUMBER(SEARCH("mouse",E621)),ISNUMBER(SEARCH("rat",E621)),ISNUMBER(SEARCH("mice",E621)),ISNUMBER(SEARCH("rodent",E621))),"Rodent Control",
OR(ISNUMBER(SEARCH("fly",E621)),ISNUMBER(SEARCH("gnat",E621)),ISNUMBER(SEARCH("insect",E621)),ISNUMBER(SEARCH("mosquito",E621))),"Flying Insect Control",
OR(ISNUMBER(SEARCH("roach",E621)),ISNUMBER(SEARCH("ant",E621)),ISNUMBER(SEARCH("spider",E621)),ISNUMBER(SEARCH("cricket",E621)),ISNUMBER(SEARCH("scorpion",E621)),ISNUMBER(SEARCH("centipede",E621)),ISNUMBER(SEARCH("beetle",E621))),"Crawling Insect Control",
OR(ISNUMBER(SEARCH("tree",E621)),ISNUMBER(SEARCH("lantern",E621)),ISNUMBER(SEARCH("garden",E621)),ISNUMBER(SEARCH("plant",E621))),"Garden Pest Control",
OR(ISNUMBER(SEARCH("grass seed",E621)),ISNUMBER(SEARCH("seed mix",E621))),"Grass Seed",
OR(ISNUMBER(SEARCH("lawn food",E621)),ISNUMBER(SEARCH("fertilizer",E621))),"Lawn Fertilizer",
OR(ISNUMBER(SEARCH("patch",E621)),ISNUMBER(SEARCH("repair",E621)),ISNUMBER(SEARCH("thick'r",E621)),ISNUMBER(SEARCH("thick'r lawn",E621)),ISNUMBER(SEARCH("rapid grass",E621))),"Lawn Repair",
OR(ISNUMBER(SEARCH("weed",E621)),ISNUMBER(SEARCH("crabgrass",E621))),"Weed Control",
OR(ISNUMBER(SEARCH("fungicide",E621)),ISNUMBER(SEARCH("moss",E621))),"Disease &amp; Moss Control",
OR(ISNUMBER(SEARCH("plant food",E621)),ISNUMBER(SEARCH("miracid",E621))),"Plant Nutrition",
OR(ISNUMBER(SEARCH("perlite",E621))),"Soil Amendment",
OR(ISNUMBER(SEARCH("spreader",E621)),ISNUMBER(SEARCH("sprayer",E621)),ISNUMBER(SEARCH("mower",E621)),ISNUMBER(SEARCH("sweeper",E621)),ISNUMBER(SEARCH("pruner",E621)),ISNUMBER(SEARCH("trimmer",E621)),ISNUMBER(SEARCH("pole saw",E621))),"Garden Equipment",
TRUE,"Other"
)</f>
        <v>Garden Pest Control</v>
      </c>
      <c r="I621" s="7" t="str" cm="1">
        <f t="array" ref="I621">_xlfn.IFS(
OR(ISNUMBER(SEARCH("glue trap",E621)),ISNUMBER(SEARCH("glue board",E621))),"Glue Traps",
OR(ISNUMBER(SEARCH("snap trap",E621)),ISNUMBER(SEARCH("power-kill",E621)),ISNUMBER(SEARCH("wide pedal",E621)),ISNUMBER(SEARCH("metal pedal",E621))),"Snap Traps",
OR(ISNUMBER(SEARCH("electronic",E621)),ISNUMBER(SEARCH("zapper",E621))),"Electronic Traps",
OR(ISNUMBER(SEARCH("live catch",E621)),ISNUMBER(SEARCH("multi-catch",E621)),ISNUMBER(SEARCH("catch &amp; hold",E621)),ISNUMBER(SEARCH("tin cat",E621))),"Live Catch Traps",
OR(ISNUMBER(SEARCH("bait",E621)),ISNUMBER(SEARCH("poison",E621))),"Bait &amp; Poison",
ISNUMBER(SEARCH("repellent",E621)),"Repellents",
OR(ISNUMBER(SEARCH("fly trap",E621)),ISNUMBER(SEARCH("fly ribbon",E621)),ISNUMBER(SEARCH("fly stick",E621)),ISNUMBER(SEARCH("window fly",E621)),ISNUMBER(SEARCH("fly magnet",E621))),"Fly Traps",
OR(ISNUMBER(SEARCH("uv",E621)),ISNUMBER(SEARCH("fly light",E621)),ISNUMBER(SEARCH("plug-in",E621))),"UV Fly Traps",
ISNUMBER(SEARCH("roach",E621)),"Roach Traps",
ISNUMBER(SEARCH("ant",E621)),"Ant Traps",
ISNUMBER(SEARCH("spider",E621)),"Spider Traps",
ISNUMBER(SEARCH("mosquito",E621)),"Mosquito Traps",
ISNUMBER(SEARCH("beetle",E621)),"Beetle Traps",
ISNUMBER(SEARCH("lantern",E621)),"Lanternfly Control",
OR(ISNUMBER(SEARCH("tree shield",E621)),ISNUMBER(SEARCH("tree banding",E621)),ISNUMBER(SEARCH("insect barrier",E621))),"Tree Barriers",
OR(ISNUMBER(SEARCH("sun &amp; shade",E621)),ISNUMBER(SEARCH("sun and shade",E621))),"Sun &amp; Shade Mix",
ISNUMBER(SEARCH("tall fescue",E621)),"Tall Fescue",
ISNUMBER(SEARCH("bermudagrass",E621)),"Bermudagrass",
ISNUMBER(SEARCH("kentucky",E621)),"Kentucky Bluegrass",
ISNUMBER(SEARCH("zoysia",E621)),"Zoysia",
ISNUMBER(SEARCH("ryegrass",E621)),"Perennial Ryegrass",
ISNUMBER(SEARCH("centipede",E621)),"Centipede Grass",
ISNUMBER(SEARCH("dense shade",E621)),"Dense Shade Mix",
ISNUMBER(SEARCH("southern gold",E621)),"Southern Gold Mix",
ISNUMBER(SEARCH("heat-tolerant blue",E621)),"Heat-Tolerant Blue Mix",
ISNUMBER(SEARCH("high traffic",E621)),"High Traffic Mix",
ISNUMBER(SEARCH("quick fix",E621)),"Quick Fix Mix",
ISNUMBER(SEARCH("starter",E621)),"Starter Fertilizer",
ISNUMBER(SEARCH("weed &amp; feed",E621)),"Weed &amp; Feed",
ISNUMBER(SEARCH("lawn food",E621)),"Lawn Food",
ISNUMBER(SEARCH("triple action",E621)),"Triple Action Fertilizer",
ISNUMBER(SEARCH("green max",E621)),"Green Max Lawn Food",
ISNUMBER(SEARCH("patchmaster",E621)),"PatchMaster Repair",
ISNUMBER(SEARCH("ez seed",E621)),"EZ Seed Repair",
ISNUMBER(SEARCH("rapid grass",E621)),"Rapid Grass",
ISNUMBER(SEARCH("thick'r lawn",E621)),"Thick'R Lawn",
ISNUMBER(SEARCH("fungicide",E621)),"Fungicide",
ISNUMBER(SEARCH("moss",E621)),"Moss Control",
ISNUMBER(SEARCH("perlite",E621)),"Perlite",
ISNUMBER(SEARCH("plant food",E621)),"Plant Food",
ISNUMBER(SEARCH("spreader",E621)),"Spreader",
ISNUMBER(SEARCH("sprayer",E621)),"Sprayer",
ISNUMBER(SEARCH("mower",E621)),"Lawn Mower",
ISNUMBER(SEARCH("sweeper",E621)),"Lawn Sweeper",
OR(ISNUMBER(SEARCH("pruner",E621)),ISNUMBER(SEARCH("trimmer",E621)),ISNUMBER(SEARCH("pole saw",E621))),"Pruning Tools",
TRUE,"Other"
)</f>
        <v>Other</v>
      </c>
      <c r="J621" s="7" t="str">
        <f t="shared" si="171"/>
        <v>Garden Pest Control - Other</v>
      </c>
      <c r="K621" s="4">
        <v>400</v>
      </c>
      <c r="L621" s="4">
        <v>4</v>
      </c>
      <c r="M621" s="4">
        <v>604</v>
      </c>
      <c r="N621" s="4" t="s">
        <v>3223</v>
      </c>
      <c r="O621" s="4">
        <f>VLOOKUP(A621,[13]Sheet1!$A:$M,2,0)</f>
        <v>100</v>
      </c>
      <c r="P621" s="4">
        <f>VLOOKUP(A621,[13]Sheet1!$A:$M,3,0)</f>
        <v>100</v>
      </c>
      <c r="Q621" s="4">
        <f>VLOOKUP(A621,[13]Sheet1!$A:$M,4,0)</f>
        <v>200</v>
      </c>
      <c r="R621" s="4">
        <f>VLOOKUP(A621,[13]Sheet1!$A:$M,5,0)</f>
        <v>1000</v>
      </c>
      <c r="S621" s="4">
        <f>VLOOKUP(A621,[13]Sheet1!$A:$M,6,0)</f>
        <v>1000</v>
      </c>
      <c r="T621" s="4">
        <f>VLOOKUP(A621,[13]Sheet1!$A:$M,7,0)</f>
        <v>1000</v>
      </c>
      <c r="U621" s="4">
        <f>VLOOKUP(A621,[13]Sheet1!$A:$M,8,0)</f>
        <v>1000</v>
      </c>
      <c r="V621" s="4">
        <f>VLOOKUP(A621,[13]Sheet1!$A:$M,9,0)</f>
        <v>800</v>
      </c>
      <c r="W621" s="4">
        <f>VLOOKUP(A621,[13]Sheet1!$A:$M,10,0)</f>
        <v>400</v>
      </c>
      <c r="X621" s="4">
        <f>VLOOKUP(A621,[13]Sheet1!$A:$M,11,0)</f>
        <v>100</v>
      </c>
      <c r="Y621" s="4">
        <f>VLOOKUP(A621,[13]Sheet1!$A:$M,12,0)</f>
        <v>100</v>
      </c>
      <c r="Z621" s="4">
        <f>VLOOKUP(A621,[13]Sheet1!$A:$M,13,0)</f>
        <v>100</v>
      </c>
      <c r="AA621" s="4">
        <f t="shared" si="176"/>
        <v>5900</v>
      </c>
      <c r="AB621" s="7">
        <f t="shared" si="177"/>
        <v>492</v>
      </c>
      <c r="AC621" s="15">
        <f t="shared" si="178"/>
        <v>491.66666666666669</v>
      </c>
      <c r="AD621" s="16">
        <f t="shared" si="179"/>
        <v>120832</v>
      </c>
      <c r="AE621" s="16">
        <f t="shared" si="180"/>
        <v>10069.333333333334</v>
      </c>
      <c r="AF621" s="21">
        <v>9.1999999999999993</v>
      </c>
      <c r="AG621" s="21">
        <v>20.48</v>
      </c>
      <c r="AH621" s="15">
        <f t="shared" si="189"/>
        <v>-0.13386666666666661</v>
      </c>
      <c r="AI621" s="15">
        <f t="shared" si="190"/>
        <v>-0.46853333333333308</v>
      </c>
      <c r="AJ621" s="10">
        <v>0.5</v>
      </c>
      <c r="AK621" s="10">
        <v>0.5</v>
      </c>
      <c r="AL621" s="21">
        <v>9.1999999999999993</v>
      </c>
      <c r="AM621" s="9">
        <f t="shared" si="181"/>
        <v>3.0720000000000001</v>
      </c>
      <c r="AN621" s="9">
        <f t="shared" si="182"/>
        <v>0.61439999999999995</v>
      </c>
      <c r="AO621" s="9">
        <f t="shared" si="183"/>
        <v>4.0960000000000001</v>
      </c>
      <c r="AP621" s="9">
        <f t="shared" si="184"/>
        <v>0.40960000000000002</v>
      </c>
      <c r="AQ621" s="9">
        <f t="shared" si="185"/>
        <v>4.0960000000000001</v>
      </c>
      <c r="AR621" s="9">
        <f t="shared" si="186"/>
        <v>5.12</v>
      </c>
      <c r="AS621" s="11">
        <f t="shared" si="187"/>
        <v>-1.338666666666666</v>
      </c>
      <c r="AT621" s="12">
        <f t="shared" si="188"/>
        <v>-2.0213333333333328</v>
      </c>
    </row>
    <row r="622" spans="1:46" ht="16.5" x14ac:dyDescent="0.4">
      <c r="A622" s="4" t="s">
        <v>2612</v>
      </c>
      <c r="B622" s="4" t="s">
        <v>2710</v>
      </c>
      <c r="C622" s="4" t="s">
        <v>2714</v>
      </c>
      <c r="D622" s="4" t="s">
        <v>2791</v>
      </c>
      <c r="E622" s="4" t="s">
        <v>2950</v>
      </c>
      <c r="F622" s="4" t="s">
        <v>3109</v>
      </c>
      <c r="G622" s="7" t="str">
        <f>VLOOKUP(A622,[1]done!$A:$I,9,0)</f>
        <v>Deer &amp; Rabbit control</v>
      </c>
      <c r="H622" s="7" t="str" cm="1">
        <f t="array" ref="H622">_xlfn.IFS(
OR(ISNUMBER(SEARCH("mouse",E622)),ISNUMBER(SEARCH("rat",E622)),ISNUMBER(SEARCH("mice",E622)),ISNUMBER(SEARCH("rodent",E622))),"Rodent Control",
OR(ISNUMBER(SEARCH("fly",E622)),ISNUMBER(SEARCH("gnat",E622)),ISNUMBER(SEARCH("insect",E622)),ISNUMBER(SEARCH("mosquito",E622))),"Flying Insect Control",
OR(ISNUMBER(SEARCH("roach",E622)),ISNUMBER(SEARCH("ant",E622)),ISNUMBER(SEARCH("spider",E622)),ISNUMBER(SEARCH("cricket",E622)),ISNUMBER(SEARCH("scorpion",E622)),ISNUMBER(SEARCH("centipede",E622)),ISNUMBER(SEARCH("beetle",E622))),"Crawling Insect Control",
OR(ISNUMBER(SEARCH("tree",E622)),ISNUMBER(SEARCH("lantern",E622)),ISNUMBER(SEARCH("garden",E622)),ISNUMBER(SEARCH("plant",E622))),"Garden Pest Control",
OR(ISNUMBER(SEARCH("grass seed",E622)),ISNUMBER(SEARCH("seed mix",E622))),"Grass Seed",
OR(ISNUMBER(SEARCH("lawn food",E622)),ISNUMBER(SEARCH("fertilizer",E622))),"Lawn Fertilizer",
OR(ISNUMBER(SEARCH("patch",E622)),ISNUMBER(SEARCH("repair",E622)),ISNUMBER(SEARCH("thick'r",E622)),ISNUMBER(SEARCH("thick'r lawn",E622)),ISNUMBER(SEARCH("rapid grass",E622))),"Lawn Repair",
OR(ISNUMBER(SEARCH("weed",E622)),ISNUMBER(SEARCH("crabgrass",E622))),"Weed Control",
OR(ISNUMBER(SEARCH("fungicide",E622)),ISNUMBER(SEARCH("moss",E622))),"Disease &amp; Moss Control",
OR(ISNUMBER(SEARCH("plant food",E622)),ISNUMBER(SEARCH("miracid",E622))),"Plant Nutrition",
OR(ISNUMBER(SEARCH("perlite",E622))),"Soil Amendment",
OR(ISNUMBER(SEARCH("spreader",E622)),ISNUMBER(SEARCH("sprayer",E622)),ISNUMBER(SEARCH("mower",E622)),ISNUMBER(SEARCH("sweeper",E622)),ISNUMBER(SEARCH("pruner",E622)),ISNUMBER(SEARCH("trimmer",E622)),ISNUMBER(SEARCH("pole saw",E622))),"Garden Equipment",
TRUE,"Other"
)</f>
        <v>Rodent Control</v>
      </c>
      <c r="I622" s="7" t="str" cm="1">
        <f t="array" ref="I622">_xlfn.IFS(
OR(ISNUMBER(SEARCH("glue trap",E622)),ISNUMBER(SEARCH("glue board",E622))),"Glue Traps",
OR(ISNUMBER(SEARCH("snap trap",E622)),ISNUMBER(SEARCH("power-kill",E622)),ISNUMBER(SEARCH("wide pedal",E622)),ISNUMBER(SEARCH("metal pedal",E622))),"Snap Traps",
OR(ISNUMBER(SEARCH("electronic",E622)),ISNUMBER(SEARCH("zapper",E622))),"Electronic Traps",
OR(ISNUMBER(SEARCH("live catch",E622)),ISNUMBER(SEARCH("multi-catch",E622)),ISNUMBER(SEARCH("catch &amp; hold",E622)),ISNUMBER(SEARCH("tin cat",E622))),"Live Catch Traps",
OR(ISNUMBER(SEARCH("bait",E622)),ISNUMBER(SEARCH("poison",E622))),"Bait &amp; Poison",
ISNUMBER(SEARCH("repellent",E622)),"Repellents",
OR(ISNUMBER(SEARCH("fly trap",E622)),ISNUMBER(SEARCH("fly ribbon",E622)),ISNUMBER(SEARCH("fly stick",E622)),ISNUMBER(SEARCH("window fly",E622)),ISNUMBER(SEARCH("fly magnet",E622))),"Fly Traps",
OR(ISNUMBER(SEARCH("uv",E622)),ISNUMBER(SEARCH("fly light",E622)),ISNUMBER(SEARCH("plug-in",E622))),"UV Fly Traps",
ISNUMBER(SEARCH("roach",E622)),"Roach Traps",
ISNUMBER(SEARCH("ant",E622)),"Ant Traps",
ISNUMBER(SEARCH("spider",E622)),"Spider Traps",
ISNUMBER(SEARCH("mosquito",E622)),"Mosquito Traps",
ISNUMBER(SEARCH("beetle",E622)),"Beetle Traps",
ISNUMBER(SEARCH("lantern",E622)),"Lanternfly Control",
OR(ISNUMBER(SEARCH("tree shield",E622)),ISNUMBER(SEARCH("tree banding",E622)),ISNUMBER(SEARCH("insect barrier",E622))),"Tree Barriers",
OR(ISNUMBER(SEARCH("sun &amp; shade",E622)),ISNUMBER(SEARCH("sun and shade",E622))),"Sun &amp; Shade Mix",
ISNUMBER(SEARCH("tall fescue",E622)),"Tall Fescue",
ISNUMBER(SEARCH("bermudagrass",E622)),"Bermudagrass",
ISNUMBER(SEARCH("kentucky",E622)),"Kentucky Bluegrass",
ISNUMBER(SEARCH("zoysia",E622)),"Zoysia",
ISNUMBER(SEARCH("ryegrass",E622)),"Perennial Ryegrass",
ISNUMBER(SEARCH("centipede",E622)),"Centipede Grass",
ISNUMBER(SEARCH("dense shade",E622)),"Dense Shade Mix",
ISNUMBER(SEARCH("southern gold",E622)),"Southern Gold Mix",
ISNUMBER(SEARCH("heat-tolerant blue",E622)),"Heat-Tolerant Blue Mix",
ISNUMBER(SEARCH("high traffic",E622)),"High Traffic Mix",
ISNUMBER(SEARCH("quick fix",E622)),"Quick Fix Mix",
ISNUMBER(SEARCH("starter",E622)),"Starter Fertilizer",
ISNUMBER(SEARCH("weed &amp; feed",E622)),"Weed &amp; Feed",
ISNUMBER(SEARCH("lawn food",E622)),"Lawn Food",
ISNUMBER(SEARCH("triple action",E622)),"Triple Action Fertilizer",
ISNUMBER(SEARCH("green max",E622)),"Green Max Lawn Food",
ISNUMBER(SEARCH("patchmaster",E622)),"PatchMaster Repair",
ISNUMBER(SEARCH("ez seed",E622)),"EZ Seed Repair",
ISNUMBER(SEARCH("rapid grass",E622)),"Rapid Grass",
ISNUMBER(SEARCH("thick'r lawn",E622)),"Thick'R Lawn",
ISNUMBER(SEARCH("fungicide",E622)),"Fungicide",
ISNUMBER(SEARCH("moss",E622)),"Moss Control",
ISNUMBER(SEARCH("perlite",E622)),"Perlite",
ISNUMBER(SEARCH("plant food",E622)),"Plant Food",
ISNUMBER(SEARCH("spreader",E622)),"Spreader",
ISNUMBER(SEARCH("sprayer",E622)),"Sprayer",
ISNUMBER(SEARCH("mower",E622)),"Lawn Mower",
ISNUMBER(SEARCH("sweeper",E622)),"Lawn Sweeper",
OR(ISNUMBER(SEARCH("pruner",E622)),ISNUMBER(SEARCH("trimmer",E622)),ISNUMBER(SEARCH("pole saw",E622))),"Pruning Tools",
TRUE,"Other"
)</f>
        <v>Repellents</v>
      </c>
      <c r="J622" s="7" t="str">
        <f t="shared" ref="J622:J685" si="191">H622&amp;" - "&amp;I622</f>
        <v>Rodent Control - Repellents</v>
      </c>
      <c r="K622" s="4">
        <v>400</v>
      </c>
      <c r="L622" s="4">
        <v>3.9</v>
      </c>
      <c r="M622" s="4">
        <v>1054</v>
      </c>
      <c r="N622" s="4" t="s">
        <v>1550</v>
      </c>
      <c r="O622" s="4">
        <f>VLOOKUP(A622,[13]Sheet1!$A:$M,2,0)</f>
        <v>100</v>
      </c>
      <c r="P622" s="4">
        <f>VLOOKUP(A622,[13]Sheet1!$A:$M,3,0)</f>
        <v>100</v>
      </c>
      <c r="Q622" s="4">
        <f>VLOOKUP(A622,[13]Sheet1!$A:$M,4,0)</f>
        <v>200</v>
      </c>
      <c r="R622" s="4">
        <f>VLOOKUP(A622,[13]Sheet1!$A:$M,5,0)</f>
        <v>1000</v>
      </c>
      <c r="S622" s="4">
        <f>VLOOKUP(A622,[13]Sheet1!$A:$M,6,0)</f>
        <v>1000</v>
      </c>
      <c r="T622" s="4">
        <f>VLOOKUP(A622,[13]Sheet1!$A:$M,7,0)</f>
        <v>1000</v>
      </c>
      <c r="U622" s="4">
        <f>VLOOKUP(A622,[13]Sheet1!$A:$M,8,0)</f>
        <v>1000</v>
      </c>
      <c r="V622" s="4">
        <f>VLOOKUP(A622,[13]Sheet1!$A:$M,9,0)</f>
        <v>50</v>
      </c>
      <c r="W622" s="4">
        <f>VLOOKUP(A622,[13]Sheet1!$A:$M,10,0)</f>
        <v>400</v>
      </c>
      <c r="X622" s="4">
        <f>VLOOKUP(A622,[13]Sheet1!$A:$M,11,0)</f>
        <v>200</v>
      </c>
      <c r="Y622" s="4">
        <f>VLOOKUP(A622,[13]Sheet1!$A:$M,12,0)</f>
        <v>200</v>
      </c>
      <c r="Z622" s="4">
        <f>VLOOKUP(A622,[13]Sheet1!$A:$M,13,0)</f>
        <v>100</v>
      </c>
      <c r="AA622" s="4">
        <f t="shared" si="176"/>
        <v>5350</v>
      </c>
      <c r="AB622" s="7">
        <f t="shared" si="177"/>
        <v>446</v>
      </c>
      <c r="AC622" s="15">
        <f t="shared" si="178"/>
        <v>445.83333333333331</v>
      </c>
      <c r="AD622" s="16">
        <f t="shared" si="179"/>
        <v>92501.5</v>
      </c>
      <c r="AE622" s="16">
        <f t="shared" si="180"/>
        <v>7708.458333333333</v>
      </c>
      <c r="AF622" s="21">
        <v>6.31</v>
      </c>
      <c r="AG622" s="21">
        <v>17.29</v>
      </c>
      <c r="AH622" s="15">
        <f t="shared" si="189"/>
        <v>-2.6266666666666733E-2</v>
      </c>
      <c r="AI622" s="15">
        <f t="shared" si="190"/>
        <v>-9.1933333333333561E-2</v>
      </c>
      <c r="AJ622" s="10">
        <v>0.5</v>
      </c>
      <c r="AK622" s="10">
        <v>0.5</v>
      </c>
      <c r="AL622" s="21">
        <v>6.31</v>
      </c>
      <c r="AM622" s="9">
        <f t="shared" si="181"/>
        <v>2.5934999999999997</v>
      </c>
      <c r="AN622" s="9">
        <f t="shared" si="182"/>
        <v>0.51869999999999994</v>
      </c>
      <c r="AO622" s="9">
        <f t="shared" si="183"/>
        <v>3.4580000000000002</v>
      </c>
      <c r="AP622" s="9">
        <f t="shared" si="184"/>
        <v>0.3458</v>
      </c>
      <c r="AQ622" s="9">
        <f t="shared" si="185"/>
        <v>3.4580000000000002</v>
      </c>
      <c r="AR622" s="9">
        <f t="shared" si="186"/>
        <v>4.3224999999999998</v>
      </c>
      <c r="AS622" s="11">
        <f t="shared" si="187"/>
        <v>-0.26266666666666733</v>
      </c>
      <c r="AT622" s="12">
        <f t="shared" si="188"/>
        <v>-0.83900000000000041</v>
      </c>
    </row>
    <row r="623" spans="1:46" ht="16.5" x14ac:dyDescent="0.4">
      <c r="A623" s="4" t="s">
        <v>2613</v>
      </c>
      <c r="B623" s="4" t="s">
        <v>2710</v>
      </c>
      <c r="C623" s="4" t="s">
        <v>2710</v>
      </c>
      <c r="D623" s="4" t="s">
        <v>2792</v>
      </c>
      <c r="E623" s="4" t="s">
        <v>2951</v>
      </c>
      <c r="F623" s="4" t="s">
        <v>3110</v>
      </c>
      <c r="G623" s="7" t="str">
        <f>VLOOKUP(A623,[1]done!$A:$I,9,0)</f>
        <v>Other crawling insects</v>
      </c>
      <c r="H623" s="7" t="str" cm="1">
        <f t="array" ref="H623">_xlfn.IFS(
OR(ISNUMBER(SEARCH("mouse",E623)),ISNUMBER(SEARCH("rat",E623)),ISNUMBER(SEARCH("mice",E623)),ISNUMBER(SEARCH("rodent",E623))),"Rodent Control",
OR(ISNUMBER(SEARCH("fly",E623)),ISNUMBER(SEARCH("gnat",E623)),ISNUMBER(SEARCH("insect",E623)),ISNUMBER(SEARCH("mosquito",E623))),"Flying Insect Control",
OR(ISNUMBER(SEARCH("roach",E623)),ISNUMBER(SEARCH("ant",E623)),ISNUMBER(SEARCH("spider",E623)),ISNUMBER(SEARCH("cricket",E623)),ISNUMBER(SEARCH("scorpion",E623)),ISNUMBER(SEARCH("centipede",E623)),ISNUMBER(SEARCH("beetle",E623))),"Crawling Insect Control",
OR(ISNUMBER(SEARCH("tree",E623)),ISNUMBER(SEARCH("lantern",E623)),ISNUMBER(SEARCH("garden",E623)),ISNUMBER(SEARCH("plant",E623))),"Garden Pest Control",
OR(ISNUMBER(SEARCH("grass seed",E623)),ISNUMBER(SEARCH("seed mix",E623))),"Grass Seed",
OR(ISNUMBER(SEARCH("lawn food",E623)),ISNUMBER(SEARCH("fertilizer",E623))),"Lawn Fertilizer",
OR(ISNUMBER(SEARCH("patch",E623)),ISNUMBER(SEARCH("repair",E623)),ISNUMBER(SEARCH("thick'r",E623)),ISNUMBER(SEARCH("thick'r lawn",E623)),ISNUMBER(SEARCH("rapid grass",E623))),"Lawn Repair",
OR(ISNUMBER(SEARCH("weed",E623)),ISNUMBER(SEARCH("crabgrass",E623))),"Weed Control",
OR(ISNUMBER(SEARCH("fungicide",E623)),ISNUMBER(SEARCH("moss",E623))),"Disease &amp; Moss Control",
OR(ISNUMBER(SEARCH("plant food",E623)),ISNUMBER(SEARCH("miracid",E623))),"Plant Nutrition",
OR(ISNUMBER(SEARCH("perlite",E623))),"Soil Amendment",
OR(ISNUMBER(SEARCH("spreader",E623)),ISNUMBER(SEARCH("sprayer",E623)),ISNUMBER(SEARCH("mower",E623)),ISNUMBER(SEARCH("sweeper",E623)),ISNUMBER(SEARCH("pruner",E623)),ISNUMBER(SEARCH("trimmer",E623)),ISNUMBER(SEARCH("pole saw",E623))),"Garden Equipment",
TRUE,"Other"
)</f>
        <v>Crawling Insect Control</v>
      </c>
      <c r="I623" s="7" t="str" cm="1">
        <f t="array" ref="I623">_xlfn.IFS(
OR(ISNUMBER(SEARCH("glue trap",E623)),ISNUMBER(SEARCH("glue board",E623))),"Glue Traps",
OR(ISNUMBER(SEARCH("snap trap",E623)),ISNUMBER(SEARCH("power-kill",E623)),ISNUMBER(SEARCH("wide pedal",E623)),ISNUMBER(SEARCH("metal pedal",E623))),"Snap Traps",
OR(ISNUMBER(SEARCH("electronic",E623)),ISNUMBER(SEARCH("zapper",E623))),"Electronic Traps",
OR(ISNUMBER(SEARCH("live catch",E623)),ISNUMBER(SEARCH("multi-catch",E623)),ISNUMBER(SEARCH("catch &amp; hold",E623)),ISNUMBER(SEARCH("tin cat",E623))),"Live Catch Traps",
OR(ISNUMBER(SEARCH("bait",E623)),ISNUMBER(SEARCH("poison",E623))),"Bait &amp; Poison",
ISNUMBER(SEARCH("repellent",E623)),"Repellents",
OR(ISNUMBER(SEARCH("fly trap",E623)),ISNUMBER(SEARCH("fly ribbon",E623)),ISNUMBER(SEARCH("fly stick",E623)),ISNUMBER(SEARCH("window fly",E623)),ISNUMBER(SEARCH("fly magnet",E623))),"Fly Traps",
OR(ISNUMBER(SEARCH("uv",E623)),ISNUMBER(SEARCH("fly light",E623)),ISNUMBER(SEARCH("plug-in",E623))),"UV Fly Traps",
ISNUMBER(SEARCH("roach",E623)),"Roach Traps",
ISNUMBER(SEARCH("ant",E623)),"Ant Traps",
ISNUMBER(SEARCH("spider",E623)),"Spider Traps",
ISNUMBER(SEARCH("mosquito",E623)),"Mosquito Traps",
ISNUMBER(SEARCH("beetle",E623)),"Beetle Traps",
ISNUMBER(SEARCH("lantern",E623)),"Lanternfly Control",
OR(ISNUMBER(SEARCH("tree shield",E623)),ISNUMBER(SEARCH("tree banding",E623)),ISNUMBER(SEARCH("insect barrier",E623))),"Tree Barriers",
OR(ISNUMBER(SEARCH("sun &amp; shade",E623)),ISNUMBER(SEARCH("sun and shade",E623))),"Sun &amp; Shade Mix",
ISNUMBER(SEARCH("tall fescue",E623)),"Tall Fescue",
ISNUMBER(SEARCH("bermudagrass",E623)),"Bermudagrass",
ISNUMBER(SEARCH("kentucky",E623)),"Kentucky Bluegrass",
ISNUMBER(SEARCH("zoysia",E623)),"Zoysia",
ISNUMBER(SEARCH("ryegrass",E623)),"Perennial Ryegrass",
ISNUMBER(SEARCH("centipede",E623)),"Centipede Grass",
ISNUMBER(SEARCH("dense shade",E623)),"Dense Shade Mix",
ISNUMBER(SEARCH("southern gold",E623)),"Southern Gold Mix",
ISNUMBER(SEARCH("heat-tolerant blue",E623)),"Heat-Tolerant Blue Mix",
ISNUMBER(SEARCH("high traffic",E623)),"High Traffic Mix",
ISNUMBER(SEARCH("quick fix",E623)),"Quick Fix Mix",
ISNUMBER(SEARCH("starter",E623)),"Starter Fertilizer",
ISNUMBER(SEARCH("weed &amp; feed",E623)),"Weed &amp; Feed",
ISNUMBER(SEARCH("lawn food",E623)),"Lawn Food",
ISNUMBER(SEARCH("triple action",E623)),"Triple Action Fertilizer",
ISNUMBER(SEARCH("green max",E623)),"Green Max Lawn Food",
ISNUMBER(SEARCH("patchmaster",E623)),"PatchMaster Repair",
ISNUMBER(SEARCH("ez seed",E623)),"EZ Seed Repair",
ISNUMBER(SEARCH("rapid grass",E623)),"Rapid Grass",
ISNUMBER(SEARCH("thick'r lawn",E623)),"Thick'R Lawn",
ISNUMBER(SEARCH("fungicide",E623)),"Fungicide",
ISNUMBER(SEARCH("moss",E623)),"Moss Control",
ISNUMBER(SEARCH("perlite",E623)),"Perlite",
ISNUMBER(SEARCH("plant food",E623)),"Plant Food",
ISNUMBER(SEARCH("spreader",E623)),"Spreader",
ISNUMBER(SEARCH("sprayer",E623)),"Sprayer",
ISNUMBER(SEARCH("mower",E623)),"Lawn Mower",
ISNUMBER(SEARCH("sweeper",E623)),"Lawn Sweeper",
OR(ISNUMBER(SEARCH("pruner",E623)),ISNUMBER(SEARCH("trimmer",E623)),ISNUMBER(SEARCH("pole saw",E623))),"Pruning Tools",
TRUE,"Other"
)</f>
        <v>Ant Traps</v>
      </c>
      <c r="J623" s="7" t="str">
        <f t="shared" si="191"/>
        <v>Crawling Insect Control - Ant Traps</v>
      </c>
      <c r="K623" s="4">
        <v>400</v>
      </c>
      <c r="L623" s="4">
        <v>4.3</v>
      </c>
      <c r="M623" s="4">
        <v>727</v>
      </c>
      <c r="N623" s="4" t="s">
        <v>3238</v>
      </c>
      <c r="O623" s="4">
        <f>VLOOKUP(A623,[13]Sheet1!$A:$M,2,0)</f>
        <v>0</v>
      </c>
      <c r="P623" s="4">
        <f>VLOOKUP(A623,[13]Sheet1!$A:$M,3,0)</f>
        <v>0</v>
      </c>
      <c r="Q623" s="4">
        <f>VLOOKUP(A623,[13]Sheet1!$A:$M,4,0)</f>
        <v>50</v>
      </c>
      <c r="R623" s="4">
        <f>VLOOKUP(A623,[13]Sheet1!$A:$M,5,0)</f>
        <v>100</v>
      </c>
      <c r="S623" s="4">
        <f>VLOOKUP(A623,[13]Sheet1!$A:$M,6,0)</f>
        <v>200</v>
      </c>
      <c r="T623" s="4">
        <f>VLOOKUP(A623,[13]Sheet1!$A:$M,7,0)</f>
        <v>200</v>
      </c>
      <c r="U623" s="4">
        <f>VLOOKUP(A623,[13]Sheet1!$A:$M,8,0)</f>
        <v>200</v>
      </c>
      <c r="V623" s="4">
        <f>VLOOKUP(A623,[13]Sheet1!$A:$M,9,0)</f>
        <v>200</v>
      </c>
      <c r="W623" s="4">
        <f>VLOOKUP(A623,[13]Sheet1!$A:$M,10,0)</f>
        <v>400</v>
      </c>
      <c r="X623" s="4">
        <f>VLOOKUP(A623,[13]Sheet1!$A:$M,11,0)</f>
        <v>0</v>
      </c>
      <c r="Y623" s="4">
        <f>VLOOKUP(A623,[13]Sheet1!$A:$M,12,0)</f>
        <v>0</v>
      </c>
      <c r="Z623" s="4">
        <f>VLOOKUP(A623,[13]Sheet1!$A:$M,13,0)</f>
        <v>0</v>
      </c>
      <c r="AA623" s="4">
        <f t="shared" si="176"/>
        <v>1350</v>
      </c>
      <c r="AB623" s="7">
        <f t="shared" si="177"/>
        <v>113</v>
      </c>
      <c r="AC623" s="15">
        <f t="shared" si="178"/>
        <v>112.5</v>
      </c>
      <c r="AD623" s="16">
        <f t="shared" si="179"/>
        <v>18886.5</v>
      </c>
      <c r="AE623" s="16">
        <f t="shared" si="180"/>
        <v>1573.875</v>
      </c>
      <c r="AF623" s="21">
        <v>6.9</v>
      </c>
      <c r="AG623" s="21">
        <v>13.99</v>
      </c>
      <c r="AH623" s="15">
        <f t="shared" si="189"/>
        <v>-0.15360000000000004</v>
      </c>
      <c r="AI623" s="15">
        <f t="shared" si="190"/>
        <v>-0.53760000000000008</v>
      </c>
      <c r="AJ623" s="10">
        <v>0.5</v>
      </c>
      <c r="AK623" s="10">
        <v>0.5</v>
      </c>
      <c r="AL623" s="21">
        <v>6.9</v>
      </c>
      <c r="AM623" s="9">
        <f t="shared" si="181"/>
        <v>2.0985</v>
      </c>
      <c r="AN623" s="9">
        <f t="shared" si="182"/>
        <v>0.41970000000000002</v>
      </c>
      <c r="AO623" s="9">
        <f t="shared" si="183"/>
        <v>2.798</v>
      </c>
      <c r="AP623" s="9">
        <f t="shared" si="184"/>
        <v>0.27979999999999999</v>
      </c>
      <c r="AQ623" s="9">
        <f t="shared" si="185"/>
        <v>2.798</v>
      </c>
      <c r="AR623" s="9">
        <f t="shared" si="186"/>
        <v>3.4975000000000001</v>
      </c>
      <c r="AS623" s="11">
        <f t="shared" si="187"/>
        <v>-1.5360000000000003</v>
      </c>
      <c r="AT623" s="12">
        <f t="shared" si="188"/>
        <v>-2.0023333333333335</v>
      </c>
    </row>
    <row r="624" spans="1:46" ht="16.5" x14ac:dyDescent="0.4">
      <c r="A624" s="4" t="s">
        <v>2614</v>
      </c>
      <c r="B624" s="4" t="s">
        <v>2710</v>
      </c>
      <c r="C624" s="4" t="s">
        <v>2722</v>
      </c>
      <c r="D624" s="4" t="s">
        <v>2793</v>
      </c>
      <c r="E624" s="4" t="s">
        <v>2952</v>
      </c>
      <c r="F624" s="4" t="s">
        <v>3111</v>
      </c>
      <c r="G624" s="7" t="str">
        <f>VLOOKUP(A624,[1]done!$A:$I,9,0)</f>
        <v>Other crawling insects</v>
      </c>
      <c r="H624" s="7" t="str" cm="1">
        <f t="array" ref="H624">_xlfn.IFS(
OR(ISNUMBER(SEARCH("mouse",E624)),ISNUMBER(SEARCH("rat",E624)),ISNUMBER(SEARCH("mice",E624)),ISNUMBER(SEARCH("rodent",E624))),"Rodent Control",
OR(ISNUMBER(SEARCH("fly",E624)),ISNUMBER(SEARCH("gnat",E624)),ISNUMBER(SEARCH("insect",E624)),ISNUMBER(SEARCH("mosquito",E624))),"Flying Insect Control",
OR(ISNUMBER(SEARCH("roach",E624)),ISNUMBER(SEARCH("ant",E624)),ISNUMBER(SEARCH("spider",E624)),ISNUMBER(SEARCH("cricket",E624)),ISNUMBER(SEARCH("scorpion",E624)),ISNUMBER(SEARCH("centipede",E624)),ISNUMBER(SEARCH("beetle",E624))),"Crawling Insect Control",
OR(ISNUMBER(SEARCH("tree",E624)),ISNUMBER(SEARCH("lantern",E624)),ISNUMBER(SEARCH("garden",E624)),ISNUMBER(SEARCH("plant",E624))),"Garden Pest Control",
OR(ISNUMBER(SEARCH("grass seed",E624)),ISNUMBER(SEARCH("seed mix",E624))),"Grass Seed",
OR(ISNUMBER(SEARCH("lawn food",E624)),ISNUMBER(SEARCH("fertilizer",E624))),"Lawn Fertilizer",
OR(ISNUMBER(SEARCH("patch",E624)),ISNUMBER(SEARCH("repair",E624)),ISNUMBER(SEARCH("thick'r",E624)),ISNUMBER(SEARCH("thick'r lawn",E624)),ISNUMBER(SEARCH("rapid grass",E624))),"Lawn Repair",
OR(ISNUMBER(SEARCH("weed",E624)),ISNUMBER(SEARCH("crabgrass",E624))),"Weed Control",
OR(ISNUMBER(SEARCH("fungicide",E624)),ISNUMBER(SEARCH("moss",E624))),"Disease &amp; Moss Control",
OR(ISNUMBER(SEARCH("plant food",E624)),ISNUMBER(SEARCH("miracid",E624))),"Plant Nutrition",
OR(ISNUMBER(SEARCH("perlite",E624))),"Soil Amendment",
OR(ISNUMBER(SEARCH("spreader",E624)),ISNUMBER(SEARCH("sprayer",E624)),ISNUMBER(SEARCH("mower",E624)),ISNUMBER(SEARCH("sweeper",E624)),ISNUMBER(SEARCH("pruner",E624)),ISNUMBER(SEARCH("trimmer",E624)),ISNUMBER(SEARCH("pole saw",E624))),"Garden Equipment",
TRUE,"Other"
)</f>
        <v>Rodent Control</v>
      </c>
      <c r="I624" s="7" t="str" cm="1">
        <f t="array" ref="I624">_xlfn.IFS(
OR(ISNUMBER(SEARCH("glue trap",E624)),ISNUMBER(SEARCH("glue board",E624))),"Glue Traps",
OR(ISNUMBER(SEARCH("snap trap",E624)),ISNUMBER(SEARCH("power-kill",E624)),ISNUMBER(SEARCH("wide pedal",E624)),ISNUMBER(SEARCH("metal pedal",E624))),"Snap Traps",
OR(ISNUMBER(SEARCH("electronic",E624)),ISNUMBER(SEARCH("zapper",E624))),"Electronic Traps",
OR(ISNUMBER(SEARCH("live catch",E624)),ISNUMBER(SEARCH("multi-catch",E624)),ISNUMBER(SEARCH("catch &amp; hold",E624)),ISNUMBER(SEARCH("tin cat",E624))),"Live Catch Traps",
OR(ISNUMBER(SEARCH("bait",E624)),ISNUMBER(SEARCH("poison",E624))),"Bait &amp; Poison",
ISNUMBER(SEARCH("repellent",E624)),"Repellents",
OR(ISNUMBER(SEARCH("fly trap",E624)),ISNUMBER(SEARCH("fly ribbon",E624)),ISNUMBER(SEARCH("fly stick",E624)),ISNUMBER(SEARCH("window fly",E624)),ISNUMBER(SEARCH("fly magnet",E624))),"Fly Traps",
OR(ISNUMBER(SEARCH("uv",E624)),ISNUMBER(SEARCH("fly light",E624)),ISNUMBER(SEARCH("plug-in",E624))),"UV Fly Traps",
ISNUMBER(SEARCH("roach",E624)),"Roach Traps",
ISNUMBER(SEARCH("ant",E624)),"Ant Traps",
ISNUMBER(SEARCH("spider",E624)),"Spider Traps",
ISNUMBER(SEARCH("mosquito",E624)),"Mosquito Traps",
ISNUMBER(SEARCH("beetle",E624)),"Beetle Traps",
ISNUMBER(SEARCH("lantern",E624)),"Lanternfly Control",
OR(ISNUMBER(SEARCH("tree shield",E624)),ISNUMBER(SEARCH("tree banding",E624)),ISNUMBER(SEARCH("insect barrier",E624))),"Tree Barriers",
OR(ISNUMBER(SEARCH("sun &amp; shade",E624)),ISNUMBER(SEARCH("sun and shade",E624))),"Sun &amp; Shade Mix",
ISNUMBER(SEARCH("tall fescue",E624)),"Tall Fescue",
ISNUMBER(SEARCH("bermudagrass",E624)),"Bermudagrass",
ISNUMBER(SEARCH("kentucky",E624)),"Kentucky Bluegrass",
ISNUMBER(SEARCH("zoysia",E624)),"Zoysia",
ISNUMBER(SEARCH("ryegrass",E624)),"Perennial Ryegrass",
ISNUMBER(SEARCH("centipede",E624)),"Centipede Grass",
ISNUMBER(SEARCH("dense shade",E624)),"Dense Shade Mix",
ISNUMBER(SEARCH("southern gold",E624)),"Southern Gold Mix",
ISNUMBER(SEARCH("heat-tolerant blue",E624)),"Heat-Tolerant Blue Mix",
ISNUMBER(SEARCH("high traffic",E624)),"High Traffic Mix",
ISNUMBER(SEARCH("quick fix",E624)),"Quick Fix Mix",
ISNUMBER(SEARCH("starter",E624)),"Starter Fertilizer",
ISNUMBER(SEARCH("weed &amp; feed",E624)),"Weed &amp; Feed",
ISNUMBER(SEARCH("lawn food",E624)),"Lawn Food",
ISNUMBER(SEARCH("triple action",E624)),"Triple Action Fertilizer",
ISNUMBER(SEARCH("green max",E624)),"Green Max Lawn Food",
ISNUMBER(SEARCH("patchmaster",E624)),"PatchMaster Repair",
ISNUMBER(SEARCH("ez seed",E624)),"EZ Seed Repair",
ISNUMBER(SEARCH("rapid grass",E624)),"Rapid Grass",
ISNUMBER(SEARCH("thick'r lawn",E624)),"Thick'R Lawn",
ISNUMBER(SEARCH("fungicide",E624)),"Fungicide",
ISNUMBER(SEARCH("moss",E624)),"Moss Control",
ISNUMBER(SEARCH("perlite",E624)),"Perlite",
ISNUMBER(SEARCH("plant food",E624)),"Plant Food",
ISNUMBER(SEARCH("spreader",E624)),"Spreader",
ISNUMBER(SEARCH("sprayer",E624)),"Sprayer",
ISNUMBER(SEARCH("mower",E624)),"Lawn Mower",
ISNUMBER(SEARCH("sweeper",E624)),"Lawn Sweeper",
OR(ISNUMBER(SEARCH("pruner",E624)),ISNUMBER(SEARCH("trimmer",E624)),ISNUMBER(SEARCH("pole saw",E624))),"Pruning Tools",
TRUE,"Other"
)</f>
        <v>Ant Traps</v>
      </c>
      <c r="J624" s="7" t="str">
        <f t="shared" si="191"/>
        <v>Rodent Control - Ant Traps</v>
      </c>
      <c r="K624" s="4">
        <v>400</v>
      </c>
      <c r="L624" s="4">
        <v>4.3</v>
      </c>
      <c r="M624" s="4">
        <v>1359</v>
      </c>
      <c r="N624" s="4" t="s">
        <v>3224</v>
      </c>
      <c r="O624" s="4">
        <f>VLOOKUP(A624,[13]Sheet1!$A:$M,2,0)</f>
        <v>0</v>
      </c>
      <c r="P624" s="4">
        <f>VLOOKUP(A624,[13]Sheet1!$A:$M,3,0)</f>
        <v>0</v>
      </c>
      <c r="Q624" s="4">
        <f>VLOOKUP(A624,[13]Sheet1!$A:$M,4,0)</f>
        <v>500</v>
      </c>
      <c r="R624" s="4">
        <f>VLOOKUP(A624,[13]Sheet1!$A:$M,5,0)</f>
        <v>700</v>
      </c>
      <c r="S624" s="4">
        <f>VLOOKUP(A624,[13]Sheet1!$A:$M,6,0)</f>
        <v>600</v>
      </c>
      <c r="T624" s="4">
        <f>VLOOKUP(A624,[13]Sheet1!$A:$M,7,0)</f>
        <v>400</v>
      </c>
      <c r="U624" s="4">
        <f>VLOOKUP(A624,[13]Sheet1!$A:$M,8,0)</f>
        <v>400</v>
      </c>
      <c r="V624" s="4">
        <f>VLOOKUP(A624,[13]Sheet1!$A:$M,9,0)</f>
        <v>500</v>
      </c>
      <c r="W624" s="4">
        <f>VLOOKUP(A624,[13]Sheet1!$A:$M,10,0)</f>
        <v>400</v>
      </c>
      <c r="X624" s="4">
        <f>VLOOKUP(A624,[13]Sheet1!$A:$M,11,0)</f>
        <v>0</v>
      </c>
      <c r="Y624" s="4">
        <f>VLOOKUP(A624,[13]Sheet1!$A:$M,12,0)</f>
        <v>0</v>
      </c>
      <c r="Z624" s="4">
        <f>VLOOKUP(A624,[13]Sheet1!$A:$M,13,0)</f>
        <v>0</v>
      </c>
      <c r="AA624" s="4">
        <f t="shared" si="176"/>
        <v>3500</v>
      </c>
      <c r="AB624" s="7">
        <f t="shared" si="177"/>
        <v>292</v>
      </c>
      <c r="AC624" s="15">
        <f t="shared" si="178"/>
        <v>291.66666666666669</v>
      </c>
      <c r="AD624" s="16">
        <f t="shared" si="179"/>
        <v>20965</v>
      </c>
      <c r="AE624" s="16">
        <f t="shared" si="180"/>
        <v>1747.0833333333335</v>
      </c>
      <c r="AF624" s="21">
        <v>3.5</v>
      </c>
      <c r="AG624" s="21">
        <v>5.99</v>
      </c>
      <c r="AH624" s="15">
        <f t="shared" si="189"/>
        <v>-0.14026666666666668</v>
      </c>
      <c r="AI624" s="15">
        <f t="shared" si="190"/>
        <v>-0.49093333333333333</v>
      </c>
      <c r="AJ624" s="10">
        <v>0.5</v>
      </c>
      <c r="AK624" s="10">
        <v>0.5</v>
      </c>
      <c r="AL624" s="21">
        <v>3.5</v>
      </c>
      <c r="AM624" s="9">
        <f t="shared" si="181"/>
        <v>0.89849999999999997</v>
      </c>
      <c r="AN624" s="9">
        <f t="shared" si="182"/>
        <v>0.1797</v>
      </c>
      <c r="AO624" s="9">
        <f t="shared" si="183"/>
        <v>1.1980000000000002</v>
      </c>
      <c r="AP624" s="9">
        <f t="shared" si="184"/>
        <v>0.1198</v>
      </c>
      <c r="AQ624" s="9">
        <f t="shared" si="185"/>
        <v>1.1980000000000002</v>
      </c>
      <c r="AR624" s="9">
        <f t="shared" si="186"/>
        <v>1.4975000000000001</v>
      </c>
      <c r="AS624" s="11">
        <f t="shared" si="187"/>
        <v>-1.4026666666666667</v>
      </c>
      <c r="AT624" s="12">
        <f t="shared" si="188"/>
        <v>-1.6023333333333334</v>
      </c>
    </row>
    <row r="625" spans="1:46" ht="16.5" x14ac:dyDescent="0.4">
      <c r="A625" s="4" t="s">
        <v>2615</v>
      </c>
      <c r="B625" s="4" t="s">
        <v>2710</v>
      </c>
      <c r="C625" s="4" t="s">
        <v>2712</v>
      </c>
      <c r="D625" s="4" t="s">
        <v>2794</v>
      </c>
      <c r="E625" s="4" t="s">
        <v>2953</v>
      </c>
      <c r="F625" s="4" t="s">
        <v>3112</v>
      </c>
      <c r="G625" s="7" t="str">
        <f>VLOOKUP(A625,[1]done!$A:$I,9,0)</f>
        <v>Other crawling insects</v>
      </c>
      <c r="H625" s="7" t="str" cm="1">
        <f t="array" ref="H625">_xlfn.IFS(
OR(ISNUMBER(SEARCH("mouse",E625)),ISNUMBER(SEARCH("rat",E625)),ISNUMBER(SEARCH("mice",E625)),ISNUMBER(SEARCH("rodent",E625))),"Rodent Control",
OR(ISNUMBER(SEARCH("fly",E625)),ISNUMBER(SEARCH("gnat",E625)),ISNUMBER(SEARCH("insect",E625)),ISNUMBER(SEARCH("mosquito",E625))),"Flying Insect Control",
OR(ISNUMBER(SEARCH("roach",E625)),ISNUMBER(SEARCH("ant",E625)),ISNUMBER(SEARCH("spider",E625)),ISNUMBER(SEARCH("cricket",E625)),ISNUMBER(SEARCH("scorpion",E625)),ISNUMBER(SEARCH("centipede",E625)),ISNUMBER(SEARCH("beetle",E625))),"Crawling Insect Control",
OR(ISNUMBER(SEARCH("tree",E625)),ISNUMBER(SEARCH("lantern",E625)),ISNUMBER(SEARCH("garden",E625)),ISNUMBER(SEARCH("plant",E625))),"Garden Pest Control",
OR(ISNUMBER(SEARCH("grass seed",E625)),ISNUMBER(SEARCH("seed mix",E625))),"Grass Seed",
OR(ISNUMBER(SEARCH("lawn food",E625)),ISNUMBER(SEARCH("fertilizer",E625))),"Lawn Fertilizer",
OR(ISNUMBER(SEARCH("patch",E625)),ISNUMBER(SEARCH("repair",E625)),ISNUMBER(SEARCH("thick'r",E625)),ISNUMBER(SEARCH("thick'r lawn",E625)),ISNUMBER(SEARCH("rapid grass",E625))),"Lawn Repair",
OR(ISNUMBER(SEARCH("weed",E625)),ISNUMBER(SEARCH("crabgrass",E625))),"Weed Control",
OR(ISNUMBER(SEARCH("fungicide",E625)),ISNUMBER(SEARCH("moss",E625))),"Disease &amp; Moss Control",
OR(ISNUMBER(SEARCH("plant food",E625)),ISNUMBER(SEARCH("miracid",E625))),"Plant Nutrition",
OR(ISNUMBER(SEARCH("perlite",E625))),"Soil Amendment",
OR(ISNUMBER(SEARCH("spreader",E625)),ISNUMBER(SEARCH("sprayer",E625)),ISNUMBER(SEARCH("mower",E625)),ISNUMBER(SEARCH("sweeper",E625)),ISNUMBER(SEARCH("pruner",E625)),ISNUMBER(SEARCH("trimmer",E625)),ISNUMBER(SEARCH("pole saw",E625))),"Garden Equipment",
TRUE,"Other"
)</f>
        <v>Rodent Control</v>
      </c>
      <c r="I625" s="7" t="str" cm="1">
        <f t="array" ref="I625">_xlfn.IFS(
OR(ISNUMBER(SEARCH("glue trap",E625)),ISNUMBER(SEARCH("glue board",E625))),"Glue Traps",
OR(ISNUMBER(SEARCH("snap trap",E625)),ISNUMBER(SEARCH("power-kill",E625)),ISNUMBER(SEARCH("wide pedal",E625)),ISNUMBER(SEARCH("metal pedal",E625))),"Snap Traps",
OR(ISNUMBER(SEARCH("electronic",E625)),ISNUMBER(SEARCH("zapper",E625))),"Electronic Traps",
OR(ISNUMBER(SEARCH("live catch",E625)),ISNUMBER(SEARCH("multi-catch",E625)),ISNUMBER(SEARCH("catch &amp; hold",E625)),ISNUMBER(SEARCH("tin cat",E625))),"Live Catch Traps",
OR(ISNUMBER(SEARCH("bait",E625)),ISNUMBER(SEARCH("poison",E625))),"Bait &amp; Poison",
ISNUMBER(SEARCH("repellent",E625)),"Repellents",
OR(ISNUMBER(SEARCH("fly trap",E625)),ISNUMBER(SEARCH("fly ribbon",E625)),ISNUMBER(SEARCH("fly stick",E625)),ISNUMBER(SEARCH("window fly",E625)),ISNUMBER(SEARCH("fly magnet",E625))),"Fly Traps",
OR(ISNUMBER(SEARCH("uv",E625)),ISNUMBER(SEARCH("fly light",E625)),ISNUMBER(SEARCH("plug-in",E625))),"UV Fly Traps",
ISNUMBER(SEARCH("roach",E625)),"Roach Traps",
ISNUMBER(SEARCH("ant",E625)),"Ant Traps",
ISNUMBER(SEARCH("spider",E625)),"Spider Traps",
ISNUMBER(SEARCH("mosquito",E625)),"Mosquito Traps",
ISNUMBER(SEARCH("beetle",E625)),"Beetle Traps",
ISNUMBER(SEARCH("lantern",E625)),"Lanternfly Control",
OR(ISNUMBER(SEARCH("tree shield",E625)),ISNUMBER(SEARCH("tree banding",E625)),ISNUMBER(SEARCH("insect barrier",E625))),"Tree Barriers",
OR(ISNUMBER(SEARCH("sun &amp; shade",E625)),ISNUMBER(SEARCH("sun and shade",E625))),"Sun &amp; Shade Mix",
ISNUMBER(SEARCH("tall fescue",E625)),"Tall Fescue",
ISNUMBER(SEARCH("bermudagrass",E625)),"Bermudagrass",
ISNUMBER(SEARCH("kentucky",E625)),"Kentucky Bluegrass",
ISNUMBER(SEARCH("zoysia",E625)),"Zoysia",
ISNUMBER(SEARCH("ryegrass",E625)),"Perennial Ryegrass",
ISNUMBER(SEARCH("centipede",E625)),"Centipede Grass",
ISNUMBER(SEARCH("dense shade",E625)),"Dense Shade Mix",
ISNUMBER(SEARCH("southern gold",E625)),"Southern Gold Mix",
ISNUMBER(SEARCH("heat-tolerant blue",E625)),"Heat-Tolerant Blue Mix",
ISNUMBER(SEARCH("high traffic",E625)),"High Traffic Mix",
ISNUMBER(SEARCH("quick fix",E625)),"Quick Fix Mix",
ISNUMBER(SEARCH("starter",E625)),"Starter Fertilizer",
ISNUMBER(SEARCH("weed &amp; feed",E625)),"Weed &amp; Feed",
ISNUMBER(SEARCH("lawn food",E625)),"Lawn Food",
ISNUMBER(SEARCH("triple action",E625)),"Triple Action Fertilizer",
ISNUMBER(SEARCH("green max",E625)),"Green Max Lawn Food",
ISNUMBER(SEARCH("patchmaster",E625)),"PatchMaster Repair",
ISNUMBER(SEARCH("ez seed",E625)),"EZ Seed Repair",
ISNUMBER(SEARCH("rapid grass",E625)),"Rapid Grass",
ISNUMBER(SEARCH("thick'r lawn",E625)),"Thick'R Lawn",
ISNUMBER(SEARCH("fungicide",E625)),"Fungicide",
ISNUMBER(SEARCH("moss",E625)),"Moss Control",
ISNUMBER(SEARCH("perlite",E625)),"Perlite",
ISNUMBER(SEARCH("plant food",E625)),"Plant Food",
ISNUMBER(SEARCH("spreader",E625)),"Spreader",
ISNUMBER(SEARCH("sprayer",E625)),"Sprayer",
ISNUMBER(SEARCH("mower",E625)),"Lawn Mower",
ISNUMBER(SEARCH("sweeper",E625)),"Lawn Sweeper",
OR(ISNUMBER(SEARCH("pruner",E625)),ISNUMBER(SEARCH("trimmer",E625)),ISNUMBER(SEARCH("pole saw",E625))),"Pruning Tools",
TRUE,"Other"
)</f>
        <v>Ant Traps</v>
      </c>
      <c r="J625" s="7" t="str">
        <f t="shared" si="191"/>
        <v>Rodent Control - Ant Traps</v>
      </c>
      <c r="K625" s="4">
        <v>400</v>
      </c>
      <c r="L625" s="4">
        <v>4.4000000000000004</v>
      </c>
      <c r="M625" s="4">
        <v>389</v>
      </c>
      <c r="N625" s="4">
        <v>1</v>
      </c>
      <c r="O625" s="4">
        <f>VLOOKUP(A625,[13]Sheet1!$A:$M,2,0)</f>
        <v>100</v>
      </c>
      <c r="P625" s="4">
        <f>VLOOKUP(A625,[13]Sheet1!$A:$M,3,0)</f>
        <v>100</v>
      </c>
      <c r="Q625" s="4">
        <f>VLOOKUP(A625,[13]Sheet1!$A:$M,4,0)</f>
        <v>200</v>
      </c>
      <c r="R625" s="4">
        <f>VLOOKUP(A625,[13]Sheet1!$A:$M,5,0)</f>
        <v>600</v>
      </c>
      <c r="S625" s="4">
        <f>VLOOKUP(A625,[13]Sheet1!$A:$M,6,0)</f>
        <v>500</v>
      </c>
      <c r="T625" s="4">
        <f>VLOOKUP(A625,[13]Sheet1!$A:$M,7,0)</f>
        <v>700</v>
      </c>
      <c r="U625" s="4">
        <f>VLOOKUP(A625,[13]Sheet1!$A:$M,8,0)</f>
        <v>700</v>
      </c>
      <c r="V625" s="4">
        <f>VLOOKUP(A625,[13]Sheet1!$A:$M,9,0)</f>
        <v>300</v>
      </c>
      <c r="W625" s="4">
        <f>VLOOKUP(A625,[13]Sheet1!$A:$M,10,0)</f>
        <v>400</v>
      </c>
      <c r="X625" s="4">
        <f>VLOOKUP(A625,[13]Sheet1!$A:$M,11,0)</f>
        <v>400</v>
      </c>
      <c r="Y625" s="4">
        <f>VLOOKUP(A625,[13]Sheet1!$A:$M,12,0)</f>
        <v>200</v>
      </c>
      <c r="Z625" s="4">
        <f>VLOOKUP(A625,[13]Sheet1!$A:$M,13,0)</f>
        <v>100</v>
      </c>
      <c r="AA625" s="4">
        <f t="shared" ref="AA625:AA688" si="192">SUM(O625:Z625)</f>
        <v>4300</v>
      </c>
      <c r="AB625" s="7">
        <f t="shared" ref="AB625:AB688" si="193">ROUND(AA625/12,0)</f>
        <v>358</v>
      </c>
      <c r="AC625" s="15">
        <f t="shared" ref="AC625:AC688" si="194">AVERAGE(O625:Z625)</f>
        <v>358.33333333333331</v>
      </c>
      <c r="AD625" s="16">
        <f t="shared" ref="AD625:AD688" si="195">AG625*AA625</f>
        <v>77357</v>
      </c>
      <c r="AE625" s="16">
        <f t="shared" ref="AE625:AE688" si="196">AG625*AC625</f>
        <v>6446.4166666666661</v>
      </c>
      <c r="AF625" s="21">
        <v>6.6</v>
      </c>
      <c r="AG625" s="21">
        <v>17.989999999999998</v>
      </c>
      <c r="AH625" s="15">
        <f t="shared" si="189"/>
        <v>-2.6933333333333389E-2</v>
      </c>
      <c r="AI625" s="15">
        <f t="shared" si="190"/>
        <v>-9.4266666666666846E-2</v>
      </c>
      <c r="AJ625" s="10">
        <v>0.5</v>
      </c>
      <c r="AK625" s="10">
        <v>0.5</v>
      </c>
      <c r="AL625" s="21">
        <v>6.6</v>
      </c>
      <c r="AM625" s="9">
        <f t="shared" si="181"/>
        <v>2.6984999999999997</v>
      </c>
      <c r="AN625" s="9">
        <f t="shared" si="182"/>
        <v>0.53969999999999996</v>
      </c>
      <c r="AO625" s="9">
        <f t="shared" si="183"/>
        <v>3.5979999999999999</v>
      </c>
      <c r="AP625" s="9">
        <f t="shared" si="184"/>
        <v>0.35979999999999995</v>
      </c>
      <c r="AQ625" s="9">
        <f t="shared" si="185"/>
        <v>3.5979999999999999</v>
      </c>
      <c r="AR625" s="9">
        <f t="shared" si="186"/>
        <v>4.4974999999999996</v>
      </c>
      <c r="AS625" s="11">
        <f t="shared" si="187"/>
        <v>-0.26933333333333387</v>
      </c>
      <c r="AT625" s="12">
        <f t="shared" si="188"/>
        <v>-0.86900000000000033</v>
      </c>
    </row>
    <row r="626" spans="1:46" ht="16.5" x14ac:dyDescent="0.4">
      <c r="A626" s="4" t="s">
        <v>2616</v>
      </c>
      <c r="B626" s="4" t="s">
        <v>2710</v>
      </c>
      <c r="C626" s="4" t="s">
        <v>1797</v>
      </c>
      <c r="D626" s="4" t="s">
        <v>2795</v>
      </c>
      <c r="E626" s="4" t="s">
        <v>2954</v>
      </c>
      <c r="F626" s="4" t="s">
        <v>3113</v>
      </c>
      <c r="G626" s="7" t="str">
        <f>VLOOKUP(A626,[1]done!$A:$I,9,0)</f>
        <v>Insecticide/Fungicide</v>
      </c>
      <c r="H626" s="7" t="str" cm="1">
        <f t="array" ref="H626">_xlfn.IFS(
OR(ISNUMBER(SEARCH("mouse",E626)),ISNUMBER(SEARCH("rat",E626)),ISNUMBER(SEARCH("mice",E626)),ISNUMBER(SEARCH("rodent",E626))),"Rodent Control",
OR(ISNUMBER(SEARCH("fly",E626)),ISNUMBER(SEARCH("gnat",E626)),ISNUMBER(SEARCH("insect",E626)),ISNUMBER(SEARCH("mosquito",E626))),"Flying Insect Control",
OR(ISNUMBER(SEARCH("roach",E626)),ISNUMBER(SEARCH("ant",E626)),ISNUMBER(SEARCH("spider",E626)),ISNUMBER(SEARCH("cricket",E626)),ISNUMBER(SEARCH("scorpion",E626)),ISNUMBER(SEARCH("centipede",E626)),ISNUMBER(SEARCH("beetle",E626))),"Crawling Insect Control",
OR(ISNUMBER(SEARCH("tree",E626)),ISNUMBER(SEARCH("lantern",E626)),ISNUMBER(SEARCH("garden",E626)),ISNUMBER(SEARCH("plant",E626))),"Garden Pest Control",
OR(ISNUMBER(SEARCH("grass seed",E626)),ISNUMBER(SEARCH("seed mix",E626))),"Grass Seed",
OR(ISNUMBER(SEARCH("lawn food",E626)),ISNUMBER(SEARCH("fertilizer",E626))),"Lawn Fertilizer",
OR(ISNUMBER(SEARCH("patch",E626)),ISNUMBER(SEARCH("repair",E626)),ISNUMBER(SEARCH("thick'r",E626)),ISNUMBER(SEARCH("thick'r lawn",E626)),ISNUMBER(SEARCH("rapid grass",E626))),"Lawn Repair",
OR(ISNUMBER(SEARCH("weed",E626)),ISNUMBER(SEARCH("crabgrass",E626))),"Weed Control",
OR(ISNUMBER(SEARCH("fungicide",E626)),ISNUMBER(SEARCH("moss",E626))),"Disease &amp; Moss Control",
OR(ISNUMBER(SEARCH("plant food",E626)),ISNUMBER(SEARCH("miracid",E626))),"Plant Nutrition",
OR(ISNUMBER(SEARCH("perlite",E626))),"Soil Amendment",
OR(ISNUMBER(SEARCH("spreader",E626)),ISNUMBER(SEARCH("sprayer",E626)),ISNUMBER(SEARCH("mower",E626)),ISNUMBER(SEARCH("sweeper",E626)),ISNUMBER(SEARCH("pruner",E626)),ISNUMBER(SEARCH("trimmer",E626)),ISNUMBER(SEARCH("pole saw",E626))),"Garden Equipment",
TRUE,"Other"
)</f>
        <v>Rodent Control</v>
      </c>
      <c r="I626" s="7" t="str" cm="1">
        <f t="array" ref="I626">_xlfn.IFS(
OR(ISNUMBER(SEARCH("glue trap",E626)),ISNUMBER(SEARCH("glue board",E626))),"Glue Traps",
OR(ISNUMBER(SEARCH("snap trap",E626)),ISNUMBER(SEARCH("power-kill",E626)),ISNUMBER(SEARCH("wide pedal",E626)),ISNUMBER(SEARCH("metal pedal",E626))),"Snap Traps",
OR(ISNUMBER(SEARCH("electronic",E626)),ISNUMBER(SEARCH("zapper",E626))),"Electronic Traps",
OR(ISNUMBER(SEARCH("live catch",E626)),ISNUMBER(SEARCH("multi-catch",E626)),ISNUMBER(SEARCH("catch &amp; hold",E626)),ISNUMBER(SEARCH("tin cat",E626))),"Live Catch Traps",
OR(ISNUMBER(SEARCH("bait",E626)),ISNUMBER(SEARCH("poison",E626))),"Bait &amp; Poison",
ISNUMBER(SEARCH("repellent",E626)),"Repellents",
OR(ISNUMBER(SEARCH("fly trap",E626)),ISNUMBER(SEARCH("fly ribbon",E626)),ISNUMBER(SEARCH("fly stick",E626)),ISNUMBER(SEARCH("window fly",E626)),ISNUMBER(SEARCH("fly magnet",E626))),"Fly Traps",
OR(ISNUMBER(SEARCH("uv",E626)),ISNUMBER(SEARCH("fly light",E626)),ISNUMBER(SEARCH("plug-in",E626))),"UV Fly Traps",
ISNUMBER(SEARCH("roach",E626)),"Roach Traps",
ISNUMBER(SEARCH("ant",E626)),"Ant Traps",
ISNUMBER(SEARCH("spider",E626)),"Spider Traps",
ISNUMBER(SEARCH("mosquito",E626)),"Mosquito Traps",
ISNUMBER(SEARCH("beetle",E626)),"Beetle Traps",
ISNUMBER(SEARCH("lantern",E626)),"Lanternfly Control",
OR(ISNUMBER(SEARCH("tree shield",E626)),ISNUMBER(SEARCH("tree banding",E626)),ISNUMBER(SEARCH("insect barrier",E626))),"Tree Barriers",
OR(ISNUMBER(SEARCH("sun &amp; shade",E626)),ISNUMBER(SEARCH("sun and shade",E626))),"Sun &amp; Shade Mix",
ISNUMBER(SEARCH("tall fescue",E626)),"Tall Fescue",
ISNUMBER(SEARCH("bermudagrass",E626)),"Bermudagrass",
ISNUMBER(SEARCH("kentucky",E626)),"Kentucky Bluegrass",
ISNUMBER(SEARCH("zoysia",E626)),"Zoysia",
ISNUMBER(SEARCH("ryegrass",E626)),"Perennial Ryegrass",
ISNUMBER(SEARCH("centipede",E626)),"Centipede Grass",
ISNUMBER(SEARCH("dense shade",E626)),"Dense Shade Mix",
ISNUMBER(SEARCH("southern gold",E626)),"Southern Gold Mix",
ISNUMBER(SEARCH("heat-tolerant blue",E626)),"Heat-Tolerant Blue Mix",
ISNUMBER(SEARCH("high traffic",E626)),"High Traffic Mix",
ISNUMBER(SEARCH("quick fix",E626)),"Quick Fix Mix",
ISNUMBER(SEARCH("starter",E626)),"Starter Fertilizer",
ISNUMBER(SEARCH("weed &amp; feed",E626)),"Weed &amp; Feed",
ISNUMBER(SEARCH("lawn food",E626)),"Lawn Food",
ISNUMBER(SEARCH("triple action",E626)),"Triple Action Fertilizer",
ISNUMBER(SEARCH("green max",E626)),"Green Max Lawn Food",
ISNUMBER(SEARCH("patchmaster",E626)),"PatchMaster Repair",
ISNUMBER(SEARCH("ez seed",E626)),"EZ Seed Repair",
ISNUMBER(SEARCH("rapid grass",E626)),"Rapid Grass",
ISNUMBER(SEARCH("thick'r lawn",E626)),"Thick'R Lawn",
ISNUMBER(SEARCH("fungicide",E626)),"Fungicide",
ISNUMBER(SEARCH("moss",E626)),"Moss Control",
ISNUMBER(SEARCH("perlite",E626)),"Perlite",
ISNUMBER(SEARCH("plant food",E626)),"Plant Food",
ISNUMBER(SEARCH("spreader",E626)),"Spreader",
ISNUMBER(SEARCH("sprayer",E626)),"Sprayer",
ISNUMBER(SEARCH("mower",E626)),"Lawn Mower",
ISNUMBER(SEARCH("sweeper",E626)),"Lawn Sweeper",
OR(ISNUMBER(SEARCH("pruner",E626)),ISNUMBER(SEARCH("trimmer",E626)),ISNUMBER(SEARCH("pole saw",E626))),"Pruning Tools",
TRUE,"Other"
)</f>
        <v>Other</v>
      </c>
      <c r="J626" s="7" t="str">
        <f t="shared" si="191"/>
        <v>Rodent Control - Other</v>
      </c>
      <c r="K626" s="4">
        <v>400</v>
      </c>
      <c r="L626" s="4">
        <v>4.4000000000000004</v>
      </c>
      <c r="M626" s="4">
        <v>855</v>
      </c>
      <c r="N626" s="4" t="s">
        <v>3239</v>
      </c>
      <c r="O626" s="4">
        <f>VLOOKUP(A626,[13]Sheet1!$A:$M,2,0)</f>
        <v>50</v>
      </c>
      <c r="P626" s="4">
        <f>VLOOKUP(A626,[13]Sheet1!$A:$M,3,0)</f>
        <v>100</v>
      </c>
      <c r="Q626" s="4">
        <f>VLOOKUP(A626,[13]Sheet1!$A:$M,4,0)</f>
        <v>400</v>
      </c>
      <c r="R626" s="4">
        <f>VLOOKUP(A626,[13]Sheet1!$A:$M,5,0)</f>
        <v>400</v>
      </c>
      <c r="S626" s="4">
        <f>VLOOKUP(A626,[13]Sheet1!$A:$M,6,0)</f>
        <v>500</v>
      </c>
      <c r="T626" s="4">
        <f>VLOOKUP(A626,[13]Sheet1!$A:$M,7,0)</f>
        <v>600</v>
      </c>
      <c r="U626" s="4">
        <f>VLOOKUP(A626,[13]Sheet1!$A:$M,8,0)</f>
        <v>600</v>
      </c>
      <c r="V626" s="4">
        <f>VLOOKUP(A626,[13]Sheet1!$A:$M,9,0)</f>
        <v>600</v>
      </c>
      <c r="W626" s="4">
        <f>VLOOKUP(A626,[13]Sheet1!$A:$M,10,0)</f>
        <v>400</v>
      </c>
      <c r="X626" s="4">
        <f>VLOOKUP(A626,[13]Sheet1!$A:$M,11,0)</f>
        <v>500</v>
      </c>
      <c r="Y626" s="4">
        <f>VLOOKUP(A626,[13]Sheet1!$A:$M,12,0)</f>
        <v>200</v>
      </c>
      <c r="Z626" s="4">
        <f>VLOOKUP(A626,[13]Sheet1!$A:$M,13,0)</f>
        <v>100</v>
      </c>
      <c r="AA626" s="4">
        <f t="shared" si="192"/>
        <v>4450</v>
      </c>
      <c r="AB626" s="7">
        <f t="shared" si="193"/>
        <v>371</v>
      </c>
      <c r="AC626" s="15">
        <f t="shared" si="194"/>
        <v>370.83333333333331</v>
      </c>
      <c r="AD626" s="16">
        <f t="shared" si="195"/>
        <v>93405.5</v>
      </c>
      <c r="AE626" s="16">
        <f t="shared" si="196"/>
        <v>7783.7916666666661</v>
      </c>
      <c r="AF626" s="21">
        <v>5.84</v>
      </c>
      <c r="AG626" s="21">
        <v>20.99</v>
      </c>
      <c r="AH626" s="15">
        <f t="shared" si="189"/>
        <v>0.10373333333333334</v>
      </c>
      <c r="AI626" s="15">
        <f t="shared" si="190"/>
        <v>0.3630666666666667</v>
      </c>
      <c r="AJ626" s="10">
        <v>0.5</v>
      </c>
      <c r="AK626" s="10">
        <v>0.5</v>
      </c>
      <c r="AL626" s="21">
        <v>5.84</v>
      </c>
      <c r="AM626" s="9">
        <f t="shared" si="181"/>
        <v>3.1484999999999999</v>
      </c>
      <c r="AN626" s="9">
        <f t="shared" si="182"/>
        <v>0.62969999999999993</v>
      </c>
      <c r="AO626" s="9">
        <f t="shared" si="183"/>
        <v>4.1979999999999995</v>
      </c>
      <c r="AP626" s="9">
        <f t="shared" si="184"/>
        <v>0.41979999999999995</v>
      </c>
      <c r="AQ626" s="9">
        <f t="shared" si="185"/>
        <v>4.1979999999999995</v>
      </c>
      <c r="AR626" s="9">
        <f t="shared" si="186"/>
        <v>5.2474999999999996</v>
      </c>
      <c r="AS626" s="11">
        <f t="shared" si="187"/>
        <v>1.0373333333333334</v>
      </c>
      <c r="AT626" s="12">
        <f t="shared" si="188"/>
        <v>0.33766666666666662</v>
      </c>
    </row>
    <row r="627" spans="1:46" ht="16.5" x14ac:dyDescent="0.4">
      <c r="A627" s="4" t="s">
        <v>2617</v>
      </c>
      <c r="B627" s="4" t="s">
        <v>2710</v>
      </c>
      <c r="C627" s="4" t="s">
        <v>2712</v>
      </c>
      <c r="D627" s="4" t="s">
        <v>2796</v>
      </c>
      <c r="E627" s="4" t="s">
        <v>2955</v>
      </c>
      <c r="F627" s="4" t="s">
        <v>3114</v>
      </c>
      <c r="G627" s="7" t="str">
        <f>VLOOKUP(A627,[1]done!$A:$I,9,0)</f>
        <v>Weed Control</v>
      </c>
      <c r="H627" s="7" t="str" cm="1">
        <f t="array" ref="H627">_xlfn.IFS(
OR(ISNUMBER(SEARCH("mouse",E627)),ISNUMBER(SEARCH("rat",E627)),ISNUMBER(SEARCH("mice",E627)),ISNUMBER(SEARCH("rodent",E627))),"Rodent Control",
OR(ISNUMBER(SEARCH("fly",E627)),ISNUMBER(SEARCH("gnat",E627)),ISNUMBER(SEARCH("insect",E627)),ISNUMBER(SEARCH("mosquito",E627))),"Flying Insect Control",
OR(ISNUMBER(SEARCH("roach",E627)),ISNUMBER(SEARCH("ant",E627)),ISNUMBER(SEARCH("spider",E627)),ISNUMBER(SEARCH("cricket",E627)),ISNUMBER(SEARCH("scorpion",E627)),ISNUMBER(SEARCH("centipede",E627)),ISNUMBER(SEARCH("beetle",E627))),"Crawling Insect Control",
OR(ISNUMBER(SEARCH("tree",E627)),ISNUMBER(SEARCH("lantern",E627)),ISNUMBER(SEARCH("garden",E627)),ISNUMBER(SEARCH("plant",E627))),"Garden Pest Control",
OR(ISNUMBER(SEARCH("grass seed",E627)),ISNUMBER(SEARCH("seed mix",E627))),"Grass Seed",
OR(ISNUMBER(SEARCH("lawn food",E627)),ISNUMBER(SEARCH("fertilizer",E627))),"Lawn Fertilizer",
OR(ISNUMBER(SEARCH("patch",E627)),ISNUMBER(SEARCH("repair",E627)),ISNUMBER(SEARCH("thick'r",E627)),ISNUMBER(SEARCH("thick'r lawn",E627)),ISNUMBER(SEARCH("rapid grass",E627))),"Lawn Repair",
OR(ISNUMBER(SEARCH("weed",E627)),ISNUMBER(SEARCH("crabgrass",E627))),"Weed Control",
OR(ISNUMBER(SEARCH("fungicide",E627)),ISNUMBER(SEARCH("moss",E627))),"Disease &amp; Moss Control",
OR(ISNUMBER(SEARCH("plant food",E627)),ISNUMBER(SEARCH("miracid",E627))),"Plant Nutrition",
OR(ISNUMBER(SEARCH("perlite",E627))),"Soil Amendment",
OR(ISNUMBER(SEARCH("spreader",E627)),ISNUMBER(SEARCH("sprayer",E627)),ISNUMBER(SEARCH("mower",E627)),ISNUMBER(SEARCH("sweeper",E627)),ISNUMBER(SEARCH("pruner",E627)),ISNUMBER(SEARCH("trimmer",E627)),ISNUMBER(SEARCH("pole saw",E627))),"Garden Equipment",
TRUE,"Other"
)</f>
        <v>Weed Control</v>
      </c>
      <c r="I627" s="7" t="str" cm="1">
        <f t="array" ref="I627">_xlfn.IFS(
OR(ISNUMBER(SEARCH("glue trap",E627)),ISNUMBER(SEARCH("glue board",E627))),"Glue Traps",
OR(ISNUMBER(SEARCH("snap trap",E627)),ISNUMBER(SEARCH("power-kill",E627)),ISNUMBER(SEARCH("wide pedal",E627)),ISNUMBER(SEARCH("metal pedal",E627))),"Snap Traps",
OR(ISNUMBER(SEARCH("electronic",E627)),ISNUMBER(SEARCH("zapper",E627))),"Electronic Traps",
OR(ISNUMBER(SEARCH("live catch",E627)),ISNUMBER(SEARCH("multi-catch",E627)),ISNUMBER(SEARCH("catch &amp; hold",E627)),ISNUMBER(SEARCH("tin cat",E627))),"Live Catch Traps",
OR(ISNUMBER(SEARCH("bait",E627)),ISNUMBER(SEARCH("poison",E627))),"Bait &amp; Poison",
ISNUMBER(SEARCH("repellent",E627)),"Repellents",
OR(ISNUMBER(SEARCH("fly trap",E627)),ISNUMBER(SEARCH("fly ribbon",E627)),ISNUMBER(SEARCH("fly stick",E627)),ISNUMBER(SEARCH("window fly",E627)),ISNUMBER(SEARCH("fly magnet",E627))),"Fly Traps",
OR(ISNUMBER(SEARCH("uv",E627)),ISNUMBER(SEARCH("fly light",E627)),ISNUMBER(SEARCH("plug-in",E627))),"UV Fly Traps",
ISNUMBER(SEARCH("roach",E627)),"Roach Traps",
ISNUMBER(SEARCH("ant",E627)),"Ant Traps",
ISNUMBER(SEARCH("spider",E627)),"Spider Traps",
ISNUMBER(SEARCH("mosquito",E627)),"Mosquito Traps",
ISNUMBER(SEARCH("beetle",E627)),"Beetle Traps",
ISNUMBER(SEARCH("lantern",E627)),"Lanternfly Control",
OR(ISNUMBER(SEARCH("tree shield",E627)),ISNUMBER(SEARCH("tree banding",E627)),ISNUMBER(SEARCH("insect barrier",E627))),"Tree Barriers",
OR(ISNUMBER(SEARCH("sun &amp; shade",E627)),ISNUMBER(SEARCH("sun and shade",E627))),"Sun &amp; Shade Mix",
ISNUMBER(SEARCH("tall fescue",E627)),"Tall Fescue",
ISNUMBER(SEARCH("bermudagrass",E627)),"Bermudagrass",
ISNUMBER(SEARCH("kentucky",E627)),"Kentucky Bluegrass",
ISNUMBER(SEARCH("zoysia",E627)),"Zoysia",
ISNUMBER(SEARCH("ryegrass",E627)),"Perennial Ryegrass",
ISNUMBER(SEARCH("centipede",E627)),"Centipede Grass",
ISNUMBER(SEARCH("dense shade",E627)),"Dense Shade Mix",
ISNUMBER(SEARCH("southern gold",E627)),"Southern Gold Mix",
ISNUMBER(SEARCH("heat-tolerant blue",E627)),"Heat-Tolerant Blue Mix",
ISNUMBER(SEARCH("high traffic",E627)),"High Traffic Mix",
ISNUMBER(SEARCH("quick fix",E627)),"Quick Fix Mix",
ISNUMBER(SEARCH("starter",E627)),"Starter Fertilizer",
ISNUMBER(SEARCH("weed &amp; feed",E627)),"Weed &amp; Feed",
ISNUMBER(SEARCH("lawn food",E627)),"Lawn Food",
ISNUMBER(SEARCH("triple action",E627)),"Triple Action Fertilizer",
ISNUMBER(SEARCH("green max",E627)),"Green Max Lawn Food",
ISNUMBER(SEARCH("patchmaster",E627)),"PatchMaster Repair",
ISNUMBER(SEARCH("ez seed",E627)),"EZ Seed Repair",
ISNUMBER(SEARCH("rapid grass",E627)),"Rapid Grass",
ISNUMBER(SEARCH("thick'r lawn",E627)),"Thick'R Lawn",
ISNUMBER(SEARCH("fungicide",E627)),"Fungicide",
ISNUMBER(SEARCH("moss",E627)),"Moss Control",
ISNUMBER(SEARCH("perlite",E627)),"Perlite",
ISNUMBER(SEARCH("plant food",E627)),"Plant Food",
ISNUMBER(SEARCH("spreader",E627)),"Spreader",
ISNUMBER(SEARCH("sprayer",E627)),"Sprayer",
ISNUMBER(SEARCH("mower",E627)),"Lawn Mower",
ISNUMBER(SEARCH("sweeper",E627)),"Lawn Sweeper",
OR(ISNUMBER(SEARCH("pruner",E627)),ISNUMBER(SEARCH("trimmer",E627)),ISNUMBER(SEARCH("pole saw",E627))),"Pruning Tools",
TRUE,"Other"
)</f>
        <v>Other</v>
      </c>
      <c r="J627" s="7" t="str">
        <f t="shared" si="191"/>
        <v>Weed Control - Other</v>
      </c>
      <c r="K627" s="4">
        <v>400</v>
      </c>
      <c r="L627" s="4">
        <v>3.9</v>
      </c>
      <c r="M627" s="4">
        <v>994</v>
      </c>
      <c r="N627" s="4" t="s">
        <v>3223</v>
      </c>
      <c r="O627" s="4">
        <f>VLOOKUP(A627,[13]Sheet1!$A:$M,2,0)</f>
        <v>50</v>
      </c>
      <c r="P627" s="4">
        <f>VLOOKUP(A627,[13]Sheet1!$A:$M,3,0)</f>
        <v>50</v>
      </c>
      <c r="Q627" s="4">
        <f>VLOOKUP(A627,[13]Sheet1!$A:$M,4,0)</f>
        <v>100</v>
      </c>
      <c r="R627" s="4">
        <f>VLOOKUP(A627,[13]Sheet1!$A:$M,5,0)</f>
        <v>600</v>
      </c>
      <c r="S627" s="4">
        <f>VLOOKUP(A627,[13]Sheet1!$A:$M,6,0)</f>
        <v>1000</v>
      </c>
      <c r="T627" s="4">
        <f>VLOOKUP(A627,[13]Sheet1!$A:$M,7,0)</f>
        <v>1000</v>
      </c>
      <c r="U627" s="4">
        <f>VLOOKUP(A627,[13]Sheet1!$A:$M,8,0)</f>
        <v>1000</v>
      </c>
      <c r="V627" s="4">
        <f>VLOOKUP(A627,[13]Sheet1!$A:$M,9,0)</f>
        <v>500</v>
      </c>
      <c r="W627" s="4">
        <f>VLOOKUP(A627,[13]Sheet1!$A:$M,10,0)</f>
        <v>400</v>
      </c>
      <c r="X627" s="4">
        <f>VLOOKUP(A627,[13]Sheet1!$A:$M,11,0)</f>
        <v>300</v>
      </c>
      <c r="Y627" s="4">
        <f>VLOOKUP(A627,[13]Sheet1!$A:$M,12,0)</f>
        <v>100</v>
      </c>
      <c r="Z627" s="4">
        <f>VLOOKUP(A627,[13]Sheet1!$A:$M,13,0)</f>
        <v>50</v>
      </c>
      <c r="AA627" s="4">
        <f t="shared" si="192"/>
        <v>5150</v>
      </c>
      <c r="AB627" s="7">
        <f t="shared" si="193"/>
        <v>429</v>
      </c>
      <c r="AC627" s="15">
        <f t="shared" si="194"/>
        <v>429.16666666666669</v>
      </c>
      <c r="AD627" s="16">
        <f t="shared" si="195"/>
        <v>154397</v>
      </c>
      <c r="AE627" s="16">
        <f t="shared" si="196"/>
        <v>12866.416666666668</v>
      </c>
      <c r="AF627" s="21">
        <v>9.1999999999999993</v>
      </c>
      <c r="AG627" s="21">
        <v>29.98</v>
      </c>
      <c r="AH627" s="15">
        <f t="shared" si="189"/>
        <v>0.11946666666666667</v>
      </c>
      <c r="AI627" s="15">
        <f t="shared" si="190"/>
        <v>0.41813333333333325</v>
      </c>
      <c r="AJ627" s="10">
        <v>0.5</v>
      </c>
      <c r="AK627" s="10">
        <v>0.5</v>
      </c>
      <c r="AL627" s="21">
        <v>9.1999999999999993</v>
      </c>
      <c r="AM627" s="9">
        <f t="shared" si="181"/>
        <v>4.4969999999999999</v>
      </c>
      <c r="AN627" s="9">
        <f t="shared" si="182"/>
        <v>0.89939999999999998</v>
      </c>
      <c r="AO627" s="9">
        <f t="shared" si="183"/>
        <v>5.9960000000000004</v>
      </c>
      <c r="AP627" s="9">
        <f t="shared" si="184"/>
        <v>0.59960000000000002</v>
      </c>
      <c r="AQ627" s="9">
        <f t="shared" si="185"/>
        <v>5.9960000000000004</v>
      </c>
      <c r="AR627" s="9">
        <f t="shared" si="186"/>
        <v>7.4950000000000001</v>
      </c>
      <c r="AS627" s="11">
        <f t="shared" si="187"/>
        <v>1.1946666666666665</v>
      </c>
      <c r="AT627" s="12">
        <f t="shared" si="188"/>
        <v>0.19533333333333344</v>
      </c>
    </row>
    <row r="628" spans="1:46" ht="16.5" x14ac:dyDescent="0.4">
      <c r="A628" s="4" t="s">
        <v>2618</v>
      </c>
      <c r="B628" s="4" t="s">
        <v>2710</v>
      </c>
      <c r="C628" s="4" t="s">
        <v>2712</v>
      </c>
      <c r="D628" s="4" t="s">
        <v>2797</v>
      </c>
      <c r="E628" s="4" t="s">
        <v>2956</v>
      </c>
      <c r="F628" s="4" t="s">
        <v>3115</v>
      </c>
      <c r="G628" s="7" t="str">
        <f>VLOOKUP(A628,[1]done!$A:$I,9,0)</f>
        <v>Insecticide/Fungicide</v>
      </c>
      <c r="H628" s="7" t="str" cm="1">
        <f t="array" ref="H628">_xlfn.IFS(
OR(ISNUMBER(SEARCH("mouse",E628)),ISNUMBER(SEARCH("rat",E628)),ISNUMBER(SEARCH("mice",E628)),ISNUMBER(SEARCH("rodent",E628))),"Rodent Control",
OR(ISNUMBER(SEARCH("fly",E628)),ISNUMBER(SEARCH("gnat",E628)),ISNUMBER(SEARCH("insect",E628)),ISNUMBER(SEARCH("mosquito",E628))),"Flying Insect Control",
OR(ISNUMBER(SEARCH("roach",E628)),ISNUMBER(SEARCH("ant",E628)),ISNUMBER(SEARCH("spider",E628)),ISNUMBER(SEARCH("cricket",E628)),ISNUMBER(SEARCH("scorpion",E628)),ISNUMBER(SEARCH("centipede",E628)),ISNUMBER(SEARCH("beetle",E628))),"Crawling Insect Control",
OR(ISNUMBER(SEARCH("tree",E628)),ISNUMBER(SEARCH("lantern",E628)),ISNUMBER(SEARCH("garden",E628)),ISNUMBER(SEARCH("plant",E628))),"Garden Pest Control",
OR(ISNUMBER(SEARCH("grass seed",E628)),ISNUMBER(SEARCH("seed mix",E628))),"Grass Seed",
OR(ISNUMBER(SEARCH("lawn food",E628)),ISNUMBER(SEARCH("fertilizer",E628))),"Lawn Fertilizer",
OR(ISNUMBER(SEARCH("patch",E628)),ISNUMBER(SEARCH("repair",E628)),ISNUMBER(SEARCH("thick'r",E628)),ISNUMBER(SEARCH("thick'r lawn",E628)),ISNUMBER(SEARCH("rapid grass",E628))),"Lawn Repair",
OR(ISNUMBER(SEARCH("weed",E628)),ISNUMBER(SEARCH("crabgrass",E628))),"Weed Control",
OR(ISNUMBER(SEARCH("fungicide",E628)),ISNUMBER(SEARCH("moss",E628))),"Disease &amp; Moss Control",
OR(ISNUMBER(SEARCH("plant food",E628)),ISNUMBER(SEARCH("miracid",E628))),"Plant Nutrition",
OR(ISNUMBER(SEARCH("perlite",E628))),"Soil Amendment",
OR(ISNUMBER(SEARCH("spreader",E628)),ISNUMBER(SEARCH("sprayer",E628)),ISNUMBER(SEARCH("mower",E628)),ISNUMBER(SEARCH("sweeper",E628)),ISNUMBER(SEARCH("pruner",E628)),ISNUMBER(SEARCH("trimmer",E628)),ISNUMBER(SEARCH("pole saw",E628))),"Garden Equipment",
TRUE,"Other"
)</f>
        <v>Rodent Control</v>
      </c>
      <c r="I628" s="7" t="str" cm="1">
        <f t="array" ref="I628">_xlfn.IFS(
OR(ISNUMBER(SEARCH("glue trap",E628)),ISNUMBER(SEARCH("glue board",E628))),"Glue Traps",
OR(ISNUMBER(SEARCH("snap trap",E628)),ISNUMBER(SEARCH("power-kill",E628)),ISNUMBER(SEARCH("wide pedal",E628)),ISNUMBER(SEARCH("metal pedal",E628))),"Snap Traps",
OR(ISNUMBER(SEARCH("electronic",E628)),ISNUMBER(SEARCH("zapper",E628))),"Electronic Traps",
OR(ISNUMBER(SEARCH("live catch",E628)),ISNUMBER(SEARCH("multi-catch",E628)),ISNUMBER(SEARCH("catch &amp; hold",E628)),ISNUMBER(SEARCH("tin cat",E628))),"Live Catch Traps",
OR(ISNUMBER(SEARCH("bait",E628)),ISNUMBER(SEARCH("poison",E628))),"Bait &amp; Poison",
ISNUMBER(SEARCH("repellent",E628)),"Repellents",
OR(ISNUMBER(SEARCH("fly trap",E628)),ISNUMBER(SEARCH("fly ribbon",E628)),ISNUMBER(SEARCH("fly stick",E628)),ISNUMBER(SEARCH("window fly",E628)),ISNUMBER(SEARCH("fly magnet",E628))),"Fly Traps",
OR(ISNUMBER(SEARCH("uv",E628)),ISNUMBER(SEARCH("fly light",E628)),ISNUMBER(SEARCH("plug-in",E628))),"UV Fly Traps",
ISNUMBER(SEARCH("roach",E628)),"Roach Traps",
ISNUMBER(SEARCH("ant",E628)),"Ant Traps",
ISNUMBER(SEARCH("spider",E628)),"Spider Traps",
ISNUMBER(SEARCH("mosquito",E628)),"Mosquito Traps",
ISNUMBER(SEARCH("beetle",E628)),"Beetle Traps",
ISNUMBER(SEARCH("lantern",E628)),"Lanternfly Control",
OR(ISNUMBER(SEARCH("tree shield",E628)),ISNUMBER(SEARCH("tree banding",E628)),ISNUMBER(SEARCH("insect barrier",E628))),"Tree Barriers",
OR(ISNUMBER(SEARCH("sun &amp; shade",E628)),ISNUMBER(SEARCH("sun and shade",E628))),"Sun &amp; Shade Mix",
ISNUMBER(SEARCH("tall fescue",E628)),"Tall Fescue",
ISNUMBER(SEARCH("bermudagrass",E628)),"Bermudagrass",
ISNUMBER(SEARCH("kentucky",E628)),"Kentucky Bluegrass",
ISNUMBER(SEARCH("zoysia",E628)),"Zoysia",
ISNUMBER(SEARCH("ryegrass",E628)),"Perennial Ryegrass",
ISNUMBER(SEARCH("centipede",E628)),"Centipede Grass",
ISNUMBER(SEARCH("dense shade",E628)),"Dense Shade Mix",
ISNUMBER(SEARCH("southern gold",E628)),"Southern Gold Mix",
ISNUMBER(SEARCH("heat-tolerant blue",E628)),"Heat-Tolerant Blue Mix",
ISNUMBER(SEARCH("high traffic",E628)),"High Traffic Mix",
ISNUMBER(SEARCH("quick fix",E628)),"Quick Fix Mix",
ISNUMBER(SEARCH("starter",E628)),"Starter Fertilizer",
ISNUMBER(SEARCH("weed &amp; feed",E628)),"Weed &amp; Feed",
ISNUMBER(SEARCH("lawn food",E628)),"Lawn Food",
ISNUMBER(SEARCH("triple action",E628)),"Triple Action Fertilizer",
ISNUMBER(SEARCH("green max",E628)),"Green Max Lawn Food",
ISNUMBER(SEARCH("patchmaster",E628)),"PatchMaster Repair",
ISNUMBER(SEARCH("ez seed",E628)),"EZ Seed Repair",
ISNUMBER(SEARCH("rapid grass",E628)),"Rapid Grass",
ISNUMBER(SEARCH("thick'r lawn",E628)),"Thick'R Lawn",
ISNUMBER(SEARCH("fungicide",E628)),"Fungicide",
ISNUMBER(SEARCH("moss",E628)),"Moss Control",
ISNUMBER(SEARCH("perlite",E628)),"Perlite",
ISNUMBER(SEARCH("plant food",E628)),"Plant Food",
ISNUMBER(SEARCH("spreader",E628)),"Spreader",
ISNUMBER(SEARCH("sprayer",E628)),"Sprayer",
ISNUMBER(SEARCH("mower",E628)),"Lawn Mower",
ISNUMBER(SEARCH("sweeper",E628)),"Lawn Sweeper",
OR(ISNUMBER(SEARCH("pruner",E628)),ISNUMBER(SEARCH("trimmer",E628)),ISNUMBER(SEARCH("pole saw",E628))),"Pruning Tools",
TRUE,"Other"
)</f>
        <v>Fungicide</v>
      </c>
      <c r="J628" s="7" t="str">
        <f t="shared" si="191"/>
        <v>Rodent Control - Fungicide</v>
      </c>
      <c r="K628" s="4">
        <v>400</v>
      </c>
      <c r="L628" s="4">
        <v>4.5999999999999996</v>
      </c>
      <c r="M628" s="4">
        <v>731</v>
      </c>
      <c r="O628" s="4">
        <f>VLOOKUP(A628,[13]Sheet1!$A:$M,2,0)</f>
        <v>100</v>
      </c>
      <c r="P628" s="4">
        <f>VLOOKUP(A628,[13]Sheet1!$A:$M,3,0)</f>
        <v>100</v>
      </c>
      <c r="Q628" s="4">
        <f>VLOOKUP(A628,[13]Sheet1!$A:$M,4,0)</f>
        <v>300</v>
      </c>
      <c r="R628" s="4">
        <f>VLOOKUP(A628,[13]Sheet1!$A:$M,5,0)</f>
        <v>400</v>
      </c>
      <c r="S628" s="4">
        <f>VLOOKUP(A628,[13]Sheet1!$A:$M,6,0)</f>
        <v>500</v>
      </c>
      <c r="T628" s="4">
        <f>VLOOKUP(A628,[13]Sheet1!$A:$M,7,0)</f>
        <v>700</v>
      </c>
      <c r="U628" s="4">
        <f>VLOOKUP(A628,[13]Sheet1!$A:$M,8,0)</f>
        <v>700</v>
      </c>
      <c r="V628" s="4">
        <f>VLOOKUP(A628,[13]Sheet1!$A:$M,9,0)</f>
        <v>350</v>
      </c>
      <c r="W628" s="4">
        <f>VLOOKUP(A628,[13]Sheet1!$A:$M,10,0)</f>
        <v>400</v>
      </c>
      <c r="X628" s="4">
        <f>VLOOKUP(A628,[13]Sheet1!$A:$M,11,0)</f>
        <v>200</v>
      </c>
      <c r="Y628" s="4">
        <f>VLOOKUP(A628,[13]Sheet1!$A:$M,12,0)</f>
        <v>100</v>
      </c>
      <c r="Z628" s="4">
        <f>VLOOKUP(A628,[13]Sheet1!$A:$M,13,0)</f>
        <v>100</v>
      </c>
      <c r="AA628" s="4">
        <f t="shared" si="192"/>
        <v>3950</v>
      </c>
      <c r="AB628" s="7">
        <f t="shared" si="193"/>
        <v>329</v>
      </c>
      <c r="AC628" s="15">
        <f t="shared" si="194"/>
        <v>329.16666666666669</v>
      </c>
      <c r="AD628" s="16">
        <f t="shared" si="195"/>
        <v>83937.5</v>
      </c>
      <c r="AE628" s="16">
        <f t="shared" si="196"/>
        <v>6994.791666666667</v>
      </c>
      <c r="AF628" s="21">
        <v>5.22</v>
      </c>
      <c r="AG628" s="21">
        <v>21.25</v>
      </c>
      <c r="AH628" s="15">
        <f t="shared" si="189"/>
        <v>0.15200000000000002</v>
      </c>
      <c r="AI628" s="15">
        <f t="shared" si="190"/>
        <v>0.53200000000000003</v>
      </c>
      <c r="AJ628" s="10">
        <v>0.5</v>
      </c>
      <c r="AK628" s="10">
        <v>0.5</v>
      </c>
      <c r="AL628" s="21">
        <v>5.22</v>
      </c>
      <c r="AM628" s="9">
        <f t="shared" si="181"/>
        <v>3.1875</v>
      </c>
      <c r="AN628" s="9">
        <f t="shared" si="182"/>
        <v>0.63749999999999996</v>
      </c>
      <c r="AO628" s="9">
        <f t="shared" si="183"/>
        <v>4.25</v>
      </c>
      <c r="AP628" s="9">
        <f t="shared" si="184"/>
        <v>0.42499999999999999</v>
      </c>
      <c r="AQ628" s="9">
        <f t="shared" si="185"/>
        <v>4.25</v>
      </c>
      <c r="AR628" s="9">
        <f t="shared" si="186"/>
        <v>5.3125</v>
      </c>
      <c r="AS628" s="11">
        <f t="shared" si="187"/>
        <v>1.5200000000000002</v>
      </c>
      <c r="AT628" s="12">
        <f t="shared" si="188"/>
        <v>0.81166666666666687</v>
      </c>
    </row>
    <row r="629" spans="1:46" ht="16.5" x14ac:dyDescent="0.4">
      <c r="A629" s="4" t="s">
        <v>2619</v>
      </c>
      <c r="B629" s="4" t="s">
        <v>2710</v>
      </c>
      <c r="C629" s="4" t="s">
        <v>2712</v>
      </c>
      <c r="D629" s="4" t="s">
        <v>2798</v>
      </c>
      <c r="E629" s="4" t="s">
        <v>2957</v>
      </c>
      <c r="F629" s="4" t="s">
        <v>3116</v>
      </c>
      <c r="G629" s="7" t="str">
        <f>VLOOKUP(A629,[1]done!$A:$I,9,0)</f>
        <v>Insecticide/Fungicide</v>
      </c>
      <c r="H629" s="7" t="str" cm="1">
        <f t="array" ref="H629">_xlfn.IFS(
OR(ISNUMBER(SEARCH("mouse",E629)),ISNUMBER(SEARCH("rat",E629)),ISNUMBER(SEARCH("mice",E629)),ISNUMBER(SEARCH("rodent",E629))),"Rodent Control",
OR(ISNUMBER(SEARCH("fly",E629)),ISNUMBER(SEARCH("gnat",E629)),ISNUMBER(SEARCH("insect",E629)),ISNUMBER(SEARCH("mosquito",E629))),"Flying Insect Control",
OR(ISNUMBER(SEARCH("roach",E629)),ISNUMBER(SEARCH("ant",E629)),ISNUMBER(SEARCH("spider",E629)),ISNUMBER(SEARCH("cricket",E629)),ISNUMBER(SEARCH("scorpion",E629)),ISNUMBER(SEARCH("centipede",E629)),ISNUMBER(SEARCH("beetle",E629))),"Crawling Insect Control",
OR(ISNUMBER(SEARCH("tree",E629)),ISNUMBER(SEARCH("lantern",E629)),ISNUMBER(SEARCH("garden",E629)),ISNUMBER(SEARCH("plant",E629))),"Garden Pest Control",
OR(ISNUMBER(SEARCH("grass seed",E629)),ISNUMBER(SEARCH("seed mix",E629))),"Grass Seed",
OR(ISNUMBER(SEARCH("lawn food",E629)),ISNUMBER(SEARCH("fertilizer",E629))),"Lawn Fertilizer",
OR(ISNUMBER(SEARCH("patch",E629)),ISNUMBER(SEARCH("repair",E629)),ISNUMBER(SEARCH("thick'r",E629)),ISNUMBER(SEARCH("thick'r lawn",E629)),ISNUMBER(SEARCH("rapid grass",E629))),"Lawn Repair",
OR(ISNUMBER(SEARCH("weed",E629)),ISNUMBER(SEARCH("crabgrass",E629))),"Weed Control",
OR(ISNUMBER(SEARCH("fungicide",E629)),ISNUMBER(SEARCH("moss",E629))),"Disease &amp; Moss Control",
OR(ISNUMBER(SEARCH("plant food",E629)),ISNUMBER(SEARCH("miracid",E629))),"Plant Nutrition",
OR(ISNUMBER(SEARCH("perlite",E629))),"Soil Amendment",
OR(ISNUMBER(SEARCH("spreader",E629)),ISNUMBER(SEARCH("sprayer",E629)),ISNUMBER(SEARCH("mower",E629)),ISNUMBER(SEARCH("sweeper",E629)),ISNUMBER(SEARCH("pruner",E629)),ISNUMBER(SEARCH("trimmer",E629)),ISNUMBER(SEARCH("pole saw",E629))),"Garden Equipment",
TRUE,"Other"
)</f>
        <v>Disease &amp; Moss Control</v>
      </c>
      <c r="I629" s="7" t="str" cm="1">
        <f t="array" ref="I629">_xlfn.IFS(
OR(ISNUMBER(SEARCH("glue trap",E629)),ISNUMBER(SEARCH("glue board",E629))),"Glue Traps",
OR(ISNUMBER(SEARCH("snap trap",E629)),ISNUMBER(SEARCH("power-kill",E629)),ISNUMBER(SEARCH("wide pedal",E629)),ISNUMBER(SEARCH("metal pedal",E629))),"Snap Traps",
OR(ISNUMBER(SEARCH("electronic",E629)),ISNUMBER(SEARCH("zapper",E629))),"Electronic Traps",
OR(ISNUMBER(SEARCH("live catch",E629)),ISNUMBER(SEARCH("multi-catch",E629)),ISNUMBER(SEARCH("catch &amp; hold",E629)),ISNUMBER(SEARCH("tin cat",E629))),"Live Catch Traps",
OR(ISNUMBER(SEARCH("bait",E629)),ISNUMBER(SEARCH("poison",E629))),"Bait &amp; Poison",
ISNUMBER(SEARCH("repellent",E629)),"Repellents",
OR(ISNUMBER(SEARCH("fly trap",E629)),ISNUMBER(SEARCH("fly ribbon",E629)),ISNUMBER(SEARCH("fly stick",E629)),ISNUMBER(SEARCH("window fly",E629)),ISNUMBER(SEARCH("fly magnet",E629))),"Fly Traps",
OR(ISNUMBER(SEARCH("uv",E629)),ISNUMBER(SEARCH("fly light",E629)),ISNUMBER(SEARCH("plug-in",E629))),"UV Fly Traps",
ISNUMBER(SEARCH("roach",E629)),"Roach Traps",
ISNUMBER(SEARCH("ant",E629)),"Ant Traps",
ISNUMBER(SEARCH("spider",E629)),"Spider Traps",
ISNUMBER(SEARCH("mosquito",E629)),"Mosquito Traps",
ISNUMBER(SEARCH("beetle",E629)),"Beetle Traps",
ISNUMBER(SEARCH("lantern",E629)),"Lanternfly Control",
OR(ISNUMBER(SEARCH("tree shield",E629)),ISNUMBER(SEARCH("tree banding",E629)),ISNUMBER(SEARCH("insect barrier",E629))),"Tree Barriers",
OR(ISNUMBER(SEARCH("sun &amp; shade",E629)),ISNUMBER(SEARCH("sun and shade",E629))),"Sun &amp; Shade Mix",
ISNUMBER(SEARCH("tall fescue",E629)),"Tall Fescue",
ISNUMBER(SEARCH("bermudagrass",E629)),"Bermudagrass",
ISNUMBER(SEARCH("kentucky",E629)),"Kentucky Bluegrass",
ISNUMBER(SEARCH("zoysia",E629)),"Zoysia",
ISNUMBER(SEARCH("ryegrass",E629)),"Perennial Ryegrass",
ISNUMBER(SEARCH("centipede",E629)),"Centipede Grass",
ISNUMBER(SEARCH("dense shade",E629)),"Dense Shade Mix",
ISNUMBER(SEARCH("southern gold",E629)),"Southern Gold Mix",
ISNUMBER(SEARCH("heat-tolerant blue",E629)),"Heat-Tolerant Blue Mix",
ISNUMBER(SEARCH("high traffic",E629)),"High Traffic Mix",
ISNUMBER(SEARCH("quick fix",E629)),"Quick Fix Mix",
ISNUMBER(SEARCH("starter",E629)),"Starter Fertilizer",
ISNUMBER(SEARCH("weed &amp; feed",E629)),"Weed &amp; Feed",
ISNUMBER(SEARCH("lawn food",E629)),"Lawn Food",
ISNUMBER(SEARCH("triple action",E629)),"Triple Action Fertilizer",
ISNUMBER(SEARCH("green max",E629)),"Green Max Lawn Food",
ISNUMBER(SEARCH("patchmaster",E629)),"PatchMaster Repair",
ISNUMBER(SEARCH("ez seed",E629)),"EZ Seed Repair",
ISNUMBER(SEARCH("rapid grass",E629)),"Rapid Grass",
ISNUMBER(SEARCH("thick'r lawn",E629)),"Thick'R Lawn",
ISNUMBER(SEARCH("fungicide",E629)),"Fungicide",
ISNUMBER(SEARCH("moss",E629)),"Moss Control",
ISNUMBER(SEARCH("perlite",E629)),"Perlite",
ISNUMBER(SEARCH("plant food",E629)),"Plant Food",
ISNUMBER(SEARCH("spreader",E629)),"Spreader",
ISNUMBER(SEARCH("sprayer",E629)),"Sprayer",
ISNUMBER(SEARCH("mower",E629)),"Lawn Mower",
ISNUMBER(SEARCH("sweeper",E629)),"Lawn Sweeper",
OR(ISNUMBER(SEARCH("pruner",E629)),ISNUMBER(SEARCH("trimmer",E629)),ISNUMBER(SEARCH("pole saw",E629))),"Pruning Tools",
TRUE,"Other"
)</f>
        <v>Fungicide</v>
      </c>
      <c r="J629" s="7" t="str">
        <f t="shared" si="191"/>
        <v>Disease &amp; Moss Control - Fungicide</v>
      </c>
      <c r="K629" s="4">
        <v>400</v>
      </c>
      <c r="L629" s="4">
        <v>4.4000000000000004</v>
      </c>
      <c r="M629" s="4">
        <v>1319</v>
      </c>
      <c r="N629" s="4" t="s">
        <v>3217</v>
      </c>
      <c r="O629" s="4">
        <f>VLOOKUP(A629,[13]Sheet1!$A:$M,2,0)</f>
        <v>50</v>
      </c>
      <c r="P629" s="4">
        <f>VLOOKUP(A629,[13]Sheet1!$A:$M,3,0)</f>
        <v>100</v>
      </c>
      <c r="Q629" s="4">
        <f>VLOOKUP(A629,[13]Sheet1!$A:$M,4,0)</f>
        <v>400</v>
      </c>
      <c r="R629" s="4">
        <f>VLOOKUP(A629,[13]Sheet1!$A:$M,5,0)</f>
        <v>200</v>
      </c>
      <c r="S629" s="4">
        <f>VLOOKUP(A629,[13]Sheet1!$A:$M,6,0)</f>
        <v>400</v>
      </c>
      <c r="T629" s="4">
        <f>VLOOKUP(A629,[13]Sheet1!$A:$M,7,0)</f>
        <v>400</v>
      </c>
      <c r="U629" s="4">
        <f>VLOOKUP(A629,[13]Sheet1!$A:$M,8,0)</f>
        <v>300</v>
      </c>
      <c r="V629" s="4">
        <f>VLOOKUP(A629,[13]Sheet1!$A:$M,9,0)</f>
        <v>300</v>
      </c>
      <c r="W629" s="4">
        <f>VLOOKUP(A629,[13]Sheet1!$A:$M,10,0)</f>
        <v>400</v>
      </c>
      <c r="X629" s="4">
        <f>VLOOKUP(A629,[13]Sheet1!$A:$M,11,0)</f>
        <v>500</v>
      </c>
      <c r="Y629" s="4">
        <f>VLOOKUP(A629,[13]Sheet1!$A:$M,12,0)</f>
        <v>100</v>
      </c>
      <c r="Z629" s="4">
        <f>VLOOKUP(A629,[13]Sheet1!$A:$M,13,0)</f>
        <v>50</v>
      </c>
      <c r="AA629" s="4">
        <f t="shared" si="192"/>
        <v>3200</v>
      </c>
      <c r="AB629" s="7">
        <f t="shared" si="193"/>
        <v>267</v>
      </c>
      <c r="AC629" s="15">
        <f t="shared" si="194"/>
        <v>266.66666666666669</v>
      </c>
      <c r="AD629" s="16">
        <f t="shared" si="195"/>
        <v>84576</v>
      </c>
      <c r="AE629" s="16">
        <f t="shared" si="196"/>
        <v>7048</v>
      </c>
      <c r="AF629" s="21">
        <v>5.61</v>
      </c>
      <c r="AG629" s="21">
        <v>26.43</v>
      </c>
      <c r="AH629" s="15">
        <f t="shared" si="189"/>
        <v>0.26413333333333316</v>
      </c>
      <c r="AI629" s="15">
        <f t="shared" si="190"/>
        <v>0.92446666666666599</v>
      </c>
      <c r="AJ629" s="10">
        <v>0.5</v>
      </c>
      <c r="AK629" s="10">
        <v>0.5</v>
      </c>
      <c r="AL629" s="21">
        <v>5.61</v>
      </c>
      <c r="AM629" s="9">
        <f t="shared" si="181"/>
        <v>3.9644999999999997</v>
      </c>
      <c r="AN629" s="9">
        <f t="shared" si="182"/>
        <v>0.79289999999999994</v>
      </c>
      <c r="AO629" s="9">
        <f t="shared" si="183"/>
        <v>5.2860000000000005</v>
      </c>
      <c r="AP629" s="9">
        <f t="shared" si="184"/>
        <v>0.52859999999999996</v>
      </c>
      <c r="AQ629" s="9">
        <f t="shared" si="185"/>
        <v>5.2860000000000005</v>
      </c>
      <c r="AR629" s="9">
        <f t="shared" si="186"/>
        <v>6.6074999999999999</v>
      </c>
      <c r="AS629" s="11">
        <f t="shared" si="187"/>
        <v>2.6413333333333315</v>
      </c>
      <c r="AT629" s="12">
        <f t="shared" si="188"/>
        <v>1.7603333333333318</v>
      </c>
    </row>
    <row r="630" spans="1:46" ht="16.5" x14ac:dyDescent="0.4">
      <c r="A630" s="4" t="s">
        <v>2620</v>
      </c>
      <c r="B630" s="4" t="s">
        <v>2710</v>
      </c>
      <c r="C630" s="4" t="s">
        <v>2712</v>
      </c>
      <c r="D630" s="4" t="s">
        <v>2799</v>
      </c>
      <c r="E630" s="4" t="s">
        <v>2958</v>
      </c>
      <c r="F630" s="4" t="s">
        <v>3117</v>
      </c>
      <c r="G630" s="7" t="str">
        <f>VLOOKUP(A630,[1]done!$A:$I,9,0)</f>
        <v>Mosquito/Fly</v>
      </c>
      <c r="H630" s="7" t="str" cm="1">
        <f t="array" ref="H630">_xlfn.IFS(
OR(ISNUMBER(SEARCH("mouse",E630)),ISNUMBER(SEARCH("rat",E630)),ISNUMBER(SEARCH("mice",E630)),ISNUMBER(SEARCH("rodent",E630))),"Rodent Control",
OR(ISNUMBER(SEARCH("fly",E630)),ISNUMBER(SEARCH("gnat",E630)),ISNUMBER(SEARCH("insect",E630)),ISNUMBER(SEARCH("mosquito",E630))),"Flying Insect Control",
OR(ISNUMBER(SEARCH("roach",E630)),ISNUMBER(SEARCH("ant",E630)),ISNUMBER(SEARCH("spider",E630)),ISNUMBER(SEARCH("cricket",E630)),ISNUMBER(SEARCH("scorpion",E630)),ISNUMBER(SEARCH("centipede",E630)),ISNUMBER(SEARCH("beetle",E630))),"Crawling Insect Control",
OR(ISNUMBER(SEARCH("tree",E630)),ISNUMBER(SEARCH("lantern",E630)),ISNUMBER(SEARCH("garden",E630)),ISNUMBER(SEARCH("plant",E630))),"Garden Pest Control",
OR(ISNUMBER(SEARCH("grass seed",E630)),ISNUMBER(SEARCH("seed mix",E630))),"Grass Seed",
OR(ISNUMBER(SEARCH("lawn food",E630)),ISNUMBER(SEARCH("fertilizer",E630))),"Lawn Fertilizer",
OR(ISNUMBER(SEARCH("patch",E630)),ISNUMBER(SEARCH("repair",E630)),ISNUMBER(SEARCH("thick'r",E630)),ISNUMBER(SEARCH("thick'r lawn",E630)),ISNUMBER(SEARCH("rapid grass",E630))),"Lawn Repair",
OR(ISNUMBER(SEARCH("weed",E630)),ISNUMBER(SEARCH("crabgrass",E630))),"Weed Control",
OR(ISNUMBER(SEARCH("fungicide",E630)),ISNUMBER(SEARCH("moss",E630))),"Disease &amp; Moss Control",
OR(ISNUMBER(SEARCH("plant food",E630)),ISNUMBER(SEARCH("miracid",E630))),"Plant Nutrition",
OR(ISNUMBER(SEARCH("perlite",E630))),"Soil Amendment",
OR(ISNUMBER(SEARCH("spreader",E630)),ISNUMBER(SEARCH("sprayer",E630)),ISNUMBER(SEARCH("mower",E630)),ISNUMBER(SEARCH("sweeper",E630)),ISNUMBER(SEARCH("pruner",E630)),ISNUMBER(SEARCH("trimmer",E630)),ISNUMBER(SEARCH("pole saw",E630))),"Garden Equipment",
TRUE,"Other"
)</f>
        <v>Flying Insect Control</v>
      </c>
      <c r="I630" s="7" t="str" cm="1">
        <f t="array" ref="I630">_xlfn.IFS(
OR(ISNUMBER(SEARCH("glue trap",E630)),ISNUMBER(SEARCH("glue board",E630))),"Glue Traps",
OR(ISNUMBER(SEARCH("snap trap",E630)),ISNUMBER(SEARCH("power-kill",E630)),ISNUMBER(SEARCH("wide pedal",E630)),ISNUMBER(SEARCH("metal pedal",E630))),"Snap Traps",
OR(ISNUMBER(SEARCH("electronic",E630)),ISNUMBER(SEARCH("zapper",E630))),"Electronic Traps",
OR(ISNUMBER(SEARCH("live catch",E630)),ISNUMBER(SEARCH("multi-catch",E630)),ISNUMBER(SEARCH("catch &amp; hold",E630)),ISNUMBER(SEARCH("tin cat",E630))),"Live Catch Traps",
OR(ISNUMBER(SEARCH("bait",E630)),ISNUMBER(SEARCH("poison",E630))),"Bait &amp; Poison",
ISNUMBER(SEARCH("repellent",E630)),"Repellents",
OR(ISNUMBER(SEARCH("fly trap",E630)),ISNUMBER(SEARCH("fly ribbon",E630)),ISNUMBER(SEARCH("fly stick",E630)),ISNUMBER(SEARCH("window fly",E630)),ISNUMBER(SEARCH("fly magnet",E630))),"Fly Traps",
OR(ISNUMBER(SEARCH("uv",E630)),ISNUMBER(SEARCH("fly light",E630)),ISNUMBER(SEARCH("plug-in",E630))),"UV Fly Traps",
ISNUMBER(SEARCH("roach",E630)),"Roach Traps",
ISNUMBER(SEARCH("ant",E630)),"Ant Traps",
ISNUMBER(SEARCH("spider",E630)),"Spider Traps",
ISNUMBER(SEARCH("mosquito",E630)),"Mosquito Traps",
ISNUMBER(SEARCH("beetle",E630)),"Beetle Traps",
ISNUMBER(SEARCH("lantern",E630)),"Lanternfly Control",
OR(ISNUMBER(SEARCH("tree shield",E630)),ISNUMBER(SEARCH("tree banding",E630)),ISNUMBER(SEARCH("insect barrier",E630))),"Tree Barriers",
OR(ISNUMBER(SEARCH("sun &amp; shade",E630)),ISNUMBER(SEARCH("sun and shade",E630))),"Sun &amp; Shade Mix",
ISNUMBER(SEARCH("tall fescue",E630)),"Tall Fescue",
ISNUMBER(SEARCH("bermudagrass",E630)),"Bermudagrass",
ISNUMBER(SEARCH("kentucky",E630)),"Kentucky Bluegrass",
ISNUMBER(SEARCH("zoysia",E630)),"Zoysia",
ISNUMBER(SEARCH("ryegrass",E630)),"Perennial Ryegrass",
ISNUMBER(SEARCH("centipede",E630)),"Centipede Grass",
ISNUMBER(SEARCH("dense shade",E630)),"Dense Shade Mix",
ISNUMBER(SEARCH("southern gold",E630)),"Southern Gold Mix",
ISNUMBER(SEARCH("heat-tolerant blue",E630)),"Heat-Tolerant Blue Mix",
ISNUMBER(SEARCH("high traffic",E630)),"High Traffic Mix",
ISNUMBER(SEARCH("quick fix",E630)),"Quick Fix Mix",
ISNUMBER(SEARCH("starter",E630)),"Starter Fertilizer",
ISNUMBER(SEARCH("weed &amp; feed",E630)),"Weed &amp; Feed",
ISNUMBER(SEARCH("lawn food",E630)),"Lawn Food",
ISNUMBER(SEARCH("triple action",E630)),"Triple Action Fertilizer",
ISNUMBER(SEARCH("green max",E630)),"Green Max Lawn Food",
ISNUMBER(SEARCH("patchmaster",E630)),"PatchMaster Repair",
ISNUMBER(SEARCH("ez seed",E630)),"EZ Seed Repair",
ISNUMBER(SEARCH("rapid grass",E630)),"Rapid Grass",
ISNUMBER(SEARCH("thick'r lawn",E630)),"Thick'R Lawn",
ISNUMBER(SEARCH("fungicide",E630)),"Fungicide",
ISNUMBER(SEARCH("moss",E630)),"Moss Control",
ISNUMBER(SEARCH("perlite",E630)),"Perlite",
ISNUMBER(SEARCH("plant food",E630)),"Plant Food",
ISNUMBER(SEARCH("spreader",E630)),"Spreader",
ISNUMBER(SEARCH("sprayer",E630)),"Sprayer",
ISNUMBER(SEARCH("mower",E630)),"Lawn Mower",
ISNUMBER(SEARCH("sweeper",E630)),"Lawn Sweeper",
OR(ISNUMBER(SEARCH("pruner",E630)),ISNUMBER(SEARCH("trimmer",E630)),ISNUMBER(SEARCH("pole saw",E630))),"Pruning Tools",
TRUE,"Other"
)</f>
        <v>Ant Traps</v>
      </c>
      <c r="J630" s="7" t="str">
        <f t="shared" si="191"/>
        <v>Flying Insect Control - Ant Traps</v>
      </c>
      <c r="K630" s="4">
        <v>400</v>
      </c>
      <c r="L630" s="4">
        <v>3.6</v>
      </c>
      <c r="M630" s="4">
        <v>37</v>
      </c>
      <c r="O630" s="4">
        <f>VLOOKUP(A630,[13]Sheet1!$A:$M,2,0)</f>
        <v>0</v>
      </c>
      <c r="P630" s="4">
        <f>VLOOKUP(A630,[13]Sheet1!$A:$M,3,0)</f>
        <v>0</v>
      </c>
      <c r="Q630" s="4">
        <f>VLOOKUP(A630,[13]Sheet1!$A:$M,4,0)</f>
        <v>300</v>
      </c>
      <c r="R630" s="4">
        <f>VLOOKUP(A630,[13]Sheet1!$A:$M,5,0)</f>
        <v>300</v>
      </c>
      <c r="S630" s="4">
        <f>VLOOKUP(A630,[13]Sheet1!$A:$M,6,0)</f>
        <v>500</v>
      </c>
      <c r="T630" s="4">
        <f>VLOOKUP(A630,[13]Sheet1!$A:$M,7,0)</f>
        <v>600</v>
      </c>
      <c r="U630" s="4">
        <f>VLOOKUP(A630,[13]Sheet1!$A:$M,8,0)</f>
        <v>600</v>
      </c>
      <c r="V630" s="4">
        <f>VLOOKUP(A630,[13]Sheet1!$A:$M,9,0)</f>
        <v>500</v>
      </c>
      <c r="W630" s="4">
        <f>VLOOKUP(A630,[13]Sheet1!$A:$M,10,0)</f>
        <v>400</v>
      </c>
      <c r="X630" s="4">
        <f>VLOOKUP(A630,[13]Sheet1!$A:$M,11,0)</f>
        <v>0</v>
      </c>
      <c r="Y630" s="4">
        <f>VLOOKUP(A630,[13]Sheet1!$A:$M,12,0)</f>
        <v>0</v>
      </c>
      <c r="Z630" s="4">
        <f>VLOOKUP(A630,[13]Sheet1!$A:$M,13,0)</f>
        <v>0</v>
      </c>
      <c r="AA630" s="4">
        <f t="shared" si="192"/>
        <v>3200</v>
      </c>
      <c r="AB630" s="7">
        <f t="shared" si="193"/>
        <v>267</v>
      </c>
      <c r="AC630" s="15">
        <f t="shared" si="194"/>
        <v>266.66666666666669</v>
      </c>
      <c r="AD630" s="16">
        <f t="shared" si="195"/>
        <v>79968</v>
      </c>
      <c r="AE630" s="16">
        <f t="shared" si="196"/>
        <v>6664</v>
      </c>
      <c r="AF630" s="21">
        <v>5.61</v>
      </c>
      <c r="AG630" s="21">
        <v>24.99</v>
      </c>
      <c r="AH630" s="15">
        <f t="shared" si="189"/>
        <v>0.22573333333333312</v>
      </c>
      <c r="AI630" s="15">
        <f t="shared" si="190"/>
        <v>0.79006666666666592</v>
      </c>
      <c r="AJ630" s="10">
        <v>0.5</v>
      </c>
      <c r="AK630" s="10">
        <v>0.5</v>
      </c>
      <c r="AL630" s="21">
        <v>5.61</v>
      </c>
      <c r="AM630" s="9">
        <f t="shared" si="181"/>
        <v>3.7484999999999995</v>
      </c>
      <c r="AN630" s="9">
        <f t="shared" si="182"/>
        <v>0.74969999999999992</v>
      </c>
      <c r="AO630" s="9">
        <f t="shared" si="183"/>
        <v>4.9980000000000002</v>
      </c>
      <c r="AP630" s="9">
        <f t="shared" si="184"/>
        <v>0.49979999999999997</v>
      </c>
      <c r="AQ630" s="9">
        <f t="shared" si="185"/>
        <v>4.9980000000000002</v>
      </c>
      <c r="AR630" s="9">
        <f t="shared" si="186"/>
        <v>6.2474999999999996</v>
      </c>
      <c r="AS630" s="11">
        <f t="shared" si="187"/>
        <v>2.2573333333333312</v>
      </c>
      <c r="AT630" s="12">
        <f t="shared" si="188"/>
        <v>1.4243333333333315</v>
      </c>
    </row>
    <row r="631" spans="1:46" ht="16.5" x14ac:dyDescent="0.4">
      <c r="A631" s="4" t="s">
        <v>2621</v>
      </c>
      <c r="B631" s="4" t="s">
        <v>2710</v>
      </c>
      <c r="C631" s="4" t="s">
        <v>2712</v>
      </c>
      <c r="D631" s="4" t="s">
        <v>2800</v>
      </c>
      <c r="E631" s="4" t="s">
        <v>2959</v>
      </c>
      <c r="F631" s="4" t="s">
        <v>3118</v>
      </c>
      <c r="G631" s="7" t="str">
        <f>VLOOKUP(A631,[1]done!$A:$I,9,0)</f>
        <v>Weed Control</v>
      </c>
      <c r="H631" s="7" t="str" cm="1">
        <f t="array" ref="H631">_xlfn.IFS(
OR(ISNUMBER(SEARCH("mouse",E631)),ISNUMBER(SEARCH("rat",E631)),ISNUMBER(SEARCH("mice",E631)),ISNUMBER(SEARCH("rodent",E631))),"Rodent Control",
OR(ISNUMBER(SEARCH("fly",E631)),ISNUMBER(SEARCH("gnat",E631)),ISNUMBER(SEARCH("insect",E631)),ISNUMBER(SEARCH("mosquito",E631))),"Flying Insect Control",
OR(ISNUMBER(SEARCH("roach",E631)),ISNUMBER(SEARCH("ant",E631)),ISNUMBER(SEARCH("spider",E631)),ISNUMBER(SEARCH("cricket",E631)),ISNUMBER(SEARCH("scorpion",E631)),ISNUMBER(SEARCH("centipede",E631)),ISNUMBER(SEARCH("beetle",E631))),"Crawling Insect Control",
OR(ISNUMBER(SEARCH("tree",E631)),ISNUMBER(SEARCH("lantern",E631)),ISNUMBER(SEARCH("garden",E631)),ISNUMBER(SEARCH("plant",E631))),"Garden Pest Control",
OR(ISNUMBER(SEARCH("grass seed",E631)),ISNUMBER(SEARCH("seed mix",E631))),"Grass Seed",
OR(ISNUMBER(SEARCH("lawn food",E631)),ISNUMBER(SEARCH("fertilizer",E631))),"Lawn Fertilizer",
OR(ISNUMBER(SEARCH("patch",E631)),ISNUMBER(SEARCH("repair",E631)),ISNUMBER(SEARCH("thick'r",E631)),ISNUMBER(SEARCH("thick'r lawn",E631)),ISNUMBER(SEARCH("rapid grass",E631))),"Lawn Repair",
OR(ISNUMBER(SEARCH("weed",E631)),ISNUMBER(SEARCH("crabgrass",E631))),"Weed Control",
OR(ISNUMBER(SEARCH("fungicide",E631)),ISNUMBER(SEARCH("moss",E631))),"Disease &amp; Moss Control",
OR(ISNUMBER(SEARCH("plant food",E631)),ISNUMBER(SEARCH("miracid",E631))),"Plant Nutrition",
OR(ISNUMBER(SEARCH("perlite",E631))),"Soil Amendment",
OR(ISNUMBER(SEARCH("spreader",E631)),ISNUMBER(SEARCH("sprayer",E631)),ISNUMBER(SEARCH("mower",E631)),ISNUMBER(SEARCH("sweeper",E631)),ISNUMBER(SEARCH("pruner",E631)),ISNUMBER(SEARCH("trimmer",E631)),ISNUMBER(SEARCH("pole saw",E631))),"Garden Equipment",
TRUE,"Other"
)</f>
        <v>Weed Control</v>
      </c>
      <c r="I631" s="7" t="str" cm="1">
        <f t="array" ref="I631">_xlfn.IFS(
OR(ISNUMBER(SEARCH("glue trap",E631)),ISNUMBER(SEARCH("glue board",E631))),"Glue Traps",
OR(ISNUMBER(SEARCH("snap trap",E631)),ISNUMBER(SEARCH("power-kill",E631)),ISNUMBER(SEARCH("wide pedal",E631)),ISNUMBER(SEARCH("metal pedal",E631))),"Snap Traps",
OR(ISNUMBER(SEARCH("electronic",E631)),ISNUMBER(SEARCH("zapper",E631))),"Electronic Traps",
OR(ISNUMBER(SEARCH("live catch",E631)),ISNUMBER(SEARCH("multi-catch",E631)),ISNUMBER(SEARCH("catch &amp; hold",E631)),ISNUMBER(SEARCH("tin cat",E631))),"Live Catch Traps",
OR(ISNUMBER(SEARCH("bait",E631)),ISNUMBER(SEARCH("poison",E631))),"Bait &amp; Poison",
ISNUMBER(SEARCH("repellent",E631)),"Repellents",
OR(ISNUMBER(SEARCH("fly trap",E631)),ISNUMBER(SEARCH("fly ribbon",E631)),ISNUMBER(SEARCH("fly stick",E631)),ISNUMBER(SEARCH("window fly",E631)),ISNUMBER(SEARCH("fly magnet",E631))),"Fly Traps",
OR(ISNUMBER(SEARCH("uv",E631)),ISNUMBER(SEARCH("fly light",E631)),ISNUMBER(SEARCH("plug-in",E631))),"UV Fly Traps",
ISNUMBER(SEARCH("roach",E631)),"Roach Traps",
ISNUMBER(SEARCH("ant",E631)),"Ant Traps",
ISNUMBER(SEARCH("spider",E631)),"Spider Traps",
ISNUMBER(SEARCH("mosquito",E631)),"Mosquito Traps",
ISNUMBER(SEARCH("beetle",E631)),"Beetle Traps",
ISNUMBER(SEARCH("lantern",E631)),"Lanternfly Control",
OR(ISNUMBER(SEARCH("tree shield",E631)),ISNUMBER(SEARCH("tree banding",E631)),ISNUMBER(SEARCH("insect barrier",E631))),"Tree Barriers",
OR(ISNUMBER(SEARCH("sun &amp; shade",E631)),ISNUMBER(SEARCH("sun and shade",E631))),"Sun &amp; Shade Mix",
ISNUMBER(SEARCH("tall fescue",E631)),"Tall Fescue",
ISNUMBER(SEARCH("bermudagrass",E631)),"Bermudagrass",
ISNUMBER(SEARCH("kentucky",E631)),"Kentucky Bluegrass",
ISNUMBER(SEARCH("zoysia",E631)),"Zoysia",
ISNUMBER(SEARCH("ryegrass",E631)),"Perennial Ryegrass",
ISNUMBER(SEARCH("centipede",E631)),"Centipede Grass",
ISNUMBER(SEARCH("dense shade",E631)),"Dense Shade Mix",
ISNUMBER(SEARCH("southern gold",E631)),"Southern Gold Mix",
ISNUMBER(SEARCH("heat-tolerant blue",E631)),"Heat-Tolerant Blue Mix",
ISNUMBER(SEARCH("high traffic",E631)),"High Traffic Mix",
ISNUMBER(SEARCH("quick fix",E631)),"Quick Fix Mix",
ISNUMBER(SEARCH("starter",E631)),"Starter Fertilizer",
ISNUMBER(SEARCH("weed &amp; feed",E631)),"Weed &amp; Feed",
ISNUMBER(SEARCH("lawn food",E631)),"Lawn Food",
ISNUMBER(SEARCH("triple action",E631)),"Triple Action Fertilizer",
ISNUMBER(SEARCH("green max",E631)),"Green Max Lawn Food",
ISNUMBER(SEARCH("patchmaster",E631)),"PatchMaster Repair",
ISNUMBER(SEARCH("ez seed",E631)),"EZ Seed Repair",
ISNUMBER(SEARCH("rapid grass",E631)),"Rapid Grass",
ISNUMBER(SEARCH("thick'r lawn",E631)),"Thick'R Lawn",
ISNUMBER(SEARCH("fungicide",E631)),"Fungicide",
ISNUMBER(SEARCH("moss",E631)),"Moss Control",
ISNUMBER(SEARCH("perlite",E631)),"Perlite",
ISNUMBER(SEARCH("plant food",E631)),"Plant Food",
ISNUMBER(SEARCH("spreader",E631)),"Spreader",
ISNUMBER(SEARCH("sprayer",E631)),"Sprayer",
ISNUMBER(SEARCH("mower",E631)),"Lawn Mower",
ISNUMBER(SEARCH("sweeper",E631)),"Lawn Sweeper",
OR(ISNUMBER(SEARCH("pruner",E631)),ISNUMBER(SEARCH("trimmer",E631)),ISNUMBER(SEARCH("pole saw",E631))),"Pruning Tools",
TRUE,"Other"
)</f>
        <v>Other</v>
      </c>
      <c r="J631" s="7" t="str">
        <f t="shared" si="191"/>
        <v>Weed Control - Other</v>
      </c>
      <c r="K631" s="4">
        <v>300</v>
      </c>
      <c r="L631" s="4">
        <v>4</v>
      </c>
      <c r="M631" s="4">
        <v>604</v>
      </c>
      <c r="N631" s="4" t="s">
        <v>3209</v>
      </c>
      <c r="O631" s="4">
        <f>VLOOKUP(A631,[13]Sheet1!$A:$M,2,0)</f>
        <v>100</v>
      </c>
      <c r="P631" s="4">
        <f>VLOOKUP(A631,[13]Sheet1!$A:$M,3,0)</f>
        <v>100</v>
      </c>
      <c r="Q631" s="4">
        <f>VLOOKUP(A631,[13]Sheet1!$A:$M,4,0)</f>
        <v>200</v>
      </c>
      <c r="R631" s="4">
        <f>VLOOKUP(A631,[13]Sheet1!$A:$M,5,0)</f>
        <v>500</v>
      </c>
      <c r="S631" s="4">
        <f>VLOOKUP(A631,[13]Sheet1!$A:$M,6,0)</f>
        <v>200</v>
      </c>
      <c r="T631" s="4">
        <f>VLOOKUP(A631,[13]Sheet1!$A:$M,7,0)</f>
        <v>200</v>
      </c>
      <c r="U631" s="4">
        <f>VLOOKUP(A631,[13]Sheet1!$A:$M,8,0)</f>
        <v>200</v>
      </c>
      <c r="V631" s="4">
        <f>VLOOKUP(A631,[13]Sheet1!$A:$M,9,0)</f>
        <v>400</v>
      </c>
      <c r="W631" s="4">
        <f>VLOOKUP(A631,[13]Sheet1!$A:$M,10,0)</f>
        <v>200</v>
      </c>
      <c r="X631" s="4">
        <f>VLOOKUP(A631,[13]Sheet1!$A:$M,11,0)</f>
        <v>100</v>
      </c>
      <c r="Y631" s="4">
        <f>VLOOKUP(A631,[13]Sheet1!$A:$M,12,0)</f>
        <v>100</v>
      </c>
      <c r="Z631" s="4">
        <f>VLOOKUP(A631,[13]Sheet1!$A:$M,13,0)</f>
        <v>50</v>
      </c>
      <c r="AA631" s="4">
        <f t="shared" si="192"/>
        <v>2350</v>
      </c>
      <c r="AB631" s="7">
        <f t="shared" si="193"/>
        <v>196</v>
      </c>
      <c r="AC631" s="15">
        <f t="shared" si="194"/>
        <v>195.83333333333334</v>
      </c>
      <c r="AD631" s="16">
        <f t="shared" si="195"/>
        <v>18753</v>
      </c>
      <c r="AE631" s="16">
        <f t="shared" si="196"/>
        <v>1562.7500000000002</v>
      </c>
      <c r="AF631" s="21">
        <v>5.46</v>
      </c>
      <c r="AG631" s="21">
        <v>7.98</v>
      </c>
      <c r="AH631" s="15">
        <f t="shared" si="189"/>
        <v>-0.21786666666666665</v>
      </c>
      <c r="AI631" s="15">
        <f t="shared" si="190"/>
        <v>-0.76253333333333329</v>
      </c>
      <c r="AJ631" s="10">
        <v>0.5</v>
      </c>
      <c r="AK631" s="10">
        <v>0.5</v>
      </c>
      <c r="AL631" s="21">
        <v>5.46</v>
      </c>
      <c r="AM631" s="9">
        <f t="shared" si="181"/>
        <v>1.1970000000000001</v>
      </c>
      <c r="AN631" s="9">
        <f t="shared" si="182"/>
        <v>0.2394</v>
      </c>
      <c r="AO631" s="9">
        <f t="shared" si="183"/>
        <v>1.5960000000000001</v>
      </c>
      <c r="AP631" s="9">
        <f t="shared" si="184"/>
        <v>0.15960000000000002</v>
      </c>
      <c r="AQ631" s="9">
        <f t="shared" si="185"/>
        <v>1.5960000000000001</v>
      </c>
      <c r="AR631" s="9">
        <f t="shared" si="186"/>
        <v>1.9950000000000001</v>
      </c>
      <c r="AS631" s="11">
        <f t="shared" si="187"/>
        <v>-2.1786666666666665</v>
      </c>
      <c r="AT631" s="12">
        <f t="shared" si="188"/>
        <v>-2.4446666666666665</v>
      </c>
    </row>
    <row r="632" spans="1:46" ht="16.5" x14ac:dyDescent="0.4">
      <c r="A632" s="4" t="s">
        <v>2622</v>
      </c>
      <c r="B632" s="4" t="s">
        <v>2710</v>
      </c>
      <c r="C632" s="4" t="s">
        <v>2712</v>
      </c>
      <c r="D632" s="4" t="s">
        <v>2801</v>
      </c>
      <c r="E632" s="4" t="s">
        <v>2960</v>
      </c>
      <c r="F632" s="4" t="s">
        <v>3119</v>
      </c>
      <c r="G632" s="7" t="str">
        <f>VLOOKUP(A632,[1]done!$A:$I,9,0)</f>
        <v>Insecticide/Fungicide</v>
      </c>
      <c r="H632" s="7" t="str" cm="1">
        <f t="array" ref="H632">_xlfn.IFS(
OR(ISNUMBER(SEARCH("mouse",E632)),ISNUMBER(SEARCH("rat",E632)),ISNUMBER(SEARCH("mice",E632)),ISNUMBER(SEARCH("rodent",E632))),"Rodent Control",
OR(ISNUMBER(SEARCH("fly",E632)),ISNUMBER(SEARCH("gnat",E632)),ISNUMBER(SEARCH("insect",E632)),ISNUMBER(SEARCH("mosquito",E632))),"Flying Insect Control",
OR(ISNUMBER(SEARCH("roach",E632)),ISNUMBER(SEARCH("ant",E632)),ISNUMBER(SEARCH("spider",E632)),ISNUMBER(SEARCH("cricket",E632)),ISNUMBER(SEARCH("scorpion",E632)),ISNUMBER(SEARCH("centipede",E632)),ISNUMBER(SEARCH("beetle",E632))),"Crawling Insect Control",
OR(ISNUMBER(SEARCH("tree",E632)),ISNUMBER(SEARCH("lantern",E632)),ISNUMBER(SEARCH("garden",E632)),ISNUMBER(SEARCH("plant",E632))),"Garden Pest Control",
OR(ISNUMBER(SEARCH("grass seed",E632)),ISNUMBER(SEARCH("seed mix",E632))),"Grass Seed",
OR(ISNUMBER(SEARCH("lawn food",E632)),ISNUMBER(SEARCH("fertilizer",E632))),"Lawn Fertilizer",
OR(ISNUMBER(SEARCH("patch",E632)),ISNUMBER(SEARCH("repair",E632)),ISNUMBER(SEARCH("thick'r",E632)),ISNUMBER(SEARCH("thick'r lawn",E632)),ISNUMBER(SEARCH("rapid grass",E632))),"Lawn Repair",
OR(ISNUMBER(SEARCH("weed",E632)),ISNUMBER(SEARCH("crabgrass",E632))),"Weed Control",
OR(ISNUMBER(SEARCH("fungicide",E632)),ISNUMBER(SEARCH("moss",E632))),"Disease &amp; Moss Control",
OR(ISNUMBER(SEARCH("plant food",E632)),ISNUMBER(SEARCH("miracid",E632))),"Plant Nutrition",
OR(ISNUMBER(SEARCH("perlite",E632))),"Soil Amendment",
OR(ISNUMBER(SEARCH("spreader",E632)),ISNUMBER(SEARCH("sprayer",E632)),ISNUMBER(SEARCH("mower",E632)),ISNUMBER(SEARCH("sweeper",E632)),ISNUMBER(SEARCH("pruner",E632)),ISNUMBER(SEARCH("trimmer",E632)),ISNUMBER(SEARCH("pole saw",E632))),"Garden Equipment",
TRUE,"Other"
)</f>
        <v>Rodent Control</v>
      </c>
      <c r="I632" s="7" t="str" cm="1">
        <f t="array" ref="I632">_xlfn.IFS(
OR(ISNUMBER(SEARCH("glue trap",E632)),ISNUMBER(SEARCH("glue board",E632))),"Glue Traps",
OR(ISNUMBER(SEARCH("snap trap",E632)),ISNUMBER(SEARCH("power-kill",E632)),ISNUMBER(SEARCH("wide pedal",E632)),ISNUMBER(SEARCH("metal pedal",E632))),"Snap Traps",
OR(ISNUMBER(SEARCH("electronic",E632)),ISNUMBER(SEARCH("zapper",E632))),"Electronic Traps",
OR(ISNUMBER(SEARCH("live catch",E632)),ISNUMBER(SEARCH("multi-catch",E632)),ISNUMBER(SEARCH("catch &amp; hold",E632)),ISNUMBER(SEARCH("tin cat",E632))),"Live Catch Traps",
OR(ISNUMBER(SEARCH("bait",E632)),ISNUMBER(SEARCH("poison",E632))),"Bait &amp; Poison",
ISNUMBER(SEARCH("repellent",E632)),"Repellents",
OR(ISNUMBER(SEARCH("fly trap",E632)),ISNUMBER(SEARCH("fly ribbon",E632)),ISNUMBER(SEARCH("fly stick",E632)),ISNUMBER(SEARCH("window fly",E632)),ISNUMBER(SEARCH("fly magnet",E632))),"Fly Traps",
OR(ISNUMBER(SEARCH("uv",E632)),ISNUMBER(SEARCH("fly light",E632)),ISNUMBER(SEARCH("plug-in",E632))),"UV Fly Traps",
ISNUMBER(SEARCH("roach",E632)),"Roach Traps",
ISNUMBER(SEARCH("ant",E632)),"Ant Traps",
ISNUMBER(SEARCH("spider",E632)),"Spider Traps",
ISNUMBER(SEARCH("mosquito",E632)),"Mosquito Traps",
ISNUMBER(SEARCH("beetle",E632)),"Beetle Traps",
ISNUMBER(SEARCH("lantern",E632)),"Lanternfly Control",
OR(ISNUMBER(SEARCH("tree shield",E632)),ISNUMBER(SEARCH("tree banding",E632)),ISNUMBER(SEARCH("insect barrier",E632))),"Tree Barriers",
OR(ISNUMBER(SEARCH("sun &amp; shade",E632)),ISNUMBER(SEARCH("sun and shade",E632))),"Sun &amp; Shade Mix",
ISNUMBER(SEARCH("tall fescue",E632)),"Tall Fescue",
ISNUMBER(SEARCH("bermudagrass",E632)),"Bermudagrass",
ISNUMBER(SEARCH("kentucky",E632)),"Kentucky Bluegrass",
ISNUMBER(SEARCH("zoysia",E632)),"Zoysia",
ISNUMBER(SEARCH("ryegrass",E632)),"Perennial Ryegrass",
ISNUMBER(SEARCH("centipede",E632)),"Centipede Grass",
ISNUMBER(SEARCH("dense shade",E632)),"Dense Shade Mix",
ISNUMBER(SEARCH("southern gold",E632)),"Southern Gold Mix",
ISNUMBER(SEARCH("heat-tolerant blue",E632)),"Heat-Tolerant Blue Mix",
ISNUMBER(SEARCH("high traffic",E632)),"High Traffic Mix",
ISNUMBER(SEARCH("quick fix",E632)),"Quick Fix Mix",
ISNUMBER(SEARCH("starter",E632)),"Starter Fertilizer",
ISNUMBER(SEARCH("weed &amp; feed",E632)),"Weed &amp; Feed",
ISNUMBER(SEARCH("lawn food",E632)),"Lawn Food",
ISNUMBER(SEARCH("triple action",E632)),"Triple Action Fertilizer",
ISNUMBER(SEARCH("green max",E632)),"Green Max Lawn Food",
ISNUMBER(SEARCH("patchmaster",E632)),"PatchMaster Repair",
ISNUMBER(SEARCH("ez seed",E632)),"EZ Seed Repair",
ISNUMBER(SEARCH("rapid grass",E632)),"Rapid Grass",
ISNUMBER(SEARCH("thick'r lawn",E632)),"Thick'R Lawn",
ISNUMBER(SEARCH("fungicide",E632)),"Fungicide",
ISNUMBER(SEARCH("moss",E632)),"Moss Control",
ISNUMBER(SEARCH("perlite",E632)),"Perlite",
ISNUMBER(SEARCH("plant food",E632)),"Plant Food",
ISNUMBER(SEARCH("spreader",E632)),"Spreader",
ISNUMBER(SEARCH("sprayer",E632)),"Sprayer",
ISNUMBER(SEARCH("mower",E632)),"Lawn Mower",
ISNUMBER(SEARCH("sweeper",E632)),"Lawn Sweeper",
OR(ISNUMBER(SEARCH("pruner",E632)),ISNUMBER(SEARCH("trimmer",E632)),ISNUMBER(SEARCH("pole saw",E632))),"Pruning Tools",
TRUE,"Other"
)</f>
        <v>Other</v>
      </c>
      <c r="J632" s="7" t="str">
        <f t="shared" si="191"/>
        <v>Rodent Control - Other</v>
      </c>
      <c r="K632" s="4">
        <v>300</v>
      </c>
      <c r="L632" s="4">
        <v>4.5</v>
      </c>
      <c r="M632" s="4">
        <v>1149</v>
      </c>
      <c r="N632" s="4" t="s">
        <v>3217</v>
      </c>
      <c r="O632" s="4">
        <f>VLOOKUP(A632,[13]Sheet1!$A:$M,2,0)</f>
        <v>50</v>
      </c>
      <c r="P632" s="4">
        <f>VLOOKUP(A632,[13]Sheet1!$A:$M,3,0)</f>
        <v>100</v>
      </c>
      <c r="Q632" s="4">
        <f>VLOOKUP(A632,[13]Sheet1!$A:$M,4,0)</f>
        <v>300</v>
      </c>
      <c r="R632" s="4">
        <f>VLOOKUP(A632,[13]Sheet1!$A:$M,5,0)</f>
        <v>1000</v>
      </c>
      <c r="S632" s="4">
        <f>VLOOKUP(A632,[13]Sheet1!$A:$M,6,0)</f>
        <v>1000</v>
      </c>
      <c r="T632" s="4">
        <f>VLOOKUP(A632,[13]Sheet1!$A:$M,7,0)</f>
        <v>2000</v>
      </c>
      <c r="U632" s="4">
        <f>VLOOKUP(A632,[13]Sheet1!$A:$M,8,0)</f>
        <v>1000</v>
      </c>
      <c r="V632" s="4">
        <f>VLOOKUP(A632,[13]Sheet1!$A:$M,9,0)</f>
        <v>1000</v>
      </c>
      <c r="W632" s="4">
        <f>VLOOKUP(A632,[13]Sheet1!$A:$M,10,0)</f>
        <v>200</v>
      </c>
      <c r="X632" s="4">
        <f>VLOOKUP(A632,[13]Sheet1!$A:$M,11,0)</f>
        <v>200</v>
      </c>
      <c r="Y632" s="4">
        <f>VLOOKUP(A632,[13]Sheet1!$A:$M,12,0)</f>
        <v>100</v>
      </c>
      <c r="Z632" s="4">
        <f>VLOOKUP(A632,[13]Sheet1!$A:$M,13,0)</f>
        <v>50</v>
      </c>
      <c r="AA632" s="4">
        <f t="shared" si="192"/>
        <v>7000</v>
      </c>
      <c r="AB632" s="7">
        <f t="shared" si="193"/>
        <v>583</v>
      </c>
      <c r="AC632" s="15">
        <f t="shared" si="194"/>
        <v>583.33333333333337</v>
      </c>
      <c r="AD632" s="16">
        <f t="shared" si="195"/>
        <v>136500</v>
      </c>
      <c r="AE632" s="16">
        <f t="shared" si="196"/>
        <v>11375</v>
      </c>
      <c r="AF632" s="21">
        <v>5.22</v>
      </c>
      <c r="AG632" s="21">
        <v>19.5</v>
      </c>
      <c r="AH632" s="15">
        <f t="shared" si="189"/>
        <v>0.10533333333333328</v>
      </c>
      <c r="AI632" s="15">
        <f t="shared" si="190"/>
        <v>0.36866666666666648</v>
      </c>
      <c r="AJ632" s="10">
        <v>0.5</v>
      </c>
      <c r="AK632" s="10">
        <v>0.5</v>
      </c>
      <c r="AL632" s="21">
        <v>5.22</v>
      </c>
      <c r="AM632" s="9">
        <f t="shared" si="181"/>
        <v>2.9249999999999998</v>
      </c>
      <c r="AN632" s="9">
        <f t="shared" si="182"/>
        <v>0.58499999999999996</v>
      </c>
      <c r="AO632" s="9">
        <f t="shared" si="183"/>
        <v>3.9000000000000004</v>
      </c>
      <c r="AP632" s="9">
        <f t="shared" si="184"/>
        <v>0.39</v>
      </c>
      <c r="AQ632" s="9">
        <f t="shared" si="185"/>
        <v>3.9000000000000004</v>
      </c>
      <c r="AR632" s="9">
        <f t="shared" si="186"/>
        <v>4.875</v>
      </c>
      <c r="AS632" s="11">
        <f t="shared" si="187"/>
        <v>1.0533333333333328</v>
      </c>
      <c r="AT632" s="12">
        <f t="shared" si="188"/>
        <v>0.40333333333333304</v>
      </c>
    </row>
    <row r="633" spans="1:46" ht="16.5" x14ac:dyDescent="0.4">
      <c r="A633" s="4" t="s">
        <v>2623</v>
      </c>
      <c r="B633" s="4" t="s">
        <v>2710</v>
      </c>
      <c r="C633" s="4" t="s">
        <v>2710</v>
      </c>
      <c r="D633" s="4" t="s">
        <v>2802</v>
      </c>
      <c r="E633" s="4" t="s">
        <v>2961</v>
      </c>
      <c r="F633" s="4" t="s">
        <v>3120</v>
      </c>
      <c r="G633" s="7" t="str">
        <f>VLOOKUP(A633,[1]done!$A:$I,9,0)</f>
        <v>Other crawling insects</v>
      </c>
      <c r="H633" s="7" t="str" cm="1">
        <f t="array" ref="H633">_xlfn.IFS(
OR(ISNUMBER(SEARCH("mouse",E633)),ISNUMBER(SEARCH("rat",E633)),ISNUMBER(SEARCH("mice",E633)),ISNUMBER(SEARCH("rodent",E633))),"Rodent Control",
OR(ISNUMBER(SEARCH("fly",E633)),ISNUMBER(SEARCH("gnat",E633)),ISNUMBER(SEARCH("insect",E633)),ISNUMBER(SEARCH("mosquito",E633))),"Flying Insect Control",
OR(ISNUMBER(SEARCH("roach",E633)),ISNUMBER(SEARCH("ant",E633)),ISNUMBER(SEARCH("spider",E633)),ISNUMBER(SEARCH("cricket",E633)),ISNUMBER(SEARCH("scorpion",E633)),ISNUMBER(SEARCH("centipede",E633)),ISNUMBER(SEARCH("beetle",E633))),"Crawling Insect Control",
OR(ISNUMBER(SEARCH("tree",E633)),ISNUMBER(SEARCH("lantern",E633)),ISNUMBER(SEARCH("garden",E633)),ISNUMBER(SEARCH("plant",E633))),"Garden Pest Control",
OR(ISNUMBER(SEARCH("grass seed",E633)),ISNUMBER(SEARCH("seed mix",E633))),"Grass Seed",
OR(ISNUMBER(SEARCH("lawn food",E633)),ISNUMBER(SEARCH("fertilizer",E633))),"Lawn Fertilizer",
OR(ISNUMBER(SEARCH("patch",E633)),ISNUMBER(SEARCH("repair",E633)),ISNUMBER(SEARCH("thick'r",E633)),ISNUMBER(SEARCH("thick'r lawn",E633)),ISNUMBER(SEARCH("rapid grass",E633))),"Lawn Repair",
OR(ISNUMBER(SEARCH("weed",E633)),ISNUMBER(SEARCH("crabgrass",E633))),"Weed Control",
OR(ISNUMBER(SEARCH("fungicide",E633)),ISNUMBER(SEARCH("moss",E633))),"Disease &amp; Moss Control",
OR(ISNUMBER(SEARCH("plant food",E633)),ISNUMBER(SEARCH("miracid",E633))),"Plant Nutrition",
OR(ISNUMBER(SEARCH("perlite",E633))),"Soil Amendment",
OR(ISNUMBER(SEARCH("spreader",E633)),ISNUMBER(SEARCH("sprayer",E633)),ISNUMBER(SEARCH("mower",E633)),ISNUMBER(SEARCH("sweeper",E633)),ISNUMBER(SEARCH("pruner",E633)),ISNUMBER(SEARCH("trimmer",E633)),ISNUMBER(SEARCH("pole saw",E633))),"Garden Equipment",
TRUE,"Other"
)</f>
        <v>Crawling Insect Control</v>
      </c>
      <c r="I633" s="7" t="str" cm="1">
        <f t="array" ref="I633">_xlfn.IFS(
OR(ISNUMBER(SEARCH("glue trap",E633)),ISNUMBER(SEARCH("glue board",E633))),"Glue Traps",
OR(ISNUMBER(SEARCH("snap trap",E633)),ISNUMBER(SEARCH("power-kill",E633)),ISNUMBER(SEARCH("wide pedal",E633)),ISNUMBER(SEARCH("metal pedal",E633))),"Snap Traps",
OR(ISNUMBER(SEARCH("electronic",E633)),ISNUMBER(SEARCH("zapper",E633))),"Electronic Traps",
OR(ISNUMBER(SEARCH("live catch",E633)),ISNUMBER(SEARCH("multi-catch",E633)),ISNUMBER(SEARCH("catch &amp; hold",E633)),ISNUMBER(SEARCH("tin cat",E633))),"Live Catch Traps",
OR(ISNUMBER(SEARCH("bait",E633)),ISNUMBER(SEARCH("poison",E633))),"Bait &amp; Poison",
ISNUMBER(SEARCH("repellent",E633)),"Repellents",
OR(ISNUMBER(SEARCH("fly trap",E633)),ISNUMBER(SEARCH("fly ribbon",E633)),ISNUMBER(SEARCH("fly stick",E633)),ISNUMBER(SEARCH("window fly",E633)),ISNUMBER(SEARCH("fly magnet",E633))),"Fly Traps",
OR(ISNUMBER(SEARCH("uv",E633)),ISNUMBER(SEARCH("fly light",E633)),ISNUMBER(SEARCH("plug-in",E633))),"UV Fly Traps",
ISNUMBER(SEARCH("roach",E633)),"Roach Traps",
ISNUMBER(SEARCH("ant",E633)),"Ant Traps",
ISNUMBER(SEARCH("spider",E633)),"Spider Traps",
ISNUMBER(SEARCH("mosquito",E633)),"Mosquito Traps",
ISNUMBER(SEARCH("beetle",E633)),"Beetle Traps",
ISNUMBER(SEARCH("lantern",E633)),"Lanternfly Control",
OR(ISNUMBER(SEARCH("tree shield",E633)),ISNUMBER(SEARCH("tree banding",E633)),ISNUMBER(SEARCH("insect barrier",E633))),"Tree Barriers",
OR(ISNUMBER(SEARCH("sun &amp; shade",E633)),ISNUMBER(SEARCH("sun and shade",E633))),"Sun &amp; Shade Mix",
ISNUMBER(SEARCH("tall fescue",E633)),"Tall Fescue",
ISNUMBER(SEARCH("bermudagrass",E633)),"Bermudagrass",
ISNUMBER(SEARCH("kentucky",E633)),"Kentucky Bluegrass",
ISNUMBER(SEARCH("zoysia",E633)),"Zoysia",
ISNUMBER(SEARCH("ryegrass",E633)),"Perennial Ryegrass",
ISNUMBER(SEARCH("centipede",E633)),"Centipede Grass",
ISNUMBER(SEARCH("dense shade",E633)),"Dense Shade Mix",
ISNUMBER(SEARCH("southern gold",E633)),"Southern Gold Mix",
ISNUMBER(SEARCH("heat-tolerant blue",E633)),"Heat-Tolerant Blue Mix",
ISNUMBER(SEARCH("high traffic",E633)),"High Traffic Mix",
ISNUMBER(SEARCH("quick fix",E633)),"Quick Fix Mix",
ISNUMBER(SEARCH("starter",E633)),"Starter Fertilizer",
ISNUMBER(SEARCH("weed &amp; feed",E633)),"Weed &amp; Feed",
ISNUMBER(SEARCH("lawn food",E633)),"Lawn Food",
ISNUMBER(SEARCH("triple action",E633)),"Triple Action Fertilizer",
ISNUMBER(SEARCH("green max",E633)),"Green Max Lawn Food",
ISNUMBER(SEARCH("patchmaster",E633)),"PatchMaster Repair",
ISNUMBER(SEARCH("ez seed",E633)),"EZ Seed Repair",
ISNUMBER(SEARCH("rapid grass",E633)),"Rapid Grass",
ISNUMBER(SEARCH("thick'r lawn",E633)),"Thick'R Lawn",
ISNUMBER(SEARCH("fungicide",E633)),"Fungicide",
ISNUMBER(SEARCH("moss",E633)),"Moss Control",
ISNUMBER(SEARCH("perlite",E633)),"Perlite",
ISNUMBER(SEARCH("plant food",E633)),"Plant Food",
ISNUMBER(SEARCH("spreader",E633)),"Spreader",
ISNUMBER(SEARCH("sprayer",E633)),"Sprayer",
ISNUMBER(SEARCH("mower",E633)),"Lawn Mower",
ISNUMBER(SEARCH("sweeper",E633)),"Lawn Sweeper",
OR(ISNUMBER(SEARCH("pruner",E633)),ISNUMBER(SEARCH("trimmer",E633)),ISNUMBER(SEARCH("pole saw",E633))),"Pruning Tools",
TRUE,"Other"
)</f>
        <v>Ant Traps</v>
      </c>
      <c r="J633" s="7" t="str">
        <f t="shared" si="191"/>
        <v>Crawling Insect Control - Ant Traps</v>
      </c>
      <c r="K633" s="4">
        <v>300</v>
      </c>
      <c r="L633" s="4">
        <v>4.2</v>
      </c>
      <c r="M633" s="4">
        <v>473</v>
      </c>
      <c r="N633" s="4" t="s">
        <v>2014</v>
      </c>
      <c r="O633" s="4">
        <f>VLOOKUP(A633,[13]Sheet1!$A:$M,2,0)</f>
        <v>200</v>
      </c>
      <c r="P633" s="4">
        <f>VLOOKUP(A633,[13]Sheet1!$A:$M,3,0)</f>
        <v>100</v>
      </c>
      <c r="Q633" s="4">
        <f>VLOOKUP(A633,[13]Sheet1!$A:$M,4,0)</f>
        <v>100</v>
      </c>
      <c r="R633" s="4">
        <f>VLOOKUP(A633,[13]Sheet1!$A:$M,5,0)</f>
        <v>100</v>
      </c>
      <c r="S633" s="4">
        <f>VLOOKUP(A633,[13]Sheet1!$A:$M,6,0)</f>
        <v>50</v>
      </c>
      <c r="T633" s="4">
        <f>VLOOKUP(A633,[13]Sheet1!$A:$M,7,0)</f>
        <v>0</v>
      </c>
      <c r="U633" s="4">
        <f>VLOOKUP(A633,[13]Sheet1!$A:$M,8,0)</f>
        <v>100</v>
      </c>
      <c r="V633" s="4">
        <f>VLOOKUP(A633,[13]Sheet1!$A:$M,9,0)</f>
        <v>300</v>
      </c>
      <c r="W633" s="4">
        <f>VLOOKUP(A633,[13]Sheet1!$A:$M,10,0)</f>
        <v>300</v>
      </c>
      <c r="X633" s="4">
        <f>VLOOKUP(A633,[13]Sheet1!$A:$M,11,0)</f>
        <v>200</v>
      </c>
      <c r="Y633" s="4">
        <f>VLOOKUP(A633,[13]Sheet1!$A:$M,12,0)</f>
        <v>200</v>
      </c>
      <c r="Z633" s="4">
        <f>VLOOKUP(A633,[13]Sheet1!$A:$M,13,0)</f>
        <v>300</v>
      </c>
      <c r="AA633" s="4">
        <f t="shared" si="192"/>
        <v>1950</v>
      </c>
      <c r="AB633" s="7">
        <f t="shared" si="193"/>
        <v>163</v>
      </c>
      <c r="AC633" s="15">
        <f t="shared" si="194"/>
        <v>162.5</v>
      </c>
      <c r="AD633" s="16">
        <f t="shared" si="195"/>
        <v>13630.5</v>
      </c>
      <c r="AE633" s="16">
        <f t="shared" si="196"/>
        <v>1135.875</v>
      </c>
      <c r="AF633" s="21">
        <v>3.91</v>
      </c>
      <c r="AG633" s="21">
        <v>6.99</v>
      </c>
      <c r="AH633" s="15">
        <f t="shared" si="189"/>
        <v>-0.14093333333333335</v>
      </c>
      <c r="AI633" s="15">
        <f t="shared" si="190"/>
        <v>-0.49326666666666669</v>
      </c>
      <c r="AJ633" s="10">
        <v>0.5</v>
      </c>
      <c r="AK633" s="10">
        <v>0.5</v>
      </c>
      <c r="AL633" s="21">
        <v>3.91</v>
      </c>
      <c r="AM633" s="9">
        <f t="shared" si="181"/>
        <v>1.0485</v>
      </c>
      <c r="AN633" s="9">
        <f t="shared" si="182"/>
        <v>0.2097</v>
      </c>
      <c r="AO633" s="9">
        <f t="shared" si="183"/>
        <v>1.3980000000000001</v>
      </c>
      <c r="AP633" s="9">
        <f t="shared" si="184"/>
        <v>0.13980000000000001</v>
      </c>
      <c r="AQ633" s="9">
        <f t="shared" si="185"/>
        <v>1.3980000000000001</v>
      </c>
      <c r="AR633" s="9">
        <f t="shared" si="186"/>
        <v>1.7475000000000001</v>
      </c>
      <c r="AS633" s="11">
        <f t="shared" si="187"/>
        <v>-1.4093333333333335</v>
      </c>
      <c r="AT633" s="12">
        <f t="shared" si="188"/>
        <v>-1.6423333333333334</v>
      </c>
    </row>
    <row r="634" spans="1:46" ht="16.5" x14ac:dyDescent="0.4">
      <c r="A634" s="4" t="s">
        <v>2624</v>
      </c>
      <c r="B634" s="4" t="s">
        <v>2710</v>
      </c>
      <c r="C634" s="4" t="s">
        <v>2712</v>
      </c>
      <c r="D634" s="4" t="s">
        <v>2803</v>
      </c>
      <c r="E634" s="4" t="s">
        <v>2962</v>
      </c>
      <c r="F634" s="4" t="s">
        <v>3121</v>
      </c>
      <c r="G634" s="7" t="str">
        <f>VLOOKUP(A634,[1]done!$A:$I,9,0)</f>
        <v>Weed Control</v>
      </c>
      <c r="H634" s="7" t="str" cm="1">
        <f t="array" ref="H634">_xlfn.IFS(
OR(ISNUMBER(SEARCH("mouse",E634)),ISNUMBER(SEARCH("rat",E634)),ISNUMBER(SEARCH("mice",E634)),ISNUMBER(SEARCH("rodent",E634))),"Rodent Control",
OR(ISNUMBER(SEARCH("fly",E634)),ISNUMBER(SEARCH("gnat",E634)),ISNUMBER(SEARCH("insect",E634)),ISNUMBER(SEARCH("mosquito",E634))),"Flying Insect Control",
OR(ISNUMBER(SEARCH("roach",E634)),ISNUMBER(SEARCH("ant",E634)),ISNUMBER(SEARCH("spider",E634)),ISNUMBER(SEARCH("cricket",E634)),ISNUMBER(SEARCH("scorpion",E634)),ISNUMBER(SEARCH("centipede",E634)),ISNUMBER(SEARCH("beetle",E634))),"Crawling Insect Control",
OR(ISNUMBER(SEARCH("tree",E634)),ISNUMBER(SEARCH("lantern",E634)),ISNUMBER(SEARCH("garden",E634)),ISNUMBER(SEARCH("plant",E634))),"Garden Pest Control",
OR(ISNUMBER(SEARCH("grass seed",E634)),ISNUMBER(SEARCH("seed mix",E634))),"Grass Seed",
OR(ISNUMBER(SEARCH("lawn food",E634)),ISNUMBER(SEARCH("fertilizer",E634))),"Lawn Fertilizer",
OR(ISNUMBER(SEARCH("patch",E634)),ISNUMBER(SEARCH("repair",E634)),ISNUMBER(SEARCH("thick'r",E634)),ISNUMBER(SEARCH("thick'r lawn",E634)),ISNUMBER(SEARCH("rapid grass",E634))),"Lawn Repair",
OR(ISNUMBER(SEARCH("weed",E634)),ISNUMBER(SEARCH("crabgrass",E634))),"Weed Control",
OR(ISNUMBER(SEARCH("fungicide",E634)),ISNUMBER(SEARCH("moss",E634))),"Disease &amp; Moss Control",
OR(ISNUMBER(SEARCH("plant food",E634)),ISNUMBER(SEARCH("miracid",E634))),"Plant Nutrition",
OR(ISNUMBER(SEARCH("perlite",E634))),"Soil Amendment",
OR(ISNUMBER(SEARCH("spreader",E634)),ISNUMBER(SEARCH("sprayer",E634)),ISNUMBER(SEARCH("mower",E634)),ISNUMBER(SEARCH("sweeper",E634)),ISNUMBER(SEARCH("pruner",E634)),ISNUMBER(SEARCH("trimmer",E634)),ISNUMBER(SEARCH("pole saw",E634))),"Garden Equipment",
TRUE,"Other"
)</f>
        <v>Rodent Control</v>
      </c>
      <c r="I634" s="7" t="str" cm="1">
        <f t="array" ref="I634">_xlfn.IFS(
OR(ISNUMBER(SEARCH("glue trap",E634)),ISNUMBER(SEARCH("glue board",E634))),"Glue Traps",
OR(ISNUMBER(SEARCH("snap trap",E634)),ISNUMBER(SEARCH("power-kill",E634)),ISNUMBER(SEARCH("wide pedal",E634)),ISNUMBER(SEARCH("metal pedal",E634))),"Snap Traps",
OR(ISNUMBER(SEARCH("electronic",E634)),ISNUMBER(SEARCH("zapper",E634))),"Electronic Traps",
OR(ISNUMBER(SEARCH("live catch",E634)),ISNUMBER(SEARCH("multi-catch",E634)),ISNUMBER(SEARCH("catch &amp; hold",E634)),ISNUMBER(SEARCH("tin cat",E634))),"Live Catch Traps",
OR(ISNUMBER(SEARCH("bait",E634)),ISNUMBER(SEARCH("poison",E634))),"Bait &amp; Poison",
ISNUMBER(SEARCH("repellent",E634)),"Repellents",
OR(ISNUMBER(SEARCH("fly trap",E634)),ISNUMBER(SEARCH("fly ribbon",E634)),ISNUMBER(SEARCH("fly stick",E634)),ISNUMBER(SEARCH("window fly",E634)),ISNUMBER(SEARCH("fly magnet",E634))),"Fly Traps",
OR(ISNUMBER(SEARCH("uv",E634)),ISNUMBER(SEARCH("fly light",E634)),ISNUMBER(SEARCH("plug-in",E634))),"UV Fly Traps",
ISNUMBER(SEARCH("roach",E634)),"Roach Traps",
ISNUMBER(SEARCH("ant",E634)),"Ant Traps",
ISNUMBER(SEARCH("spider",E634)),"Spider Traps",
ISNUMBER(SEARCH("mosquito",E634)),"Mosquito Traps",
ISNUMBER(SEARCH("beetle",E634)),"Beetle Traps",
ISNUMBER(SEARCH("lantern",E634)),"Lanternfly Control",
OR(ISNUMBER(SEARCH("tree shield",E634)),ISNUMBER(SEARCH("tree banding",E634)),ISNUMBER(SEARCH("insect barrier",E634))),"Tree Barriers",
OR(ISNUMBER(SEARCH("sun &amp; shade",E634)),ISNUMBER(SEARCH("sun and shade",E634))),"Sun &amp; Shade Mix",
ISNUMBER(SEARCH("tall fescue",E634)),"Tall Fescue",
ISNUMBER(SEARCH("bermudagrass",E634)),"Bermudagrass",
ISNUMBER(SEARCH("kentucky",E634)),"Kentucky Bluegrass",
ISNUMBER(SEARCH("zoysia",E634)),"Zoysia",
ISNUMBER(SEARCH("ryegrass",E634)),"Perennial Ryegrass",
ISNUMBER(SEARCH("centipede",E634)),"Centipede Grass",
ISNUMBER(SEARCH("dense shade",E634)),"Dense Shade Mix",
ISNUMBER(SEARCH("southern gold",E634)),"Southern Gold Mix",
ISNUMBER(SEARCH("heat-tolerant blue",E634)),"Heat-Tolerant Blue Mix",
ISNUMBER(SEARCH("high traffic",E634)),"High Traffic Mix",
ISNUMBER(SEARCH("quick fix",E634)),"Quick Fix Mix",
ISNUMBER(SEARCH("starter",E634)),"Starter Fertilizer",
ISNUMBER(SEARCH("weed &amp; feed",E634)),"Weed &amp; Feed",
ISNUMBER(SEARCH("lawn food",E634)),"Lawn Food",
ISNUMBER(SEARCH("triple action",E634)),"Triple Action Fertilizer",
ISNUMBER(SEARCH("green max",E634)),"Green Max Lawn Food",
ISNUMBER(SEARCH("patchmaster",E634)),"PatchMaster Repair",
ISNUMBER(SEARCH("ez seed",E634)),"EZ Seed Repair",
ISNUMBER(SEARCH("rapid grass",E634)),"Rapid Grass",
ISNUMBER(SEARCH("thick'r lawn",E634)),"Thick'R Lawn",
ISNUMBER(SEARCH("fungicide",E634)),"Fungicide",
ISNUMBER(SEARCH("moss",E634)),"Moss Control",
ISNUMBER(SEARCH("perlite",E634)),"Perlite",
ISNUMBER(SEARCH("plant food",E634)),"Plant Food",
ISNUMBER(SEARCH("spreader",E634)),"Spreader",
ISNUMBER(SEARCH("sprayer",E634)),"Sprayer",
ISNUMBER(SEARCH("mower",E634)),"Lawn Mower",
ISNUMBER(SEARCH("sweeper",E634)),"Lawn Sweeper",
OR(ISNUMBER(SEARCH("pruner",E634)),ISNUMBER(SEARCH("trimmer",E634)),ISNUMBER(SEARCH("pole saw",E634))),"Pruning Tools",
TRUE,"Other"
)</f>
        <v>Moss Control</v>
      </c>
      <c r="J634" s="7" t="str">
        <f t="shared" si="191"/>
        <v>Rodent Control - Moss Control</v>
      </c>
      <c r="K634" s="4">
        <v>300</v>
      </c>
      <c r="L634" s="4">
        <v>4</v>
      </c>
      <c r="M634" s="4">
        <v>263</v>
      </c>
      <c r="N634" s="4" t="s">
        <v>1550</v>
      </c>
      <c r="O634" s="4">
        <f>VLOOKUP(A634,[13]Sheet1!$A:$M,2,0)</f>
        <v>50</v>
      </c>
      <c r="P634" s="4">
        <f>VLOOKUP(A634,[13]Sheet1!$A:$M,3,0)</f>
        <v>50</v>
      </c>
      <c r="Q634" s="4">
        <f>VLOOKUP(A634,[13]Sheet1!$A:$M,4,0)</f>
        <v>400</v>
      </c>
      <c r="R634" s="4">
        <f>VLOOKUP(A634,[13]Sheet1!$A:$M,5,0)</f>
        <v>100</v>
      </c>
      <c r="S634" s="4">
        <f>VLOOKUP(A634,[13]Sheet1!$A:$M,6,0)</f>
        <v>100</v>
      </c>
      <c r="T634" s="4">
        <f>VLOOKUP(A634,[13]Sheet1!$A:$M,7,0)</f>
        <v>900</v>
      </c>
      <c r="U634" s="4">
        <f>VLOOKUP(A634,[13]Sheet1!$A:$M,8,0)</f>
        <v>900</v>
      </c>
      <c r="V634" s="4">
        <f>VLOOKUP(A634,[13]Sheet1!$A:$M,9,0)</f>
        <v>500</v>
      </c>
      <c r="W634" s="4">
        <f>VLOOKUP(A634,[13]Sheet1!$A:$M,10,0)</f>
        <v>300</v>
      </c>
      <c r="X634" s="4">
        <f>VLOOKUP(A634,[13]Sheet1!$A:$M,11,0)</f>
        <v>200</v>
      </c>
      <c r="Y634" s="4">
        <f>VLOOKUP(A634,[13]Sheet1!$A:$M,12,0)</f>
        <v>100</v>
      </c>
      <c r="Z634" s="4">
        <f>VLOOKUP(A634,[13]Sheet1!$A:$M,13,0)</f>
        <v>50</v>
      </c>
      <c r="AA634" s="4">
        <f t="shared" si="192"/>
        <v>3650</v>
      </c>
      <c r="AB634" s="7">
        <f t="shared" si="193"/>
        <v>304</v>
      </c>
      <c r="AC634" s="15">
        <f t="shared" si="194"/>
        <v>304.16666666666669</v>
      </c>
      <c r="AD634" s="16">
        <f t="shared" si="195"/>
        <v>120376.99999999999</v>
      </c>
      <c r="AE634" s="16">
        <f t="shared" si="196"/>
        <v>10031.416666666666</v>
      </c>
      <c r="AF634" s="21">
        <v>7.3</v>
      </c>
      <c r="AG634" s="21">
        <v>32.979999999999997</v>
      </c>
      <c r="AH634" s="15">
        <f t="shared" si="189"/>
        <v>0.32613333333333311</v>
      </c>
      <c r="AI634" s="15">
        <f t="shared" si="190"/>
        <v>1.1414666666666657</v>
      </c>
      <c r="AJ634" s="10">
        <v>0.5</v>
      </c>
      <c r="AK634" s="10">
        <v>0.5</v>
      </c>
      <c r="AL634" s="21">
        <v>7.3</v>
      </c>
      <c r="AM634" s="9">
        <f t="shared" si="181"/>
        <v>4.9469999999999992</v>
      </c>
      <c r="AN634" s="9">
        <f t="shared" si="182"/>
        <v>0.98939999999999984</v>
      </c>
      <c r="AO634" s="9">
        <f t="shared" si="183"/>
        <v>6.5960000000000001</v>
      </c>
      <c r="AP634" s="9">
        <f t="shared" si="184"/>
        <v>0.65959999999999996</v>
      </c>
      <c r="AQ634" s="9">
        <f t="shared" si="185"/>
        <v>6.5960000000000001</v>
      </c>
      <c r="AR634" s="9">
        <f t="shared" si="186"/>
        <v>8.2449999999999992</v>
      </c>
      <c r="AS634" s="11">
        <f t="shared" si="187"/>
        <v>3.2613333333333308</v>
      </c>
      <c r="AT634" s="12">
        <f t="shared" si="188"/>
        <v>2.1619999999999977</v>
      </c>
    </row>
    <row r="635" spans="1:46" ht="16.5" x14ac:dyDescent="0.4">
      <c r="A635" s="4" t="s">
        <v>2625</v>
      </c>
      <c r="B635" s="4" t="s">
        <v>2710</v>
      </c>
      <c r="C635" s="4" t="s">
        <v>2714</v>
      </c>
      <c r="D635" s="4" t="s">
        <v>2804</v>
      </c>
      <c r="E635" s="4" t="s">
        <v>2963</v>
      </c>
      <c r="F635" s="4" t="s">
        <v>3122</v>
      </c>
      <c r="G635" s="7" t="str">
        <f>VLOOKUP(A635,[1]done!$A:$I,9,0)</f>
        <v>Insecticide/Fungicide</v>
      </c>
      <c r="H635" s="7" t="str" cm="1">
        <f t="array" ref="H635">_xlfn.IFS(
OR(ISNUMBER(SEARCH("mouse",E635)),ISNUMBER(SEARCH("rat",E635)),ISNUMBER(SEARCH("mice",E635)),ISNUMBER(SEARCH("rodent",E635))),"Rodent Control",
OR(ISNUMBER(SEARCH("fly",E635)),ISNUMBER(SEARCH("gnat",E635)),ISNUMBER(SEARCH("insect",E635)),ISNUMBER(SEARCH("mosquito",E635))),"Flying Insect Control",
OR(ISNUMBER(SEARCH("roach",E635)),ISNUMBER(SEARCH("ant",E635)),ISNUMBER(SEARCH("spider",E635)),ISNUMBER(SEARCH("cricket",E635)),ISNUMBER(SEARCH("scorpion",E635)),ISNUMBER(SEARCH("centipede",E635)),ISNUMBER(SEARCH("beetle",E635))),"Crawling Insect Control",
OR(ISNUMBER(SEARCH("tree",E635)),ISNUMBER(SEARCH("lantern",E635)),ISNUMBER(SEARCH("garden",E635)),ISNUMBER(SEARCH("plant",E635))),"Garden Pest Control",
OR(ISNUMBER(SEARCH("grass seed",E635)),ISNUMBER(SEARCH("seed mix",E635))),"Grass Seed",
OR(ISNUMBER(SEARCH("lawn food",E635)),ISNUMBER(SEARCH("fertilizer",E635))),"Lawn Fertilizer",
OR(ISNUMBER(SEARCH("patch",E635)),ISNUMBER(SEARCH("repair",E635)),ISNUMBER(SEARCH("thick'r",E635)),ISNUMBER(SEARCH("thick'r lawn",E635)),ISNUMBER(SEARCH("rapid grass",E635))),"Lawn Repair",
OR(ISNUMBER(SEARCH("weed",E635)),ISNUMBER(SEARCH("crabgrass",E635))),"Weed Control",
OR(ISNUMBER(SEARCH("fungicide",E635)),ISNUMBER(SEARCH("moss",E635))),"Disease &amp; Moss Control",
OR(ISNUMBER(SEARCH("plant food",E635)),ISNUMBER(SEARCH("miracid",E635))),"Plant Nutrition",
OR(ISNUMBER(SEARCH("perlite",E635))),"Soil Amendment",
OR(ISNUMBER(SEARCH("spreader",E635)),ISNUMBER(SEARCH("sprayer",E635)),ISNUMBER(SEARCH("mower",E635)),ISNUMBER(SEARCH("sweeper",E635)),ISNUMBER(SEARCH("pruner",E635)),ISNUMBER(SEARCH("trimmer",E635)),ISNUMBER(SEARCH("pole saw",E635))),"Garden Equipment",
TRUE,"Other"
)</f>
        <v>Flying Insect Control</v>
      </c>
      <c r="I635" s="7" t="str" cm="1">
        <f t="array" ref="I635">_xlfn.IFS(
OR(ISNUMBER(SEARCH("glue trap",E635)),ISNUMBER(SEARCH("glue board",E635))),"Glue Traps",
OR(ISNUMBER(SEARCH("snap trap",E635)),ISNUMBER(SEARCH("power-kill",E635)),ISNUMBER(SEARCH("wide pedal",E635)),ISNUMBER(SEARCH("metal pedal",E635))),"Snap Traps",
OR(ISNUMBER(SEARCH("electronic",E635)),ISNUMBER(SEARCH("zapper",E635))),"Electronic Traps",
OR(ISNUMBER(SEARCH("live catch",E635)),ISNUMBER(SEARCH("multi-catch",E635)),ISNUMBER(SEARCH("catch &amp; hold",E635)),ISNUMBER(SEARCH("tin cat",E635))),"Live Catch Traps",
OR(ISNUMBER(SEARCH("bait",E635)),ISNUMBER(SEARCH("poison",E635))),"Bait &amp; Poison",
ISNUMBER(SEARCH("repellent",E635)),"Repellents",
OR(ISNUMBER(SEARCH("fly trap",E635)),ISNUMBER(SEARCH("fly ribbon",E635)),ISNUMBER(SEARCH("fly stick",E635)),ISNUMBER(SEARCH("window fly",E635)),ISNUMBER(SEARCH("fly magnet",E635))),"Fly Traps",
OR(ISNUMBER(SEARCH("uv",E635)),ISNUMBER(SEARCH("fly light",E635)),ISNUMBER(SEARCH("plug-in",E635))),"UV Fly Traps",
ISNUMBER(SEARCH("roach",E635)),"Roach Traps",
ISNUMBER(SEARCH("ant",E635)),"Ant Traps",
ISNUMBER(SEARCH("spider",E635)),"Spider Traps",
ISNUMBER(SEARCH("mosquito",E635)),"Mosquito Traps",
ISNUMBER(SEARCH("beetle",E635)),"Beetle Traps",
ISNUMBER(SEARCH("lantern",E635)),"Lanternfly Control",
OR(ISNUMBER(SEARCH("tree shield",E635)),ISNUMBER(SEARCH("tree banding",E635)),ISNUMBER(SEARCH("insect barrier",E635))),"Tree Barriers",
OR(ISNUMBER(SEARCH("sun &amp; shade",E635)),ISNUMBER(SEARCH("sun and shade",E635))),"Sun &amp; Shade Mix",
ISNUMBER(SEARCH("tall fescue",E635)),"Tall Fescue",
ISNUMBER(SEARCH("bermudagrass",E635)),"Bermudagrass",
ISNUMBER(SEARCH("kentucky",E635)),"Kentucky Bluegrass",
ISNUMBER(SEARCH("zoysia",E635)),"Zoysia",
ISNUMBER(SEARCH("ryegrass",E635)),"Perennial Ryegrass",
ISNUMBER(SEARCH("centipede",E635)),"Centipede Grass",
ISNUMBER(SEARCH("dense shade",E635)),"Dense Shade Mix",
ISNUMBER(SEARCH("southern gold",E635)),"Southern Gold Mix",
ISNUMBER(SEARCH("heat-tolerant blue",E635)),"Heat-Tolerant Blue Mix",
ISNUMBER(SEARCH("high traffic",E635)),"High Traffic Mix",
ISNUMBER(SEARCH("quick fix",E635)),"Quick Fix Mix",
ISNUMBER(SEARCH("starter",E635)),"Starter Fertilizer",
ISNUMBER(SEARCH("weed &amp; feed",E635)),"Weed &amp; Feed",
ISNUMBER(SEARCH("lawn food",E635)),"Lawn Food",
ISNUMBER(SEARCH("triple action",E635)),"Triple Action Fertilizer",
ISNUMBER(SEARCH("green max",E635)),"Green Max Lawn Food",
ISNUMBER(SEARCH("patchmaster",E635)),"PatchMaster Repair",
ISNUMBER(SEARCH("ez seed",E635)),"EZ Seed Repair",
ISNUMBER(SEARCH("rapid grass",E635)),"Rapid Grass",
ISNUMBER(SEARCH("thick'r lawn",E635)),"Thick'R Lawn",
ISNUMBER(SEARCH("fungicide",E635)),"Fungicide",
ISNUMBER(SEARCH("moss",E635)),"Moss Control",
ISNUMBER(SEARCH("perlite",E635)),"Perlite",
ISNUMBER(SEARCH("plant food",E635)),"Plant Food",
ISNUMBER(SEARCH("spreader",E635)),"Spreader",
ISNUMBER(SEARCH("sprayer",E635)),"Sprayer",
ISNUMBER(SEARCH("mower",E635)),"Lawn Mower",
ISNUMBER(SEARCH("sweeper",E635)),"Lawn Sweeper",
OR(ISNUMBER(SEARCH("pruner",E635)),ISNUMBER(SEARCH("trimmer",E635)),ISNUMBER(SEARCH("pole saw",E635))),"Pruning Tools",
TRUE,"Other"
)</f>
        <v>Other</v>
      </c>
      <c r="J635" s="7" t="str">
        <f t="shared" si="191"/>
        <v>Flying Insect Control - Other</v>
      </c>
      <c r="K635" s="4">
        <v>300</v>
      </c>
      <c r="L635" s="4">
        <v>4.4000000000000004</v>
      </c>
      <c r="M635" s="4">
        <v>808</v>
      </c>
      <c r="N635" s="4" t="s">
        <v>3207</v>
      </c>
      <c r="O635" s="4">
        <f>VLOOKUP(A635,[13]Sheet1!$A:$M,2,0)</f>
        <v>50</v>
      </c>
      <c r="P635" s="4">
        <f>VLOOKUP(A635,[13]Sheet1!$A:$M,3,0)</f>
        <v>50</v>
      </c>
      <c r="Q635" s="4">
        <f>VLOOKUP(A635,[13]Sheet1!$A:$M,4,0)</f>
        <v>100</v>
      </c>
      <c r="R635" s="4">
        <f>VLOOKUP(A635,[13]Sheet1!$A:$M,5,0)</f>
        <v>300</v>
      </c>
      <c r="S635" s="4">
        <f>VLOOKUP(A635,[13]Sheet1!$A:$M,6,0)</f>
        <v>300</v>
      </c>
      <c r="T635" s="4">
        <f>VLOOKUP(A635,[13]Sheet1!$A:$M,7,0)</f>
        <v>1000</v>
      </c>
      <c r="U635" s="4">
        <f>VLOOKUP(A635,[13]Sheet1!$A:$M,8,0)</f>
        <v>1000</v>
      </c>
      <c r="V635" s="4">
        <f>VLOOKUP(A635,[13]Sheet1!$A:$M,9,0)</f>
        <v>400</v>
      </c>
      <c r="W635" s="4">
        <f>VLOOKUP(A635,[13]Sheet1!$A:$M,10,0)</f>
        <v>300</v>
      </c>
      <c r="X635" s="4">
        <f>VLOOKUP(A635,[13]Sheet1!$A:$M,11,0)</f>
        <v>200</v>
      </c>
      <c r="Y635" s="4">
        <f>VLOOKUP(A635,[13]Sheet1!$A:$M,12,0)</f>
        <v>200</v>
      </c>
      <c r="Z635" s="4">
        <f>VLOOKUP(A635,[13]Sheet1!$A:$M,13,0)</f>
        <v>100</v>
      </c>
      <c r="AA635" s="4">
        <f t="shared" si="192"/>
        <v>4000</v>
      </c>
      <c r="AB635" s="7">
        <f t="shared" si="193"/>
        <v>333</v>
      </c>
      <c r="AC635" s="15">
        <f t="shared" si="194"/>
        <v>333.33333333333331</v>
      </c>
      <c r="AD635" s="16">
        <f t="shared" si="195"/>
        <v>31960</v>
      </c>
      <c r="AE635" s="16">
        <f t="shared" si="196"/>
        <v>2663.333333333333</v>
      </c>
      <c r="AF635" s="21">
        <v>5.46</v>
      </c>
      <c r="AG635" s="21">
        <v>7.99</v>
      </c>
      <c r="AH635" s="15">
        <f t="shared" si="189"/>
        <v>-0.21760000000000002</v>
      </c>
      <c r="AI635" s="15">
        <f t="shared" si="190"/>
        <v>-0.76160000000000005</v>
      </c>
      <c r="AJ635" s="10">
        <v>0.5</v>
      </c>
      <c r="AK635" s="10">
        <v>0.5</v>
      </c>
      <c r="AL635" s="21">
        <v>5.46</v>
      </c>
      <c r="AM635" s="9">
        <f t="shared" si="181"/>
        <v>1.1984999999999999</v>
      </c>
      <c r="AN635" s="9">
        <f t="shared" si="182"/>
        <v>0.2397</v>
      </c>
      <c r="AO635" s="9">
        <f t="shared" si="183"/>
        <v>1.5980000000000001</v>
      </c>
      <c r="AP635" s="9">
        <f t="shared" si="184"/>
        <v>0.1598</v>
      </c>
      <c r="AQ635" s="9">
        <f t="shared" si="185"/>
        <v>1.5980000000000001</v>
      </c>
      <c r="AR635" s="9">
        <f t="shared" si="186"/>
        <v>1.9975000000000001</v>
      </c>
      <c r="AS635" s="11">
        <f t="shared" si="187"/>
        <v>-2.1760000000000002</v>
      </c>
      <c r="AT635" s="12">
        <f t="shared" si="188"/>
        <v>-2.4423333333333335</v>
      </c>
    </row>
    <row r="636" spans="1:46" ht="16.5" x14ac:dyDescent="0.4">
      <c r="A636" s="4" t="s">
        <v>2626</v>
      </c>
      <c r="B636" s="4" t="s">
        <v>2710</v>
      </c>
      <c r="C636" s="4" t="s">
        <v>2715</v>
      </c>
      <c r="D636" s="4" t="s">
        <v>2805</v>
      </c>
      <c r="E636" s="4" t="s">
        <v>2964</v>
      </c>
      <c r="F636" s="4" t="s">
        <v>3123</v>
      </c>
      <c r="G636" s="7" t="str">
        <f>VLOOKUP(A636,[1]done!$A:$I,9,0)</f>
        <v>Insecticide/Fungicide</v>
      </c>
      <c r="H636" s="7" t="str" cm="1">
        <f t="array" ref="H636">_xlfn.IFS(
OR(ISNUMBER(SEARCH("mouse",E636)),ISNUMBER(SEARCH("rat",E636)),ISNUMBER(SEARCH("mice",E636)),ISNUMBER(SEARCH("rodent",E636))),"Rodent Control",
OR(ISNUMBER(SEARCH("fly",E636)),ISNUMBER(SEARCH("gnat",E636)),ISNUMBER(SEARCH("insect",E636)),ISNUMBER(SEARCH("mosquito",E636))),"Flying Insect Control",
OR(ISNUMBER(SEARCH("roach",E636)),ISNUMBER(SEARCH("ant",E636)),ISNUMBER(SEARCH("spider",E636)),ISNUMBER(SEARCH("cricket",E636)),ISNUMBER(SEARCH("scorpion",E636)),ISNUMBER(SEARCH("centipede",E636)),ISNUMBER(SEARCH("beetle",E636))),"Crawling Insect Control",
OR(ISNUMBER(SEARCH("tree",E636)),ISNUMBER(SEARCH("lantern",E636)),ISNUMBER(SEARCH("garden",E636)),ISNUMBER(SEARCH("plant",E636))),"Garden Pest Control",
OR(ISNUMBER(SEARCH("grass seed",E636)),ISNUMBER(SEARCH("seed mix",E636))),"Grass Seed",
OR(ISNUMBER(SEARCH("lawn food",E636)),ISNUMBER(SEARCH("fertilizer",E636))),"Lawn Fertilizer",
OR(ISNUMBER(SEARCH("patch",E636)),ISNUMBER(SEARCH("repair",E636)),ISNUMBER(SEARCH("thick'r",E636)),ISNUMBER(SEARCH("thick'r lawn",E636)),ISNUMBER(SEARCH("rapid grass",E636))),"Lawn Repair",
OR(ISNUMBER(SEARCH("weed",E636)),ISNUMBER(SEARCH("crabgrass",E636))),"Weed Control",
OR(ISNUMBER(SEARCH("fungicide",E636)),ISNUMBER(SEARCH("moss",E636))),"Disease &amp; Moss Control",
OR(ISNUMBER(SEARCH("plant food",E636)),ISNUMBER(SEARCH("miracid",E636))),"Plant Nutrition",
OR(ISNUMBER(SEARCH("perlite",E636))),"Soil Amendment",
OR(ISNUMBER(SEARCH("spreader",E636)),ISNUMBER(SEARCH("sprayer",E636)),ISNUMBER(SEARCH("mower",E636)),ISNUMBER(SEARCH("sweeper",E636)),ISNUMBER(SEARCH("pruner",E636)),ISNUMBER(SEARCH("trimmer",E636)),ISNUMBER(SEARCH("pole saw",E636))),"Garden Equipment",
TRUE,"Other"
)</f>
        <v>Disease &amp; Moss Control</v>
      </c>
      <c r="I636" s="7" t="str" cm="1">
        <f t="array" ref="I636">_xlfn.IFS(
OR(ISNUMBER(SEARCH("glue trap",E636)),ISNUMBER(SEARCH("glue board",E636))),"Glue Traps",
OR(ISNUMBER(SEARCH("snap trap",E636)),ISNUMBER(SEARCH("power-kill",E636)),ISNUMBER(SEARCH("wide pedal",E636)),ISNUMBER(SEARCH("metal pedal",E636))),"Snap Traps",
OR(ISNUMBER(SEARCH("electronic",E636)),ISNUMBER(SEARCH("zapper",E636))),"Electronic Traps",
OR(ISNUMBER(SEARCH("live catch",E636)),ISNUMBER(SEARCH("multi-catch",E636)),ISNUMBER(SEARCH("catch &amp; hold",E636)),ISNUMBER(SEARCH("tin cat",E636))),"Live Catch Traps",
OR(ISNUMBER(SEARCH("bait",E636)),ISNUMBER(SEARCH("poison",E636))),"Bait &amp; Poison",
ISNUMBER(SEARCH("repellent",E636)),"Repellents",
OR(ISNUMBER(SEARCH("fly trap",E636)),ISNUMBER(SEARCH("fly ribbon",E636)),ISNUMBER(SEARCH("fly stick",E636)),ISNUMBER(SEARCH("window fly",E636)),ISNUMBER(SEARCH("fly magnet",E636))),"Fly Traps",
OR(ISNUMBER(SEARCH("uv",E636)),ISNUMBER(SEARCH("fly light",E636)),ISNUMBER(SEARCH("plug-in",E636))),"UV Fly Traps",
ISNUMBER(SEARCH("roach",E636)),"Roach Traps",
ISNUMBER(SEARCH("ant",E636)),"Ant Traps",
ISNUMBER(SEARCH("spider",E636)),"Spider Traps",
ISNUMBER(SEARCH("mosquito",E636)),"Mosquito Traps",
ISNUMBER(SEARCH("beetle",E636)),"Beetle Traps",
ISNUMBER(SEARCH("lantern",E636)),"Lanternfly Control",
OR(ISNUMBER(SEARCH("tree shield",E636)),ISNUMBER(SEARCH("tree banding",E636)),ISNUMBER(SEARCH("insect barrier",E636))),"Tree Barriers",
OR(ISNUMBER(SEARCH("sun &amp; shade",E636)),ISNUMBER(SEARCH("sun and shade",E636))),"Sun &amp; Shade Mix",
ISNUMBER(SEARCH("tall fescue",E636)),"Tall Fescue",
ISNUMBER(SEARCH("bermudagrass",E636)),"Bermudagrass",
ISNUMBER(SEARCH("kentucky",E636)),"Kentucky Bluegrass",
ISNUMBER(SEARCH("zoysia",E636)),"Zoysia",
ISNUMBER(SEARCH("ryegrass",E636)),"Perennial Ryegrass",
ISNUMBER(SEARCH("centipede",E636)),"Centipede Grass",
ISNUMBER(SEARCH("dense shade",E636)),"Dense Shade Mix",
ISNUMBER(SEARCH("southern gold",E636)),"Southern Gold Mix",
ISNUMBER(SEARCH("heat-tolerant blue",E636)),"Heat-Tolerant Blue Mix",
ISNUMBER(SEARCH("high traffic",E636)),"High Traffic Mix",
ISNUMBER(SEARCH("quick fix",E636)),"Quick Fix Mix",
ISNUMBER(SEARCH("starter",E636)),"Starter Fertilizer",
ISNUMBER(SEARCH("weed &amp; feed",E636)),"Weed &amp; Feed",
ISNUMBER(SEARCH("lawn food",E636)),"Lawn Food",
ISNUMBER(SEARCH("triple action",E636)),"Triple Action Fertilizer",
ISNUMBER(SEARCH("green max",E636)),"Green Max Lawn Food",
ISNUMBER(SEARCH("patchmaster",E636)),"PatchMaster Repair",
ISNUMBER(SEARCH("ez seed",E636)),"EZ Seed Repair",
ISNUMBER(SEARCH("rapid grass",E636)),"Rapid Grass",
ISNUMBER(SEARCH("thick'r lawn",E636)),"Thick'R Lawn",
ISNUMBER(SEARCH("fungicide",E636)),"Fungicide",
ISNUMBER(SEARCH("moss",E636)),"Moss Control",
ISNUMBER(SEARCH("perlite",E636)),"Perlite",
ISNUMBER(SEARCH("plant food",E636)),"Plant Food",
ISNUMBER(SEARCH("spreader",E636)),"Spreader",
ISNUMBER(SEARCH("sprayer",E636)),"Sprayer",
ISNUMBER(SEARCH("mower",E636)),"Lawn Mower",
ISNUMBER(SEARCH("sweeper",E636)),"Lawn Sweeper",
OR(ISNUMBER(SEARCH("pruner",E636)),ISNUMBER(SEARCH("trimmer",E636)),ISNUMBER(SEARCH("pole saw",E636))),"Pruning Tools",
TRUE,"Other"
)</f>
        <v>Fungicide</v>
      </c>
      <c r="J636" s="7" t="str">
        <f t="shared" si="191"/>
        <v>Disease &amp; Moss Control - Fungicide</v>
      </c>
      <c r="K636" s="4">
        <v>300</v>
      </c>
      <c r="L636" s="4">
        <v>4.5</v>
      </c>
      <c r="M636" s="4">
        <v>930</v>
      </c>
      <c r="N636" s="4" t="s">
        <v>3240</v>
      </c>
      <c r="O636" s="4">
        <f>VLOOKUP(A636,[13]Sheet1!$A:$M,2,0)</f>
        <v>0</v>
      </c>
      <c r="P636" s="4">
        <f>VLOOKUP(A636,[13]Sheet1!$A:$M,3,0)</f>
        <v>0</v>
      </c>
      <c r="Q636" s="4">
        <f>VLOOKUP(A636,[13]Sheet1!$A:$M,4,0)</f>
        <v>400</v>
      </c>
      <c r="R636" s="4">
        <f>VLOOKUP(A636,[13]Sheet1!$A:$M,5,0)</f>
        <v>600</v>
      </c>
      <c r="S636" s="4">
        <f>VLOOKUP(A636,[13]Sheet1!$A:$M,6,0)</f>
        <v>1000</v>
      </c>
      <c r="T636" s="4">
        <f>VLOOKUP(A636,[13]Sheet1!$A:$M,7,0)</f>
        <v>1000</v>
      </c>
      <c r="U636" s="4">
        <f>VLOOKUP(A636,[13]Sheet1!$A:$M,8,0)</f>
        <v>600</v>
      </c>
      <c r="V636" s="4">
        <f>VLOOKUP(A636,[13]Sheet1!$A:$M,9,0)</f>
        <v>600</v>
      </c>
      <c r="W636" s="4">
        <f>VLOOKUP(A636,[13]Sheet1!$A:$M,10,0)</f>
        <v>300</v>
      </c>
      <c r="X636" s="4">
        <f>VLOOKUP(A636,[13]Sheet1!$A:$M,11,0)</f>
        <v>0</v>
      </c>
      <c r="Y636" s="4">
        <f>VLOOKUP(A636,[13]Sheet1!$A:$M,12,0)</f>
        <v>0</v>
      </c>
      <c r="Z636" s="4">
        <f>VLOOKUP(A636,[13]Sheet1!$A:$M,13,0)</f>
        <v>0</v>
      </c>
      <c r="AA636" s="4">
        <f t="shared" si="192"/>
        <v>4500</v>
      </c>
      <c r="AB636" s="7">
        <f t="shared" si="193"/>
        <v>375</v>
      </c>
      <c r="AC636" s="15">
        <f t="shared" si="194"/>
        <v>375</v>
      </c>
      <c r="AD636" s="16">
        <f t="shared" si="195"/>
        <v>44955</v>
      </c>
      <c r="AE636" s="16">
        <f t="shared" si="196"/>
        <v>3746.25</v>
      </c>
      <c r="AF636" s="21">
        <v>4.37</v>
      </c>
      <c r="AG636" s="21">
        <v>9.99</v>
      </c>
      <c r="AH636" s="15">
        <f t="shared" si="189"/>
        <v>-9.1600000000000042E-2</v>
      </c>
      <c r="AI636" s="15">
        <f t="shared" si="190"/>
        <v>-0.32060000000000011</v>
      </c>
      <c r="AJ636" s="10">
        <v>0.5</v>
      </c>
      <c r="AK636" s="10">
        <v>0.5</v>
      </c>
      <c r="AL636" s="21">
        <v>4.37</v>
      </c>
      <c r="AM636" s="9">
        <f t="shared" si="181"/>
        <v>1.4984999999999999</v>
      </c>
      <c r="AN636" s="9">
        <f t="shared" si="182"/>
        <v>0.29970000000000002</v>
      </c>
      <c r="AO636" s="9">
        <f t="shared" si="183"/>
        <v>1.9980000000000002</v>
      </c>
      <c r="AP636" s="9">
        <f t="shared" si="184"/>
        <v>0.19980000000000001</v>
      </c>
      <c r="AQ636" s="9">
        <f t="shared" si="185"/>
        <v>1.9980000000000002</v>
      </c>
      <c r="AR636" s="9">
        <f t="shared" si="186"/>
        <v>2.4975000000000001</v>
      </c>
      <c r="AS636" s="11">
        <f t="shared" si="187"/>
        <v>-0.91600000000000037</v>
      </c>
      <c r="AT636" s="12">
        <f t="shared" si="188"/>
        <v>-1.2490000000000003</v>
      </c>
    </row>
    <row r="637" spans="1:46" ht="16.5" x14ac:dyDescent="0.4">
      <c r="A637" s="4" t="s">
        <v>2627</v>
      </c>
      <c r="B637" s="4" t="s">
        <v>2710</v>
      </c>
      <c r="C637" s="4" t="s">
        <v>2714</v>
      </c>
      <c r="D637" s="4" t="s">
        <v>2806</v>
      </c>
      <c r="E637" s="4" t="s">
        <v>2965</v>
      </c>
      <c r="F637" s="4" t="s">
        <v>3124</v>
      </c>
      <c r="G637" s="7" t="str">
        <f>VLOOKUP(A637,[1]done!$A:$I,9,0)</f>
        <v>Insecticide/Fungicide</v>
      </c>
      <c r="H637" s="7" t="str" cm="1">
        <f t="array" ref="H637">_xlfn.IFS(
OR(ISNUMBER(SEARCH("mouse",E637)),ISNUMBER(SEARCH("rat",E637)),ISNUMBER(SEARCH("mice",E637)),ISNUMBER(SEARCH("rodent",E637))),"Rodent Control",
OR(ISNUMBER(SEARCH("fly",E637)),ISNUMBER(SEARCH("gnat",E637)),ISNUMBER(SEARCH("insect",E637)),ISNUMBER(SEARCH("mosquito",E637))),"Flying Insect Control",
OR(ISNUMBER(SEARCH("roach",E637)),ISNUMBER(SEARCH("ant",E637)),ISNUMBER(SEARCH("spider",E637)),ISNUMBER(SEARCH("cricket",E637)),ISNUMBER(SEARCH("scorpion",E637)),ISNUMBER(SEARCH("centipede",E637)),ISNUMBER(SEARCH("beetle",E637))),"Crawling Insect Control",
OR(ISNUMBER(SEARCH("tree",E637)),ISNUMBER(SEARCH("lantern",E637)),ISNUMBER(SEARCH("garden",E637)),ISNUMBER(SEARCH("plant",E637))),"Garden Pest Control",
OR(ISNUMBER(SEARCH("grass seed",E637)),ISNUMBER(SEARCH("seed mix",E637))),"Grass Seed",
OR(ISNUMBER(SEARCH("lawn food",E637)),ISNUMBER(SEARCH("fertilizer",E637))),"Lawn Fertilizer",
OR(ISNUMBER(SEARCH("patch",E637)),ISNUMBER(SEARCH("repair",E637)),ISNUMBER(SEARCH("thick'r",E637)),ISNUMBER(SEARCH("thick'r lawn",E637)),ISNUMBER(SEARCH("rapid grass",E637))),"Lawn Repair",
OR(ISNUMBER(SEARCH("weed",E637)),ISNUMBER(SEARCH("crabgrass",E637))),"Weed Control",
OR(ISNUMBER(SEARCH("fungicide",E637)),ISNUMBER(SEARCH("moss",E637))),"Disease &amp; Moss Control",
OR(ISNUMBER(SEARCH("plant food",E637)),ISNUMBER(SEARCH("miracid",E637))),"Plant Nutrition",
OR(ISNUMBER(SEARCH("perlite",E637))),"Soil Amendment",
OR(ISNUMBER(SEARCH("spreader",E637)),ISNUMBER(SEARCH("sprayer",E637)),ISNUMBER(SEARCH("mower",E637)),ISNUMBER(SEARCH("sweeper",E637)),ISNUMBER(SEARCH("pruner",E637)),ISNUMBER(SEARCH("trimmer",E637)),ISNUMBER(SEARCH("pole saw",E637))),"Garden Equipment",
TRUE,"Other"
)</f>
        <v>Other</v>
      </c>
      <c r="I637" s="7" t="str" cm="1">
        <f t="array" ref="I637">_xlfn.IFS(
OR(ISNUMBER(SEARCH("glue trap",E637)),ISNUMBER(SEARCH("glue board",E637))),"Glue Traps",
OR(ISNUMBER(SEARCH("snap trap",E637)),ISNUMBER(SEARCH("power-kill",E637)),ISNUMBER(SEARCH("wide pedal",E637)),ISNUMBER(SEARCH("metal pedal",E637))),"Snap Traps",
OR(ISNUMBER(SEARCH("electronic",E637)),ISNUMBER(SEARCH("zapper",E637))),"Electronic Traps",
OR(ISNUMBER(SEARCH("live catch",E637)),ISNUMBER(SEARCH("multi-catch",E637)),ISNUMBER(SEARCH("catch &amp; hold",E637)),ISNUMBER(SEARCH("tin cat",E637))),"Live Catch Traps",
OR(ISNUMBER(SEARCH("bait",E637)),ISNUMBER(SEARCH("poison",E637))),"Bait &amp; Poison",
ISNUMBER(SEARCH("repellent",E637)),"Repellents",
OR(ISNUMBER(SEARCH("fly trap",E637)),ISNUMBER(SEARCH("fly ribbon",E637)),ISNUMBER(SEARCH("fly stick",E637)),ISNUMBER(SEARCH("window fly",E637)),ISNUMBER(SEARCH("fly magnet",E637))),"Fly Traps",
OR(ISNUMBER(SEARCH("uv",E637)),ISNUMBER(SEARCH("fly light",E637)),ISNUMBER(SEARCH("plug-in",E637))),"UV Fly Traps",
ISNUMBER(SEARCH("roach",E637)),"Roach Traps",
ISNUMBER(SEARCH("ant",E637)),"Ant Traps",
ISNUMBER(SEARCH("spider",E637)),"Spider Traps",
ISNUMBER(SEARCH("mosquito",E637)),"Mosquito Traps",
ISNUMBER(SEARCH("beetle",E637)),"Beetle Traps",
ISNUMBER(SEARCH("lantern",E637)),"Lanternfly Control",
OR(ISNUMBER(SEARCH("tree shield",E637)),ISNUMBER(SEARCH("tree banding",E637)),ISNUMBER(SEARCH("insect barrier",E637))),"Tree Barriers",
OR(ISNUMBER(SEARCH("sun &amp; shade",E637)),ISNUMBER(SEARCH("sun and shade",E637))),"Sun &amp; Shade Mix",
ISNUMBER(SEARCH("tall fescue",E637)),"Tall Fescue",
ISNUMBER(SEARCH("bermudagrass",E637)),"Bermudagrass",
ISNUMBER(SEARCH("kentucky",E637)),"Kentucky Bluegrass",
ISNUMBER(SEARCH("zoysia",E637)),"Zoysia",
ISNUMBER(SEARCH("ryegrass",E637)),"Perennial Ryegrass",
ISNUMBER(SEARCH("centipede",E637)),"Centipede Grass",
ISNUMBER(SEARCH("dense shade",E637)),"Dense Shade Mix",
ISNUMBER(SEARCH("southern gold",E637)),"Southern Gold Mix",
ISNUMBER(SEARCH("heat-tolerant blue",E637)),"Heat-Tolerant Blue Mix",
ISNUMBER(SEARCH("high traffic",E637)),"High Traffic Mix",
ISNUMBER(SEARCH("quick fix",E637)),"Quick Fix Mix",
ISNUMBER(SEARCH("starter",E637)),"Starter Fertilizer",
ISNUMBER(SEARCH("weed &amp; feed",E637)),"Weed &amp; Feed",
ISNUMBER(SEARCH("lawn food",E637)),"Lawn Food",
ISNUMBER(SEARCH("triple action",E637)),"Triple Action Fertilizer",
ISNUMBER(SEARCH("green max",E637)),"Green Max Lawn Food",
ISNUMBER(SEARCH("patchmaster",E637)),"PatchMaster Repair",
ISNUMBER(SEARCH("ez seed",E637)),"EZ Seed Repair",
ISNUMBER(SEARCH("rapid grass",E637)),"Rapid Grass",
ISNUMBER(SEARCH("thick'r lawn",E637)),"Thick'R Lawn",
ISNUMBER(SEARCH("fungicide",E637)),"Fungicide",
ISNUMBER(SEARCH("moss",E637)),"Moss Control",
ISNUMBER(SEARCH("perlite",E637)),"Perlite",
ISNUMBER(SEARCH("plant food",E637)),"Plant Food",
ISNUMBER(SEARCH("spreader",E637)),"Spreader",
ISNUMBER(SEARCH("sprayer",E637)),"Sprayer",
ISNUMBER(SEARCH("mower",E637)),"Lawn Mower",
ISNUMBER(SEARCH("sweeper",E637)),"Lawn Sweeper",
OR(ISNUMBER(SEARCH("pruner",E637)),ISNUMBER(SEARCH("trimmer",E637)),ISNUMBER(SEARCH("pole saw",E637))),"Pruning Tools",
TRUE,"Other"
)</f>
        <v>Other</v>
      </c>
      <c r="J637" s="7" t="str">
        <f t="shared" si="191"/>
        <v>Other - Other</v>
      </c>
      <c r="K637" s="4">
        <v>300</v>
      </c>
      <c r="L637" s="4">
        <v>4.4000000000000004</v>
      </c>
      <c r="M637" s="4">
        <v>900</v>
      </c>
      <c r="N637" s="4">
        <v>1</v>
      </c>
      <c r="O637" s="4">
        <f>VLOOKUP(A637,[13]Sheet1!$A:$M,2,0)</f>
        <v>100</v>
      </c>
      <c r="P637" s="4">
        <f>VLOOKUP(A637,[13]Sheet1!$A:$M,3,0)</f>
        <v>100</v>
      </c>
      <c r="Q637" s="4">
        <f>VLOOKUP(A637,[13]Sheet1!$A:$M,4,0)</f>
        <v>100</v>
      </c>
      <c r="R637" s="4">
        <f>VLOOKUP(A637,[13]Sheet1!$A:$M,5,0)</f>
        <v>300</v>
      </c>
      <c r="S637" s="4">
        <f>VLOOKUP(A637,[13]Sheet1!$A:$M,6,0)</f>
        <v>800</v>
      </c>
      <c r="T637" s="4">
        <f>VLOOKUP(A637,[13]Sheet1!$A:$M,7,0)</f>
        <v>1000</v>
      </c>
      <c r="U637" s="4">
        <f>VLOOKUP(A637,[13]Sheet1!$A:$M,8,0)</f>
        <v>1000</v>
      </c>
      <c r="V637" s="4">
        <f>VLOOKUP(A637,[13]Sheet1!$A:$M,9,0)</f>
        <v>500</v>
      </c>
      <c r="W637" s="4">
        <f>VLOOKUP(A637,[13]Sheet1!$A:$M,10,0)</f>
        <v>300</v>
      </c>
      <c r="X637" s="4">
        <f>VLOOKUP(A637,[13]Sheet1!$A:$M,11,0)</f>
        <v>200</v>
      </c>
      <c r="Y637" s="4">
        <f>VLOOKUP(A637,[13]Sheet1!$A:$M,12,0)</f>
        <v>100</v>
      </c>
      <c r="Z637" s="4">
        <f>VLOOKUP(A637,[13]Sheet1!$A:$M,13,0)</f>
        <v>100</v>
      </c>
      <c r="AA637" s="4">
        <f t="shared" si="192"/>
        <v>4600</v>
      </c>
      <c r="AB637" s="7">
        <f t="shared" si="193"/>
        <v>383</v>
      </c>
      <c r="AC637" s="15">
        <f t="shared" si="194"/>
        <v>383.33333333333331</v>
      </c>
      <c r="AD637" s="16">
        <f t="shared" si="195"/>
        <v>67436</v>
      </c>
      <c r="AE637" s="16">
        <f t="shared" si="196"/>
        <v>5619.6666666666661</v>
      </c>
      <c r="AF637" s="21">
        <v>5.76</v>
      </c>
      <c r="AG637" s="21">
        <v>14.66</v>
      </c>
      <c r="AH637" s="15">
        <f t="shared" si="189"/>
        <v>-5.9733333333333388E-2</v>
      </c>
      <c r="AI637" s="15">
        <f t="shared" si="190"/>
        <v>-0.20906666666666682</v>
      </c>
      <c r="AJ637" s="10">
        <v>0.5</v>
      </c>
      <c r="AK637" s="10">
        <v>0.5</v>
      </c>
      <c r="AL637" s="21">
        <v>5.76</v>
      </c>
      <c r="AM637" s="9">
        <f t="shared" si="181"/>
        <v>2.1989999999999998</v>
      </c>
      <c r="AN637" s="9">
        <f t="shared" si="182"/>
        <v>0.43979999999999997</v>
      </c>
      <c r="AO637" s="9">
        <f t="shared" si="183"/>
        <v>2.9320000000000004</v>
      </c>
      <c r="AP637" s="9">
        <f t="shared" si="184"/>
        <v>0.29320000000000002</v>
      </c>
      <c r="AQ637" s="9">
        <f t="shared" si="185"/>
        <v>2.9320000000000004</v>
      </c>
      <c r="AR637" s="9">
        <f t="shared" si="186"/>
        <v>3.665</v>
      </c>
      <c r="AS637" s="11">
        <f t="shared" si="187"/>
        <v>-0.59733333333333383</v>
      </c>
      <c r="AT637" s="12">
        <f t="shared" si="188"/>
        <v>-1.0860000000000003</v>
      </c>
    </row>
    <row r="638" spans="1:46" ht="16.5" x14ac:dyDescent="0.4">
      <c r="A638" s="4" t="s">
        <v>2628</v>
      </c>
      <c r="B638" s="4" t="s">
        <v>2710</v>
      </c>
      <c r="C638" s="4" t="s">
        <v>1797</v>
      </c>
      <c r="D638" s="4" t="s">
        <v>2807</v>
      </c>
      <c r="E638" s="4" t="s">
        <v>2966</v>
      </c>
      <c r="F638" s="4" t="s">
        <v>3125</v>
      </c>
      <c r="G638" s="7" t="str">
        <f>VLOOKUP(A638,[1]done!$A:$I,9,0)</f>
        <v>Mosquito/Fly</v>
      </c>
      <c r="H638" s="7" t="str" cm="1">
        <f t="array" ref="H638">_xlfn.IFS(
OR(ISNUMBER(SEARCH("mouse",E638)),ISNUMBER(SEARCH("rat",E638)),ISNUMBER(SEARCH("mice",E638)),ISNUMBER(SEARCH("rodent",E638))),"Rodent Control",
OR(ISNUMBER(SEARCH("fly",E638)),ISNUMBER(SEARCH("gnat",E638)),ISNUMBER(SEARCH("insect",E638)),ISNUMBER(SEARCH("mosquito",E638))),"Flying Insect Control",
OR(ISNUMBER(SEARCH("roach",E638)),ISNUMBER(SEARCH("ant",E638)),ISNUMBER(SEARCH("spider",E638)),ISNUMBER(SEARCH("cricket",E638)),ISNUMBER(SEARCH("scorpion",E638)),ISNUMBER(SEARCH("centipede",E638)),ISNUMBER(SEARCH("beetle",E638))),"Crawling Insect Control",
OR(ISNUMBER(SEARCH("tree",E638)),ISNUMBER(SEARCH("lantern",E638)),ISNUMBER(SEARCH("garden",E638)),ISNUMBER(SEARCH("plant",E638))),"Garden Pest Control",
OR(ISNUMBER(SEARCH("grass seed",E638)),ISNUMBER(SEARCH("seed mix",E638))),"Grass Seed",
OR(ISNUMBER(SEARCH("lawn food",E638)),ISNUMBER(SEARCH("fertilizer",E638))),"Lawn Fertilizer",
OR(ISNUMBER(SEARCH("patch",E638)),ISNUMBER(SEARCH("repair",E638)),ISNUMBER(SEARCH("thick'r",E638)),ISNUMBER(SEARCH("thick'r lawn",E638)),ISNUMBER(SEARCH("rapid grass",E638))),"Lawn Repair",
OR(ISNUMBER(SEARCH("weed",E638)),ISNUMBER(SEARCH("crabgrass",E638))),"Weed Control",
OR(ISNUMBER(SEARCH("fungicide",E638)),ISNUMBER(SEARCH("moss",E638))),"Disease &amp; Moss Control",
OR(ISNUMBER(SEARCH("plant food",E638)),ISNUMBER(SEARCH("miracid",E638))),"Plant Nutrition",
OR(ISNUMBER(SEARCH("perlite",E638))),"Soil Amendment",
OR(ISNUMBER(SEARCH("spreader",E638)),ISNUMBER(SEARCH("sprayer",E638)),ISNUMBER(SEARCH("mower",E638)),ISNUMBER(SEARCH("sweeper",E638)),ISNUMBER(SEARCH("pruner",E638)),ISNUMBER(SEARCH("trimmer",E638)),ISNUMBER(SEARCH("pole saw",E638))),"Garden Equipment",
TRUE,"Other"
)</f>
        <v>Flying Insect Control</v>
      </c>
      <c r="I638" s="7" t="str" cm="1">
        <f t="array" ref="I638">_xlfn.IFS(
OR(ISNUMBER(SEARCH("glue trap",E638)),ISNUMBER(SEARCH("glue board",E638))),"Glue Traps",
OR(ISNUMBER(SEARCH("snap trap",E638)),ISNUMBER(SEARCH("power-kill",E638)),ISNUMBER(SEARCH("wide pedal",E638)),ISNUMBER(SEARCH("metal pedal",E638))),"Snap Traps",
OR(ISNUMBER(SEARCH("electronic",E638)),ISNUMBER(SEARCH("zapper",E638))),"Electronic Traps",
OR(ISNUMBER(SEARCH("live catch",E638)),ISNUMBER(SEARCH("multi-catch",E638)),ISNUMBER(SEARCH("catch &amp; hold",E638)),ISNUMBER(SEARCH("tin cat",E638))),"Live Catch Traps",
OR(ISNUMBER(SEARCH("bait",E638)),ISNUMBER(SEARCH("poison",E638))),"Bait &amp; Poison",
ISNUMBER(SEARCH("repellent",E638)),"Repellents",
OR(ISNUMBER(SEARCH("fly trap",E638)),ISNUMBER(SEARCH("fly ribbon",E638)),ISNUMBER(SEARCH("fly stick",E638)),ISNUMBER(SEARCH("window fly",E638)),ISNUMBER(SEARCH("fly magnet",E638))),"Fly Traps",
OR(ISNUMBER(SEARCH("uv",E638)),ISNUMBER(SEARCH("fly light",E638)),ISNUMBER(SEARCH("plug-in",E638))),"UV Fly Traps",
ISNUMBER(SEARCH("roach",E638)),"Roach Traps",
ISNUMBER(SEARCH("ant",E638)),"Ant Traps",
ISNUMBER(SEARCH("spider",E638)),"Spider Traps",
ISNUMBER(SEARCH("mosquito",E638)),"Mosquito Traps",
ISNUMBER(SEARCH("beetle",E638)),"Beetle Traps",
ISNUMBER(SEARCH("lantern",E638)),"Lanternfly Control",
OR(ISNUMBER(SEARCH("tree shield",E638)),ISNUMBER(SEARCH("tree banding",E638)),ISNUMBER(SEARCH("insect barrier",E638))),"Tree Barriers",
OR(ISNUMBER(SEARCH("sun &amp; shade",E638)),ISNUMBER(SEARCH("sun and shade",E638))),"Sun &amp; Shade Mix",
ISNUMBER(SEARCH("tall fescue",E638)),"Tall Fescue",
ISNUMBER(SEARCH("bermudagrass",E638)),"Bermudagrass",
ISNUMBER(SEARCH("kentucky",E638)),"Kentucky Bluegrass",
ISNUMBER(SEARCH("zoysia",E638)),"Zoysia",
ISNUMBER(SEARCH("ryegrass",E638)),"Perennial Ryegrass",
ISNUMBER(SEARCH("centipede",E638)),"Centipede Grass",
ISNUMBER(SEARCH("dense shade",E638)),"Dense Shade Mix",
ISNUMBER(SEARCH("southern gold",E638)),"Southern Gold Mix",
ISNUMBER(SEARCH("heat-tolerant blue",E638)),"Heat-Tolerant Blue Mix",
ISNUMBER(SEARCH("high traffic",E638)),"High Traffic Mix",
ISNUMBER(SEARCH("quick fix",E638)),"Quick Fix Mix",
ISNUMBER(SEARCH("starter",E638)),"Starter Fertilizer",
ISNUMBER(SEARCH("weed &amp; feed",E638)),"Weed &amp; Feed",
ISNUMBER(SEARCH("lawn food",E638)),"Lawn Food",
ISNUMBER(SEARCH("triple action",E638)),"Triple Action Fertilizer",
ISNUMBER(SEARCH("green max",E638)),"Green Max Lawn Food",
ISNUMBER(SEARCH("patchmaster",E638)),"PatchMaster Repair",
ISNUMBER(SEARCH("ez seed",E638)),"EZ Seed Repair",
ISNUMBER(SEARCH("rapid grass",E638)),"Rapid Grass",
ISNUMBER(SEARCH("thick'r lawn",E638)),"Thick'R Lawn",
ISNUMBER(SEARCH("fungicide",E638)),"Fungicide",
ISNUMBER(SEARCH("moss",E638)),"Moss Control",
ISNUMBER(SEARCH("perlite",E638)),"Perlite",
ISNUMBER(SEARCH("plant food",E638)),"Plant Food",
ISNUMBER(SEARCH("spreader",E638)),"Spreader",
ISNUMBER(SEARCH("sprayer",E638)),"Sprayer",
ISNUMBER(SEARCH("mower",E638)),"Lawn Mower",
ISNUMBER(SEARCH("sweeper",E638)),"Lawn Sweeper",
OR(ISNUMBER(SEARCH("pruner",E638)),ISNUMBER(SEARCH("trimmer",E638)),ISNUMBER(SEARCH("pole saw",E638))),"Pruning Tools",
TRUE,"Other"
)</f>
        <v>Mosquito Traps</v>
      </c>
      <c r="J638" s="7" t="str">
        <f t="shared" si="191"/>
        <v>Flying Insect Control - Mosquito Traps</v>
      </c>
      <c r="K638" s="4">
        <v>300</v>
      </c>
      <c r="L638" s="4">
        <v>4.4000000000000004</v>
      </c>
      <c r="M638" s="4">
        <v>670</v>
      </c>
      <c r="O638" s="4">
        <f>VLOOKUP(A638,[13]Sheet1!$A:$M,2,0)</f>
        <v>50</v>
      </c>
      <c r="P638" s="4">
        <f>VLOOKUP(A638,[13]Sheet1!$A:$M,3,0)</f>
        <v>50</v>
      </c>
      <c r="Q638" s="4">
        <f>VLOOKUP(A638,[13]Sheet1!$A:$M,4,0)</f>
        <v>100</v>
      </c>
      <c r="R638" s="4">
        <f>VLOOKUP(A638,[13]Sheet1!$A:$M,5,0)</f>
        <v>400</v>
      </c>
      <c r="S638" s="4">
        <f>VLOOKUP(A638,[13]Sheet1!$A:$M,6,0)</f>
        <v>400</v>
      </c>
      <c r="T638" s="4">
        <f>VLOOKUP(A638,[13]Sheet1!$A:$M,7,0)</f>
        <v>500</v>
      </c>
      <c r="U638" s="4">
        <f>VLOOKUP(A638,[13]Sheet1!$A:$M,8,0)</f>
        <v>1000</v>
      </c>
      <c r="V638" s="4">
        <f>VLOOKUP(A638,[13]Sheet1!$A:$M,9,0)</f>
        <v>1000</v>
      </c>
      <c r="W638" s="4">
        <f>VLOOKUP(A638,[13]Sheet1!$A:$M,10,0)</f>
        <v>300</v>
      </c>
      <c r="X638" s="4">
        <f>VLOOKUP(A638,[13]Sheet1!$A:$M,11,0)</f>
        <v>100</v>
      </c>
      <c r="Y638" s="4">
        <f>VLOOKUP(A638,[13]Sheet1!$A:$M,12,0)</f>
        <v>100</v>
      </c>
      <c r="Z638" s="4">
        <f>VLOOKUP(A638,[13]Sheet1!$A:$M,13,0)</f>
        <v>100</v>
      </c>
      <c r="AA638" s="4">
        <f t="shared" si="192"/>
        <v>4100</v>
      </c>
      <c r="AB638" s="7">
        <f t="shared" si="193"/>
        <v>342</v>
      </c>
      <c r="AC638" s="15">
        <f t="shared" si="194"/>
        <v>341.66666666666669</v>
      </c>
      <c r="AD638" s="16">
        <f t="shared" si="195"/>
        <v>65559</v>
      </c>
      <c r="AE638" s="16">
        <f t="shared" si="196"/>
        <v>5463.25</v>
      </c>
      <c r="AF638" s="21">
        <v>4.09</v>
      </c>
      <c r="AG638" s="21">
        <v>15.99</v>
      </c>
      <c r="AH638" s="15">
        <f t="shared" si="189"/>
        <v>8.7066666666666626E-2</v>
      </c>
      <c r="AI638" s="15">
        <f t="shared" si="190"/>
        <v>0.30473333333333313</v>
      </c>
      <c r="AJ638" s="10">
        <v>0.5</v>
      </c>
      <c r="AK638" s="10">
        <v>0.5</v>
      </c>
      <c r="AL638" s="21">
        <v>4.09</v>
      </c>
      <c r="AM638" s="9">
        <f t="shared" si="181"/>
        <v>2.3984999999999999</v>
      </c>
      <c r="AN638" s="9">
        <f t="shared" si="182"/>
        <v>0.47970000000000002</v>
      </c>
      <c r="AO638" s="9">
        <f t="shared" si="183"/>
        <v>3.1980000000000004</v>
      </c>
      <c r="AP638" s="9">
        <f t="shared" si="184"/>
        <v>0.31980000000000003</v>
      </c>
      <c r="AQ638" s="9">
        <f t="shared" si="185"/>
        <v>3.1980000000000004</v>
      </c>
      <c r="AR638" s="9">
        <f t="shared" si="186"/>
        <v>3.9975000000000001</v>
      </c>
      <c r="AS638" s="11">
        <f t="shared" si="187"/>
        <v>0.87066666666666614</v>
      </c>
      <c r="AT638" s="12">
        <f t="shared" si="188"/>
        <v>0.33766666666666634</v>
      </c>
    </row>
    <row r="639" spans="1:46" ht="16.5" x14ac:dyDescent="0.4">
      <c r="A639" s="4" t="s">
        <v>2629</v>
      </c>
      <c r="B639" s="4" t="s">
        <v>2710</v>
      </c>
      <c r="C639" s="4" t="s">
        <v>2712</v>
      </c>
      <c r="D639" s="4" t="s">
        <v>2808</v>
      </c>
      <c r="E639" s="4" t="s">
        <v>2967</v>
      </c>
      <c r="F639" s="4" t="s">
        <v>3126</v>
      </c>
      <c r="G639" s="7" t="str">
        <f>VLOOKUP(A639,[1]done!$A:$I,9,0)</f>
        <v>Insecticide/Fungicide</v>
      </c>
      <c r="H639" s="7" t="str" cm="1">
        <f t="array" ref="H639">_xlfn.IFS(
OR(ISNUMBER(SEARCH("mouse",E639)),ISNUMBER(SEARCH("rat",E639)),ISNUMBER(SEARCH("mice",E639)),ISNUMBER(SEARCH("rodent",E639))),"Rodent Control",
OR(ISNUMBER(SEARCH("fly",E639)),ISNUMBER(SEARCH("gnat",E639)),ISNUMBER(SEARCH("insect",E639)),ISNUMBER(SEARCH("mosquito",E639))),"Flying Insect Control",
OR(ISNUMBER(SEARCH("roach",E639)),ISNUMBER(SEARCH("ant",E639)),ISNUMBER(SEARCH("spider",E639)),ISNUMBER(SEARCH("cricket",E639)),ISNUMBER(SEARCH("scorpion",E639)),ISNUMBER(SEARCH("centipede",E639)),ISNUMBER(SEARCH("beetle",E639))),"Crawling Insect Control",
OR(ISNUMBER(SEARCH("tree",E639)),ISNUMBER(SEARCH("lantern",E639)),ISNUMBER(SEARCH("garden",E639)),ISNUMBER(SEARCH("plant",E639))),"Garden Pest Control",
OR(ISNUMBER(SEARCH("grass seed",E639)),ISNUMBER(SEARCH("seed mix",E639))),"Grass Seed",
OR(ISNUMBER(SEARCH("lawn food",E639)),ISNUMBER(SEARCH("fertilizer",E639))),"Lawn Fertilizer",
OR(ISNUMBER(SEARCH("patch",E639)),ISNUMBER(SEARCH("repair",E639)),ISNUMBER(SEARCH("thick'r",E639)),ISNUMBER(SEARCH("thick'r lawn",E639)),ISNUMBER(SEARCH("rapid grass",E639))),"Lawn Repair",
OR(ISNUMBER(SEARCH("weed",E639)),ISNUMBER(SEARCH("crabgrass",E639))),"Weed Control",
OR(ISNUMBER(SEARCH("fungicide",E639)),ISNUMBER(SEARCH("moss",E639))),"Disease &amp; Moss Control",
OR(ISNUMBER(SEARCH("plant food",E639)),ISNUMBER(SEARCH("miracid",E639))),"Plant Nutrition",
OR(ISNUMBER(SEARCH("perlite",E639))),"Soil Amendment",
OR(ISNUMBER(SEARCH("spreader",E639)),ISNUMBER(SEARCH("sprayer",E639)),ISNUMBER(SEARCH("mower",E639)),ISNUMBER(SEARCH("sweeper",E639)),ISNUMBER(SEARCH("pruner",E639)),ISNUMBER(SEARCH("trimmer",E639)),ISNUMBER(SEARCH("pole saw",E639))),"Garden Equipment",
TRUE,"Other"
)</f>
        <v>Flying Insect Control</v>
      </c>
      <c r="I639" s="7" t="str" cm="1">
        <f t="array" ref="I639">_xlfn.IFS(
OR(ISNUMBER(SEARCH("glue trap",E639)),ISNUMBER(SEARCH("glue board",E639))),"Glue Traps",
OR(ISNUMBER(SEARCH("snap trap",E639)),ISNUMBER(SEARCH("power-kill",E639)),ISNUMBER(SEARCH("wide pedal",E639)),ISNUMBER(SEARCH("metal pedal",E639))),"Snap Traps",
OR(ISNUMBER(SEARCH("electronic",E639)),ISNUMBER(SEARCH("zapper",E639))),"Electronic Traps",
OR(ISNUMBER(SEARCH("live catch",E639)),ISNUMBER(SEARCH("multi-catch",E639)),ISNUMBER(SEARCH("catch &amp; hold",E639)),ISNUMBER(SEARCH("tin cat",E639))),"Live Catch Traps",
OR(ISNUMBER(SEARCH("bait",E639)),ISNUMBER(SEARCH("poison",E639))),"Bait &amp; Poison",
ISNUMBER(SEARCH("repellent",E639)),"Repellents",
OR(ISNUMBER(SEARCH("fly trap",E639)),ISNUMBER(SEARCH("fly ribbon",E639)),ISNUMBER(SEARCH("fly stick",E639)),ISNUMBER(SEARCH("window fly",E639)),ISNUMBER(SEARCH("fly magnet",E639))),"Fly Traps",
OR(ISNUMBER(SEARCH("uv",E639)),ISNUMBER(SEARCH("fly light",E639)),ISNUMBER(SEARCH("plug-in",E639))),"UV Fly Traps",
ISNUMBER(SEARCH("roach",E639)),"Roach Traps",
ISNUMBER(SEARCH("ant",E639)),"Ant Traps",
ISNUMBER(SEARCH("spider",E639)),"Spider Traps",
ISNUMBER(SEARCH("mosquito",E639)),"Mosquito Traps",
ISNUMBER(SEARCH("beetle",E639)),"Beetle Traps",
ISNUMBER(SEARCH("lantern",E639)),"Lanternfly Control",
OR(ISNUMBER(SEARCH("tree shield",E639)),ISNUMBER(SEARCH("tree banding",E639)),ISNUMBER(SEARCH("insect barrier",E639))),"Tree Barriers",
OR(ISNUMBER(SEARCH("sun &amp; shade",E639)),ISNUMBER(SEARCH("sun and shade",E639))),"Sun &amp; Shade Mix",
ISNUMBER(SEARCH("tall fescue",E639)),"Tall Fescue",
ISNUMBER(SEARCH("bermudagrass",E639)),"Bermudagrass",
ISNUMBER(SEARCH("kentucky",E639)),"Kentucky Bluegrass",
ISNUMBER(SEARCH("zoysia",E639)),"Zoysia",
ISNUMBER(SEARCH("ryegrass",E639)),"Perennial Ryegrass",
ISNUMBER(SEARCH("centipede",E639)),"Centipede Grass",
ISNUMBER(SEARCH("dense shade",E639)),"Dense Shade Mix",
ISNUMBER(SEARCH("southern gold",E639)),"Southern Gold Mix",
ISNUMBER(SEARCH("heat-tolerant blue",E639)),"Heat-Tolerant Blue Mix",
ISNUMBER(SEARCH("high traffic",E639)),"High Traffic Mix",
ISNUMBER(SEARCH("quick fix",E639)),"Quick Fix Mix",
ISNUMBER(SEARCH("starter",E639)),"Starter Fertilizer",
ISNUMBER(SEARCH("weed &amp; feed",E639)),"Weed &amp; Feed",
ISNUMBER(SEARCH("lawn food",E639)),"Lawn Food",
ISNUMBER(SEARCH("triple action",E639)),"Triple Action Fertilizer",
ISNUMBER(SEARCH("green max",E639)),"Green Max Lawn Food",
ISNUMBER(SEARCH("patchmaster",E639)),"PatchMaster Repair",
ISNUMBER(SEARCH("ez seed",E639)),"EZ Seed Repair",
ISNUMBER(SEARCH("rapid grass",E639)),"Rapid Grass",
ISNUMBER(SEARCH("thick'r lawn",E639)),"Thick'R Lawn",
ISNUMBER(SEARCH("fungicide",E639)),"Fungicide",
ISNUMBER(SEARCH("moss",E639)),"Moss Control",
ISNUMBER(SEARCH("perlite",E639)),"Perlite",
ISNUMBER(SEARCH("plant food",E639)),"Plant Food",
ISNUMBER(SEARCH("spreader",E639)),"Spreader",
ISNUMBER(SEARCH("sprayer",E639)),"Sprayer",
ISNUMBER(SEARCH("mower",E639)),"Lawn Mower",
ISNUMBER(SEARCH("sweeper",E639)),"Lawn Sweeper",
OR(ISNUMBER(SEARCH("pruner",E639)),ISNUMBER(SEARCH("trimmer",E639)),ISNUMBER(SEARCH("pole saw",E639))),"Pruning Tools",
TRUE,"Other"
)</f>
        <v>Other</v>
      </c>
      <c r="J639" s="7" t="str">
        <f t="shared" si="191"/>
        <v>Flying Insect Control - Other</v>
      </c>
      <c r="K639" s="4">
        <v>300</v>
      </c>
      <c r="L639" s="4">
        <v>4.0999999999999996</v>
      </c>
      <c r="M639" s="4">
        <v>396</v>
      </c>
      <c r="N639" s="4" t="s">
        <v>3209</v>
      </c>
      <c r="O639" s="4">
        <f>VLOOKUP(A639,[13]Sheet1!$A:$M,2,0)</f>
        <v>0</v>
      </c>
      <c r="P639" s="4">
        <f>VLOOKUP(A639,[13]Sheet1!$A:$M,3,0)</f>
        <v>0</v>
      </c>
      <c r="Q639" s="4">
        <f>VLOOKUP(A639,[13]Sheet1!$A:$M,4,0)</f>
        <v>0</v>
      </c>
      <c r="R639" s="4">
        <f>VLOOKUP(A639,[13]Sheet1!$A:$M,5,0)</f>
        <v>100</v>
      </c>
      <c r="S639" s="4">
        <f>VLOOKUP(A639,[13]Sheet1!$A:$M,6,0)</f>
        <v>400</v>
      </c>
      <c r="T639" s="4">
        <f>VLOOKUP(A639,[13]Sheet1!$A:$M,7,0)</f>
        <v>1000</v>
      </c>
      <c r="U639" s="4">
        <f>VLOOKUP(A639,[13]Sheet1!$A:$M,8,0)</f>
        <v>1000</v>
      </c>
      <c r="V639" s="4">
        <f>VLOOKUP(A639,[13]Sheet1!$A:$M,9,0)</f>
        <v>600</v>
      </c>
      <c r="W639" s="4">
        <f>VLOOKUP(A639,[13]Sheet1!$A:$M,10,0)</f>
        <v>300</v>
      </c>
      <c r="X639" s="4">
        <f>VLOOKUP(A639,[13]Sheet1!$A:$M,11,0)</f>
        <v>50</v>
      </c>
      <c r="Y639" s="4">
        <f>VLOOKUP(A639,[13]Sheet1!$A:$M,12,0)</f>
        <v>50</v>
      </c>
      <c r="Z639" s="4">
        <f>VLOOKUP(A639,[13]Sheet1!$A:$M,13,0)</f>
        <v>0</v>
      </c>
      <c r="AA639" s="4">
        <f t="shared" si="192"/>
        <v>3500</v>
      </c>
      <c r="AB639" s="7">
        <f t="shared" si="193"/>
        <v>292</v>
      </c>
      <c r="AC639" s="15">
        <f t="shared" si="194"/>
        <v>291.66666666666669</v>
      </c>
      <c r="AD639" s="16">
        <f t="shared" si="195"/>
        <v>41895</v>
      </c>
      <c r="AE639" s="16">
        <f t="shared" si="196"/>
        <v>3491.2500000000005</v>
      </c>
      <c r="AF639" s="21">
        <v>6.31</v>
      </c>
      <c r="AG639" s="21">
        <v>11.97</v>
      </c>
      <c r="AH639" s="15">
        <f t="shared" si="189"/>
        <v>-0.1681333333333333</v>
      </c>
      <c r="AI639" s="15">
        <f t="shared" si="190"/>
        <v>-0.58846666666666647</v>
      </c>
      <c r="AJ639" s="10">
        <v>0.5</v>
      </c>
      <c r="AK639" s="10">
        <v>0.5</v>
      </c>
      <c r="AL639" s="21">
        <v>6.31</v>
      </c>
      <c r="AM639" s="9">
        <f t="shared" si="181"/>
        <v>1.7955000000000001</v>
      </c>
      <c r="AN639" s="9">
        <f t="shared" si="182"/>
        <v>0.35910000000000003</v>
      </c>
      <c r="AO639" s="9">
        <f t="shared" si="183"/>
        <v>2.3940000000000001</v>
      </c>
      <c r="AP639" s="9">
        <f t="shared" si="184"/>
        <v>0.23940000000000003</v>
      </c>
      <c r="AQ639" s="9">
        <f t="shared" si="185"/>
        <v>2.3940000000000001</v>
      </c>
      <c r="AR639" s="9">
        <f t="shared" si="186"/>
        <v>2.9925000000000002</v>
      </c>
      <c r="AS639" s="11">
        <f t="shared" si="187"/>
        <v>-1.6813333333333329</v>
      </c>
      <c r="AT639" s="12">
        <f t="shared" si="188"/>
        <v>-2.0803333333333329</v>
      </c>
    </row>
    <row r="640" spans="1:46" ht="16.5" x14ac:dyDescent="0.4">
      <c r="A640" s="4" t="s">
        <v>2630</v>
      </c>
      <c r="B640" s="4" t="s">
        <v>2710</v>
      </c>
      <c r="C640" s="4" t="s">
        <v>2710</v>
      </c>
      <c r="D640" s="4" t="s">
        <v>2809</v>
      </c>
      <c r="E640" s="4" t="s">
        <v>2968</v>
      </c>
      <c r="F640" s="4" t="s">
        <v>3127</v>
      </c>
      <c r="G640" s="7" t="str">
        <f>VLOOKUP(A640,[1]done!$A:$I,9,0)</f>
        <v>Insecticide/Fungicide</v>
      </c>
      <c r="H640" s="7" t="str" cm="1">
        <f t="array" ref="H640">_xlfn.IFS(
OR(ISNUMBER(SEARCH("mouse",E640)),ISNUMBER(SEARCH("rat",E640)),ISNUMBER(SEARCH("mice",E640)),ISNUMBER(SEARCH("rodent",E640))),"Rodent Control",
OR(ISNUMBER(SEARCH("fly",E640)),ISNUMBER(SEARCH("gnat",E640)),ISNUMBER(SEARCH("insect",E640)),ISNUMBER(SEARCH("mosquito",E640))),"Flying Insect Control",
OR(ISNUMBER(SEARCH("roach",E640)),ISNUMBER(SEARCH("ant",E640)),ISNUMBER(SEARCH("spider",E640)),ISNUMBER(SEARCH("cricket",E640)),ISNUMBER(SEARCH("scorpion",E640)),ISNUMBER(SEARCH("centipede",E640)),ISNUMBER(SEARCH("beetle",E640))),"Crawling Insect Control",
OR(ISNUMBER(SEARCH("tree",E640)),ISNUMBER(SEARCH("lantern",E640)),ISNUMBER(SEARCH("garden",E640)),ISNUMBER(SEARCH("plant",E640))),"Garden Pest Control",
OR(ISNUMBER(SEARCH("grass seed",E640)),ISNUMBER(SEARCH("seed mix",E640))),"Grass Seed",
OR(ISNUMBER(SEARCH("lawn food",E640)),ISNUMBER(SEARCH("fertilizer",E640))),"Lawn Fertilizer",
OR(ISNUMBER(SEARCH("patch",E640)),ISNUMBER(SEARCH("repair",E640)),ISNUMBER(SEARCH("thick'r",E640)),ISNUMBER(SEARCH("thick'r lawn",E640)),ISNUMBER(SEARCH("rapid grass",E640))),"Lawn Repair",
OR(ISNUMBER(SEARCH("weed",E640)),ISNUMBER(SEARCH("crabgrass",E640))),"Weed Control",
OR(ISNUMBER(SEARCH("fungicide",E640)),ISNUMBER(SEARCH("moss",E640))),"Disease &amp; Moss Control",
OR(ISNUMBER(SEARCH("plant food",E640)),ISNUMBER(SEARCH("miracid",E640))),"Plant Nutrition",
OR(ISNUMBER(SEARCH("perlite",E640))),"Soil Amendment",
OR(ISNUMBER(SEARCH("spreader",E640)),ISNUMBER(SEARCH("sprayer",E640)),ISNUMBER(SEARCH("mower",E640)),ISNUMBER(SEARCH("sweeper",E640)),ISNUMBER(SEARCH("pruner",E640)),ISNUMBER(SEARCH("trimmer",E640)),ISNUMBER(SEARCH("pole saw",E640))),"Garden Equipment",
TRUE,"Other"
)</f>
        <v>Flying Insect Control</v>
      </c>
      <c r="I640" s="7" t="str" cm="1">
        <f t="array" ref="I640">_xlfn.IFS(
OR(ISNUMBER(SEARCH("glue trap",E640)),ISNUMBER(SEARCH("glue board",E640))),"Glue Traps",
OR(ISNUMBER(SEARCH("snap trap",E640)),ISNUMBER(SEARCH("power-kill",E640)),ISNUMBER(SEARCH("wide pedal",E640)),ISNUMBER(SEARCH("metal pedal",E640))),"Snap Traps",
OR(ISNUMBER(SEARCH("electronic",E640)),ISNUMBER(SEARCH("zapper",E640))),"Electronic Traps",
OR(ISNUMBER(SEARCH("live catch",E640)),ISNUMBER(SEARCH("multi-catch",E640)),ISNUMBER(SEARCH("catch &amp; hold",E640)),ISNUMBER(SEARCH("tin cat",E640))),"Live Catch Traps",
OR(ISNUMBER(SEARCH("bait",E640)),ISNUMBER(SEARCH("poison",E640))),"Bait &amp; Poison",
ISNUMBER(SEARCH("repellent",E640)),"Repellents",
OR(ISNUMBER(SEARCH("fly trap",E640)),ISNUMBER(SEARCH("fly ribbon",E640)),ISNUMBER(SEARCH("fly stick",E640)),ISNUMBER(SEARCH("window fly",E640)),ISNUMBER(SEARCH("fly magnet",E640))),"Fly Traps",
OR(ISNUMBER(SEARCH("uv",E640)),ISNUMBER(SEARCH("fly light",E640)),ISNUMBER(SEARCH("plug-in",E640))),"UV Fly Traps",
ISNUMBER(SEARCH("roach",E640)),"Roach Traps",
ISNUMBER(SEARCH("ant",E640)),"Ant Traps",
ISNUMBER(SEARCH("spider",E640)),"Spider Traps",
ISNUMBER(SEARCH("mosquito",E640)),"Mosquito Traps",
ISNUMBER(SEARCH("beetle",E640)),"Beetle Traps",
ISNUMBER(SEARCH("lantern",E640)),"Lanternfly Control",
OR(ISNUMBER(SEARCH("tree shield",E640)),ISNUMBER(SEARCH("tree banding",E640)),ISNUMBER(SEARCH("insect barrier",E640))),"Tree Barriers",
OR(ISNUMBER(SEARCH("sun &amp; shade",E640)),ISNUMBER(SEARCH("sun and shade",E640))),"Sun &amp; Shade Mix",
ISNUMBER(SEARCH("tall fescue",E640)),"Tall Fescue",
ISNUMBER(SEARCH("bermudagrass",E640)),"Bermudagrass",
ISNUMBER(SEARCH("kentucky",E640)),"Kentucky Bluegrass",
ISNUMBER(SEARCH("zoysia",E640)),"Zoysia",
ISNUMBER(SEARCH("ryegrass",E640)),"Perennial Ryegrass",
ISNUMBER(SEARCH("centipede",E640)),"Centipede Grass",
ISNUMBER(SEARCH("dense shade",E640)),"Dense Shade Mix",
ISNUMBER(SEARCH("southern gold",E640)),"Southern Gold Mix",
ISNUMBER(SEARCH("heat-tolerant blue",E640)),"Heat-Tolerant Blue Mix",
ISNUMBER(SEARCH("high traffic",E640)),"High Traffic Mix",
ISNUMBER(SEARCH("quick fix",E640)),"Quick Fix Mix",
ISNUMBER(SEARCH("starter",E640)),"Starter Fertilizer",
ISNUMBER(SEARCH("weed &amp; feed",E640)),"Weed &amp; Feed",
ISNUMBER(SEARCH("lawn food",E640)),"Lawn Food",
ISNUMBER(SEARCH("triple action",E640)),"Triple Action Fertilizer",
ISNUMBER(SEARCH("green max",E640)),"Green Max Lawn Food",
ISNUMBER(SEARCH("patchmaster",E640)),"PatchMaster Repair",
ISNUMBER(SEARCH("ez seed",E640)),"EZ Seed Repair",
ISNUMBER(SEARCH("rapid grass",E640)),"Rapid Grass",
ISNUMBER(SEARCH("thick'r lawn",E640)),"Thick'R Lawn",
ISNUMBER(SEARCH("fungicide",E640)),"Fungicide",
ISNUMBER(SEARCH("moss",E640)),"Moss Control",
ISNUMBER(SEARCH("perlite",E640)),"Perlite",
ISNUMBER(SEARCH("plant food",E640)),"Plant Food",
ISNUMBER(SEARCH("spreader",E640)),"Spreader",
ISNUMBER(SEARCH("sprayer",E640)),"Sprayer",
ISNUMBER(SEARCH("mower",E640)),"Lawn Mower",
ISNUMBER(SEARCH("sweeper",E640)),"Lawn Sweeper",
OR(ISNUMBER(SEARCH("pruner",E640)),ISNUMBER(SEARCH("trimmer",E640)),ISNUMBER(SEARCH("pole saw",E640))),"Pruning Tools",
TRUE,"Other"
)</f>
        <v>Other</v>
      </c>
      <c r="J640" s="7" t="str">
        <f t="shared" si="191"/>
        <v>Flying Insect Control - Other</v>
      </c>
      <c r="K640" s="4">
        <v>200</v>
      </c>
      <c r="L640" s="4">
        <v>4.4000000000000004</v>
      </c>
      <c r="M640" s="4">
        <v>7848</v>
      </c>
      <c r="N640" s="4" t="s">
        <v>3241</v>
      </c>
      <c r="O640" s="4">
        <f>VLOOKUP(A640,[13]Sheet1!$A:$M,2,0)</f>
        <v>0</v>
      </c>
      <c r="P640" s="4">
        <f>VLOOKUP(A640,[13]Sheet1!$A:$M,3,0)</f>
        <v>0</v>
      </c>
      <c r="Q640" s="4">
        <f>VLOOKUP(A640,[13]Sheet1!$A:$M,4,0)</f>
        <v>0</v>
      </c>
      <c r="R640" s="4">
        <f>VLOOKUP(A640,[13]Sheet1!$A:$M,5,0)</f>
        <v>0</v>
      </c>
      <c r="S640" s="4">
        <f>VLOOKUP(A640,[13]Sheet1!$A:$M,6,0)</f>
        <v>50</v>
      </c>
      <c r="T640" s="4">
        <f>VLOOKUP(A640,[13]Sheet1!$A:$M,7,0)</f>
        <v>100</v>
      </c>
      <c r="U640" s="4">
        <f>VLOOKUP(A640,[13]Sheet1!$A:$M,8,0)</f>
        <v>300</v>
      </c>
      <c r="V640" s="4">
        <f>VLOOKUP(A640,[13]Sheet1!$A:$M,9,0)</f>
        <v>400</v>
      </c>
      <c r="W640" s="4">
        <f>VLOOKUP(A640,[13]Sheet1!$A:$M,10,0)</f>
        <v>200</v>
      </c>
      <c r="X640" s="4">
        <f>VLOOKUP(A640,[13]Sheet1!$A:$M,11,0)</f>
        <v>0</v>
      </c>
      <c r="Y640" s="4">
        <f>VLOOKUP(A640,[13]Sheet1!$A:$M,12,0)</f>
        <v>0</v>
      </c>
      <c r="Z640" s="4">
        <f>VLOOKUP(A640,[13]Sheet1!$A:$M,13,0)</f>
        <v>0</v>
      </c>
      <c r="AA640" s="4">
        <f t="shared" si="192"/>
        <v>1050</v>
      </c>
      <c r="AB640" s="7">
        <f t="shared" si="193"/>
        <v>88</v>
      </c>
      <c r="AC640" s="15">
        <f t="shared" si="194"/>
        <v>87.5</v>
      </c>
      <c r="AD640" s="16">
        <f t="shared" si="195"/>
        <v>29232</v>
      </c>
      <c r="AE640" s="16">
        <f t="shared" si="196"/>
        <v>2436</v>
      </c>
      <c r="AF640" s="21">
        <v>7.88</v>
      </c>
      <c r="AG640" s="21">
        <v>27.84</v>
      </c>
      <c r="AH640" s="15">
        <f t="shared" si="189"/>
        <v>0.15040000000000003</v>
      </c>
      <c r="AI640" s="15">
        <f t="shared" si="190"/>
        <v>0.52640000000000009</v>
      </c>
      <c r="AJ640" s="10">
        <v>0.5</v>
      </c>
      <c r="AK640" s="10">
        <v>0.5</v>
      </c>
      <c r="AL640" s="21">
        <v>7.88</v>
      </c>
      <c r="AM640" s="9">
        <f t="shared" si="181"/>
        <v>4.1760000000000002</v>
      </c>
      <c r="AN640" s="9">
        <f t="shared" si="182"/>
        <v>0.83519999999999994</v>
      </c>
      <c r="AO640" s="9">
        <f t="shared" si="183"/>
        <v>5.5680000000000005</v>
      </c>
      <c r="AP640" s="9">
        <f t="shared" si="184"/>
        <v>0.55679999999999996</v>
      </c>
      <c r="AQ640" s="9">
        <f t="shared" si="185"/>
        <v>5.5680000000000005</v>
      </c>
      <c r="AR640" s="9">
        <f t="shared" si="186"/>
        <v>6.96</v>
      </c>
      <c r="AS640" s="11">
        <f t="shared" si="187"/>
        <v>1.5040000000000002</v>
      </c>
      <c r="AT640" s="12">
        <f t="shared" si="188"/>
        <v>0.57600000000000051</v>
      </c>
    </row>
    <row r="641" spans="1:46" ht="16.5" x14ac:dyDescent="0.4">
      <c r="A641" s="4" t="s">
        <v>2631</v>
      </c>
      <c r="B641" s="4" t="s">
        <v>2710</v>
      </c>
      <c r="C641" s="4" t="s">
        <v>2723</v>
      </c>
      <c r="D641" s="4" t="s">
        <v>2810</v>
      </c>
      <c r="E641" s="4" t="s">
        <v>2969</v>
      </c>
      <c r="F641" s="4" t="s">
        <v>3128</v>
      </c>
      <c r="G641" s="7" t="str">
        <f>VLOOKUP(A641,[1]done!$A:$I,9,0)</f>
        <v>Insecticide/Fungicide</v>
      </c>
      <c r="H641" s="7" t="str" cm="1">
        <f t="array" ref="H641">_xlfn.IFS(
OR(ISNUMBER(SEARCH("mouse",E641)),ISNUMBER(SEARCH("rat",E641)),ISNUMBER(SEARCH("mice",E641)),ISNUMBER(SEARCH("rodent",E641))),"Rodent Control",
OR(ISNUMBER(SEARCH("fly",E641)),ISNUMBER(SEARCH("gnat",E641)),ISNUMBER(SEARCH("insect",E641)),ISNUMBER(SEARCH("mosquito",E641))),"Flying Insect Control",
OR(ISNUMBER(SEARCH("roach",E641)),ISNUMBER(SEARCH("ant",E641)),ISNUMBER(SEARCH("spider",E641)),ISNUMBER(SEARCH("cricket",E641)),ISNUMBER(SEARCH("scorpion",E641)),ISNUMBER(SEARCH("centipede",E641)),ISNUMBER(SEARCH("beetle",E641))),"Crawling Insect Control",
OR(ISNUMBER(SEARCH("tree",E641)),ISNUMBER(SEARCH("lantern",E641)),ISNUMBER(SEARCH("garden",E641)),ISNUMBER(SEARCH("plant",E641))),"Garden Pest Control",
OR(ISNUMBER(SEARCH("grass seed",E641)),ISNUMBER(SEARCH("seed mix",E641))),"Grass Seed",
OR(ISNUMBER(SEARCH("lawn food",E641)),ISNUMBER(SEARCH("fertilizer",E641))),"Lawn Fertilizer",
OR(ISNUMBER(SEARCH("patch",E641)),ISNUMBER(SEARCH("repair",E641)),ISNUMBER(SEARCH("thick'r",E641)),ISNUMBER(SEARCH("thick'r lawn",E641)),ISNUMBER(SEARCH("rapid grass",E641))),"Lawn Repair",
OR(ISNUMBER(SEARCH("weed",E641)),ISNUMBER(SEARCH("crabgrass",E641))),"Weed Control",
OR(ISNUMBER(SEARCH("fungicide",E641)),ISNUMBER(SEARCH("moss",E641))),"Disease &amp; Moss Control",
OR(ISNUMBER(SEARCH("plant food",E641)),ISNUMBER(SEARCH("miracid",E641))),"Plant Nutrition",
OR(ISNUMBER(SEARCH("perlite",E641))),"Soil Amendment",
OR(ISNUMBER(SEARCH("spreader",E641)),ISNUMBER(SEARCH("sprayer",E641)),ISNUMBER(SEARCH("mower",E641)),ISNUMBER(SEARCH("sweeper",E641)),ISNUMBER(SEARCH("pruner",E641)),ISNUMBER(SEARCH("trimmer",E641)),ISNUMBER(SEARCH("pole saw",E641))),"Garden Equipment",
TRUE,"Other"
)</f>
        <v>Other</v>
      </c>
      <c r="I641" s="7" t="str" cm="1">
        <f t="array" ref="I641">_xlfn.IFS(
OR(ISNUMBER(SEARCH("glue trap",E641)),ISNUMBER(SEARCH("glue board",E641))),"Glue Traps",
OR(ISNUMBER(SEARCH("snap trap",E641)),ISNUMBER(SEARCH("power-kill",E641)),ISNUMBER(SEARCH("wide pedal",E641)),ISNUMBER(SEARCH("metal pedal",E641))),"Snap Traps",
OR(ISNUMBER(SEARCH("electronic",E641)),ISNUMBER(SEARCH("zapper",E641))),"Electronic Traps",
OR(ISNUMBER(SEARCH("live catch",E641)),ISNUMBER(SEARCH("multi-catch",E641)),ISNUMBER(SEARCH("catch &amp; hold",E641)),ISNUMBER(SEARCH("tin cat",E641))),"Live Catch Traps",
OR(ISNUMBER(SEARCH("bait",E641)),ISNUMBER(SEARCH("poison",E641))),"Bait &amp; Poison",
ISNUMBER(SEARCH("repellent",E641)),"Repellents",
OR(ISNUMBER(SEARCH("fly trap",E641)),ISNUMBER(SEARCH("fly ribbon",E641)),ISNUMBER(SEARCH("fly stick",E641)),ISNUMBER(SEARCH("window fly",E641)),ISNUMBER(SEARCH("fly magnet",E641))),"Fly Traps",
OR(ISNUMBER(SEARCH("uv",E641)),ISNUMBER(SEARCH("fly light",E641)),ISNUMBER(SEARCH("plug-in",E641))),"UV Fly Traps",
ISNUMBER(SEARCH("roach",E641)),"Roach Traps",
ISNUMBER(SEARCH("ant",E641)),"Ant Traps",
ISNUMBER(SEARCH("spider",E641)),"Spider Traps",
ISNUMBER(SEARCH("mosquito",E641)),"Mosquito Traps",
ISNUMBER(SEARCH("beetle",E641)),"Beetle Traps",
ISNUMBER(SEARCH("lantern",E641)),"Lanternfly Control",
OR(ISNUMBER(SEARCH("tree shield",E641)),ISNUMBER(SEARCH("tree banding",E641)),ISNUMBER(SEARCH("insect barrier",E641))),"Tree Barriers",
OR(ISNUMBER(SEARCH("sun &amp; shade",E641)),ISNUMBER(SEARCH("sun and shade",E641))),"Sun &amp; Shade Mix",
ISNUMBER(SEARCH("tall fescue",E641)),"Tall Fescue",
ISNUMBER(SEARCH("bermudagrass",E641)),"Bermudagrass",
ISNUMBER(SEARCH("kentucky",E641)),"Kentucky Bluegrass",
ISNUMBER(SEARCH("zoysia",E641)),"Zoysia",
ISNUMBER(SEARCH("ryegrass",E641)),"Perennial Ryegrass",
ISNUMBER(SEARCH("centipede",E641)),"Centipede Grass",
ISNUMBER(SEARCH("dense shade",E641)),"Dense Shade Mix",
ISNUMBER(SEARCH("southern gold",E641)),"Southern Gold Mix",
ISNUMBER(SEARCH("heat-tolerant blue",E641)),"Heat-Tolerant Blue Mix",
ISNUMBER(SEARCH("high traffic",E641)),"High Traffic Mix",
ISNUMBER(SEARCH("quick fix",E641)),"Quick Fix Mix",
ISNUMBER(SEARCH("starter",E641)),"Starter Fertilizer",
ISNUMBER(SEARCH("weed &amp; feed",E641)),"Weed &amp; Feed",
ISNUMBER(SEARCH("lawn food",E641)),"Lawn Food",
ISNUMBER(SEARCH("triple action",E641)),"Triple Action Fertilizer",
ISNUMBER(SEARCH("green max",E641)),"Green Max Lawn Food",
ISNUMBER(SEARCH("patchmaster",E641)),"PatchMaster Repair",
ISNUMBER(SEARCH("ez seed",E641)),"EZ Seed Repair",
ISNUMBER(SEARCH("rapid grass",E641)),"Rapid Grass",
ISNUMBER(SEARCH("thick'r lawn",E641)),"Thick'R Lawn",
ISNUMBER(SEARCH("fungicide",E641)),"Fungicide",
ISNUMBER(SEARCH("moss",E641)),"Moss Control",
ISNUMBER(SEARCH("perlite",E641)),"Perlite",
ISNUMBER(SEARCH("plant food",E641)),"Plant Food",
ISNUMBER(SEARCH("spreader",E641)),"Spreader",
ISNUMBER(SEARCH("sprayer",E641)),"Sprayer",
ISNUMBER(SEARCH("mower",E641)),"Lawn Mower",
ISNUMBER(SEARCH("sweeper",E641)),"Lawn Sweeper",
OR(ISNUMBER(SEARCH("pruner",E641)),ISNUMBER(SEARCH("trimmer",E641)),ISNUMBER(SEARCH("pole saw",E641))),"Pruning Tools",
TRUE,"Other"
)</f>
        <v>Repellents</v>
      </c>
      <c r="J641" s="7" t="str">
        <f t="shared" si="191"/>
        <v>Other - Repellents</v>
      </c>
      <c r="K641" s="4">
        <v>200</v>
      </c>
      <c r="L641" s="4">
        <v>3.6</v>
      </c>
      <c r="M641" s="4">
        <v>16780</v>
      </c>
      <c r="N641" s="4" t="s">
        <v>3242</v>
      </c>
      <c r="O641" s="4">
        <f>VLOOKUP(A641,[13]Sheet1!$A:$M,2,0)</f>
        <v>50</v>
      </c>
      <c r="P641" s="4">
        <f>VLOOKUP(A641,[13]Sheet1!$A:$M,3,0)</f>
        <v>50</v>
      </c>
      <c r="Q641" s="4">
        <f>VLOOKUP(A641,[13]Sheet1!$A:$M,4,0)</f>
        <v>50</v>
      </c>
      <c r="R641" s="4">
        <f>VLOOKUP(A641,[13]Sheet1!$A:$M,5,0)</f>
        <v>100</v>
      </c>
      <c r="S641" s="4">
        <f>VLOOKUP(A641,[13]Sheet1!$A:$M,6,0)</f>
        <v>100</v>
      </c>
      <c r="T641" s="4">
        <f>VLOOKUP(A641,[13]Sheet1!$A:$M,7,0)</f>
        <v>300</v>
      </c>
      <c r="U641" s="4">
        <f>VLOOKUP(A641,[13]Sheet1!$A:$M,8,0)</f>
        <v>300</v>
      </c>
      <c r="V641" s="4">
        <f>VLOOKUP(A641,[13]Sheet1!$A:$M,9,0)</f>
        <v>300</v>
      </c>
      <c r="W641" s="4">
        <f>VLOOKUP(A641,[13]Sheet1!$A:$M,10,0)</f>
        <v>200</v>
      </c>
      <c r="X641" s="4">
        <f>VLOOKUP(A641,[13]Sheet1!$A:$M,11,0)</f>
        <v>200</v>
      </c>
      <c r="Y641" s="4">
        <f>VLOOKUP(A641,[13]Sheet1!$A:$M,12,0)</f>
        <v>300</v>
      </c>
      <c r="Z641" s="4">
        <f>VLOOKUP(A641,[13]Sheet1!$A:$M,13,0)</f>
        <v>100</v>
      </c>
      <c r="AA641" s="4">
        <f t="shared" si="192"/>
        <v>2050</v>
      </c>
      <c r="AB641" s="7">
        <f t="shared" si="193"/>
        <v>171</v>
      </c>
      <c r="AC641" s="15">
        <f t="shared" si="194"/>
        <v>170.83333333333334</v>
      </c>
      <c r="AD641" s="16">
        <f t="shared" si="195"/>
        <v>30729.5</v>
      </c>
      <c r="AE641" s="16">
        <f t="shared" si="196"/>
        <v>2560.791666666667</v>
      </c>
      <c r="AF641" s="21">
        <v>5.61</v>
      </c>
      <c r="AG641" s="21">
        <v>14.99</v>
      </c>
      <c r="AH641" s="15">
        <f t="shared" si="189"/>
        <v>-4.0933333333333384E-2</v>
      </c>
      <c r="AI641" s="15">
        <f t="shared" si="190"/>
        <v>-0.14326666666666682</v>
      </c>
      <c r="AJ641" s="10">
        <v>0.5</v>
      </c>
      <c r="AK641" s="10">
        <v>0.5</v>
      </c>
      <c r="AL641" s="21">
        <v>5.61</v>
      </c>
      <c r="AM641" s="9">
        <f t="shared" si="181"/>
        <v>2.2484999999999999</v>
      </c>
      <c r="AN641" s="9">
        <f t="shared" si="182"/>
        <v>0.44969999999999999</v>
      </c>
      <c r="AO641" s="9">
        <f t="shared" si="183"/>
        <v>2.9980000000000002</v>
      </c>
      <c r="AP641" s="9">
        <f t="shared" si="184"/>
        <v>0.29980000000000001</v>
      </c>
      <c r="AQ641" s="9">
        <f t="shared" si="185"/>
        <v>2.9980000000000002</v>
      </c>
      <c r="AR641" s="9">
        <f t="shared" si="186"/>
        <v>3.7475000000000001</v>
      </c>
      <c r="AS641" s="11">
        <f t="shared" si="187"/>
        <v>-0.40933333333333383</v>
      </c>
      <c r="AT641" s="12">
        <f t="shared" si="188"/>
        <v>-0.90900000000000036</v>
      </c>
    </row>
    <row r="642" spans="1:46" ht="16.5" x14ac:dyDescent="0.4">
      <c r="A642" s="4" t="s">
        <v>2632</v>
      </c>
      <c r="B642" s="4" t="s">
        <v>2710</v>
      </c>
      <c r="C642" s="4" t="s">
        <v>2712</v>
      </c>
      <c r="D642" s="4" t="s">
        <v>2811</v>
      </c>
      <c r="E642" s="4" t="s">
        <v>2970</v>
      </c>
      <c r="F642" s="4" t="s">
        <v>3129</v>
      </c>
      <c r="G642" s="7" t="str">
        <f>VLOOKUP(A642,[1]done!$A:$I,9,0)</f>
        <v>Oil based pest repellent</v>
      </c>
      <c r="H642" s="7" t="str" cm="1">
        <f t="array" ref="H642">_xlfn.IFS(
OR(ISNUMBER(SEARCH("mouse",E642)),ISNUMBER(SEARCH("rat",E642)),ISNUMBER(SEARCH("mice",E642)),ISNUMBER(SEARCH("rodent",E642))),"Rodent Control",
OR(ISNUMBER(SEARCH("fly",E642)),ISNUMBER(SEARCH("gnat",E642)),ISNUMBER(SEARCH("insect",E642)),ISNUMBER(SEARCH("mosquito",E642))),"Flying Insect Control",
OR(ISNUMBER(SEARCH("roach",E642)),ISNUMBER(SEARCH("ant",E642)),ISNUMBER(SEARCH("spider",E642)),ISNUMBER(SEARCH("cricket",E642)),ISNUMBER(SEARCH("scorpion",E642)),ISNUMBER(SEARCH("centipede",E642)),ISNUMBER(SEARCH("beetle",E642))),"Crawling Insect Control",
OR(ISNUMBER(SEARCH("tree",E642)),ISNUMBER(SEARCH("lantern",E642)),ISNUMBER(SEARCH("garden",E642)),ISNUMBER(SEARCH("plant",E642))),"Garden Pest Control",
OR(ISNUMBER(SEARCH("grass seed",E642)),ISNUMBER(SEARCH("seed mix",E642))),"Grass Seed",
OR(ISNUMBER(SEARCH("lawn food",E642)),ISNUMBER(SEARCH("fertilizer",E642))),"Lawn Fertilizer",
OR(ISNUMBER(SEARCH("patch",E642)),ISNUMBER(SEARCH("repair",E642)),ISNUMBER(SEARCH("thick'r",E642)),ISNUMBER(SEARCH("thick'r lawn",E642)),ISNUMBER(SEARCH("rapid grass",E642))),"Lawn Repair",
OR(ISNUMBER(SEARCH("weed",E642)),ISNUMBER(SEARCH("crabgrass",E642))),"Weed Control",
OR(ISNUMBER(SEARCH("fungicide",E642)),ISNUMBER(SEARCH("moss",E642))),"Disease &amp; Moss Control",
OR(ISNUMBER(SEARCH("plant food",E642)),ISNUMBER(SEARCH("miracid",E642))),"Plant Nutrition",
OR(ISNUMBER(SEARCH("perlite",E642))),"Soil Amendment",
OR(ISNUMBER(SEARCH("spreader",E642)),ISNUMBER(SEARCH("sprayer",E642)),ISNUMBER(SEARCH("mower",E642)),ISNUMBER(SEARCH("sweeper",E642)),ISNUMBER(SEARCH("pruner",E642)),ISNUMBER(SEARCH("trimmer",E642)),ISNUMBER(SEARCH("pole saw",E642))),"Garden Equipment",
TRUE,"Other"
)</f>
        <v>Crawling Insect Control</v>
      </c>
      <c r="I642" s="7" t="str" cm="1">
        <f t="array" ref="I642">_xlfn.IFS(
OR(ISNUMBER(SEARCH("glue trap",E642)),ISNUMBER(SEARCH("glue board",E642))),"Glue Traps",
OR(ISNUMBER(SEARCH("snap trap",E642)),ISNUMBER(SEARCH("power-kill",E642)),ISNUMBER(SEARCH("wide pedal",E642)),ISNUMBER(SEARCH("metal pedal",E642))),"Snap Traps",
OR(ISNUMBER(SEARCH("electronic",E642)),ISNUMBER(SEARCH("zapper",E642))),"Electronic Traps",
OR(ISNUMBER(SEARCH("live catch",E642)),ISNUMBER(SEARCH("multi-catch",E642)),ISNUMBER(SEARCH("catch &amp; hold",E642)),ISNUMBER(SEARCH("tin cat",E642))),"Live Catch Traps",
OR(ISNUMBER(SEARCH("bait",E642)),ISNUMBER(SEARCH("poison",E642))),"Bait &amp; Poison",
ISNUMBER(SEARCH("repellent",E642)),"Repellents",
OR(ISNUMBER(SEARCH("fly trap",E642)),ISNUMBER(SEARCH("fly ribbon",E642)),ISNUMBER(SEARCH("fly stick",E642)),ISNUMBER(SEARCH("window fly",E642)),ISNUMBER(SEARCH("fly magnet",E642))),"Fly Traps",
OR(ISNUMBER(SEARCH("uv",E642)),ISNUMBER(SEARCH("fly light",E642)),ISNUMBER(SEARCH("plug-in",E642))),"UV Fly Traps",
ISNUMBER(SEARCH("roach",E642)),"Roach Traps",
ISNUMBER(SEARCH("ant",E642)),"Ant Traps",
ISNUMBER(SEARCH("spider",E642)),"Spider Traps",
ISNUMBER(SEARCH("mosquito",E642)),"Mosquito Traps",
ISNUMBER(SEARCH("beetle",E642)),"Beetle Traps",
ISNUMBER(SEARCH("lantern",E642)),"Lanternfly Control",
OR(ISNUMBER(SEARCH("tree shield",E642)),ISNUMBER(SEARCH("tree banding",E642)),ISNUMBER(SEARCH("insect barrier",E642))),"Tree Barriers",
OR(ISNUMBER(SEARCH("sun &amp; shade",E642)),ISNUMBER(SEARCH("sun and shade",E642))),"Sun &amp; Shade Mix",
ISNUMBER(SEARCH("tall fescue",E642)),"Tall Fescue",
ISNUMBER(SEARCH("bermudagrass",E642)),"Bermudagrass",
ISNUMBER(SEARCH("kentucky",E642)),"Kentucky Bluegrass",
ISNUMBER(SEARCH("zoysia",E642)),"Zoysia",
ISNUMBER(SEARCH("ryegrass",E642)),"Perennial Ryegrass",
ISNUMBER(SEARCH("centipede",E642)),"Centipede Grass",
ISNUMBER(SEARCH("dense shade",E642)),"Dense Shade Mix",
ISNUMBER(SEARCH("southern gold",E642)),"Southern Gold Mix",
ISNUMBER(SEARCH("heat-tolerant blue",E642)),"Heat-Tolerant Blue Mix",
ISNUMBER(SEARCH("high traffic",E642)),"High Traffic Mix",
ISNUMBER(SEARCH("quick fix",E642)),"Quick Fix Mix",
ISNUMBER(SEARCH("starter",E642)),"Starter Fertilizer",
ISNUMBER(SEARCH("weed &amp; feed",E642)),"Weed &amp; Feed",
ISNUMBER(SEARCH("lawn food",E642)),"Lawn Food",
ISNUMBER(SEARCH("triple action",E642)),"Triple Action Fertilizer",
ISNUMBER(SEARCH("green max",E642)),"Green Max Lawn Food",
ISNUMBER(SEARCH("patchmaster",E642)),"PatchMaster Repair",
ISNUMBER(SEARCH("ez seed",E642)),"EZ Seed Repair",
ISNUMBER(SEARCH("rapid grass",E642)),"Rapid Grass",
ISNUMBER(SEARCH("thick'r lawn",E642)),"Thick'R Lawn",
ISNUMBER(SEARCH("fungicide",E642)),"Fungicide",
ISNUMBER(SEARCH("moss",E642)),"Moss Control",
ISNUMBER(SEARCH("perlite",E642)),"Perlite",
ISNUMBER(SEARCH("plant food",E642)),"Plant Food",
ISNUMBER(SEARCH("spreader",E642)),"Spreader",
ISNUMBER(SEARCH("sprayer",E642)),"Sprayer",
ISNUMBER(SEARCH("mower",E642)),"Lawn Mower",
ISNUMBER(SEARCH("sweeper",E642)),"Lawn Sweeper",
OR(ISNUMBER(SEARCH("pruner",E642)),ISNUMBER(SEARCH("trimmer",E642)),ISNUMBER(SEARCH("pole saw",E642))),"Pruning Tools",
TRUE,"Other"
)</f>
        <v>Ant Traps</v>
      </c>
      <c r="J642" s="7" t="str">
        <f t="shared" si="191"/>
        <v>Crawling Insect Control - Ant Traps</v>
      </c>
      <c r="K642" s="4">
        <v>200</v>
      </c>
      <c r="L642" s="4">
        <v>4.0999999999999996</v>
      </c>
      <c r="M642" s="4">
        <v>3757</v>
      </c>
      <c r="N642" s="4" t="s">
        <v>3243</v>
      </c>
      <c r="O642" s="4">
        <f>VLOOKUP(A642,[13]Sheet1!$A:$M,2,0)</f>
        <v>400</v>
      </c>
      <c r="P642" s="4">
        <f>VLOOKUP(A642,[13]Sheet1!$A:$M,3,0)</f>
        <v>300</v>
      </c>
      <c r="Q642" s="4">
        <f>VLOOKUP(A642,[13]Sheet1!$A:$M,4,0)</f>
        <v>300</v>
      </c>
      <c r="R642" s="4">
        <f>VLOOKUP(A642,[13]Sheet1!$A:$M,5,0)</f>
        <v>400</v>
      </c>
      <c r="S642" s="4">
        <f>VLOOKUP(A642,[13]Sheet1!$A:$M,6,0)</f>
        <v>100</v>
      </c>
      <c r="T642" s="4">
        <f>VLOOKUP(A642,[13]Sheet1!$A:$M,7,0)</f>
        <v>300</v>
      </c>
      <c r="U642" s="4">
        <f>VLOOKUP(A642,[13]Sheet1!$A:$M,8,0)</f>
        <v>300</v>
      </c>
      <c r="V642" s="4">
        <f>VLOOKUP(A642,[13]Sheet1!$A:$M,9,0)</f>
        <v>300</v>
      </c>
      <c r="W642" s="4">
        <f>VLOOKUP(A642,[13]Sheet1!$A:$M,10,0)</f>
        <v>200</v>
      </c>
      <c r="X642" s="4">
        <f>VLOOKUP(A642,[13]Sheet1!$A:$M,11,0)</f>
        <v>600</v>
      </c>
      <c r="Y642" s="4">
        <f>VLOOKUP(A642,[13]Sheet1!$A:$M,12,0)</f>
        <v>200</v>
      </c>
      <c r="Z642" s="4">
        <f>VLOOKUP(A642,[13]Sheet1!$A:$M,13,0)</f>
        <v>200</v>
      </c>
      <c r="AA642" s="4">
        <f t="shared" si="192"/>
        <v>3600</v>
      </c>
      <c r="AB642" s="7">
        <f t="shared" si="193"/>
        <v>300</v>
      </c>
      <c r="AC642" s="15">
        <f t="shared" si="194"/>
        <v>300</v>
      </c>
      <c r="AD642" s="16">
        <f t="shared" si="195"/>
        <v>36036</v>
      </c>
      <c r="AE642" s="16">
        <f t="shared" si="196"/>
        <v>3003</v>
      </c>
      <c r="AF642" s="21">
        <v>4.76</v>
      </c>
      <c r="AG642" s="21">
        <v>10.01</v>
      </c>
      <c r="AH642" s="15">
        <f t="shared" si="189"/>
        <v>-0.11706666666666672</v>
      </c>
      <c r="AI642" s="15">
        <f t="shared" si="190"/>
        <v>-0.4097333333333335</v>
      </c>
      <c r="AJ642" s="10">
        <v>0.5</v>
      </c>
      <c r="AK642" s="10">
        <v>0.5</v>
      </c>
      <c r="AL642" s="21">
        <v>4.76</v>
      </c>
      <c r="AM642" s="9">
        <f t="shared" si="181"/>
        <v>1.5014999999999998</v>
      </c>
      <c r="AN642" s="9">
        <f t="shared" si="182"/>
        <v>0.30029999999999996</v>
      </c>
      <c r="AO642" s="9">
        <f t="shared" si="183"/>
        <v>2.0020000000000002</v>
      </c>
      <c r="AP642" s="9">
        <f t="shared" si="184"/>
        <v>0.20019999999999999</v>
      </c>
      <c r="AQ642" s="9">
        <f t="shared" si="185"/>
        <v>2.0020000000000002</v>
      </c>
      <c r="AR642" s="9">
        <f t="shared" si="186"/>
        <v>2.5024999999999999</v>
      </c>
      <c r="AS642" s="11">
        <f t="shared" si="187"/>
        <v>-1.1706666666666672</v>
      </c>
      <c r="AT642" s="12">
        <f t="shared" si="188"/>
        <v>-1.5043333333333335</v>
      </c>
    </row>
    <row r="643" spans="1:46" ht="16.5" x14ac:dyDescent="0.4">
      <c r="A643" s="4" t="s">
        <v>2633</v>
      </c>
      <c r="B643" s="4" t="s">
        <v>2710</v>
      </c>
      <c r="C643" s="4" t="s">
        <v>2712</v>
      </c>
      <c r="D643" s="4" t="s">
        <v>2812</v>
      </c>
      <c r="E643" s="4" t="s">
        <v>2971</v>
      </c>
      <c r="F643" s="4" t="s">
        <v>3130</v>
      </c>
      <c r="G643" s="7" t="str">
        <f>VLOOKUP(A643,[1]done!$A:$I,9,0)</f>
        <v>Insecticide/Fungicide</v>
      </c>
      <c r="H643" s="7" t="str" cm="1">
        <f t="array" ref="H643">_xlfn.IFS(
OR(ISNUMBER(SEARCH("mouse",E643)),ISNUMBER(SEARCH("rat",E643)),ISNUMBER(SEARCH("mice",E643)),ISNUMBER(SEARCH("rodent",E643))),"Rodent Control",
OR(ISNUMBER(SEARCH("fly",E643)),ISNUMBER(SEARCH("gnat",E643)),ISNUMBER(SEARCH("insect",E643)),ISNUMBER(SEARCH("mosquito",E643))),"Flying Insect Control",
OR(ISNUMBER(SEARCH("roach",E643)),ISNUMBER(SEARCH("ant",E643)),ISNUMBER(SEARCH("spider",E643)),ISNUMBER(SEARCH("cricket",E643)),ISNUMBER(SEARCH("scorpion",E643)),ISNUMBER(SEARCH("centipede",E643)),ISNUMBER(SEARCH("beetle",E643))),"Crawling Insect Control",
OR(ISNUMBER(SEARCH("tree",E643)),ISNUMBER(SEARCH("lantern",E643)),ISNUMBER(SEARCH("garden",E643)),ISNUMBER(SEARCH("plant",E643))),"Garden Pest Control",
OR(ISNUMBER(SEARCH("grass seed",E643)),ISNUMBER(SEARCH("seed mix",E643))),"Grass Seed",
OR(ISNUMBER(SEARCH("lawn food",E643)),ISNUMBER(SEARCH("fertilizer",E643))),"Lawn Fertilizer",
OR(ISNUMBER(SEARCH("patch",E643)),ISNUMBER(SEARCH("repair",E643)),ISNUMBER(SEARCH("thick'r",E643)),ISNUMBER(SEARCH("thick'r lawn",E643)),ISNUMBER(SEARCH("rapid grass",E643))),"Lawn Repair",
OR(ISNUMBER(SEARCH("weed",E643)),ISNUMBER(SEARCH("crabgrass",E643))),"Weed Control",
OR(ISNUMBER(SEARCH("fungicide",E643)),ISNUMBER(SEARCH("moss",E643))),"Disease &amp; Moss Control",
OR(ISNUMBER(SEARCH("plant food",E643)),ISNUMBER(SEARCH("miracid",E643))),"Plant Nutrition",
OR(ISNUMBER(SEARCH("perlite",E643))),"Soil Amendment",
OR(ISNUMBER(SEARCH("spreader",E643)),ISNUMBER(SEARCH("sprayer",E643)),ISNUMBER(SEARCH("mower",E643)),ISNUMBER(SEARCH("sweeper",E643)),ISNUMBER(SEARCH("pruner",E643)),ISNUMBER(SEARCH("trimmer",E643)),ISNUMBER(SEARCH("pole saw",E643))),"Garden Equipment",
TRUE,"Other"
)</f>
        <v>Rodent Control</v>
      </c>
      <c r="I643" s="7" t="str" cm="1">
        <f t="array" ref="I643">_xlfn.IFS(
OR(ISNUMBER(SEARCH("glue trap",E643)),ISNUMBER(SEARCH("glue board",E643))),"Glue Traps",
OR(ISNUMBER(SEARCH("snap trap",E643)),ISNUMBER(SEARCH("power-kill",E643)),ISNUMBER(SEARCH("wide pedal",E643)),ISNUMBER(SEARCH("metal pedal",E643))),"Snap Traps",
OR(ISNUMBER(SEARCH("electronic",E643)),ISNUMBER(SEARCH("zapper",E643))),"Electronic Traps",
OR(ISNUMBER(SEARCH("live catch",E643)),ISNUMBER(SEARCH("multi-catch",E643)),ISNUMBER(SEARCH("catch &amp; hold",E643)),ISNUMBER(SEARCH("tin cat",E643))),"Live Catch Traps",
OR(ISNUMBER(SEARCH("bait",E643)),ISNUMBER(SEARCH("poison",E643))),"Bait &amp; Poison",
ISNUMBER(SEARCH("repellent",E643)),"Repellents",
OR(ISNUMBER(SEARCH("fly trap",E643)),ISNUMBER(SEARCH("fly ribbon",E643)),ISNUMBER(SEARCH("fly stick",E643)),ISNUMBER(SEARCH("window fly",E643)),ISNUMBER(SEARCH("fly magnet",E643))),"Fly Traps",
OR(ISNUMBER(SEARCH("uv",E643)),ISNUMBER(SEARCH("fly light",E643)),ISNUMBER(SEARCH("plug-in",E643))),"UV Fly Traps",
ISNUMBER(SEARCH("roach",E643)),"Roach Traps",
ISNUMBER(SEARCH("ant",E643)),"Ant Traps",
ISNUMBER(SEARCH("spider",E643)),"Spider Traps",
ISNUMBER(SEARCH("mosquito",E643)),"Mosquito Traps",
ISNUMBER(SEARCH("beetle",E643)),"Beetle Traps",
ISNUMBER(SEARCH("lantern",E643)),"Lanternfly Control",
OR(ISNUMBER(SEARCH("tree shield",E643)),ISNUMBER(SEARCH("tree banding",E643)),ISNUMBER(SEARCH("insect barrier",E643))),"Tree Barriers",
OR(ISNUMBER(SEARCH("sun &amp; shade",E643)),ISNUMBER(SEARCH("sun and shade",E643))),"Sun &amp; Shade Mix",
ISNUMBER(SEARCH("tall fescue",E643)),"Tall Fescue",
ISNUMBER(SEARCH("bermudagrass",E643)),"Bermudagrass",
ISNUMBER(SEARCH("kentucky",E643)),"Kentucky Bluegrass",
ISNUMBER(SEARCH("zoysia",E643)),"Zoysia",
ISNUMBER(SEARCH("ryegrass",E643)),"Perennial Ryegrass",
ISNUMBER(SEARCH("centipede",E643)),"Centipede Grass",
ISNUMBER(SEARCH("dense shade",E643)),"Dense Shade Mix",
ISNUMBER(SEARCH("southern gold",E643)),"Southern Gold Mix",
ISNUMBER(SEARCH("heat-tolerant blue",E643)),"Heat-Tolerant Blue Mix",
ISNUMBER(SEARCH("high traffic",E643)),"High Traffic Mix",
ISNUMBER(SEARCH("quick fix",E643)),"Quick Fix Mix",
ISNUMBER(SEARCH("starter",E643)),"Starter Fertilizer",
ISNUMBER(SEARCH("weed &amp; feed",E643)),"Weed &amp; Feed",
ISNUMBER(SEARCH("lawn food",E643)),"Lawn Food",
ISNUMBER(SEARCH("triple action",E643)),"Triple Action Fertilizer",
ISNUMBER(SEARCH("green max",E643)),"Green Max Lawn Food",
ISNUMBER(SEARCH("patchmaster",E643)),"PatchMaster Repair",
ISNUMBER(SEARCH("ez seed",E643)),"EZ Seed Repair",
ISNUMBER(SEARCH("rapid grass",E643)),"Rapid Grass",
ISNUMBER(SEARCH("thick'r lawn",E643)),"Thick'R Lawn",
ISNUMBER(SEARCH("fungicide",E643)),"Fungicide",
ISNUMBER(SEARCH("moss",E643)),"Moss Control",
ISNUMBER(SEARCH("perlite",E643)),"Perlite",
ISNUMBER(SEARCH("plant food",E643)),"Plant Food",
ISNUMBER(SEARCH("spreader",E643)),"Spreader",
ISNUMBER(SEARCH("sprayer",E643)),"Sprayer",
ISNUMBER(SEARCH("mower",E643)),"Lawn Mower",
ISNUMBER(SEARCH("sweeper",E643)),"Lawn Sweeper",
OR(ISNUMBER(SEARCH("pruner",E643)),ISNUMBER(SEARCH("trimmer",E643)),ISNUMBER(SEARCH("pole saw",E643))),"Pruning Tools",
TRUE,"Other"
)</f>
        <v>Other</v>
      </c>
      <c r="J643" s="7" t="str">
        <f t="shared" si="191"/>
        <v>Rodent Control - Other</v>
      </c>
      <c r="K643" s="4">
        <v>200</v>
      </c>
      <c r="L643" s="4">
        <v>4.5</v>
      </c>
      <c r="M643" s="4">
        <v>3419</v>
      </c>
      <c r="N643" s="4" t="s">
        <v>3223</v>
      </c>
      <c r="O643" s="4">
        <f>VLOOKUP(A643,[13]Sheet1!$A:$M,2,0)</f>
        <v>0</v>
      </c>
      <c r="P643" s="4">
        <f>VLOOKUP(A643,[13]Sheet1!$A:$M,3,0)</f>
        <v>0</v>
      </c>
      <c r="Q643" s="4">
        <f>VLOOKUP(A643,[13]Sheet1!$A:$M,4,0)</f>
        <v>300</v>
      </c>
      <c r="R643" s="4">
        <f>VLOOKUP(A643,[13]Sheet1!$A:$M,5,0)</f>
        <v>700</v>
      </c>
      <c r="S643" s="4">
        <f>VLOOKUP(A643,[13]Sheet1!$A:$M,6,0)</f>
        <v>800</v>
      </c>
      <c r="T643" s="4">
        <f>VLOOKUP(A643,[13]Sheet1!$A:$M,7,0)</f>
        <v>700</v>
      </c>
      <c r="U643" s="4">
        <f>VLOOKUP(A643,[13]Sheet1!$A:$M,8,0)</f>
        <v>300</v>
      </c>
      <c r="V643" s="4">
        <f>VLOOKUP(A643,[13]Sheet1!$A:$M,9,0)</f>
        <v>200</v>
      </c>
      <c r="W643" s="4">
        <f>VLOOKUP(A643,[13]Sheet1!$A:$M,10,0)</f>
        <v>300</v>
      </c>
      <c r="X643" s="4">
        <f>VLOOKUP(A643,[13]Sheet1!$A:$M,11,0)</f>
        <v>0</v>
      </c>
      <c r="Y643" s="4">
        <f>VLOOKUP(A643,[13]Sheet1!$A:$M,12,0)</f>
        <v>0</v>
      </c>
      <c r="Z643" s="4">
        <f>VLOOKUP(A643,[13]Sheet1!$A:$M,13,0)</f>
        <v>0</v>
      </c>
      <c r="AA643" s="4">
        <f t="shared" si="192"/>
        <v>3300</v>
      </c>
      <c r="AB643" s="7">
        <f t="shared" si="193"/>
        <v>275</v>
      </c>
      <c r="AC643" s="15">
        <f t="shared" si="194"/>
        <v>275</v>
      </c>
      <c r="AD643" s="16">
        <f t="shared" si="195"/>
        <v>90222</v>
      </c>
      <c r="AE643" s="16">
        <f t="shared" si="196"/>
        <v>7518.5</v>
      </c>
      <c r="AF643" s="21">
        <v>9.6199999999999992</v>
      </c>
      <c r="AG643" s="21">
        <v>27.34</v>
      </c>
      <c r="AH643" s="15">
        <f t="shared" si="189"/>
        <v>2.1066666666666716E-2</v>
      </c>
      <c r="AI643" s="15">
        <f t="shared" si="190"/>
        <v>7.3733333333333498E-2</v>
      </c>
      <c r="AJ643" s="10">
        <v>0.5</v>
      </c>
      <c r="AK643" s="10">
        <v>0.5</v>
      </c>
      <c r="AL643" s="21">
        <v>9.6199999999999992</v>
      </c>
      <c r="AM643" s="9">
        <f t="shared" ref="AM643:AM706" si="197">0.15*AG643</f>
        <v>4.101</v>
      </c>
      <c r="AN643" s="9">
        <f t="shared" ref="AN643:AN706" si="198">0.03*AG643</f>
        <v>0.82019999999999993</v>
      </c>
      <c r="AO643" s="9">
        <f t="shared" ref="AO643:AO706" si="199">0.2*AG643</f>
        <v>5.468</v>
      </c>
      <c r="AP643" s="9">
        <f t="shared" ref="AP643:AP706" si="200">0.02*AG643</f>
        <v>0.54680000000000006</v>
      </c>
      <c r="AQ643" s="9">
        <f t="shared" ref="AQ643:AQ706" si="201">0.2*AG643</f>
        <v>5.468</v>
      </c>
      <c r="AR643" s="9">
        <f t="shared" ref="AR643:AR706" si="202">0.25*AG643</f>
        <v>6.835</v>
      </c>
      <c r="AS643" s="11">
        <f t="shared" ref="AS643:AS706" si="203">(AG643*(1-(0.15+0.03+0.2+0.02))-AJ643-AK643-AL643-AQ643)/(1+0.1+0.4)</f>
        <v>0.21066666666666714</v>
      </c>
      <c r="AT643" s="12">
        <f t="shared" ref="AT643:AT706" si="204">(AG643*(1-(0.15+0.03+0.2+0.02))-AJ643-AK643-AL643-AR643)/(1+0.1+0.4)</f>
        <v>-0.70066666666666622</v>
      </c>
    </row>
    <row r="644" spans="1:46" ht="16.5" x14ac:dyDescent="0.4">
      <c r="A644" s="4" t="s">
        <v>2634</v>
      </c>
      <c r="B644" s="4" t="s">
        <v>2710</v>
      </c>
      <c r="C644" s="4" t="s">
        <v>2714</v>
      </c>
      <c r="D644" s="4" t="s">
        <v>2813</v>
      </c>
      <c r="E644" s="4" t="s">
        <v>2972</v>
      </c>
      <c r="F644" s="4" t="s">
        <v>3131</v>
      </c>
      <c r="G644" s="7" t="str">
        <f>VLOOKUP(A644,[1]done!$A:$I,9,0)</f>
        <v>Rodent</v>
      </c>
      <c r="H644" s="7" t="str" cm="1">
        <f t="array" ref="H644">_xlfn.IFS(
OR(ISNUMBER(SEARCH("mouse",E644)),ISNUMBER(SEARCH("rat",E644)),ISNUMBER(SEARCH("mice",E644)),ISNUMBER(SEARCH("rodent",E644))),"Rodent Control",
OR(ISNUMBER(SEARCH("fly",E644)),ISNUMBER(SEARCH("gnat",E644)),ISNUMBER(SEARCH("insect",E644)),ISNUMBER(SEARCH("mosquito",E644))),"Flying Insect Control",
OR(ISNUMBER(SEARCH("roach",E644)),ISNUMBER(SEARCH("ant",E644)),ISNUMBER(SEARCH("spider",E644)),ISNUMBER(SEARCH("cricket",E644)),ISNUMBER(SEARCH("scorpion",E644)),ISNUMBER(SEARCH("centipede",E644)),ISNUMBER(SEARCH("beetle",E644))),"Crawling Insect Control",
OR(ISNUMBER(SEARCH("tree",E644)),ISNUMBER(SEARCH("lantern",E644)),ISNUMBER(SEARCH("garden",E644)),ISNUMBER(SEARCH("plant",E644))),"Garden Pest Control",
OR(ISNUMBER(SEARCH("grass seed",E644)),ISNUMBER(SEARCH("seed mix",E644))),"Grass Seed",
OR(ISNUMBER(SEARCH("lawn food",E644)),ISNUMBER(SEARCH("fertilizer",E644))),"Lawn Fertilizer",
OR(ISNUMBER(SEARCH("patch",E644)),ISNUMBER(SEARCH("repair",E644)),ISNUMBER(SEARCH("thick'r",E644)),ISNUMBER(SEARCH("thick'r lawn",E644)),ISNUMBER(SEARCH("rapid grass",E644))),"Lawn Repair",
OR(ISNUMBER(SEARCH("weed",E644)),ISNUMBER(SEARCH("crabgrass",E644))),"Weed Control",
OR(ISNUMBER(SEARCH("fungicide",E644)),ISNUMBER(SEARCH("moss",E644))),"Disease &amp; Moss Control",
OR(ISNUMBER(SEARCH("plant food",E644)),ISNUMBER(SEARCH("miracid",E644))),"Plant Nutrition",
OR(ISNUMBER(SEARCH("perlite",E644))),"Soil Amendment",
OR(ISNUMBER(SEARCH("spreader",E644)),ISNUMBER(SEARCH("sprayer",E644)),ISNUMBER(SEARCH("mower",E644)),ISNUMBER(SEARCH("sweeper",E644)),ISNUMBER(SEARCH("pruner",E644)),ISNUMBER(SEARCH("trimmer",E644)),ISNUMBER(SEARCH("pole saw",E644))),"Garden Equipment",
TRUE,"Other"
)</f>
        <v>Rodent Control</v>
      </c>
      <c r="I644" s="7" t="str" cm="1">
        <f t="array" ref="I644">_xlfn.IFS(
OR(ISNUMBER(SEARCH("glue trap",E644)),ISNUMBER(SEARCH("glue board",E644))),"Glue Traps",
OR(ISNUMBER(SEARCH("snap trap",E644)),ISNUMBER(SEARCH("power-kill",E644)),ISNUMBER(SEARCH("wide pedal",E644)),ISNUMBER(SEARCH("metal pedal",E644))),"Snap Traps",
OR(ISNUMBER(SEARCH("electronic",E644)),ISNUMBER(SEARCH("zapper",E644))),"Electronic Traps",
OR(ISNUMBER(SEARCH("live catch",E644)),ISNUMBER(SEARCH("multi-catch",E644)),ISNUMBER(SEARCH("catch &amp; hold",E644)),ISNUMBER(SEARCH("tin cat",E644))),"Live Catch Traps",
OR(ISNUMBER(SEARCH("bait",E644)),ISNUMBER(SEARCH("poison",E644))),"Bait &amp; Poison",
ISNUMBER(SEARCH("repellent",E644)),"Repellents",
OR(ISNUMBER(SEARCH("fly trap",E644)),ISNUMBER(SEARCH("fly ribbon",E644)),ISNUMBER(SEARCH("fly stick",E644)),ISNUMBER(SEARCH("window fly",E644)),ISNUMBER(SEARCH("fly magnet",E644))),"Fly Traps",
OR(ISNUMBER(SEARCH("uv",E644)),ISNUMBER(SEARCH("fly light",E644)),ISNUMBER(SEARCH("plug-in",E644))),"UV Fly Traps",
ISNUMBER(SEARCH("roach",E644)),"Roach Traps",
ISNUMBER(SEARCH("ant",E644)),"Ant Traps",
ISNUMBER(SEARCH("spider",E644)),"Spider Traps",
ISNUMBER(SEARCH("mosquito",E644)),"Mosquito Traps",
ISNUMBER(SEARCH("beetle",E644)),"Beetle Traps",
ISNUMBER(SEARCH("lantern",E644)),"Lanternfly Control",
OR(ISNUMBER(SEARCH("tree shield",E644)),ISNUMBER(SEARCH("tree banding",E644)),ISNUMBER(SEARCH("insect barrier",E644))),"Tree Barriers",
OR(ISNUMBER(SEARCH("sun &amp; shade",E644)),ISNUMBER(SEARCH("sun and shade",E644))),"Sun &amp; Shade Mix",
ISNUMBER(SEARCH("tall fescue",E644)),"Tall Fescue",
ISNUMBER(SEARCH("bermudagrass",E644)),"Bermudagrass",
ISNUMBER(SEARCH("kentucky",E644)),"Kentucky Bluegrass",
ISNUMBER(SEARCH("zoysia",E644)),"Zoysia",
ISNUMBER(SEARCH("ryegrass",E644)),"Perennial Ryegrass",
ISNUMBER(SEARCH("centipede",E644)),"Centipede Grass",
ISNUMBER(SEARCH("dense shade",E644)),"Dense Shade Mix",
ISNUMBER(SEARCH("southern gold",E644)),"Southern Gold Mix",
ISNUMBER(SEARCH("heat-tolerant blue",E644)),"Heat-Tolerant Blue Mix",
ISNUMBER(SEARCH("high traffic",E644)),"High Traffic Mix",
ISNUMBER(SEARCH("quick fix",E644)),"Quick Fix Mix",
ISNUMBER(SEARCH("starter",E644)),"Starter Fertilizer",
ISNUMBER(SEARCH("weed &amp; feed",E644)),"Weed &amp; Feed",
ISNUMBER(SEARCH("lawn food",E644)),"Lawn Food",
ISNUMBER(SEARCH("triple action",E644)),"Triple Action Fertilizer",
ISNUMBER(SEARCH("green max",E644)),"Green Max Lawn Food",
ISNUMBER(SEARCH("patchmaster",E644)),"PatchMaster Repair",
ISNUMBER(SEARCH("ez seed",E644)),"EZ Seed Repair",
ISNUMBER(SEARCH("rapid grass",E644)),"Rapid Grass",
ISNUMBER(SEARCH("thick'r lawn",E644)),"Thick'R Lawn",
ISNUMBER(SEARCH("fungicide",E644)),"Fungicide",
ISNUMBER(SEARCH("moss",E644)),"Moss Control",
ISNUMBER(SEARCH("perlite",E644)),"Perlite",
ISNUMBER(SEARCH("plant food",E644)),"Plant Food",
ISNUMBER(SEARCH("spreader",E644)),"Spreader",
ISNUMBER(SEARCH("sprayer",E644)),"Sprayer",
ISNUMBER(SEARCH("mower",E644)),"Lawn Mower",
ISNUMBER(SEARCH("sweeper",E644)),"Lawn Sweeper",
OR(ISNUMBER(SEARCH("pruner",E644)),ISNUMBER(SEARCH("trimmer",E644)),ISNUMBER(SEARCH("pole saw",E644))),"Pruning Tools",
TRUE,"Other"
)</f>
        <v>Repellents</v>
      </c>
      <c r="J644" s="7" t="str">
        <f t="shared" si="191"/>
        <v>Rodent Control - Repellents</v>
      </c>
      <c r="K644" s="4">
        <v>200</v>
      </c>
      <c r="L644" s="4">
        <v>4.0999999999999996</v>
      </c>
      <c r="M644" s="4">
        <v>1746</v>
      </c>
      <c r="N644" s="4" t="s">
        <v>3229</v>
      </c>
      <c r="O644" s="4">
        <f>VLOOKUP(A644,[13]Sheet1!$A:$M,2,0)</f>
        <v>0</v>
      </c>
      <c r="P644" s="4">
        <f>VLOOKUP(A644,[13]Sheet1!$A:$M,3,0)</f>
        <v>0</v>
      </c>
      <c r="Q644" s="4">
        <f>VLOOKUP(A644,[13]Sheet1!$A:$M,4,0)</f>
        <v>50</v>
      </c>
      <c r="R644" s="4">
        <f>VLOOKUP(A644,[13]Sheet1!$A:$M,5,0)</f>
        <v>50</v>
      </c>
      <c r="S644" s="4">
        <f>VLOOKUP(A644,[13]Sheet1!$A:$M,6,0)</f>
        <v>50</v>
      </c>
      <c r="T644" s="4">
        <f>VLOOKUP(A644,[13]Sheet1!$A:$M,7,0)</f>
        <v>100</v>
      </c>
      <c r="U644" s="4">
        <f>VLOOKUP(A644,[13]Sheet1!$A:$M,8,0)</f>
        <v>100</v>
      </c>
      <c r="V644" s="4">
        <f>VLOOKUP(A644,[13]Sheet1!$A:$M,9,0)</f>
        <v>100</v>
      </c>
      <c r="W644" s="4">
        <f>VLOOKUP(A644,[13]Sheet1!$A:$M,10,0)</f>
        <v>300</v>
      </c>
      <c r="X644" s="4">
        <f>VLOOKUP(A644,[13]Sheet1!$A:$M,11,0)</f>
        <v>0</v>
      </c>
      <c r="Y644" s="4">
        <f>VLOOKUP(A644,[13]Sheet1!$A:$M,12,0)</f>
        <v>0</v>
      </c>
      <c r="Z644" s="4">
        <f>VLOOKUP(A644,[13]Sheet1!$A:$M,13,0)</f>
        <v>0</v>
      </c>
      <c r="AA644" s="4">
        <f t="shared" si="192"/>
        <v>750</v>
      </c>
      <c r="AB644" s="7">
        <f t="shared" si="193"/>
        <v>63</v>
      </c>
      <c r="AC644" s="15">
        <f t="shared" si="194"/>
        <v>62.5</v>
      </c>
      <c r="AD644" s="16">
        <f t="shared" si="195"/>
        <v>5835</v>
      </c>
      <c r="AE644" s="16">
        <f t="shared" si="196"/>
        <v>486.25</v>
      </c>
      <c r="AF644" s="21">
        <v>4.09</v>
      </c>
      <c r="AG644" s="21">
        <v>7.78</v>
      </c>
      <c r="AH644" s="15">
        <f t="shared" si="189"/>
        <v>-0.13186666666666666</v>
      </c>
      <c r="AI644" s="15">
        <f t="shared" si="190"/>
        <v>-0.46153333333333324</v>
      </c>
      <c r="AJ644" s="10">
        <v>0.5</v>
      </c>
      <c r="AK644" s="10">
        <v>0.5</v>
      </c>
      <c r="AL644" s="21">
        <v>4.09</v>
      </c>
      <c r="AM644" s="9">
        <f t="shared" si="197"/>
        <v>1.167</v>
      </c>
      <c r="AN644" s="9">
        <f t="shared" si="198"/>
        <v>0.2334</v>
      </c>
      <c r="AO644" s="9">
        <f t="shared" si="199"/>
        <v>1.556</v>
      </c>
      <c r="AP644" s="9">
        <f t="shared" si="200"/>
        <v>0.15560000000000002</v>
      </c>
      <c r="AQ644" s="9">
        <f t="shared" si="201"/>
        <v>1.556</v>
      </c>
      <c r="AR644" s="9">
        <f t="shared" si="202"/>
        <v>1.9450000000000001</v>
      </c>
      <c r="AS644" s="11">
        <f t="shared" si="203"/>
        <v>-1.3186666666666664</v>
      </c>
      <c r="AT644" s="12">
        <f t="shared" si="204"/>
        <v>-1.5780000000000001</v>
      </c>
    </row>
    <row r="645" spans="1:46" ht="16.5" x14ac:dyDescent="0.4">
      <c r="A645" s="4" t="s">
        <v>2635</v>
      </c>
      <c r="B645" s="4" t="s">
        <v>2710</v>
      </c>
      <c r="D645" s="4" t="s">
        <v>2814</v>
      </c>
      <c r="E645" s="4" t="s">
        <v>2973</v>
      </c>
      <c r="F645" s="4" t="s">
        <v>3132</v>
      </c>
      <c r="G645" s="7" t="str">
        <f>VLOOKUP(A645,[1]done!$A:$I,9,0)</f>
        <v>Other crawling insects</v>
      </c>
      <c r="H645" s="7" t="str" cm="1">
        <f t="array" ref="H645">_xlfn.IFS(
OR(ISNUMBER(SEARCH("mouse",E645)),ISNUMBER(SEARCH("rat",E645)),ISNUMBER(SEARCH("mice",E645)),ISNUMBER(SEARCH("rodent",E645))),"Rodent Control",
OR(ISNUMBER(SEARCH("fly",E645)),ISNUMBER(SEARCH("gnat",E645)),ISNUMBER(SEARCH("insect",E645)),ISNUMBER(SEARCH("mosquito",E645))),"Flying Insect Control",
OR(ISNUMBER(SEARCH("roach",E645)),ISNUMBER(SEARCH("ant",E645)),ISNUMBER(SEARCH("spider",E645)),ISNUMBER(SEARCH("cricket",E645)),ISNUMBER(SEARCH("scorpion",E645)),ISNUMBER(SEARCH("centipede",E645)),ISNUMBER(SEARCH("beetle",E645))),"Crawling Insect Control",
OR(ISNUMBER(SEARCH("tree",E645)),ISNUMBER(SEARCH("lantern",E645)),ISNUMBER(SEARCH("garden",E645)),ISNUMBER(SEARCH("plant",E645))),"Garden Pest Control",
OR(ISNUMBER(SEARCH("grass seed",E645)),ISNUMBER(SEARCH("seed mix",E645))),"Grass Seed",
OR(ISNUMBER(SEARCH("lawn food",E645)),ISNUMBER(SEARCH("fertilizer",E645))),"Lawn Fertilizer",
OR(ISNUMBER(SEARCH("patch",E645)),ISNUMBER(SEARCH("repair",E645)),ISNUMBER(SEARCH("thick'r",E645)),ISNUMBER(SEARCH("thick'r lawn",E645)),ISNUMBER(SEARCH("rapid grass",E645))),"Lawn Repair",
OR(ISNUMBER(SEARCH("weed",E645)),ISNUMBER(SEARCH("crabgrass",E645))),"Weed Control",
OR(ISNUMBER(SEARCH("fungicide",E645)),ISNUMBER(SEARCH("moss",E645))),"Disease &amp; Moss Control",
OR(ISNUMBER(SEARCH("plant food",E645)),ISNUMBER(SEARCH("miracid",E645))),"Plant Nutrition",
OR(ISNUMBER(SEARCH("perlite",E645))),"Soil Amendment",
OR(ISNUMBER(SEARCH("spreader",E645)),ISNUMBER(SEARCH("sprayer",E645)),ISNUMBER(SEARCH("mower",E645)),ISNUMBER(SEARCH("sweeper",E645)),ISNUMBER(SEARCH("pruner",E645)),ISNUMBER(SEARCH("trimmer",E645)),ISNUMBER(SEARCH("pole saw",E645))),"Garden Equipment",
TRUE,"Other"
)</f>
        <v>Flying Insect Control</v>
      </c>
      <c r="I645" s="7" t="str" cm="1">
        <f t="array" ref="I645">_xlfn.IFS(
OR(ISNUMBER(SEARCH("glue trap",E645)),ISNUMBER(SEARCH("glue board",E645))),"Glue Traps",
OR(ISNUMBER(SEARCH("snap trap",E645)),ISNUMBER(SEARCH("power-kill",E645)),ISNUMBER(SEARCH("wide pedal",E645)),ISNUMBER(SEARCH("metal pedal",E645))),"Snap Traps",
OR(ISNUMBER(SEARCH("electronic",E645)),ISNUMBER(SEARCH("zapper",E645))),"Electronic Traps",
OR(ISNUMBER(SEARCH("live catch",E645)),ISNUMBER(SEARCH("multi-catch",E645)),ISNUMBER(SEARCH("catch &amp; hold",E645)),ISNUMBER(SEARCH("tin cat",E645))),"Live Catch Traps",
OR(ISNUMBER(SEARCH("bait",E645)),ISNUMBER(SEARCH("poison",E645))),"Bait &amp; Poison",
ISNUMBER(SEARCH("repellent",E645)),"Repellents",
OR(ISNUMBER(SEARCH("fly trap",E645)),ISNUMBER(SEARCH("fly ribbon",E645)),ISNUMBER(SEARCH("fly stick",E645)),ISNUMBER(SEARCH("window fly",E645)),ISNUMBER(SEARCH("fly magnet",E645))),"Fly Traps",
OR(ISNUMBER(SEARCH("uv",E645)),ISNUMBER(SEARCH("fly light",E645)),ISNUMBER(SEARCH("plug-in",E645))),"UV Fly Traps",
ISNUMBER(SEARCH("roach",E645)),"Roach Traps",
ISNUMBER(SEARCH("ant",E645)),"Ant Traps",
ISNUMBER(SEARCH("spider",E645)),"Spider Traps",
ISNUMBER(SEARCH("mosquito",E645)),"Mosquito Traps",
ISNUMBER(SEARCH("beetle",E645)),"Beetle Traps",
ISNUMBER(SEARCH("lantern",E645)),"Lanternfly Control",
OR(ISNUMBER(SEARCH("tree shield",E645)),ISNUMBER(SEARCH("tree banding",E645)),ISNUMBER(SEARCH("insect barrier",E645))),"Tree Barriers",
OR(ISNUMBER(SEARCH("sun &amp; shade",E645)),ISNUMBER(SEARCH("sun and shade",E645))),"Sun &amp; Shade Mix",
ISNUMBER(SEARCH("tall fescue",E645)),"Tall Fescue",
ISNUMBER(SEARCH("bermudagrass",E645)),"Bermudagrass",
ISNUMBER(SEARCH("kentucky",E645)),"Kentucky Bluegrass",
ISNUMBER(SEARCH("zoysia",E645)),"Zoysia",
ISNUMBER(SEARCH("ryegrass",E645)),"Perennial Ryegrass",
ISNUMBER(SEARCH("centipede",E645)),"Centipede Grass",
ISNUMBER(SEARCH("dense shade",E645)),"Dense Shade Mix",
ISNUMBER(SEARCH("southern gold",E645)),"Southern Gold Mix",
ISNUMBER(SEARCH("heat-tolerant blue",E645)),"Heat-Tolerant Blue Mix",
ISNUMBER(SEARCH("high traffic",E645)),"High Traffic Mix",
ISNUMBER(SEARCH("quick fix",E645)),"Quick Fix Mix",
ISNUMBER(SEARCH("starter",E645)),"Starter Fertilizer",
ISNUMBER(SEARCH("weed &amp; feed",E645)),"Weed &amp; Feed",
ISNUMBER(SEARCH("lawn food",E645)),"Lawn Food",
ISNUMBER(SEARCH("triple action",E645)),"Triple Action Fertilizer",
ISNUMBER(SEARCH("green max",E645)),"Green Max Lawn Food",
ISNUMBER(SEARCH("patchmaster",E645)),"PatchMaster Repair",
ISNUMBER(SEARCH("ez seed",E645)),"EZ Seed Repair",
ISNUMBER(SEARCH("rapid grass",E645)),"Rapid Grass",
ISNUMBER(SEARCH("thick'r lawn",E645)),"Thick'R Lawn",
ISNUMBER(SEARCH("fungicide",E645)),"Fungicide",
ISNUMBER(SEARCH("moss",E645)),"Moss Control",
ISNUMBER(SEARCH("perlite",E645)),"Perlite",
ISNUMBER(SEARCH("plant food",E645)),"Plant Food",
ISNUMBER(SEARCH("spreader",E645)),"Spreader",
ISNUMBER(SEARCH("sprayer",E645)),"Sprayer",
ISNUMBER(SEARCH("mower",E645)),"Lawn Mower",
ISNUMBER(SEARCH("sweeper",E645)),"Lawn Sweeper",
OR(ISNUMBER(SEARCH("pruner",E645)),ISNUMBER(SEARCH("trimmer",E645)),ISNUMBER(SEARCH("pole saw",E645))),"Pruning Tools",
TRUE,"Other"
)</f>
        <v>Ant Traps</v>
      </c>
      <c r="J645" s="7" t="str">
        <f t="shared" si="191"/>
        <v>Flying Insect Control - Ant Traps</v>
      </c>
      <c r="K645" s="4">
        <v>200</v>
      </c>
      <c r="L645" s="4">
        <v>4.4000000000000004</v>
      </c>
      <c r="M645" s="4">
        <v>1182</v>
      </c>
      <c r="O645" s="4">
        <f>VLOOKUP(A645,[13]Sheet1!$A:$M,2,0)</f>
        <v>1000</v>
      </c>
      <c r="P645" s="4">
        <f>VLOOKUP(A645,[13]Sheet1!$A:$M,3,0)</f>
        <v>1000</v>
      </c>
      <c r="Q645" s="4">
        <f>VLOOKUP(A645,[13]Sheet1!$A:$M,4,0)</f>
        <v>1000</v>
      </c>
      <c r="R645" s="4">
        <f>VLOOKUP(A645,[13]Sheet1!$A:$M,5,0)</f>
        <v>1000</v>
      </c>
      <c r="S645" s="4">
        <f>VLOOKUP(A645,[13]Sheet1!$A:$M,6,0)</f>
        <v>800</v>
      </c>
      <c r="T645" s="4">
        <f>VLOOKUP(A645,[13]Sheet1!$A:$M,7,0)</f>
        <v>800</v>
      </c>
      <c r="U645" s="4">
        <f>VLOOKUP(A645,[13]Sheet1!$A:$M,8,0)</f>
        <v>700</v>
      </c>
      <c r="V645" s="4">
        <f>VLOOKUP(A645,[13]Sheet1!$A:$M,9,0)</f>
        <v>600</v>
      </c>
      <c r="W645" s="4">
        <f>VLOOKUP(A645,[13]Sheet1!$A:$M,10,0)</f>
        <v>200</v>
      </c>
      <c r="X645" s="4">
        <f>VLOOKUP(A645,[13]Sheet1!$A:$M,11,0)</f>
        <v>400</v>
      </c>
      <c r="Y645" s="4">
        <f>VLOOKUP(A645,[13]Sheet1!$A:$M,12,0)</f>
        <v>700</v>
      </c>
      <c r="Z645" s="4">
        <f>VLOOKUP(A645,[13]Sheet1!$A:$M,13,0)</f>
        <v>700</v>
      </c>
      <c r="AA645" s="4">
        <f t="shared" si="192"/>
        <v>8900</v>
      </c>
      <c r="AB645" s="7">
        <f t="shared" si="193"/>
        <v>742</v>
      </c>
      <c r="AC645" s="15">
        <f t="shared" si="194"/>
        <v>741.66666666666663</v>
      </c>
      <c r="AD645" s="16">
        <f t="shared" si="195"/>
        <v>133411</v>
      </c>
      <c r="AE645" s="16">
        <f t="shared" si="196"/>
        <v>11117.583333333332</v>
      </c>
      <c r="AF645" s="21">
        <v>4.3499999999999996</v>
      </c>
      <c r="AG645" s="21">
        <v>14.99</v>
      </c>
      <c r="AH645" s="15">
        <f t="shared" si="189"/>
        <v>4.3066666666666663E-2</v>
      </c>
      <c r="AI645" s="15">
        <f t="shared" si="190"/>
        <v>0.1507333333333333</v>
      </c>
      <c r="AJ645" s="10">
        <v>0.5</v>
      </c>
      <c r="AK645" s="10">
        <v>0.5</v>
      </c>
      <c r="AL645" s="21">
        <v>4.3499999999999996</v>
      </c>
      <c r="AM645" s="9">
        <f t="shared" si="197"/>
        <v>2.2484999999999999</v>
      </c>
      <c r="AN645" s="9">
        <f t="shared" si="198"/>
        <v>0.44969999999999999</v>
      </c>
      <c r="AO645" s="9">
        <f t="shared" si="199"/>
        <v>2.9980000000000002</v>
      </c>
      <c r="AP645" s="9">
        <f t="shared" si="200"/>
        <v>0.29980000000000001</v>
      </c>
      <c r="AQ645" s="9">
        <f t="shared" si="201"/>
        <v>2.9980000000000002</v>
      </c>
      <c r="AR645" s="9">
        <f t="shared" si="202"/>
        <v>3.7475000000000001</v>
      </c>
      <c r="AS645" s="11">
        <f t="shared" si="203"/>
        <v>0.43066666666666659</v>
      </c>
      <c r="AT645" s="12">
        <f t="shared" si="204"/>
        <v>-6.899999999999995E-2</v>
      </c>
    </row>
    <row r="646" spans="1:46" ht="16.5" x14ac:dyDescent="0.4">
      <c r="A646" s="4" t="s">
        <v>2636</v>
      </c>
      <c r="B646" s="4" t="s">
        <v>2710</v>
      </c>
      <c r="C646" s="4" t="s">
        <v>2714</v>
      </c>
      <c r="D646" s="4" t="s">
        <v>2815</v>
      </c>
      <c r="E646" s="4" t="s">
        <v>2974</v>
      </c>
      <c r="F646" s="4" t="s">
        <v>3133</v>
      </c>
      <c r="G646" s="7" t="str">
        <f>VLOOKUP(A646,[1]done!$A:$I,9,0)</f>
        <v>Insecticide/Fungicide</v>
      </c>
      <c r="H646" s="7" t="str" cm="1">
        <f t="array" ref="H646">_xlfn.IFS(
OR(ISNUMBER(SEARCH("mouse",E646)),ISNUMBER(SEARCH("rat",E646)),ISNUMBER(SEARCH("mice",E646)),ISNUMBER(SEARCH("rodent",E646))),"Rodent Control",
OR(ISNUMBER(SEARCH("fly",E646)),ISNUMBER(SEARCH("gnat",E646)),ISNUMBER(SEARCH("insect",E646)),ISNUMBER(SEARCH("mosquito",E646))),"Flying Insect Control",
OR(ISNUMBER(SEARCH("roach",E646)),ISNUMBER(SEARCH("ant",E646)),ISNUMBER(SEARCH("spider",E646)),ISNUMBER(SEARCH("cricket",E646)),ISNUMBER(SEARCH("scorpion",E646)),ISNUMBER(SEARCH("centipede",E646)),ISNUMBER(SEARCH("beetle",E646))),"Crawling Insect Control",
OR(ISNUMBER(SEARCH("tree",E646)),ISNUMBER(SEARCH("lantern",E646)),ISNUMBER(SEARCH("garden",E646)),ISNUMBER(SEARCH("plant",E646))),"Garden Pest Control",
OR(ISNUMBER(SEARCH("grass seed",E646)),ISNUMBER(SEARCH("seed mix",E646))),"Grass Seed",
OR(ISNUMBER(SEARCH("lawn food",E646)),ISNUMBER(SEARCH("fertilizer",E646))),"Lawn Fertilizer",
OR(ISNUMBER(SEARCH("patch",E646)),ISNUMBER(SEARCH("repair",E646)),ISNUMBER(SEARCH("thick'r",E646)),ISNUMBER(SEARCH("thick'r lawn",E646)),ISNUMBER(SEARCH("rapid grass",E646))),"Lawn Repair",
OR(ISNUMBER(SEARCH("weed",E646)),ISNUMBER(SEARCH("crabgrass",E646))),"Weed Control",
OR(ISNUMBER(SEARCH("fungicide",E646)),ISNUMBER(SEARCH("moss",E646))),"Disease &amp; Moss Control",
OR(ISNUMBER(SEARCH("plant food",E646)),ISNUMBER(SEARCH("miracid",E646))),"Plant Nutrition",
OR(ISNUMBER(SEARCH("perlite",E646))),"Soil Amendment",
OR(ISNUMBER(SEARCH("spreader",E646)),ISNUMBER(SEARCH("sprayer",E646)),ISNUMBER(SEARCH("mower",E646)),ISNUMBER(SEARCH("sweeper",E646)),ISNUMBER(SEARCH("pruner",E646)),ISNUMBER(SEARCH("trimmer",E646)),ISNUMBER(SEARCH("pole saw",E646))),"Garden Equipment",
TRUE,"Other"
)</f>
        <v>Flying Insect Control</v>
      </c>
      <c r="I646" s="7" t="str" cm="1">
        <f t="array" ref="I646">_xlfn.IFS(
OR(ISNUMBER(SEARCH("glue trap",E646)),ISNUMBER(SEARCH("glue board",E646))),"Glue Traps",
OR(ISNUMBER(SEARCH("snap trap",E646)),ISNUMBER(SEARCH("power-kill",E646)),ISNUMBER(SEARCH("wide pedal",E646)),ISNUMBER(SEARCH("metal pedal",E646))),"Snap Traps",
OR(ISNUMBER(SEARCH("electronic",E646)),ISNUMBER(SEARCH("zapper",E646))),"Electronic Traps",
OR(ISNUMBER(SEARCH("live catch",E646)),ISNUMBER(SEARCH("multi-catch",E646)),ISNUMBER(SEARCH("catch &amp; hold",E646)),ISNUMBER(SEARCH("tin cat",E646))),"Live Catch Traps",
OR(ISNUMBER(SEARCH("bait",E646)),ISNUMBER(SEARCH("poison",E646))),"Bait &amp; Poison",
ISNUMBER(SEARCH("repellent",E646)),"Repellents",
OR(ISNUMBER(SEARCH("fly trap",E646)),ISNUMBER(SEARCH("fly ribbon",E646)),ISNUMBER(SEARCH("fly stick",E646)),ISNUMBER(SEARCH("window fly",E646)),ISNUMBER(SEARCH("fly magnet",E646))),"Fly Traps",
OR(ISNUMBER(SEARCH("uv",E646)),ISNUMBER(SEARCH("fly light",E646)),ISNUMBER(SEARCH("plug-in",E646))),"UV Fly Traps",
ISNUMBER(SEARCH("roach",E646)),"Roach Traps",
ISNUMBER(SEARCH("ant",E646)),"Ant Traps",
ISNUMBER(SEARCH("spider",E646)),"Spider Traps",
ISNUMBER(SEARCH("mosquito",E646)),"Mosquito Traps",
ISNUMBER(SEARCH("beetle",E646)),"Beetle Traps",
ISNUMBER(SEARCH("lantern",E646)),"Lanternfly Control",
OR(ISNUMBER(SEARCH("tree shield",E646)),ISNUMBER(SEARCH("tree banding",E646)),ISNUMBER(SEARCH("insect barrier",E646))),"Tree Barriers",
OR(ISNUMBER(SEARCH("sun &amp; shade",E646)),ISNUMBER(SEARCH("sun and shade",E646))),"Sun &amp; Shade Mix",
ISNUMBER(SEARCH("tall fescue",E646)),"Tall Fescue",
ISNUMBER(SEARCH("bermudagrass",E646)),"Bermudagrass",
ISNUMBER(SEARCH("kentucky",E646)),"Kentucky Bluegrass",
ISNUMBER(SEARCH("zoysia",E646)),"Zoysia",
ISNUMBER(SEARCH("ryegrass",E646)),"Perennial Ryegrass",
ISNUMBER(SEARCH("centipede",E646)),"Centipede Grass",
ISNUMBER(SEARCH("dense shade",E646)),"Dense Shade Mix",
ISNUMBER(SEARCH("southern gold",E646)),"Southern Gold Mix",
ISNUMBER(SEARCH("heat-tolerant blue",E646)),"Heat-Tolerant Blue Mix",
ISNUMBER(SEARCH("high traffic",E646)),"High Traffic Mix",
ISNUMBER(SEARCH("quick fix",E646)),"Quick Fix Mix",
ISNUMBER(SEARCH("starter",E646)),"Starter Fertilizer",
ISNUMBER(SEARCH("weed &amp; feed",E646)),"Weed &amp; Feed",
ISNUMBER(SEARCH("lawn food",E646)),"Lawn Food",
ISNUMBER(SEARCH("triple action",E646)),"Triple Action Fertilizer",
ISNUMBER(SEARCH("green max",E646)),"Green Max Lawn Food",
ISNUMBER(SEARCH("patchmaster",E646)),"PatchMaster Repair",
ISNUMBER(SEARCH("ez seed",E646)),"EZ Seed Repair",
ISNUMBER(SEARCH("rapid grass",E646)),"Rapid Grass",
ISNUMBER(SEARCH("thick'r lawn",E646)),"Thick'R Lawn",
ISNUMBER(SEARCH("fungicide",E646)),"Fungicide",
ISNUMBER(SEARCH("moss",E646)),"Moss Control",
ISNUMBER(SEARCH("perlite",E646)),"Perlite",
ISNUMBER(SEARCH("plant food",E646)),"Plant Food",
ISNUMBER(SEARCH("spreader",E646)),"Spreader",
ISNUMBER(SEARCH("sprayer",E646)),"Sprayer",
ISNUMBER(SEARCH("mower",E646)),"Lawn Mower",
ISNUMBER(SEARCH("sweeper",E646)),"Lawn Sweeper",
OR(ISNUMBER(SEARCH("pruner",E646)),ISNUMBER(SEARCH("trimmer",E646)),ISNUMBER(SEARCH("pole saw",E646))),"Pruning Tools",
TRUE,"Other"
)</f>
        <v>Other</v>
      </c>
      <c r="J646" s="7" t="str">
        <f t="shared" si="191"/>
        <v>Flying Insect Control - Other</v>
      </c>
      <c r="K646" s="4">
        <v>200</v>
      </c>
      <c r="L646" s="4">
        <v>4.5999999999999996</v>
      </c>
      <c r="M646" s="4">
        <v>3120</v>
      </c>
      <c r="N646" s="4" t="s">
        <v>3209</v>
      </c>
      <c r="O646" s="4">
        <f>VLOOKUP(A646,[13]Sheet1!$A:$M,2,0)</f>
        <v>0</v>
      </c>
      <c r="P646" s="4">
        <f>VLOOKUP(A646,[13]Sheet1!$A:$M,3,0)</f>
        <v>50</v>
      </c>
      <c r="Q646" s="4">
        <f>VLOOKUP(A646,[13]Sheet1!$A:$M,4,0)</f>
        <v>300</v>
      </c>
      <c r="R646" s="4">
        <f>VLOOKUP(A646,[13]Sheet1!$A:$M,5,0)</f>
        <v>400</v>
      </c>
      <c r="S646" s="4">
        <f>VLOOKUP(A646,[13]Sheet1!$A:$M,6,0)</f>
        <v>600</v>
      </c>
      <c r="T646" s="4">
        <f>VLOOKUP(A646,[13]Sheet1!$A:$M,7,0)</f>
        <v>300</v>
      </c>
      <c r="U646" s="4">
        <f>VLOOKUP(A646,[13]Sheet1!$A:$M,8,0)</f>
        <v>300</v>
      </c>
      <c r="V646" s="4">
        <f>VLOOKUP(A646,[13]Sheet1!$A:$M,9,0)</f>
        <v>300</v>
      </c>
      <c r="W646" s="4">
        <f>VLOOKUP(A646,[13]Sheet1!$A:$M,10,0)</f>
        <v>200</v>
      </c>
      <c r="X646" s="4">
        <f>VLOOKUP(A646,[13]Sheet1!$A:$M,11,0)</f>
        <v>100</v>
      </c>
      <c r="Y646" s="4">
        <f>VLOOKUP(A646,[13]Sheet1!$A:$M,12,0)</f>
        <v>100</v>
      </c>
      <c r="Z646" s="4">
        <f>VLOOKUP(A646,[13]Sheet1!$A:$M,13,0)</f>
        <v>50</v>
      </c>
      <c r="AA646" s="4">
        <f t="shared" si="192"/>
        <v>2700</v>
      </c>
      <c r="AB646" s="7">
        <f t="shared" si="193"/>
        <v>225</v>
      </c>
      <c r="AC646" s="15">
        <f t="shared" si="194"/>
        <v>225</v>
      </c>
      <c r="AD646" s="16">
        <f t="shared" si="195"/>
        <v>53972.999999999993</v>
      </c>
      <c r="AE646" s="16">
        <f t="shared" si="196"/>
        <v>4497.75</v>
      </c>
      <c r="AF646" s="21">
        <v>6.31</v>
      </c>
      <c r="AG646" s="21">
        <v>19.989999999999998</v>
      </c>
      <c r="AH646" s="15">
        <f t="shared" si="189"/>
        <v>4.5733333333333244E-2</v>
      </c>
      <c r="AI646" s="15">
        <f t="shared" si="190"/>
        <v>0.16006666666666633</v>
      </c>
      <c r="AJ646" s="10">
        <v>0.5</v>
      </c>
      <c r="AK646" s="10">
        <v>0.5</v>
      </c>
      <c r="AL646" s="21">
        <v>6.31</v>
      </c>
      <c r="AM646" s="9">
        <f t="shared" si="197"/>
        <v>2.9984999999999995</v>
      </c>
      <c r="AN646" s="9">
        <f t="shared" si="198"/>
        <v>0.5996999999999999</v>
      </c>
      <c r="AO646" s="9">
        <f t="shared" si="199"/>
        <v>3.9979999999999998</v>
      </c>
      <c r="AP646" s="9">
        <f t="shared" si="200"/>
        <v>0.39979999999999999</v>
      </c>
      <c r="AQ646" s="9">
        <f t="shared" si="201"/>
        <v>3.9979999999999998</v>
      </c>
      <c r="AR646" s="9">
        <f t="shared" si="202"/>
        <v>4.9974999999999996</v>
      </c>
      <c r="AS646" s="11">
        <f t="shared" si="203"/>
        <v>0.45733333333333243</v>
      </c>
      <c r="AT646" s="12">
        <f t="shared" si="204"/>
        <v>-0.20900000000000082</v>
      </c>
    </row>
    <row r="647" spans="1:46" ht="16.5" x14ac:dyDescent="0.4">
      <c r="A647" s="4" t="s">
        <v>2637</v>
      </c>
      <c r="B647" s="4" t="s">
        <v>2710</v>
      </c>
      <c r="C647" s="4" t="s">
        <v>2722</v>
      </c>
      <c r="D647" s="4" t="s">
        <v>2816</v>
      </c>
      <c r="E647" s="4" t="s">
        <v>2975</v>
      </c>
      <c r="F647" s="4" t="s">
        <v>3134</v>
      </c>
      <c r="G647" s="7" t="str">
        <f>VLOOKUP(A647,[1]done!$A:$I,9,0)</f>
        <v>Insecticide/Fungicide</v>
      </c>
      <c r="H647" s="7" t="str" cm="1">
        <f t="array" ref="H647">_xlfn.IFS(
OR(ISNUMBER(SEARCH("mouse",E647)),ISNUMBER(SEARCH("rat",E647)),ISNUMBER(SEARCH("mice",E647)),ISNUMBER(SEARCH("rodent",E647))),"Rodent Control",
OR(ISNUMBER(SEARCH("fly",E647)),ISNUMBER(SEARCH("gnat",E647)),ISNUMBER(SEARCH("insect",E647)),ISNUMBER(SEARCH("mosquito",E647))),"Flying Insect Control",
OR(ISNUMBER(SEARCH("roach",E647)),ISNUMBER(SEARCH("ant",E647)),ISNUMBER(SEARCH("spider",E647)),ISNUMBER(SEARCH("cricket",E647)),ISNUMBER(SEARCH("scorpion",E647)),ISNUMBER(SEARCH("centipede",E647)),ISNUMBER(SEARCH("beetle",E647))),"Crawling Insect Control",
OR(ISNUMBER(SEARCH("tree",E647)),ISNUMBER(SEARCH("lantern",E647)),ISNUMBER(SEARCH("garden",E647)),ISNUMBER(SEARCH("plant",E647))),"Garden Pest Control",
OR(ISNUMBER(SEARCH("grass seed",E647)),ISNUMBER(SEARCH("seed mix",E647))),"Grass Seed",
OR(ISNUMBER(SEARCH("lawn food",E647)),ISNUMBER(SEARCH("fertilizer",E647))),"Lawn Fertilizer",
OR(ISNUMBER(SEARCH("patch",E647)),ISNUMBER(SEARCH("repair",E647)),ISNUMBER(SEARCH("thick'r",E647)),ISNUMBER(SEARCH("thick'r lawn",E647)),ISNUMBER(SEARCH("rapid grass",E647))),"Lawn Repair",
OR(ISNUMBER(SEARCH("weed",E647)),ISNUMBER(SEARCH("crabgrass",E647))),"Weed Control",
OR(ISNUMBER(SEARCH("fungicide",E647)),ISNUMBER(SEARCH("moss",E647))),"Disease &amp; Moss Control",
OR(ISNUMBER(SEARCH("plant food",E647)),ISNUMBER(SEARCH("miracid",E647))),"Plant Nutrition",
OR(ISNUMBER(SEARCH("perlite",E647))),"Soil Amendment",
OR(ISNUMBER(SEARCH("spreader",E647)),ISNUMBER(SEARCH("sprayer",E647)),ISNUMBER(SEARCH("mower",E647)),ISNUMBER(SEARCH("sweeper",E647)),ISNUMBER(SEARCH("pruner",E647)),ISNUMBER(SEARCH("trimmer",E647)),ISNUMBER(SEARCH("pole saw",E647))),"Garden Equipment",
TRUE,"Other"
)</f>
        <v>Other</v>
      </c>
      <c r="I647" s="7" t="str" cm="1">
        <f t="array" ref="I647">_xlfn.IFS(
OR(ISNUMBER(SEARCH("glue trap",E647)),ISNUMBER(SEARCH("glue board",E647))),"Glue Traps",
OR(ISNUMBER(SEARCH("snap trap",E647)),ISNUMBER(SEARCH("power-kill",E647)),ISNUMBER(SEARCH("wide pedal",E647)),ISNUMBER(SEARCH("metal pedal",E647))),"Snap Traps",
OR(ISNUMBER(SEARCH("electronic",E647)),ISNUMBER(SEARCH("zapper",E647))),"Electronic Traps",
OR(ISNUMBER(SEARCH("live catch",E647)),ISNUMBER(SEARCH("multi-catch",E647)),ISNUMBER(SEARCH("catch &amp; hold",E647)),ISNUMBER(SEARCH("tin cat",E647))),"Live Catch Traps",
OR(ISNUMBER(SEARCH("bait",E647)),ISNUMBER(SEARCH("poison",E647))),"Bait &amp; Poison",
ISNUMBER(SEARCH("repellent",E647)),"Repellents",
OR(ISNUMBER(SEARCH("fly trap",E647)),ISNUMBER(SEARCH("fly ribbon",E647)),ISNUMBER(SEARCH("fly stick",E647)),ISNUMBER(SEARCH("window fly",E647)),ISNUMBER(SEARCH("fly magnet",E647))),"Fly Traps",
OR(ISNUMBER(SEARCH("uv",E647)),ISNUMBER(SEARCH("fly light",E647)),ISNUMBER(SEARCH("plug-in",E647))),"UV Fly Traps",
ISNUMBER(SEARCH("roach",E647)),"Roach Traps",
ISNUMBER(SEARCH("ant",E647)),"Ant Traps",
ISNUMBER(SEARCH("spider",E647)),"Spider Traps",
ISNUMBER(SEARCH("mosquito",E647)),"Mosquito Traps",
ISNUMBER(SEARCH("beetle",E647)),"Beetle Traps",
ISNUMBER(SEARCH("lantern",E647)),"Lanternfly Control",
OR(ISNUMBER(SEARCH("tree shield",E647)),ISNUMBER(SEARCH("tree banding",E647)),ISNUMBER(SEARCH("insect barrier",E647))),"Tree Barriers",
OR(ISNUMBER(SEARCH("sun &amp; shade",E647)),ISNUMBER(SEARCH("sun and shade",E647))),"Sun &amp; Shade Mix",
ISNUMBER(SEARCH("tall fescue",E647)),"Tall Fescue",
ISNUMBER(SEARCH("bermudagrass",E647)),"Bermudagrass",
ISNUMBER(SEARCH("kentucky",E647)),"Kentucky Bluegrass",
ISNUMBER(SEARCH("zoysia",E647)),"Zoysia",
ISNUMBER(SEARCH("ryegrass",E647)),"Perennial Ryegrass",
ISNUMBER(SEARCH("centipede",E647)),"Centipede Grass",
ISNUMBER(SEARCH("dense shade",E647)),"Dense Shade Mix",
ISNUMBER(SEARCH("southern gold",E647)),"Southern Gold Mix",
ISNUMBER(SEARCH("heat-tolerant blue",E647)),"Heat-Tolerant Blue Mix",
ISNUMBER(SEARCH("high traffic",E647)),"High Traffic Mix",
ISNUMBER(SEARCH("quick fix",E647)),"Quick Fix Mix",
ISNUMBER(SEARCH("starter",E647)),"Starter Fertilizer",
ISNUMBER(SEARCH("weed &amp; feed",E647)),"Weed &amp; Feed",
ISNUMBER(SEARCH("lawn food",E647)),"Lawn Food",
ISNUMBER(SEARCH("triple action",E647)),"Triple Action Fertilizer",
ISNUMBER(SEARCH("green max",E647)),"Green Max Lawn Food",
ISNUMBER(SEARCH("patchmaster",E647)),"PatchMaster Repair",
ISNUMBER(SEARCH("ez seed",E647)),"EZ Seed Repair",
ISNUMBER(SEARCH("rapid grass",E647)),"Rapid Grass",
ISNUMBER(SEARCH("thick'r lawn",E647)),"Thick'R Lawn",
ISNUMBER(SEARCH("fungicide",E647)),"Fungicide",
ISNUMBER(SEARCH("moss",E647)),"Moss Control",
ISNUMBER(SEARCH("perlite",E647)),"Perlite",
ISNUMBER(SEARCH("plant food",E647)),"Plant Food",
ISNUMBER(SEARCH("spreader",E647)),"Spreader",
ISNUMBER(SEARCH("sprayer",E647)),"Sprayer",
ISNUMBER(SEARCH("mower",E647)),"Lawn Mower",
ISNUMBER(SEARCH("sweeper",E647)),"Lawn Sweeper",
OR(ISNUMBER(SEARCH("pruner",E647)),ISNUMBER(SEARCH("trimmer",E647)),ISNUMBER(SEARCH("pole saw",E647))),"Pruning Tools",
TRUE,"Other"
)</f>
        <v>Other</v>
      </c>
      <c r="J647" s="7" t="str">
        <f t="shared" si="191"/>
        <v>Other - Other</v>
      </c>
      <c r="K647" s="4">
        <v>200</v>
      </c>
      <c r="L647" s="4">
        <v>4.5</v>
      </c>
      <c r="M647" s="4">
        <v>1705</v>
      </c>
      <c r="N647" s="4" t="s">
        <v>3209</v>
      </c>
      <c r="O647" s="4">
        <f>VLOOKUP(A647,[13]Sheet1!$A:$M,2,0)</f>
        <v>0</v>
      </c>
      <c r="P647" s="4">
        <f>VLOOKUP(A647,[13]Sheet1!$A:$M,3,0)</f>
        <v>0</v>
      </c>
      <c r="Q647" s="4">
        <f>VLOOKUP(A647,[13]Sheet1!$A:$M,4,0)</f>
        <v>200</v>
      </c>
      <c r="R647" s="4">
        <f>VLOOKUP(A647,[13]Sheet1!$A:$M,5,0)</f>
        <v>500</v>
      </c>
      <c r="S647" s="4">
        <f>VLOOKUP(A647,[13]Sheet1!$A:$M,6,0)</f>
        <v>500</v>
      </c>
      <c r="T647" s="4">
        <f>VLOOKUP(A647,[13]Sheet1!$A:$M,7,0)</f>
        <v>600</v>
      </c>
      <c r="U647" s="4">
        <f>VLOOKUP(A647,[13]Sheet1!$A:$M,8,0)</f>
        <v>400</v>
      </c>
      <c r="V647" s="4">
        <f>VLOOKUP(A647,[13]Sheet1!$A:$M,9,0)</f>
        <v>400</v>
      </c>
      <c r="W647" s="4">
        <f>VLOOKUP(A647,[13]Sheet1!$A:$M,10,0)</f>
        <v>200</v>
      </c>
      <c r="X647" s="4">
        <f>VLOOKUP(A647,[13]Sheet1!$A:$M,11,0)</f>
        <v>200</v>
      </c>
      <c r="Y647" s="4">
        <f>VLOOKUP(A647,[13]Sheet1!$A:$M,12,0)</f>
        <v>100</v>
      </c>
      <c r="Z647" s="4">
        <f>VLOOKUP(A647,[13]Sheet1!$A:$M,13,0)</f>
        <v>50</v>
      </c>
      <c r="AA647" s="4">
        <f t="shared" si="192"/>
        <v>3150</v>
      </c>
      <c r="AB647" s="7">
        <f t="shared" si="193"/>
        <v>263</v>
      </c>
      <c r="AC647" s="15">
        <f t="shared" si="194"/>
        <v>262.5</v>
      </c>
      <c r="AD647" s="16">
        <f t="shared" si="195"/>
        <v>69268.5</v>
      </c>
      <c r="AE647" s="16">
        <f t="shared" si="196"/>
        <v>5772.375</v>
      </c>
      <c r="AF647" s="21">
        <v>6.31</v>
      </c>
      <c r="AG647" s="21">
        <v>21.99</v>
      </c>
      <c r="AH647" s="15">
        <f t="shared" si="189"/>
        <v>9.906666666666665E-2</v>
      </c>
      <c r="AI647" s="15">
        <f t="shared" si="190"/>
        <v>0.34673333333333323</v>
      </c>
      <c r="AJ647" s="10">
        <v>0.5</v>
      </c>
      <c r="AK647" s="10">
        <v>0.5</v>
      </c>
      <c r="AL647" s="21">
        <v>6.31</v>
      </c>
      <c r="AM647" s="9">
        <f t="shared" si="197"/>
        <v>3.2984999999999998</v>
      </c>
      <c r="AN647" s="9">
        <f t="shared" si="198"/>
        <v>0.65969999999999995</v>
      </c>
      <c r="AO647" s="9">
        <f t="shared" si="199"/>
        <v>4.3979999999999997</v>
      </c>
      <c r="AP647" s="9">
        <f t="shared" si="200"/>
        <v>0.43979999999999997</v>
      </c>
      <c r="AQ647" s="9">
        <f t="shared" si="201"/>
        <v>4.3979999999999997</v>
      </c>
      <c r="AR647" s="9">
        <f t="shared" si="202"/>
        <v>5.4974999999999996</v>
      </c>
      <c r="AS647" s="11">
        <f t="shared" si="203"/>
        <v>0.99066666666666647</v>
      </c>
      <c r="AT647" s="12">
        <f t="shared" si="204"/>
        <v>0.25766666666666654</v>
      </c>
    </row>
    <row r="648" spans="1:46" ht="16.5" x14ac:dyDescent="0.4">
      <c r="A648" s="4" t="s">
        <v>2638</v>
      </c>
      <c r="B648" s="4" t="s">
        <v>2710</v>
      </c>
      <c r="C648" s="4" t="s">
        <v>2717</v>
      </c>
      <c r="D648" s="4" t="s">
        <v>2817</v>
      </c>
      <c r="E648" s="4" t="s">
        <v>2976</v>
      </c>
      <c r="F648" s="4" t="s">
        <v>3135</v>
      </c>
      <c r="G648" s="7" t="str">
        <f>VLOOKUP(A648,[1]done!$A:$I,9,0)</f>
        <v>Other crawling insects</v>
      </c>
      <c r="H648" s="7" t="str" cm="1">
        <f t="array" ref="H648">_xlfn.IFS(
OR(ISNUMBER(SEARCH("mouse",E648)),ISNUMBER(SEARCH("rat",E648)),ISNUMBER(SEARCH("mice",E648)),ISNUMBER(SEARCH("rodent",E648))),"Rodent Control",
OR(ISNUMBER(SEARCH("fly",E648)),ISNUMBER(SEARCH("gnat",E648)),ISNUMBER(SEARCH("insect",E648)),ISNUMBER(SEARCH("mosquito",E648))),"Flying Insect Control",
OR(ISNUMBER(SEARCH("roach",E648)),ISNUMBER(SEARCH("ant",E648)),ISNUMBER(SEARCH("spider",E648)),ISNUMBER(SEARCH("cricket",E648)),ISNUMBER(SEARCH("scorpion",E648)),ISNUMBER(SEARCH("centipede",E648)),ISNUMBER(SEARCH("beetle",E648))),"Crawling Insect Control",
OR(ISNUMBER(SEARCH("tree",E648)),ISNUMBER(SEARCH("lantern",E648)),ISNUMBER(SEARCH("garden",E648)),ISNUMBER(SEARCH("plant",E648))),"Garden Pest Control",
OR(ISNUMBER(SEARCH("grass seed",E648)),ISNUMBER(SEARCH("seed mix",E648))),"Grass Seed",
OR(ISNUMBER(SEARCH("lawn food",E648)),ISNUMBER(SEARCH("fertilizer",E648))),"Lawn Fertilizer",
OR(ISNUMBER(SEARCH("patch",E648)),ISNUMBER(SEARCH("repair",E648)),ISNUMBER(SEARCH("thick'r",E648)),ISNUMBER(SEARCH("thick'r lawn",E648)),ISNUMBER(SEARCH("rapid grass",E648))),"Lawn Repair",
OR(ISNUMBER(SEARCH("weed",E648)),ISNUMBER(SEARCH("crabgrass",E648))),"Weed Control",
OR(ISNUMBER(SEARCH("fungicide",E648)),ISNUMBER(SEARCH("moss",E648))),"Disease &amp; Moss Control",
OR(ISNUMBER(SEARCH("plant food",E648)),ISNUMBER(SEARCH("miracid",E648))),"Plant Nutrition",
OR(ISNUMBER(SEARCH("perlite",E648))),"Soil Amendment",
OR(ISNUMBER(SEARCH("spreader",E648)),ISNUMBER(SEARCH("sprayer",E648)),ISNUMBER(SEARCH("mower",E648)),ISNUMBER(SEARCH("sweeper",E648)),ISNUMBER(SEARCH("pruner",E648)),ISNUMBER(SEARCH("trimmer",E648)),ISNUMBER(SEARCH("pole saw",E648))),"Garden Equipment",
TRUE,"Other"
)</f>
        <v>Rodent Control</v>
      </c>
      <c r="I648" s="7" t="str" cm="1">
        <f t="array" ref="I648">_xlfn.IFS(
OR(ISNUMBER(SEARCH("glue trap",E648)),ISNUMBER(SEARCH("glue board",E648))),"Glue Traps",
OR(ISNUMBER(SEARCH("snap trap",E648)),ISNUMBER(SEARCH("power-kill",E648)),ISNUMBER(SEARCH("wide pedal",E648)),ISNUMBER(SEARCH("metal pedal",E648))),"Snap Traps",
OR(ISNUMBER(SEARCH("electronic",E648)),ISNUMBER(SEARCH("zapper",E648))),"Electronic Traps",
OR(ISNUMBER(SEARCH("live catch",E648)),ISNUMBER(SEARCH("multi-catch",E648)),ISNUMBER(SEARCH("catch &amp; hold",E648)),ISNUMBER(SEARCH("tin cat",E648))),"Live Catch Traps",
OR(ISNUMBER(SEARCH("bait",E648)),ISNUMBER(SEARCH("poison",E648))),"Bait &amp; Poison",
ISNUMBER(SEARCH("repellent",E648)),"Repellents",
OR(ISNUMBER(SEARCH("fly trap",E648)),ISNUMBER(SEARCH("fly ribbon",E648)),ISNUMBER(SEARCH("fly stick",E648)),ISNUMBER(SEARCH("window fly",E648)),ISNUMBER(SEARCH("fly magnet",E648))),"Fly Traps",
OR(ISNUMBER(SEARCH("uv",E648)),ISNUMBER(SEARCH("fly light",E648)),ISNUMBER(SEARCH("plug-in",E648))),"UV Fly Traps",
ISNUMBER(SEARCH("roach",E648)),"Roach Traps",
ISNUMBER(SEARCH("ant",E648)),"Ant Traps",
ISNUMBER(SEARCH("spider",E648)),"Spider Traps",
ISNUMBER(SEARCH("mosquito",E648)),"Mosquito Traps",
ISNUMBER(SEARCH("beetle",E648)),"Beetle Traps",
ISNUMBER(SEARCH("lantern",E648)),"Lanternfly Control",
OR(ISNUMBER(SEARCH("tree shield",E648)),ISNUMBER(SEARCH("tree banding",E648)),ISNUMBER(SEARCH("insect barrier",E648))),"Tree Barriers",
OR(ISNUMBER(SEARCH("sun &amp; shade",E648)),ISNUMBER(SEARCH("sun and shade",E648))),"Sun &amp; Shade Mix",
ISNUMBER(SEARCH("tall fescue",E648)),"Tall Fescue",
ISNUMBER(SEARCH("bermudagrass",E648)),"Bermudagrass",
ISNUMBER(SEARCH("kentucky",E648)),"Kentucky Bluegrass",
ISNUMBER(SEARCH("zoysia",E648)),"Zoysia",
ISNUMBER(SEARCH("ryegrass",E648)),"Perennial Ryegrass",
ISNUMBER(SEARCH("centipede",E648)),"Centipede Grass",
ISNUMBER(SEARCH("dense shade",E648)),"Dense Shade Mix",
ISNUMBER(SEARCH("southern gold",E648)),"Southern Gold Mix",
ISNUMBER(SEARCH("heat-tolerant blue",E648)),"Heat-Tolerant Blue Mix",
ISNUMBER(SEARCH("high traffic",E648)),"High Traffic Mix",
ISNUMBER(SEARCH("quick fix",E648)),"Quick Fix Mix",
ISNUMBER(SEARCH("starter",E648)),"Starter Fertilizer",
ISNUMBER(SEARCH("weed &amp; feed",E648)),"Weed &amp; Feed",
ISNUMBER(SEARCH("lawn food",E648)),"Lawn Food",
ISNUMBER(SEARCH("triple action",E648)),"Triple Action Fertilizer",
ISNUMBER(SEARCH("green max",E648)),"Green Max Lawn Food",
ISNUMBER(SEARCH("patchmaster",E648)),"PatchMaster Repair",
ISNUMBER(SEARCH("ez seed",E648)),"EZ Seed Repair",
ISNUMBER(SEARCH("rapid grass",E648)),"Rapid Grass",
ISNUMBER(SEARCH("thick'r lawn",E648)),"Thick'R Lawn",
ISNUMBER(SEARCH("fungicide",E648)),"Fungicide",
ISNUMBER(SEARCH("moss",E648)),"Moss Control",
ISNUMBER(SEARCH("perlite",E648)),"Perlite",
ISNUMBER(SEARCH("plant food",E648)),"Plant Food",
ISNUMBER(SEARCH("spreader",E648)),"Spreader",
ISNUMBER(SEARCH("sprayer",E648)),"Sprayer",
ISNUMBER(SEARCH("mower",E648)),"Lawn Mower",
ISNUMBER(SEARCH("sweeper",E648)),"Lawn Sweeper",
OR(ISNUMBER(SEARCH("pruner",E648)),ISNUMBER(SEARCH("trimmer",E648)),ISNUMBER(SEARCH("pole saw",E648))),"Pruning Tools",
TRUE,"Other"
)</f>
        <v>Beetle Traps</v>
      </c>
      <c r="J648" s="7" t="str">
        <f t="shared" si="191"/>
        <v>Rodent Control - Beetle Traps</v>
      </c>
      <c r="K648" s="4">
        <v>200</v>
      </c>
      <c r="L648" s="4">
        <v>4.5999999999999996</v>
      </c>
      <c r="M648" s="4">
        <v>1327</v>
      </c>
      <c r="N648" s="4" t="s">
        <v>3209</v>
      </c>
      <c r="O648" s="4">
        <f>VLOOKUP(A648,[13]Sheet1!$A:$M,2,0)</f>
        <v>0</v>
      </c>
      <c r="P648" s="4">
        <f>VLOOKUP(A648,[13]Sheet1!$A:$M,3,0)</f>
        <v>50</v>
      </c>
      <c r="Q648" s="4">
        <f>VLOOKUP(A648,[13]Sheet1!$A:$M,4,0)</f>
        <v>100</v>
      </c>
      <c r="R648" s="4">
        <f>VLOOKUP(A648,[13]Sheet1!$A:$M,5,0)</f>
        <v>300</v>
      </c>
      <c r="S648" s="4">
        <f>VLOOKUP(A648,[13]Sheet1!$A:$M,6,0)</f>
        <v>400</v>
      </c>
      <c r="T648" s="4">
        <f>VLOOKUP(A648,[13]Sheet1!$A:$M,7,0)</f>
        <v>600</v>
      </c>
      <c r="U648" s="4">
        <f>VLOOKUP(A648,[13]Sheet1!$A:$M,8,0)</f>
        <v>1000</v>
      </c>
      <c r="V648" s="4">
        <f>VLOOKUP(A648,[13]Sheet1!$A:$M,9,0)</f>
        <v>100</v>
      </c>
      <c r="W648" s="4">
        <f>VLOOKUP(A648,[13]Sheet1!$A:$M,10,0)</f>
        <v>200</v>
      </c>
      <c r="X648" s="4">
        <f>VLOOKUP(A648,[13]Sheet1!$A:$M,11,0)</f>
        <v>200</v>
      </c>
      <c r="Y648" s="4">
        <f>VLOOKUP(A648,[13]Sheet1!$A:$M,12,0)</f>
        <v>100</v>
      </c>
      <c r="Z648" s="4">
        <f>VLOOKUP(A648,[13]Sheet1!$A:$M,13,0)</f>
        <v>50</v>
      </c>
      <c r="AA648" s="4">
        <f t="shared" si="192"/>
        <v>3100</v>
      </c>
      <c r="AB648" s="7">
        <f t="shared" si="193"/>
        <v>258</v>
      </c>
      <c r="AC648" s="15">
        <f t="shared" si="194"/>
        <v>258.33333333333331</v>
      </c>
      <c r="AD648" s="16">
        <f t="shared" si="195"/>
        <v>65068.999999999993</v>
      </c>
      <c r="AE648" s="16">
        <f t="shared" si="196"/>
        <v>5422.4166666666661</v>
      </c>
      <c r="AF648" s="21">
        <v>6.31</v>
      </c>
      <c r="AG648" s="21">
        <v>20.99</v>
      </c>
      <c r="AH648" s="15">
        <f t="shared" si="189"/>
        <v>7.240000000000002E-2</v>
      </c>
      <c r="AI648" s="15">
        <f t="shared" si="190"/>
        <v>0.25340000000000007</v>
      </c>
      <c r="AJ648" s="10">
        <v>0.5</v>
      </c>
      <c r="AK648" s="10">
        <v>0.5</v>
      </c>
      <c r="AL648" s="21">
        <v>6.31</v>
      </c>
      <c r="AM648" s="9">
        <f t="shared" si="197"/>
        <v>3.1484999999999999</v>
      </c>
      <c r="AN648" s="9">
        <f t="shared" si="198"/>
        <v>0.62969999999999993</v>
      </c>
      <c r="AO648" s="9">
        <f t="shared" si="199"/>
        <v>4.1979999999999995</v>
      </c>
      <c r="AP648" s="9">
        <f t="shared" si="200"/>
        <v>0.41979999999999995</v>
      </c>
      <c r="AQ648" s="9">
        <f t="shared" si="201"/>
        <v>4.1979999999999995</v>
      </c>
      <c r="AR648" s="9">
        <f t="shared" si="202"/>
        <v>5.2474999999999996</v>
      </c>
      <c r="AS648" s="11">
        <f t="shared" si="203"/>
        <v>0.7240000000000002</v>
      </c>
      <c r="AT648" s="12">
        <f t="shared" si="204"/>
        <v>2.4333333333333467E-2</v>
      </c>
    </row>
    <row r="649" spans="1:46" ht="16.5" x14ac:dyDescent="0.4">
      <c r="A649" s="4" t="s">
        <v>2639</v>
      </c>
      <c r="B649" s="4" t="s">
        <v>2710</v>
      </c>
      <c r="C649" s="4" t="s">
        <v>2719</v>
      </c>
      <c r="D649" s="4" t="s">
        <v>2818</v>
      </c>
      <c r="E649" s="4" t="s">
        <v>2977</v>
      </c>
      <c r="F649" s="4" t="s">
        <v>3136</v>
      </c>
      <c r="G649" s="7" t="str">
        <f>VLOOKUP(A649,[1]done!$A:$I,9,0)</f>
        <v>Other crawling insects</v>
      </c>
      <c r="H649" s="7" t="str" cm="1">
        <f t="array" ref="H649">_xlfn.IFS(
OR(ISNUMBER(SEARCH("mouse",E649)),ISNUMBER(SEARCH("rat",E649)),ISNUMBER(SEARCH("mice",E649)),ISNUMBER(SEARCH("rodent",E649))),"Rodent Control",
OR(ISNUMBER(SEARCH("fly",E649)),ISNUMBER(SEARCH("gnat",E649)),ISNUMBER(SEARCH("insect",E649)),ISNUMBER(SEARCH("mosquito",E649))),"Flying Insect Control",
OR(ISNUMBER(SEARCH("roach",E649)),ISNUMBER(SEARCH("ant",E649)),ISNUMBER(SEARCH("spider",E649)),ISNUMBER(SEARCH("cricket",E649)),ISNUMBER(SEARCH("scorpion",E649)),ISNUMBER(SEARCH("centipede",E649)),ISNUMBER(SEARCH("beetle",E649))),"Crawling Insect Control",
OR(ISNUMBER(SEARCH("tree",E649)),ISNUMBER(SEARCH("lantern",E649)),ISNUMBER(SEARCH("garden",E649)),ISNUMBER(SEARCH("plant",E649))),"Garden Pest Control",
OR(ISNUMBER(SEARCH("grass seed",E649)),ISNUMBER(SEARCH("seed mix",E649))),"Grass Seed",
OR(ISNUMBER(SEARCH("lawn food",E649)),ISNUMBER(SEARCH("fertilizer",E649))),"Lawn Fertilizer",
OR(ISNUMBER(SEARCH("patch",E649)),ISNUMBER(SEARCH("repair",E649)),ISNUMBER(SEARCH("thick'r",E649)),ISNUMBER(SEARCH("thick'r lawn",E649)),ISNUMBER(SEARCH("rapid grass",E649))),"Lawn Repair",
OR(ISNUMBER(SEARCH("weed",E649)),ISNUMBER(SEARCH("crabgrass",E649))),"Weed Control",
OR(ISNUMBER(SEARCH("fungicide",E649)),ISNUMBER(SEARCH("moss",E649))),"Disease &amp; Moss Control",
OR(ISNUMBER(SEARCH("plant food",E649)),ISNUMBER(SEARCH("miracid",E649))),"Plant Nutrition",
OR(ISNUMBER(SEARCH("perlite",E649))),"Soil Amendment",
OR(ISNUMBER(SEARCH("spreader",E649)),ISNUMBER(SEARCH("sprayer",E649)),ISNUMBER(SEARCH("mower",E649)),ISNUMBER(SEARCH("sweeper",E649)),ISNUMBER(SEARCH("pruner",E649)),ISNUMBER(SEARCH("trimmer",E649)),ISNUMBER(SEARCH("pole saw",E649))),"Garden Equipment",
TRUE,"Other"
)</f>
        <v>Crawling Insect Control</v>
      </c>
      <c r="I649" s="7" t="str" cm="1">
        <f t="array" ref="I649">_xlfn.IFS(
OR(ISNUMBER(SEARCH("glue trap",E649)),ISNUMBER(SEARCH("glue board",E649))),"Glue Traps",
OR(ISNUMBER(SEARCH("snap trap",E649)),ISNUMBER(SEARCH("power-kill",E649)),ISNUMBER(SEARCH("wide pedal",E649)),ISNUMBER(SEARCH("metal pedal",E649))),"Snap Traps",
OR(ISNUMBER(SEARCH("electronic",E649)),ISNUMBER(SEARCH("zapper",E649))),"Electronic Traps",
OR(ISNUMBER(SEARCH("live catch",E649)),ISNUMBER(SEARCH("multi-catch",E649)),ISNUMBER(SEARCH("catch &amp; hold",E649)),ISNUMBER(SEARCH("tin cat",E649))),"Live Catch Traps",
OR(ISNUMBER(SEARCH("bait",E649)),ISNUMBER(SEARCH("poison",E649))),"Bait &amp; Poison",
ISNUMBER(SEARCH("repellent",E649)),"Repellents",
OR(ISNUMBER(SEARCH("fly trap",E649)),ISNUMBER(SEARCH("fly ribbon",E649)),ISNUMBER(SEARCH("fly stick",E649)),ISNUMBER(SEARCH("window fly",E649)),ISNUMBER(SEARCH("fly magnet",E649))),"Fly Traps",
OR(ISNUMBER(SEARCH("uv",E649)),ISNUMBER(SEARCH("fly light",E649)),ISNUMBER(SEARCH("plug-in",E649))),"UV Fly Traps",
ISNUMBER(SEARCH("roach",E649)),"Roach Traps",
ISNUMBER(SEARCH("ant",E649)),"Ant Traps",
ISNUMBER(SEARCH("spider",E649)),"Spider Traps",
ISNUMBER(SEARCH("mosquito",E649)),"Mosquito Traps",
ISNUMBER(SEARCH("beetle",E649)),"Beetle Traps",
ISNUMBER(SEARCH("lantern",E649)),"Lanternfly Control",
OR(ISNUMBER(SEARCH("tree shield",E649)),ISNUMBER(SEARCH("tree banding",E649)),ISNUMBER(SEARCH("insect barrier",E649))),"Tree Barriers",
OR(ISNUMBER(SEARCH("sun &amp; shade",E649)),ISNUMBER(SEARCH("sun and shade",E649))),"Sun &amp; Shade Mix",
ISNUMBER(SEARCH("tall fescue",E649)),"Tall Fescue",
ISNUMBER(SEARCH("bermudagrass",E649)),"Bermudagrass",
ISNUMBER(SEARCH("kentucky",E649)),"Kentucky Bluegrass",
ISNUMBER(SEARCH("zoysia",E649)),"Zoysia",
ISNUMBER(SEARCH("ryegrass",E649)),"Perennial Ryegrass",
ISNUMBER(SEARCH("centipede",E649)),"Centipede Grass",
ISNUMBER(SEARCH("dense shade",E649)),"Dense Shade Mix",
ISNUMBER(SEARCH("southern gold",E649)),"Southern Gold Mix",
ISNUMBER(SEARCH("heat-tolerant blue",E649)),"Heat-Tolerant Blue Mix",
ISNUMBER(SEARCH("high traffic",E649)),"High Traffic Mix",
ISNUMBER(SEARCH("quick fix",E649)),"Quick Fix Mix",
ISNUMBER(SEARCH("starter",E649)),"Starter Fertilizer",
ISNUMBER(SEARCH("weed &amp; feed",E649)),"Weed &amp; Feed",
ISNUMBER(SEARCH("lawn food",E649)),"Lawn Food",
ISNUMBER(SEARCH("triple action",E649)),"Triple Action Fertilizer",
ISNUMBER(SEARCH("green max",E649)),"Green Max Lawn Food",
ISNUMBER(SEARCH("patchmaster",E649)),"PatchMaster Repair",
ISNUMBER(SEARCH("ez seed",E649)),"EZ Seed Repair",
ISNUMBER(SEARCH("rapid grass",E649)),"Rapid Grass",
ISNUMBER(SEARCH("thick'r lawn",E649)),"Thick'R Lawn",
ISNUMBER(SEARCH("fungicide",E649)),"Fungicide",
ISNUMBER(SEARCH("moss",E649)),"Moss Control",
ISNUMBER(SEARCH("perlite",E649)),"Perlite",
ISNUMBER(SEARCH("plant food",E649)),"Plant Food",
ISNUMBER(SEARCH("spreader",E649)),"Spreader",
ISNUMBER(SEARCH("sprayer",E649)),"Sprayer",
ISNUMBER(SEARCH("mower",E649)),"Lawn Mower",
ISNUMBER(SEARCH("sweeper",E649)),"Lawn Sweeper",
OR(ISNUMBER(SEARCH("pruner",E649)),ISNUMBER(SEARCH("trimmer",E649)),ISNUMBER(SEARCH("pole saw",E649))),"Pruning Tools",
TRUE,"Other"
)</f>
        <v>Ant Traps</v>
      </c>
      <c r="J649" s="7" t="str">
        <f t="shared" si="191"/>
        <v>Crawling Insect Control - Ant Traps</v>
      </c>
      <c r="K649" s="4">
        <v>200</v>
      </c>
      <c r="L649" s="4">
        <v>4.9000000000000004</v>
      </c>
      <c r="M649" s="4">
        <v>14</v>
      </c>
      <c r="N649" s="4" t="s">
        <v>2014</v>
      </c>
      <c r="O649" s="4">
        <f>VLOOKUP(A649,[13]Sheet1!$A:$M,2,0)</f>
        <v>0</v>
      </c>
      <c r="P649" s="4">
        <f>VLOOKUP(A649,[13]Sheet1!$A:$M,3,0)</f>
        <v>0</v>
      </c>
      <c r="Q649" s="4">
        <f>VLOOKUP(A649,[13]Sheet1!$A:$M,4,0)</f>
        <v>0</v>
      </c>
      <c r="R649" s="4">
        <f>VLOOKUP(A649,[13]Sheet1!$A:$M,5,0)</f>
        <v>0</v>
      </c>
      <c r="S649" s="4">
        <f>VLOOKUP(A649,[13]Sheet1!$A:$M,6,0)</f>
        <v>50</v>
      </c>
      <c r="T649" s="4">
        <f>VLOOKUP(A649,[13]Sheet1!$A:$M,7,0)</f>
        <v>50</v>
      </c>
      <c r="U649" s="4">
        <f>VLOOKUP(A649,[13]Sheet1!$A:$M,8,0)</f>
        <v>50</v>
      </c>
      <c r="V649" s="4">
        <f>VLOOKUP(A649,[13]Sheet1!$A:$M,9,0)</f>
        <v>50</v>
      </c>
      <c r="W649" s="4">
        <f>VLOOKUP(A649,[13]Sheet1!$A:$M,10,0)</f>
        <v>200</v>
      </c>
      <c r="X649" s="4">
        <f>VLOOKUP(A649,[13]Sheet1!$A:$M,11,0)</f>
        <v>0</v>
      </c>
      <c r="Y649" s="4">
        <f>VLOOKUP(A649,[13]Sheet1!$A:$M,12,0)</f>
        <v>0</v>
      </c>
      <c r="Z649" s="4">
        <f>VLOOKUP(A649,[13]Sheet1!$A:$M,13,0)</f>
        <v>0</v>
      </c>
      <c r="AA649" s="4">
        <f t="shared" si="192"/>
        <v>400</v>
      </c>
      <c r="AB649" s="7">
        <f t="shared" si="193"/>
        <v>33</v>
      </c>
      <c r="AC649" s="15">
        <f t="shared" si="194"/>
        <v>33.333333333333336</v>
      </c>
      <c r="AD649" s="16">
        <f t="shared" si="195"/>
        <v>9488</v>
      </c>
      <c r="AE649" s="16">
        <f t="shared" si="196"/>
        <v>790.66666666666663</v>
      </c>
      <c r="AF649" s="21">
        <v>8.1</v>
      </c>
      <c r="AG649" s="21">
        <v>23.72</v>
      </c>
      <c r="AH649" s="15">
        <f t="shared" si="189"/>
        <v>2.5866666666666663E-2</v>
      </c>
      <c r="AI649" s="15">
        <f t="shared" si="190"/>
        <v>9.0533333333333299E-2</v>
      </c>
      <c r="AJ649" s="10">
        <v>0.5</v>
      </c>
      <c r="AK649" s="10">
        <v>0.5</v>
      </c>
      <c r="AL649" s="21">
        <v>8.1</v>
      </c>
      <c r="AM649" s="9">
        <f t="shared" si="197"/>
        <v>3.5579999999999998</v>
      </c>
      <c r="AN649" s="9">
        <f t="shared" si="198"/>
        <v>0.7115999999999999</v>
      </c>
      <c r="AO649" s="9">
        <f t="shared" si="199"/>
        <v>4.7439999999999998</v>
      </c>
      <c r="AP649" s="9">
        <f t="shared" si="200"/>
        <v>0.47439999999999999</v>
      </c>
      <c r="AQ649" s="9">
        <f t="shared" si="201"/>
        <v>4.7439999999999998</v>
      </c>
      <c r="AR649" s="9">
        <f t="shared" si="202"/>
        <v>5.93</v>
      </c>
      <c r="AS649" s="11">
        <f t="shared" si="203"/>
        <v>0.2586666666666666</v>
      </c>
      <c r="AT649" s="12">
        <f t="shared" si="204"/>
        <v>-0.53200000000000003</v>
      </c>
    </row>
    <row r="650" spans="1:46" ht="16.5" x14ac:dyDescent="0.4">
      <c r="A650" s="4" t="s">
        <v>2640</v>
      </c>
      <c r="B650" s="4" t="s">
        <v>2710</v>
      </c>
      <c r="C650" s="4" t="s">
        <v>2712</v>
      </c>
      <c r="D650" s="4" t="s">
        <v>2819</v>
      </c>
      <c r="E650" s="4" t="s">
        <v>2978</v>
      </c>
      <c r="F650" s="4" t="s">
        <v>3137</v>
      </c>
      <c r="G650" s="7" t="str">
        <f>VLOOKUP(A650,[1]done!$A:$I,9,0)</f>
        <v>Oil based pest repellent</v>
      </c>
      <c r="H650" s="7" t="str" cm="1">
        <f t="array" ref="H650">_xlfn.IFS(
OR(ISNUMBER(SEARCH("mouse",E650)),ISNUMBER(SEARCH("rat",E650)),ISNUMBER(SEARCH("mice",E650)),ISNUMBER(SEARCH("rodent",E650))),"Rodent Control",
OR(ISNUMBER(SEARCH("fly",E650)),ISNUMBER(SEARCH("gnat",E650)),ISNUMBER(SEARCH("insect",E650)),ISNUMBER(SEARCH("mosquito",E650))),"Flying Insect Control",
OR(ISNUMBER(SEARCH("roach",E650)),ISNUMBER(SEARCH("ant",E650)),ISNUMBER(SEARCH("spider",E650)),ISNUMBER(SEARCH("cricket",E650)),ISNUMBER(SEARCH("scorpion",E650)),ISNUMBER(SEARCH("centipede",E650)),ISNUMBER(SEARCH("beetle",E650))),"Crawling Insect Control",
OR(ISNUMBER(SEARCH("tree",E650)),ISNUMBER(SEARCH("lantern",E650)),ISNUMBER(SEARCH("garden",E650)),ISNUMBER(SEARCH("plant",E650))),"Garden Pest Control",
OR(ISNUMBER(SEARCH("grass seed",E650)),ISNUMBER(SEARCH("seed mix",E650))),"Grass Seed",
OR(ISNUMBER(SEARCH("lawn food",E650)),ISNUMBER(SEARCH("fertilizer",E650))),"Lawn Fertilizer",
OR(ISNUMBER(SEARCH("patch",E650)),ISNUMBER(SEARCH("repair",E650)),ISNUMBER(SEARCH("thick'r",E650)),ISNUMBER(SEARCH("thick'r lawn",E650)),ISNUMBER(SEARCH("rapid grass",E650))),"Lawn Repair",
OR(ISNUMBER(SEARCH("weed",E650)),ISNUMBER(SEARCH("crabgrass",E650))),"Weed Control",
OR(ISNUMBER(SEARCH("fungicide",E650)),ISNUMBER(SEARCH("moss",E650))),"Disease &amp; Moss Control",
OR(ISNUMBER(SEARCH("plant food",E650)),ISNUMBER(SEARCH("miracid",E650))),"Plant Nutrition",
OR(ISNUMBER(SEARCH("perlite",E650))),"Soil Amendment",
OR(ISNUMBER(SEARCH("spreader",E650)),ISNUMBER(SEARCH("sprayer",E650)),ISNUMBER(SEARCH("mower",E650)),ISNUMBER(SEARCH("sweeper",E650)),ISNUMBER(SEARCH("pruner",E650)),ISNUMBER(SEARCH("trimmer",E650)),ISNUMBER(SEARCH("pole saw",E650))),"Garden Equipment",
TRUE,"Other"
)</f>
        <v>Rodent Control</v>
      </c>
      <c r="I650" s="7" t="str" cm="1">
        <f t="array" ref="I650">_xlfn.IFS(
OR(ISNUMBER(SEARCH("glue trap",E650)),ISNUMBER(SEARCH("glue board",E650))),"Glue Traps",
OR(ISNUMBER(SEARCH("snap trap",E650)),ISNUMBER(SEARCH("power-kill",E650)),ISNUMBER(SEARCH("wide pedal",E650)),ISNUMBER(SEARCH("metal pedal",E650))),"Snap Traps",
OR(ISNUMBER(SEARCH("electronic",E650)),ISNUMBER(SEARCH("zapper",E650))),"Electronic Traps",
OR(ISNUMBER(SEARCH("live catch",E650)),ISNUMBER(SEARCH("multi-catch",E650)),ISNUMBER(SEARCH("catch &amp; hold",E650)),ISNUMBER(SEARCH("tin cat",E650))),"Live Catch Traps",
OR(ISNUMBER(SEARCH("bait",E650)),ISNUMBER(SEARCH("poison",E650))),"Bait &amp; Poison",
ISNUMBER(SEARCH("repellent",E650)),"Repellents",
OR(ISNUMBER(SEARCH("fly trap",E650)),ISNUMBER(SEARCH("fly ribbon",E650)),ISNUMBER(SEARCH("fly stick",E650)),ISNUMBER(SEARCH("window fly",E650)),ISNUMBER(SEARCH("fly magnet",E650))),"Fly Traps",
OR(ISNUMBER(SEARCH("uv",E650)),ISNUMBER(SEARCH("fly light",E650)),ISNUMBER(SEARCH("plug-in",E650))),"UV Fly Traps",
ISNUMBER(SEARCH("roach",E650)),"Roach Traps",
ISNUMBER(SEARCH("ant",E650)),"Ant Traps",
ISNUMBER(SEARCH("spider",E650)),"Spider Traps",
ISNUMBER(SEARCH("mosquito",E650)),"Mosquito Traps",
ISNUMBER(SEARCH("beetle",E650)),"Beetle Traps",
ISNUMBER(SEARCH("lantern",E650)),"Lanternfly Control",
OR(ISNUMBER(SEARCH("tree shield",E650)),ISNUMBER(SEARCH("tree banding",E650)),ISNUMBER(SEARCH("insect barrier",E650))),"Tree Barriers",
OR(ISNUMBER(SEARCH("sun &amp; shade",E650)),ISNUMBER(SEARCH("sun and shade",E650))),"Sun &amp; Shade Mix",
ISNUMBER(SEARCH("tall fescue",E650)),"Tall Fescue",
ISNUMBER(SEARCH("bermudagrass",E650)),"Bermudagrass",
ISNUMBER(SEARCH("kentucky",E650)),"Kentucky Bluegrass",
ISNUMBER(SEARCH("zoysia",E650)),"Zoysia",
ISNUMBER(SEARCH("ryegrass",E650)),"Perennial Ryegrass",
ISNUMBER(SEARCH("centipede",E650)),"Centipede Grass",
ISNUMBER(SEARCH("dense shade",E650)),"Dense Shade Mix",
ISNUMBER(SEARCH("southern gold",E650)),"Southern Gold Mix",
ISNUMBER(SEARCH("heat-tolerant blue",E650)),"Heat-Tolerant Blue Mix",
ISNUMBER(SEARCH("high traffic",E650)),"High Traffic Mix",
ISNUMBER(SEARCH("quick fix",E650)),"Quick Fix Mix",
ISNUMBER(SEARCH("starter",E650)),"Starter Fertilizer",
ISNUMBER(SEARCH("weed &amp; feed",E650)),"Weed &amp; Feed",
ISNUMBER(SEARCH("lawn food",E650)),"Lawn Food",
ISNUMBER(SEARCH("triple action",E650)),"Triple Action Fertilizer",
ISNUMBER(SEARCH("green max",E650)),"Green Max Lawn Food",
ISNUMBER(SEARCH("patchmaster",E650)),"PatchMaster Repair",
ISNUMBER(SEARCH("ez seed",E650)),"EZ Seed Repair",
ISNUMBER(SEARCH("rapid grass",E650)),"Rapid Grass",
ISNUMBER(SEARCH("thick'r lawn",E650)),"Thick'R Lawn",
ISNUMBER(SEARCH("fungicide",E650)),"Fungicide",
ISNUMBER(SEARCH("moss",E650)),"Moss Control",
ISNUMBER(SEARCH("perlite",E650)),"Perlite",
ISNUMBER(SEARCH("plant food",E650)),"Plant Food",
ISNUMBER(SEARCH("spreader",E650)),"Spreader",
ISNUMBER(SEARCH("sprayer",E650)),"Sprayer",
ISNUMBER(SEARCH("mower",E650)),"Lawn Mower",
ISNUMBER(SEARCH("sweeper",E650)),"Lawn Sweeper",
OR(ISNUMBER(SEARCH("pruner",E650)),ISNUMBER(SEARCH("trimmer",E650)),ISNUMBER(SEARCH("pole saw",E650))),"Pruning Tools",
TRUE,"Other"
)</f>
        <v>Fungicide</v>
      </c>
      <c r="J650" s="7" t="str">
        <f t="shared" si="191"/>
        <v>Rodent Control - Fungicide</v>
      </c>
      <c r="K650" s="4">
        <v>200</v>
      </c>
      <c r="L650" s="4">
        <v>4.5999999999999996</v>
      </c>
      <c r="M650" s="4">
        <v>6525</v>
      </c>
      <c r="N650" s="4">
        <v>1</v>
      </c>
      <c r="O650" s="4">
        <f>VLOOKUP(A650,[13]Sheet1!$A:$M,2,0)</f>
        <v>0</v>
      </c>
      <c r="P650" s="4">
        <f>VLOOKUP(A650,[13]Sheet1!$A:$M,3,0)</f>
        <v>0</v>
      </c>
      <c r="Q650" s="4">
        <f>VLOOKUP(A650,[13]Sheet1!$A:$M,4,0)</f>
        <v>100</v>
      </c>
      <c r="R650" s="4">
        <f>VLOOKUP(A650,[13]Sheet1!$A:$M,5,0)</f>
        <v>300</v>
      </c>
      <c r="S650" s="4">
        <f>VLOOKUP(A650,[13]Sheet1!$A:$M,6,0)</f>
        <v>300</v>
      </c>
      <c r="T650" s="4">
        <f>VLOOKUP(A650,[13]Sheet1!$A:$M,7,0)</f>
        <v>700</v>
      </c>
      <c r="U650" s="4">
        <f>VLOOKUP(A650,[13]Sheet1!$A:$M,8,0)</f>
        <v>600</v>
      </c>
      <c r="V650" s="4">
        <f>VLOOKUP(A650,[13]Sheet1!$A:$M,9,0)</f>
        <v>400</v>
      </c>
      <c r="W650" s="4">
        <f>VLOOKUP(A650,[13]Sheet1!$A:$M,10,0)</f>
        <v>200</v>
      </c>
      <c r="X650" s="4">
        <f>VLOOKUP(A650,[13]Sheet1!$A:$M,11,0)</f>
        <v>0</v>
      </c>
      <c r="Y650" s="4">
        <f>VLOOKUP(A650,[13]Sheet1!$A:$M,12,0)</f>
        <v>0</v>
      </c>
      <c r="Z650" s="4">
        <f>VLOOKUP(A650,[13]Sheet1!$A:$M,13,0)</f>
        <v>0</v>
      </c>
      <c r="AA650" s="4">
        <f t="shared" si="192"/>
        <v>2600</v>
      </c>
      <c r="AB650" s="7">
        <f t="shared" si="193"/>
        <v>217</v>
      </c>
      <c r="AC650" s="15">
        <f t="shared" si="194"/>
        <v>216.66666666666666</v>
      </c>
      <c r="AD650" s="16">
        <f t="shared" si="195"/>
        <v>53039.999999999993</v>
      </c>
      <c r="AE650" s="16">
        <f t="shared" si="196"/>
        <v>4419.9999999999991</v>
      </c>
      <c r="AF650" s="21">
        <v>5.22</v>
      </c>
      <c r="AG650" s="21">
        <v>20.399999999999999</v>
      </c>
      <c r="AH650" s="15">
        <f t="shared" si="189"/>
        <v>0.12933333333333324</v>
      </c>
      <c r="AI650" s="15">
        <f t="shared" si="190"/>
        <v>0.45266666666666627</v>
      </c>
      <c r="AJ650" s="10">
        <v>0.5</v>
      </c>
      <c r="AK650" s="10">
        <v>0.5</v>
      </c>
      <c r="AL650" s="21">
        <v>5.22</v>
      </c>
      <c r="AM650" s="9">
        <f t="shared" si="197"/>
        <v>3.0599999999999996</v>
      </c>
      <c r="AN650" s="9">
        <f t="shared" si="198"/>
        <v>0.61199999999999999</v>
      </c>
      <c r="AO650" s="9">
        <f t="shared" si="199"/>
        <v>4.08</v>
      </c>
      <c r="AP650" s="9">
        <f t="shared" si="200"/>
        <v>0.40799999999999997</v>
      </c>
      <c r="AQ650" s="9">
        <f t="shared" si="201"/>
        <v>4.08</v>
      </c>
      <c r="AR650" s="9">
        <f t="shared" si="202"/>
        <v>5.0999999999999996</v>
      </c>
      <c r="AS650" s="11">
        <f t="shared" si="203"/>
        <v>1.2933333333333323</v>
      </c>
      <c r="AT650" s="12">
        <f t="shared" si="204"/>
        <v>0.61333333333333273</v>
      </c>
    </row>
    <row r="651" spans="1:46" ht="16.5" x14ac:dyDescent="0.4">
      <c r="A651" s="4" t="s">
        <v>2641</v>
      </c>
      <c r="B651" s="4" t="s">
        <v>2710</v>
      </c>
      <c r="C651" s="4" t="s">
        <v>2712</v>
      </c>
      <c r="D651" s="4" t="s">
        <v>2820</v>
      </c>
      <c r="E651" s="4" t="s">
        <v>2979</v>
      </c>
      <c r="F651" s="4" t="s">
        <v>3138</v>
      </c>
      <c r="G651" s="7" t="str">
        <f>VLOOKUP(A651,[1]done!$A:$I,9,0)</f>
        <v>Insecticide/Fungicide</v>
      </c>
      <c r="H651" s="7" t="str" cm="1">
        <f t="array" ref="H651">_xlfn.IFS(
OR(ISNUMBER(SEARCH("mouse",E651)),ISNUMBER(SEARCH("rat",E651)),ISNUMBER(SEARCH("mice",E651)),ISNUMBER(SEARCH("rodent",E651))),"Rodent Control",
OR(ISNUMBER(SEARCH("fly",E651)),ISNUMBER(SEARCH("gnat",E651)),ISNUMBER(SEARCH("insect",E651)),ISNUMBER(SEARCH("mosquito",E651))),"Flying Insect Control",
OR(ISNUMBER(SEARCH("roach",E651)),ISNUMBER(SEARCH("ant",E651)),ISNUMBER(SEARCH("spider",E651)),ISNUMBER(SEARCH("cricket",E651)),ISNUMBER(SEARCH("scorpion",E651)),ISNUMBER(SEARCH("centipede",E651)),ISNUMBER(SEARCH("beetle",E651))),"Crawling Insect Control",
OR(ISNUMBER(SEARCH("tree",E651)),ISNUMBER(SEARCH("lantern",E651)),ISNUMBER(SEARCH("garden",E651)),ISNUMBER(SEARCH("plant",E651))),"Garden Pest Control",
OR(ISNUMBER(SEARCH("grass seed",E651)),ISNUMBER(SEARCH("seed mix",E651))),"Grass Seed",
OR(ISNUMBER(SEARCH("lawn food",E651)),ISNUMBER(SEARCH("fertilizer",E651))),"Lawn Fertilizer",
OR(ISNUMBER(SEARCH("patch",E651)),ISNUMBER(SEARCH("repair",E651)),ISNUMBER(SEARCH("thick'r",E651)),ISNUMBER(SEARCH("thick'r lawn",E651)),ISNUMBER(SEARCH("rapid grass",E651))),"Lawn Repair",
OR(ISNUMBER(SEARCH("weed",E651)),ISNUMBER(SEARCH("crabgrass",E651))),"Weed Control",
OR(ISNUMBER(SEARCH("fungicide",E651)),ISNUMBER(SEARCH("moss",E651))),"Disease &amp; Moss Control",
OR(ISNUMBER(SEARCH("plant food",E651)),ISNUMBER(SEARCH("miracid",E651))),"Plant Nutrition",
OR(ISNUMBER(SEARCH("perlite",E651))),"Soil Amendment",
OR(ISNUMBER(SEARCH("spreader",E651)),ISNUMBER(SEARCH("sprayer",E651)),ISNUMBER(SEARCH("mower",E651)),ISNUMBER(SEARCH("sweeper",E651)),ISNUMBER(SEARCH("pruner",E651)),ISNUMBER(SEARCH("trimmer",E651)),ISNUMBER(SEARCH("pole saw",E651))),"Garden Equipment",
TRUE,"Other"
)</f>
        <v>Other</v>
      </c>
      <c r="I651" s="7" t="str" cm="1">
        <f t="array" ref="I651">_xlfn.IFS(
OR(ISNUMBER(SEARCH("glue trap",E651)),ISNUMBER(SEARCH("glue board",E651))),"Glue Traps",
OR(ISNUMBER(SEARCH("snap trap",E651)),ISNUMBER(SEARCH("power-kill",E651)),ISNUMBER(SEARCH("wide pedal",E651)),ISNUMBER(SEARCH("metal pedal",E651))),"Snap Traps",
OR(ISNUMBER(SEARCH("electronic",E651)),ISNUMBER(SEARCH("zapper",E651))),"Electronic Traps",
OR(ISNUMBER(SEARCH("live catch",E651)),ISNUMBER(SEARCH("multi-catch",E651)),ISNUMBER(SEARCH("catch &amp; hold",E651)),ISNUMBER(SEARCH("tin cat",E651))),"Live Catch Traps",
OR(ISNUMBER(SEARCH("bait",E651)),ISNUMBER(SEARCH("poison",E651))),"Bait &amp; Poison",
ISNUMBER(SEARCH("repellent",E651)),"Repellents",
OR(ISNUMBER(SEARCH("fly trap",E651)),ISNUMBER(SEARCH("fly ribbon",E651)),ISNUMBER(SEARCH("fly stick",E651)),ISNUMBER(SEARCH("window fly",E651)),ISNUMBER(SEARCH("fly magnet",E651))),"Fly Traps",
OR(ISNUMBER(SEARCH("uv",E651)),ISNUMBER(SEARCH("fly light",E651)),ISNUMBER(SEARCH("plug-in",E651))),"UV Fly Traps",
ISNUMBER(SEARCH("roach",E651)),"Roach Traps",
ISNUMBER(SEARCH("ant",E651)),"Ant Traps",
ISNUMBER(SEARCH("spider",E651)),"Spider Traps",
ISNUMBER(SEARCH("mosquito",E651)),"Mosquito Traps",
ISNUMBER(SEARCH("beetle",E651)),"Beetle Traps",
ISNUMBER(SEARCH("lantern",E651)),"Lanternfly Control",
OR(ISNUMBER(SEARCH("tree shield",E651)),ISNUMBER(SEARCH("tree banding",E651)),ISNUMBER(SEARCH("insect barrier",E651))),"Tree Barriers",
OR(ISNUMBER(SEARCH("sun &amp; shade",E651)),ISNUMBER(SEARCH("sun and shade",E651))),"Sun &amp; Shade Mix",
ISNUMBER(SEARCH("tall fescue",E651)),"Tall Fescue",
ISNUMBER(SEARCH("bermudagrass",E651)),"Bermudagrass",
ISNUMBER(SEARCH("kentucky",E651)),"Kentucky Bluegrass",
ISNUMBER(SEARCH("zoysia",E651)),"Zoysia",
ISNUMBER(SEARCH("ryegrass",E651)),"Perennial Ryegrass",
ISNUMBER(SEARCH("centipede",E651)),"Centipede Grass",
ISNUMBER(SEARCH("dense shade",E651)),"Dense Shade Mix",
ISNUMBER(SEARCH("southern gold",E651)),"Southern Gold Mix",
ISNUMBER(SEARCH("heat-tolerant blue",E651)),"Heat-Tolerant Blue Mix",
ISNUMBER(SEARCH("high traffic",E651)),"High Traffic Mix",
ISNUMBER(SEARCH("quick fix",E651)),"Quick Fix Mix",
ISNUMBER(SEARCH("starter",E651)),"Starter Fertilizer",
ISNUMBER(SEARCH("weed &amp; feed",E651)),"Weed &amp; Feed",
ISNUMBER(SEARCH("lawn food",E651)),"Lawn Food",
ISNUMBER(SEARCH("triple action",E651)),"Triple Action Fertilizer",
ISNUMBER(SEARCH("green max",E651)),"Green Max Lawn Food",
ISNUMBER(SEARCH("patchmaster",E651)),"PatchMaster Repair",
ISNUMBER(SEARCH("ez seed",E651)),"EZ Seed Repair",
ISNUMBER(SEARCH("rapid grass",E651)),"Rapid Grass",
ISNUMBER(SEARCH("thick'r lawn",E651)),"Thick'R Lawn",
ISNUMBER(SEARCH("fungicide",E651)),"Fungicide",
ISNUMBER(SEARCH("moss",E651)),"Moss Control",
ISNUMBER(SEARCH("perlite",E651)),"Perlite",
ISNUMBER(SEARCH("plant food",E651)),"Plant Food",
ISNUMBER(SEARCH("spreader",E651)),"Spreader",
ISNUMBER(SEARCH("sprayer",E651)),"Sprayer",
ISNUMBER(SEARCH("mower",E651)),"Lawn Mower",
ISNUMBER(SEARCH("sweeper",E651)),"Lawn Sweeper",
OR(ISNUMBER(SEARCH("pruner",E651)),ISNUMBER(SEARCH("trimmer",E651)),ISNUMBER(SEARCH("pole saw",E651))),"Pruning Tools",
TRUE,"Other"
)</f>
        <v>Other</v>
      </c>
      <c r="J651" s="7" t="str">
        <f t="shared" si="191"/>
        <v>Other - Other</v>
      </c>
      <c r="K651" s="4">
        <v>200</v>
      </c>
      <c r="L651" s="4">
        <v>4.4000000000000004</v>
      </c>
      <c r="M651" s="4">
        <v>331</v>
      </c>
      <c r="N651" s="4" t="s">
        <v>3244</v>
      </c>
      <c r="O651" s="4">
        <f>VLOOKUP(A651,[13]Sheet1!$A:$M,2,0)</f>
        <v>50</v>
      </c>
      <c r="P651" s="4">
        <f>VLOOKUP(A651,[13]Sheet1!$A:$M,3,0)</f>
        <v>50</v>
      </c>
      <c r="Q651" s="4">
        <f>VLOOKUP(A651,[13]Sheet1!$A:$M,4,0)</f>
        <v>100</v>
      </c>
      <c r="R651" s="4">
        <f>VLOOKUP(A651,[13]Sheet1!$A:$M,5,0)</f>
        <v>200</v>
      </c>
      <c r="S651" s="4">
        <f>VLOOKUP(A651,[13]Sheet1!$A:$M,6,0)</f>
        <v>200</v>
      </c>
      <c r="T651" s="4">
        <f>VLOOKUP(A651,[13]Sheet1!$A:$M,7,0)</f>
        <v>300</v>
      </c>
      <c r="U651" s="4">
        <f>VLOOKUP(A651,[13]Sheet1!$A:$M,8,0)</f>
        <v>300</v>
      </c>
      <c r="V651" s="4">
        <f>VLOOKUP(A651,[13]Sheet1!$A:$M,9,0)</f>
        <v>300</v>
      </c>
      <c r="W651" s="4">
        <f>VLOOKUP(A651,[13]Sheet1!$A:$M,10,0)</f>
        <v>200</v>
      </c>
      <c r="X651" s="4">
        <f>VLOOKUP(A651,[13]Sheet1!$A:$M,11,0)</f>
        <v>100</v>
      </c>
      <c r="Y651" s="4">
        <f>VLOOKUP(A651,[13]Sheet1!$A:$M,12,0)</f>
        <v>100</v>
      </c>
      <c r="Z651" s="4">
        <f>VLOOKUP(A651,[13]Sheet1!$A:$M,13,0)</f>
        <v>50</v>
      </c>
      <c r="AA651" s="4">
        <f t="shared" si="192"/>
        <v>1950</v>
      </c>
      <c r="AB651" s="7">
        <f t="shared" si="193"/>
        <v>163</v>
      </c>
      <c r="AC651" s="15">
        <f t="shared" si="194"/>
        <v>162.5</v>
      </c>
      <c r="AD651" s="16">
        <f t="shared" si="195"/>
        <v>54580.5</v>
      </c>
      <c r="AE651" s="16">
        <f t="shared" si="196"/>
        <v>4548.375</v>
      </c>
      <c r="AF651" s="21">
        <v>8.7899999999999991</v>
      </c>
      <c r="AG651" s="21">
        <v>27.99</v>
      </c>
      <c r="AH651" s="15">
        <f t="shared" si="189"/>
        <v>9.3733333333333196E-2</v>
      </c>
      <c r="AI651" s="15">
        <f t="shared" si="190"/>
        <v>0.32806666666666617</v>
      </c>
      <c r="AJ651" s="10">
        <v>0.5</v>
      </c>
      <c r="AK651" s="10">
        <v>0.5</v>
      </c>
      <c r="AL651" s="21">
        <v>8.7899999999999991</v>
      </c>
      <c r="AM651" s="9">
        <f t="shared" si="197"/>
        <v>4.1984999999999992</v>
      </c>
      <c r="AN651" s="9">
        <f t="shared" si="198"/>
        <v>0.83969999999999989</v>
      </c>
      <c r="AO651" s="9">
        <f t="shared" si="199"/>
        <v>5.5979999999999999</v>
      </c>
      <c r="AP651" s="9">
        <f t="shared" si="200"/>
        <v>0.55979999999999996</v>
      </c>
      <c r="AQ651" s="9">
        <f t="shared" si="201"/>
        <v>5.5979999999999999</v>
      </c>
      <c r="AR651" s="9">
        <f t="shared" si="202"/>
        <v>6.9974999999999996</v>
      </c>
      <c r="AS651" s="11">
        <f t="shared" si="203"/>
        <v>0.93733333333333191</v>
      </c>
      <c r="AT651" s="12">
        <f t="shared" si="204"/>
        <v>4.3333333333321162E-3</v>
      </c>
    </row>
    <row r="652" spans="1:46" ht="16.5" x14ac:dyDescent="0.4">
      <c r="A652" s="4" t="s">
        <v>2642</v>
      </c>
      <c r="B652" s="4" t="s">
        <v>2710</v>
      </c>
      <c r="C652" s="4" t="s">
        <v>2722</v>
      </c>
      <c r="D652" s="4" t="s">
        <v>2821</v>
      </c>
      <c r="E652" s="4" t="s">
        <v>2980</v>
      </c>
      <c r="F652" s="4" t="s">
        <v>3139</v>
      </c>
      <c r="G652" s="7" t="str">
        <f>VLOOKUP(A652,[1]done!$A:$I,9,0)</f>
        <v>Deer &amp; Rabbit control</v>
      </c>
      <c r="H652" s="7" t="str" cm="1">
        <f t="array" ref="H652">_xlfn.IFS(
OR(ISNUMBER(SEARCH("mouse",E652)),ISNUMBER(SEARCH("rat",E652)),ISNUMBER(SEARCH("mice",E652)),ISNUMBER(SEARCH("rodent",E652))),"Rodent Control",
OR(ISNUMBER(SEARCH("fly",E652)),ISNUMBER(SEARCH("gnat",E652)),ISNUMBER(SEARCH("insect",E652)),ISNUMBER(SEARCH("mosquito",E652))),"Flying Insect Control",
OR(ISNUMBER(SEARCH("roach",E652)),ISNUMBER(SEARCH("ant",E652)),ISNUMBER(SEARCH("spider",E652)),ISNUMBER(SEARCH("cricket",E652)),ISNUMBER(SEARCH("scorpion",E652)),ISNUMBER(SEARCH("centipede",E652)),ISNUMBER(SEARCH("beetle",E652))),"Crawling Insect Control",
OR(ISNUMBER(SEARCH("tree",E652)),ISNUMBER(SEARCH("lantern",E652)),ISNUMBER(SEARCH("garden",E652)),ISNUMBER(SEARCH("plant",E652))),"Garden Pest Control",
OR(ISNUMBER(SEARCH("grass seed",E652)),ISNUMBER(SEARCH("seed mix",E652))),"Grass Seed",
OR(ISNUMBER(SEARCH("lawn food",E652)),ISNUMBER(SEARCH("fertilizer",E652))),"Lawn Fertilizer",
OR(ISNUMBER(SEARCH("patch",E652)),ISNUMBER(SEARCH("repair",E652)),ISNUMBER(SEARCH("thick'r",E652)),ISNUMBER(SEARCH("thick'r lawn",E652)),ISNUMBER(SEARCH("rapid grass",E652))),"Lawn Repair",
OR(ISNUMBER(SEARCH("weed",E652)),ISNUMBER(SEARCH("crabgrass",E652))),"Weed Control",
OR(ISNUMBER(SEARCH("fungicide",E652)),ISNUMBER(SEARCH("moss",E652))),"Disease &amp; Moss Control",
OR(ISNUMBER(SEARCH("plant food",E652)),ISNUMBER(SEARCH("miracid",E652))),"Plant Nutrition",
OR(ISNUMBER(SEARCH("perlite",E652))),"Soil Amendment",
OR(ISNUMBER(SEARCH("spreader",E652)),ISNUMBER(SEARCH("sprayer",E652)),ISNUMBER(SEARCH("mower",E652)),ISNUMBER(SEARCH("sweeper",E652)),ISNUMBER(SEARCH("pruner",E652)),ISNUMBER(SEARCH("trimmer",E652)),ISNUMBER(SEARCH("pole saw",E652))),"Garden Equipment",
TRUE,"Other"
)</f>
        <v>Other</v>
      </c>
      <c r="I652" s="7" t="str" cm="1">
        <f t="array" ref="I652">_xlfn.IFS(
OR(ISNUMBER(SEARCH("glue trap",E652)),ISNUMBER(SEARCH("glue board",E652))),"Glue Traps",
OR(ISNUMBER(SEARCH("snap trap",E652)),ISNUMBER(SEARCH("power-kill",E652)),ISNUMBER(SEARCH("wide pedal",E652)),ISNUMBER(SEARCH("metal pedal",E652))),"Snap Traps",
OR(ISNUMBER(SEARCH("electronic",E652)),ISNUMBER(SEARCH("zapper",E652))),"Electronic Traps",
OR(ISNUMBER(SEARCH("live catch",E652)),ISNUMBER(SEARCH("multi-catch",E652)),ISNUMBER(SEARCH("catch &amp; hold",E652)),ISNUMBER(SEARCH("tin cat",E652))),"Live Catch Traps",
OR(ISNUMBER(SEARCH("bait",E652)),ISNUMBER(SEARCH("poison",E652))),"Bait &amp; Poison",
ISNUMBER(SEARCH("repellent",E652)),"Repellents",
OR(ISNUMBER(SEARCH("fly trap",E652)),ISNUMBER(SEARCH("fly ribbon",E652)),ISNUMBER(SEARCH("fly stick",E652)),ISNUMBER(SEARCH("window fly",E652)),ISNUMBER(SEARCH("fly magnet",E652))),"Fly Traps",
OR(ISNUMBER(SEARCH("uv",E652)),ISNUMBER(SEARCH("fly light",E652)),ISNUMBER(SEARCH("plug-in",E652))),"UV Fly Traps",
ISNUMBER(SEARCH("roach",E652)),"Roach Traps",
ISNUMBER(SEARCH("ant",E652)),"Ant Traps",
ISNUMBER(SEARCH("spider",E652)),"Spider Traps",
ISNUMBER(SEARCH("mosquito",E652)),"Mosquito Traps",
ISNUMBER(SEARCH("beetle",E652)),"Beetle Traps",
ISNUMBER(SEARCH("lantern",E652)),"Lanternfly Control",
OR(ISNUMBER(SEARCH("tree shield",E652)),ISNUMBER(SEARCH("tree banding",E652)),ISNUMBER(SEARCH("insect barrier",E652))),"Tree Barriers",
OR(ISNUMBER(SEARCH("sun &amp; shade",E652)),ISNUMBER(SEARCH("sun and shade",E652))),"Sun &amp; Shade Mix",
ISNUMBER(SEARCH("tall fescue",E652)),"Tall Fescue",
ISNUMBER(SEARCH("bermudagrass",E652)),"Bermudagrass",
ISNUMBER(SEARCH("kentucky",E652)),"Kentucky Bluegrass",
ISNUMBER(SEARCH("zoysia",E652)),"Zoysia",
ISNUMBER(SEARCH("ryegrass",E652)),"Perennial Ryegrass",
ISNUMBER(SEARCH("centipede",E652)),"Centipede Grass",
ISNUMBER(SEARCH("dense shade",E652)),"Dense Shade Mix",
ISNUMBER(SEARCH("southern gold",E652)),"Southern Gold Mix",
ISNUMBER(SEARCH("heat-tolerant blue",E652)),"Heat-Tolerant Blue Mix",
ISNUMBER(SEARCH("high traffic",E652)),"High Traffic Mix",
ISNUMBER(SEARCH("quick fix",E652)),"Quick Fix Mix",
ISNUMBER(SEARCH("starter",E652)),"Starter Fertilizer",
ISNUMBER(SEARCH("weed &amp; feed",E652)),"Weed &amp; Feed",
ISNUMBER(SEARCH("lawn food",E652)),"Lawn Food",
ISNUMBER(SEARCH("triple action",E652)),"Triple Action Fertilizer",
ISNUMBER(SEARCH("green max",E652)),"Green Max Lawn Food",
ISNUMBER(SEARCH("patchmaster",E652)),"PatchMaster Repair",
ISNUMBER(SEARCH("ez seed",E652)),"EZ Seed Repair",
ISNUMBER(SEARCH("rapid grass",E652)),"Rapid Grass",
ISNUMBER(SEARCH("thick'r lawn",E652)),"Thick'R Lawn",
ISNUMBER(SEARCH("fungicide",E652)),"Fungicide",
ISNUMBER(SEARCH("moss",E652)),"Moss Control",
ISNUMBER(SEARCH("perlite",E652)),"Perlite",
ISNUMBER(SEARCH("plant food",E652)),"Plant Food",
ISNUMBER(SEARCH("spreader",E652)),"Spreader",
ISNUMBER(SEARCH("sprayer",E652)),"Sprayer",
ISNUMBER(SEARCH("mower",E652)),"Lawn Mower",
ISNUMBER(SEARCH("sweeper",E652)),"Lawn Sweeper",
OR(ISNUMBER(SEARCH("pruner",E652)),ISNUMBER(SEARCH("trimmer",E652)),ISNUMBER(SEARCH("pole saw",E652))),"Pruning Tools",
TRUE,"Other"
)</f>
        <v>Repellents</v>
      </c>
      <c r="J652" s="7" t="str">
        <f t="shared" si="191"/>
        <v>Other - Repellents</v>
      </c>
      <c r="K652" s="4">
        <v>200</v>
      </c>
      <c r="L652" s="4">
        <v>3.8</v>
      </c>
      <c r="M652" s="4">
        <v>416</v>
      </c>
      <c r="N652" s="4" t="s">
        <v>3233</v>
      </c>
      <c r="O652" s="4">
        <f>VLOOKUP(A652,[13]Sheet1!$A:$M,2,0)</f>
        <v>0</v>
      </c>
      <c r="P652" s="4">
        <f>VLOOKUP(A652,[13]Sheet1!$A:$M,3,0)</f>
        <v>50</v>
      </c>
      <c r="Q652" s="4">
        <f>VLOOKUP(A652,[13]Sheet1!$A:$M,4,0)</f>
        <v>50</v>
      </c>
      <c r="R652" s="4">
        <f>VLOOKUP(A652,[13]Sheet1!$A:$M,5,0)</f>
        <v>200</v>
      </c>
      <c r="S652" s="4">
        <f>VLOOKUP(A652,[13]Sheet1!$A:$M,6,0)</f>
        <v>300</v>
      </c>
      <c r="T652" s="4">
        <f>VLOOKUP(A652,[13]Sheet1!$A:$M,7,0)</f>
        <v>500</v>
      </c>
      <c r="U652" s="4">
        <f>VLOOKUP(A652,[13]Sheet1!$A:$M,8,0)</f>
        <v>600</v>
      </c>
      <c r="V652" s="4">
        <f>VLOOKUP(A652,[13]Sheet1!$A:$M,9,0)</f>
        <v>400</v>
      </c>
      <c r="W652" s="4">
        <f>VLOOKUP(A652,[13]Sheet1!$A:$M,10,0)</f>
        <v>200</v>
      </c>
      <c r="X652" s="4">
        <f>VLOOKUP(A652,[13]Sheet1!$A:$M,11,0)</f>
        <v>100</v>
      </c>
      <c r="Y652" s="4">
        <f>VLOOKUP(A652,[13]Sheet1!$A:$M,12,0)</f>
        <v>50</v>
      </c>
      <c r="Z652" s="4">
        <f>VLOOKUP(A652,[13]Sheet1!$A:$M,13,0)</f>
        <v>0</v>
      </c>
      <c r="AA652" s="4">
        <f t="shared" si="192"/>
        <v>2450</v>
      </c>
      <c r="AB652" s="7">
        <f t="shared" si="193"/>
        <v>204</v>
      </c>
      <c r="AC652" s="15">
        <f t="shared" si="194"/>
        <v>204.16666666666666</v>
      </c>
      <c r="AD652" s="16">
        <f t="shared" si="195"/>
        <v>26631.499999999996</v>
      </c>
      <c r="AE652" s="16">
        <f t="shared" si="196"/>
        <v>2219.2916666666665</v>
      </c>
      <c r="AF652" s="21">
        <v>6.31</v>
      </c>
      <c r="AG652" s="21">
        <v>10.87</v>
      </c>
      <c r="AH652" s="15">
        <f t="shared" si="189"/>
        <v>-0.19746666666666668</v>
      </c>
      <c r="AI652" s="15">
        <f t="shared" si="190"/>
        <v>-0.69113333333333338</v>
      </c>
      <c r="AJ652" s="10">
        <v>0.5</v>
      </c>
      <c r="AK652" s="10">
        <v>0.5</v>
      </c>
      <c r="AL652" s="21">
        <v>6.31</v>
      </c>
      <c r="AM652" s="9">
        <f t="shared" si="197"/>
        <v>1.6304999999999998</v>
      </c>
      <c r="AN652" s="9">
        <f t="shared" si="198"/>
        <v>0.32609999999999995</v>
      </c>
      <c r="AO652" s="9">
        <f t="shared" si="199"/>
        <v>2.1739999999999999</v>
      </c>
      <c r="AP652" s="9">
        <f t="shared" si="200"/>
        <v>0.21739999999999998</v>
      </c>
      <c r="AQ652" s="9">
        <f t="shared" si="201"/>
        <v>2.1739999999999999</v>
      </c>
      <c r="AR652" s="9">
        <f t="shared" si="202"/>
        <v>2.7174999999999998</v>
      </c>
      <c r="AS652" s="11">
        <f t="shared" si="203"/>
        <v>-1.9746666666666668</v>
      </c>
      <c r="AT652" s="12">
        <f t="shared" si="204"/>
        <v>-2.3370000000000002</v>
      </c>
    </row>
    <row r="653" spans="1:46" ht="16.5" x14ac:dyDescent="0.4">
      <c r="A653" s="4" t="s">
        <v>2643</v>
      </c>
      <c r="B653" s="4" t="s">
        <v>2710</v>
      </c>
      <c r="C653" s="4" t="s">
        <v>2717</v>
      </c>
      <c r="D653" s="4" t="s">
        <v>2822</v>
      </c>
      <c r="E653" s="4" t="s">
        <v>2981</v>
      </c>
      <c r="F653" s="4" t="s">
        <v>3140</v>
      </c>
      <c r="G653" s="7" t="str">
        <f>VLOOKUP(A653,[1]done!$A:$I,9,0)</f>
        <v>Insecticide/Fungicide</v>
      </c>
      <c r="H653" s="7" t="str" cm="1">
        <f t="array" ref="H653">_xlfn.IFS(
OR(ISNUMBER(SEARCH("mouse",E653)),ISNUMBER(SEARCH("rat",E653)),ISNUMBER(SEARCH("mice",E653)),ISNUMBER(SEARCH("rodent",E653))),"Rodent Control",
OR(ISNUMBER(SEARCH("fly",E653)),ISNUMBER(SEARCH("gnat",E653)),ISNUMBER(SEARCH("insect",E653)),ISNUMBER(SEARCH("mosquito",E653))),"Flying Insect Control",
OR(ISNUMBER(SEARCH("roach",E653)),ISNUMBER(SEARCH("ant",E653)),ISNUMBER(SEARCH("spider",E653)),ISNUMBER(SEARCH("cricket",E653)),ISNUMBER(SEARCH("scorpion",E653)),ISNUMBER(SEARCH("centipede",E653)),ISNUMBER(SEARCH("beetle",E653))),"Crawling Insect Control",
OR(ISNUMBER(SEARCH("tree",E653)),ISNUMBER(SEARCH("lantern",E653)),ISNUMBER(SEARCH("garden",E653)),ISNUMBER(SEARCH("plant",E653))),"Garden Pest Control",
OR(ISNUMBER(SEARCH("grass seed",E653)),ISNUMBER(SEARCH("seed mix",E653))),"Grass Seed",
OR(ISNUMBER(SEARCH("lawn food",E653)),ISNUMBER(SEARCH("fertilizer",E653))),"Lawn Fertilizer",
OR(ISNUMBER(SEARCH("patch",E653)),ISNUMBER(SEARCH("repair",E653)),ISNUMBER(SEARCH("thick'r",E653)),ISNUMBER(SEARCH("thick'r lawn",E653)),ISNUMBER(SEARCH("rapid grass",E653))),"Lawn Repair",
OR(ISNUMBER(SEARCH("weed",E653)),ISNUMBER(SEARCH("crabgrass",E653))),"Weed Control",
OR(ISNUMBER(SEARCH("fungicide",E653)),ISNUMBER(SEARCH("moss",E653))),"Disease &amp; Moss Control",
OR(ISNUMBER(SEARCH("plant food",E653)),ISNUMBER(SEARCH("miracid",E653))),"Plant Nutrition",
OR(ISNUMBER(SEARCH("perlite",E653))),"Soil Amendment",
OR(ISNUMBER(SEARCH("spreader",E653)),ISNUMBER(SEARCH("sprayer",E653)),ISNUMBER(SEARCH("mower",E653)),ISNUMBER(SEARCH("sweeper",E653)),ISNUMBER(SEARCH("pruner",E653)),ISNUMBER(SEARCH("trimmer",E653)),ISNUMBER(SEARCH("pole saw",E653))),"Garden Equipment",
TRUE,"Other"
)</f>
        <v>Other</v>
      </c>
      <c r="I653" s="7" t="str" cm="1">
        <f t="array" ref="I653">_xlfn.IFS(
OR(ISNUMBER(SEARCH("glue trap",E653)),ISNUMBER(SEARCH("glue board",E653))),"Glue Traps",
OR(ISNUMBER(SEARCH("snap trap",E653)),ISNUMBER(SEARCH("power-kill",E653)),ISNUMBER(SEARCH("wide pedal",E653)),ISNUMBER(SEARCH("metal pedal",E653))),"Snap Traps",
OR(ISNUMBER(SEARCH("electronic",E653)),ISNUMBER(SEARCH("zapper",E653))),"Electronic Traps",
OR(ISNUMBER(SEARCH("live catch",E653)),ISNUMBER(SEARCH("multi-catch",E653)),ISNUMBER(SEARCH("catch &amp; hold",E653)),ISNUMBER(SEARCH("tin cat",E653))),"Live Catch Traps",
OR(ISNUMBER(SEARCH("bait",E653)),ISNUMBER(SEARCH("poison",E653))),"Bait &amp; Poison",
ISNUMBER(SEARCH("repellent",E653)),"Repellents",
OR(ISNUMBER(SEARCH("fly trap",E653)),ISNUMBER(SEARCH("fly ribbon",E653)),ISNUMBER(SEARCH("fly stick",E653)),ISNUMBER(SEARCH("window fly",E653)),ISNUMBER(SEARCH("fly magnet",E653))),"Fly Traps",
OR(ISNUMBER(SEARCH("uv",E653)),ISNUMBER(SEARCH("fly light",E653)),ISNUMBER(SEARCH("plug-in",E653))),"UV Fly Traps",
ISNUMBER(SEARCH("roach",E653)),"Roach Traps",
ISNUMBER(SEARCH("ant",E653)),"Ant Traps",
ISNUMBER(SEARCH("spider",E653)),"Spider Traps",
ISNUMBER(SEARCH("mosquito",E653)),"Mosquito Traps",
ISNUMBER(SEARCH("beetle",E653)),"Beetle Traps",
ISNUMBER(SEARCH("lantern",E653)),"Lanternfly Control",
OR(ISNUMBER(SEARCH("tree shield",E653)),ISNUMBER(SEARCH("tree banding",E653)),ISNUMBER(SEARCH("insect barrier",E653))),"Tree Barriers",
OR(ISNUMBER(SEARCH("sun &amp; shade",E653)),ISNUMBER(SEARCH("sun and shade",E653))),"Sun &amp; Shade Mix",
ISNUMBER(SEARCH("tall fescue",E653)),"Tall Fescue",
ISNUMBER(SEARCH("bermudagrass",E653)),"Bermudagrass",
ISNUMBER(SEARCH("kentucky",E653)),"Kentucky Bluegrass",
ISNUMBER(SEARCH("zoysia",E653)),"Zoysia",
ISNUMBER(SEARCH("ryegrass",E653)),"Perennial Ryegrass",
ISNUMBER(SEARCH("centipede",E653)),"Centipede Grass",
ISNUMBER(SEARCH("dense shade",E653)),"Dense Shade Mix",
ISNUMBER(SEARCH("southern gold",E653)),"Southern Gold Mix",
ISNUMBER(SEARCH("heat-tolerant blue",E653)),"Heat-Tolerant Blue Mix",
ISNUMBER(SEARCH("high traffic",E653)),"High Traffic Mix",
ISNUMBER(SEARCH("quick fix",E653)),"Quick Fix Mix",
ISNUMBER(SEARCH("starter",E653)),"Starter Fertilizer",
ISNUMBER(SEARCH("weed &amp; feed",E653)),"Weed &amp; Feed",
ISNUMBER(SEARCH("lawn food",E653)),"Lawn Food",
ISNUMBER(SEARCH("triple action",E653)),"Triple Action Fertilizer",
ISNUMBER(SEARCH("green max",E653)),"Green Max Lawn Food",
ISNUMBER(SEARCH("patchmaster",E653)),"PatchMaster Repair",
ISNUMBER(SEARCH("ez seed",E653)),"EZ Seed Repair",
ISNUMBER(SEARCH("rapid grass",E653)),"Rapid Grass",
ISNUMBER(SEARCH("thick'r lawn",E653)),"Thick'R Lawn",
ISNUMBER(SEARCH("fungicide",E653)),"Fungicide",
ISNUMBER(SEARCH("moss",E653)),"Moss Control",
ISNUMBER(SEARCH("perlite",E653)),"Perlite",
ISNUMBER(SEARCH("plant food",E653)),"Plant Food",
ISNUMBER(SEARCH("spreader",E653)),"Spreader",
ISNUMBER(SEARCH("sprayer",E653)),"Sprayer",
ISNUMBER(SEARCH("mower",E653)),"Lawn Mower",
ISNUMBER(SEARCH("sweeper",E653)),"Lawn Sweeper",
OR(ISNUMBER(SEARCH("pruner",E653)),ISNUMBER(SEARCH("trimmer",E653)),ISNUMBER(SEARCH("pole saw",E653))),"Pruning Tools",
TRUE,"Other"
)</f>
        <v>Other</v>
      </c>
      <c r="J653" s="7" t="str">
        <f t="shared" si="191"/>
        <v>Other - Other</v>
      </c>
      <c r="K653" s="4">
        <v>200</v>
      </c>
      <c r="L653" s="4">
        <v>4.5</v>
      </c>
      <c r="M653" s="4">
        <v>2323</v>
      </c>
      <c r="N653" s="4" t="s">
        <v>3209</v>
      </c>
      <c r="O653" s="4">
        <f>VLOOKUP(A653,[13]Sheet1!$A:$M,2,0)</f>
        <v>100</v>
      </c>
      <c r="P653" s="4">
        <f>VLOOKUP(A653,[13]Sheet1!$A:$M,3,0)</f>
        <v>100</v>
      </c>
      <c r="Q653" s="4">
        <f>VLOOKUP(A653,[13]Sheet1!$A:$M,4,0)</f>
        <v>200</v>
      </c>
      <c r="R653" s="4">
        <f>VLOOKUP(A653,[13]Sheet1!$A:$M,5,0)</f>
        <v>400</v>
      </c>
      <c r="S653" s="4">
        <f>VLOOKUP(A653,[13]Sheet1!$A:$M,6,0)</f>
        <v>1000</v>
      </c>
      <c r="T653" s="4">
        <f>VLOOKUP(A653,[13]Sheet1!$A:$M,7,0)</f>
        <v>2000</v>
      </c>
      <c r="U653" s="4">
        <f>VLOOKUP(A653,[13]Sheet1!$A:$M,8,0)</f>
        <v>2000</v>
      </c>
      <c r="V653" s="4">
        <f>VLOOKUP(A653,[13]Sheet1!$A:$M,9,0)</f>
        <v>1000</v>
      </c>
      <c r="W653" s="4">
        <f>VLOOKUP(A653,[13]Sheet1!$A:$M,10,0)</f>
        <v>100</v>
      </c>
      <c r="X653" s="4">
        <f>VLOOKUP(A653,[13]Sheet1!$A:$M,11,0)</f>
        <v>100</v>
      </c>
      <c r="Y653" s="4">
        <f>VLOOKUP(A653,[13]Sheet1!$A:$M,12,0)</f>
        <v>100</v>
      </c>
      <c r="Z653" s="4">
        <f>VLOOKUP(A653,[13]Sheet1!$A:$M,13,0)</f>
        <v>100</v>
      </c>
      <c r="AA653" s="4">
        <f t="shared" si="192"/>
        <v>7200</v>
      </c>
      <c r="AB653" s="7">
        <f t="shared" si="193"/>
        <v>600</v>
      </c>
      <c r="AC653" s="15">
        <f t="shared" si="194"/>
        <v>600</v>
      </c>
      <c r="AD653" s="16">
        <f t="shared" si="195"/>
        <v>110088</v>
      </c>
      <c r="AE653" s="16">
        <f t="shared" si="196"/>
        <v>9174</v>
      </c>
      <c r="AF653" s="21">
        <v>6.31</v>
      </c>
      <c r="AG653" s="21">
        <v>15.29</v>
      </c>
      <c r="AH653" s="15">
        <f t="shared" si="189"/>
        <v>-7.9600000000000004E-2</v>
      </c>
      <c r="AI653" s="15">
        <f t="shared" si="190"/>
        <v>-0.27859999999999996</v>
      </c>
      <c r="AJ653" s="10">
        <v>0.5</v>
      </c>
      <c r="AK653" s="10">
        <v>0.5</v>
      </c>
      <c r="AL653" s="21">
        <v>6.31</v>
      </c>
      <c r="AM653" s="9">
        <f t="shared" si="197"/>
        <v>2.2934999999999999</v>
      </c>
      <c r="AN653" s="9">
        <f t="shared" si="198"/>
        <v>0.45869999999999994</v>
      </c>
      <c r="AO653" s="9">
        <f t="shared" si="199"/>
        <v>3.0579999999999998</v>
      </c>
      <c r="AP653" s="9">
        <f t="shared" si="200"/>
        <v>0.30580000000000002</v>
      </c>
      <c r="AQ653" s="9">
        <f t="shared" si="201"/>
        <v>3.0579999999999998</v>
      </c>
      <c r="AR653" s="9">
        <f t="shared" si="202"/>
        <v>3.8224999999999998</v>
      </c>
      <c r="AS653" s="11">
        <f t="shared" si="203"/>
        <v>-0.79599999999999993</v>
      </c>
      <c r="AT653" s="12">
        <f t="shared" si="204"/>
        <v>-1.3056666666666665</v>
      </c>
    </row>
    <row r="654" spans="1:46" ht="16.5" x14ac:dyDescent="0.4">
      <c r="A654" s="4" t="s">
        <v>2644</v>
      </c>
      <c r="B654" s="4" t="s">
        <v>2710</v>
      </c>
      <c r="C654" s="4" t="s">
        <v>2710</v>
      </c>
      <c r="D654" s="4" t="s">
        <v>2823</v>
      </c>
      <c r="E654" s="4" t="s">
        <v>2982</v>
      </c>
      <c r="F654" s="4" t="s">
        <v>3141</v>
      </c>
      <c r="G654" s="7" t="str">
        <f>VLOOKUP(A654,[1]done!$A:$I,9,0)</f>
        <v>Insecticide/Fungicide</v>
      </c>
      <c r="H654" s="7" t="str" cm="1">
        <f t="array" ref="H654">_xlfn.IFS(
OR(ISNUMBER(SEARCH("mouse",E654)),ISNUMBER(SEARCH("rat",E654)),ISNUMBER(SEARCH("mice",E654)),ISNUMBER(SEARCH("rodent",E654))),"Rodent Control",
OR(ISNUMBER(SEARCH("fly",E654)),ISNUMBER(SEARCH("gnat",E654)),ISNUMBER(SEARCH("insect",E654)),ISNUMBER(SEARCH("mosquito",E654))),"Flying Insect Control",
OR(ISNUMBER(SEARCH("roach",E654)),ISNUMBER(SEARCH("ant",E654)),ISNUMBER(SEARCH("spider",E654)),ISNUMBER(SEARCH("cricket",E654)),ISNUMBER(SEARCH("scorpion",E654)),ISNUMBER(SEARCH("centipede",E654)),ISNUMBER(SEARCH("beetle",E654))),"Crawling Insect Control",
OR(ISNUMBER(SEARCH("tree",E654)),ISNUMBER(SEARCH("lantern",E654)),ISNUMBER(SEARCH("garden",E654)),ISNUMBER(SEARCH("plant",E654))),"Garden Pest Control",
OR(ISNUMBER(SEARCH("grass seed",E654)),ISNUMBER(SEARCH("seed mix",E654))),"Grass Seed",
OR(ISNUMBER(SEARCH("lawn food",E654)),ISNUMBER(SEARCH("fertilizer",E654))),"Lawn Fertilizer",
OR(ISNUMBER(SEARCH("patch",E654)),ISNUMBER(SEARCH("repair",E654)),ISNUMBER(SEARCH("thick'r",E654)),ISNUMBER(SEARCH("thick'r lawn",E654)),ISNUMBER(SEARCH("rapid grass",E654))),"Lawn Repair",
OR(ISNUMBER(SEARCH("weed",E654)),ISNUMBER(SEARCH("crabgrass",E654))),"Weed Control",
OR(ISNUMBER(SEARCH("fungicide",E654)),ISNUMBER(SEARCH("moss",E654))),"Disease &amp; Moss Control",
OR(ISNUMBER(SEARCH("plant food",E654)),ISNUMBER(SEARCH("miracid",E654))),"Plant Nutrition",
OR(ISNUMBER(SEARCH("perlite",E654))),"Soil Amendment",
OR(ISNUMBER(SEARCH("spreader",E654)),ISNUMBER(SEARCH("sprayer",E654)),ISNUMBER(SEARCH("mower",E654)),ISNUMBER(SEARCH("sweeper",E654)),ISNUMBER(SEARCH("pruner",E654)),ISNUMBER(SEARCH("trimmer",E654)),ISNUMBER(SEARCH("pole saw",E654))),"Garden Equipment",
TRUE,"Other"
)</f>
        <v>Other</v>
      </c>
      <c r="I654" s="7" t="str" cm="1">
        <f t="array" ref="I654">_xlfn.IFS(
OR(ISNUMBER(SEARCH("glue trap",E654)),ISNUMBER(SEARCH("glue board",E654))),"Glue Traps",
OR(ISNUMBER(SEARCH("snap trap",E654)),ISNUMBER(SEARCH("power-kill",E654)),ISNUMBER(SEARCH("wide pedal",E654)),ISNUMBER(SEARCH("metal pedal",E654))),"Snap Traps",
OR(ISNUMBER(SEARCH("electronic",E654)),ISNUMBER(SEARCH("zapper",E654))),"Electronic Traps",
OR(ISNUMBER(SEARCH("live catch",E654)),ISNUMBER(SEARCH("multi-catch",E654)),ISNUMBER(SEARCH("catch &amp; hold",E654)),ISNUMBER(SEARCH("tin cat",E654))),"Live Catch Traps",
OR(ISNUMBER(SEARCH("bait",E654)),ISNUMBER(SEARCH("poison",E654))),"Bait &amp; Poison",
ISNUMBER(SEARCH("repellent",E654)),"Repellents",
OR(ISNUMBER(SEARCH("fly trap",E654)),ISNUMBER(SEARCH("fly ribbon",E654)),ISNUMBER(SEARCH("fly stick",E654)),ISNUMBER(SEARCH("window fly",E654)),ISNUMBER(SEARCH("fly magnet",E654))),"Fly Traps",
OR(ISNUMBER(SEARCH("uv",E654)),ISNUMBER(SEARCH("fly light",E654)),ISNUMBER(SEARCH("plug-in",E654))),"UV Fly Traps",
ISNUMBER(SEARCH("roach",E654)),"Roach Traps",
ISNUMBER(SEARCH("ant",E654)),"Ant Traps",
ISNUMBER(SEARCH("spider",E654)),"Spider Traps",
ISNUMBER(SEARCH("mosquito",E654)),"Mosquito Traps",
ISNUMBER(SEARCH("beetle",E654)),"Beetle Traps",
ISNUMBER(SEARCH("lantern",E654)),"Lanternfly Control",
OR(ISNUMBER(SEARCH("tree shield",E654)),ISNUMBER(SEARCH("tree banding",E654)),ISNUMBER(SEARCH("insect barrier",E654))),"Tree Barriers",
OR(ISNUMBER(SEARCH("sun &amp; shade",E654)),ISNUMBER(SEARCH("sun and shade",E654))),"Sun &amp; Shade Mix",
ISNUMBER(SEARCH("tall fescue",E654)),"Tall Fescue",
ISNUMBER(SEARCH("bermudagrass",E654)),"Bermudagrass",
ISNUMBER(SEARCH("kentucky",E654)),"Kentucky Bluegrass",
ISNUMBER(SEARCH("zoysia",E654)),"Zoysia",
ISNUMBER(SEARCH("ryegrass",E654)),"Perennial Ryegrass",
ISNUMBER(SEARCH("centipede",E654)),"Centipede Grass",
ISNUMBER(SEARCH("dense shade",E654)),"Dense Shade Mix",
ISNUMBER(SEARCH("southern gold",E654)),"Southern Gold Mix",
ISNUMBER(SEARCH("heat-tolerant blue",E654)),"Heat-Tolerant Blue Mix",
ISNUMBER(SEARCH("high traffic",E654)),"High Traffic Mix",
ISNUMBER(SEARCH("quick fix",E654)),"Quick Fix Mix",
ISNUMBER(SEARCH("starter",E654)),"Starter Fertilizer",
ISNUMBER(SEARCH("weed &amp; feed",E654)),"Weed &amp; Feed",
ISNUMBER(SEARCH("lawn food",E654)),"Lawn Food",
ISNUMBER(SEARCH("triple action",E654)),"Triple Action Fertilizer",
ISNUMBER(SEARCH("green max",E654)),"Green Max Lawn Food",
ISNUMBER(SEARCH("patchmaster",E654)),"PatchMaster Repair",
ISNUMBER(SEARCH("ez seed",E654)),"EZ Seed Repair",
ISNUMBER(SEARCH("rapid grass",E654)),"Rapid Grass",
ISNUMBER(SEARCH("thick'r lawn",E654)),"Thick'R Lawn",
ISNUMBER(SEARCH("fungicide",E654)),"Fungicide",
ISNUMBER(SEARCH("moss",E654)),"Moss Control",
ISNUMBER(SEARCH("perlite",E654)),"Perlite",
ISNUMBER(SEARCH("plant food",E654)),"Plant Food",
ISNUMBER(SEARCH("spreader",E654)),"Spreader",
ISNUMBER(SEARCH("sprayer",E654)),"Sprayer",
ISNUMBER(SEARCH("mower",E654)),"Lawn Mower",
ISNUMBER(SEARCH("sweeper",E654)),"Lawn Sweeper",
OR(ISNUMBER(SEARCH("pruner",E654)),ISNUMBER(SEARCH("trimmer",E654)),ISNUMBER(SEARCH("pole saw",E654))),"Pruning Tools",
TRUE,"Other"
)</f>
        <v>Other</v>
      </c>
      <c r="J654" s="7" t="str">
        <f t="shared" si="191"/>
        <v>Other - Other</v>
      </c>
      <c r="K654" s="4">
        <v>200</v>
      </c>
      <c r="L654" s="4">
        <v>4</v>
      </c>
      <c r="M654" s="4">
        <v>1698</v>
      </c>
      <c r="N654" s="4" t="s">
        <v>3209</v>
      </c>
      <c r="O654" s="4">
        <f>VLOOKUP(A654,[13]Sheet1!$A:$M,2,0)</f>
        <v>0</v>
      </c>
      <c r="P654" s="4">
        <f>VLOOKUP(A654,[13]Sheet1!$A:$M,3,0)</f>
        <v>0</v>
      </c>
      <c r="Q654" s="4">
        <f>VLOOKUP(A654,[13]Sheet1!$A:$M,4,0)</f>
        <v>0</v>
      </c>
      <c r="R654" s="4">
        <f>VLOOKUP(A654,[13]Sheet1!$A:$M,5,0)</f>
        <v>100</v>
      </c>
      <c r="S654" s="4">
        <f>VLOOKUP(A654,[13]Sheet1!$A:$M,6,0)</f>
        <v>400</v>
      </c>
      <c r="T654" s="4">
        <f>VLOOKUP(A654,[13]Sheet1!$A:$M,7,0)</f>
        <v>1000</v>
      </c>
      <c r="U654" s="4">
        <f>VLOOKUP(A654,[13]Sheet1!$A:$M,8,0)</f>
        <v>2000</v>
      </c>
      <c r="V654" s="4">
        <f>VLOOKUP(A654,[13]Sheet1!$A:$M,9,0)</f>
        <v>1000</v>
      </c>
      <c r="W654" s="4">
        <f>VLOOKUP(A654,[13]Sheet1!$A:$M,10,0)</f>
        <v>200</v>
      </c>
      <c r="X654" s="4">
        <f>VLOOKUP(A654,[13]Sheet1!$A:$M,11,0)</f>
        <v>0</v>
      </c>
      <c r="Y654" s="4">
        <f>VLOOKUP(A654,[13]Sheet1!$A:$M,12,0)</f>
        <v>0</v>
      </c>
      <c r="Z654" s="4">
        <f>VLOOKUP(A654,[13]Sheet1!$A:$M,13,0)</f>
        <v>0</v>
      </c>
      <c r="AA654" s="4">
        <f t="shared" si="192"/>
        <v>4700</v>
      </c>
      <c r="AB654" s="7">
        <f t="shared" si="193"/>
        <v>392</v>
      </c>
      <c r="AC654" s="15">
        <f t="shared" si="194"/>
        <v>391.66666666666669</v>
      </c>
      <c r="AD654" s="16">
        <f t="shared" si="195"/>
        <v>25051</v>
      </c>
      <c r="AE654" s="16">
        <f t="shared" si="196"/>
        <v>2087.5833333333335</v>
      </c>
      <c r="AF654" s="21">
        <v>5.46</v>
      </c>
      <c r="AG654" s="21">
        <v>5.33</v>
      </c>
      <c r="AH654" s="15">
        <f t="shared" si="189"/>
        <v>-0.28853333333333336</v>
      </c>
      <c r="AI654" s="15">
        <f t="shared" si="190"/>
        <v>-1.0098666666666667</v>
      </c>
      <c r="AJ654" s="10">
        <v>0.5</v>
      </c>
      <c r="AK654" s="10">
        <v>0.5</v>
      </c>
      <c r="AL654" s="21">
        <v>5.46</v>
      </c>
      <c r="AM654" s="9">
        <f t="shared" si="197"/>
        <v>0.79949999999999999</v>
      </c>
      <c r="AN654" s="9">
        <f t="shared" si="198"/>
        <v>0.15989999999999999</v>
      </c>
      <c r="AO654" s="9">
        <f t="shared" si="199"/>
        <v>1.0660000000000001</v>
      </c>
      <c r="AP654" s="9">
        <f t="shared" si="200"/>
        <v>0.1066</v>
      </c>
      <c r="AQ654" s="9">
        <f t="shared" si="201"/>
        <v>1.0660000000000001</v>
      </c>
      <c r="AR654" s="9">
        <f t="shared" si="202"/>
        <v>1.3325</v>
      </c>
      <c r="AS654" s="11">
        <f t="shared" si="203"/>
        <v>-2.8853333333333335</v>
      </c>
      <c r="AT654" s="12">
        <f t="shared" si="204"/>
        <v>-3.0630000000000002</v>
      </c>
    </row>
    <row r="655" spans="1:46" ht="16.5" x14ac:dyDescent="0.4">
      <c r="A655" s="4" t="s">
        <v>2645</v>
      </c>
      <c r="B655" s="4" t="s">
        <v>2710</v>
      </c>
      <c r="C655" s="4" t="s">
        <v>2721</v>
      </c>
      <c r="D655" s="4" t="s">
        <v>2824</v>
      </c>
      <c r="E655" s="4" t="s">
        <v>2983</v>
      </c>
      <c r="F655" s="4" t="s">
        <v>3142</v>
      </c>
      <c r="G655" s="7" t="str">
        <f>VLOOKUP(A655,[1]done!$A:$I,9,0)</f>
        <v>Insecticide/Fungicide</v>
      </c>
      <c r="H655" s="7" t="str" cm="1">
        <f t="array" ref="H655">_xlfn.IFS(
OR(ISNUMBER(SEARCH("mouse",E655)),ISNUMBER(SEARCH("rat",E655)),ISNUMBER(SEARCH("mice",E655)),ISNUMBER(SEARCH("rodent",E655))),"Rodent Control",
OR(ISNUMBER(SEARCH("fly",E655)),ISNUMBER(SEARCH("gnat",E655)),ISNUMBER(SEARCH("insect",E655)),ISNUMBER(SEARCH("mosquito",E655))),"Flying Insect Control",
OR(ISNUMBER(SEARCH("roach",E655)),ISNUMBER(SEARCH("ant",E655)),ISNUMBER(SEARCH("spider",E655)),ISNUMBER(SEARCH("cricket",E655)),ISNUMBER(SEARCH("scorpion",E655)),ISNUMBER(SEARCH("centipede",E655)),ISNUMBER(SEARCH("beetle",E655))),"Crawling Insect Control",
OR(ISNUMBER(SEARCH("tree",E655)),ISNUMBER(SEARCH("lantern",E655)),ISNUMBER(SEARCH("garden",E655)),ISNUMBER(SEARCH("plant",E655))),"Garden Pest Control",
OR(ISNUMBER(SEARCH("grass seed",E655)),ISNUMBER(SEARCH("seed mix",E655))),"Grass Seed",
OR(ISNUMBER(SEARCH("lawn food",E655)),ISNUMBER(SEARCH("fertilizer",E655))),"Lawn Fertilizer",
OR(ISNUMBER(SEARCH("patch",E655)),ISNUMBER(SEARCH("repair",E655)),ISNUMBER(SEARCH("thick'r",E655)),ISNUMBER(SEARCH("thick'r lawn",E655)),ISNUMBER(SEARCH("rapid grass",E655))),"Lawn Repair",
OR(ISNUMBER(SEARCH("weed",E655)),ISNUMBER(SEARCH("crabgrass",E655))),"Weed Control",
OR(ISNUMBER(SEARCH("fungicide",E655)),ISNUMBER(SEARCH("moss",E655))),"Disease &amp; Moss Control",
OR(ISNUMBER(SEARCH("plant food",E655)),ISNUMBER(SEARCH("miracid",E655))),"Plant Nutrition",
OR(ISNUMBER(SEARCH("perlite",E655))),"Soil Amendment",
OR(ISNUMBER(SEARCH("spreader",E655)),ISNUMBER(SEARCH("sprayer",E655)),ISNUMBER(SEARCH("mower",E655)),ISNUMBER(SEARCH("sweeper",E655)),ISNUMBER(SEARCH("pruner",E655)),ISNUMBER(SEARCH("trimmer",E655)),ISNUMBER(SEARCH("pole saw",E655))),"Garden Equipment",
TRUE,"Other"
)</f>
        <v>Garden Pest Control</v>
      </c>
      <c r="I655" s="7" t="str" cm="1">
        <f t="array" ref="I655">_xlfn.IFS(
OR(ISNUMBER(SEARCH("glue trap",E655)),ISNUMBER(SEARCH("glue board",E655))),"Glue Traps",
OR(ISNUMBER(SEARCH("snap trap",E655)),ISNUMBER(SEARCH("power-kill",E655)),ISNUMBER(SEARCH("wide pedal",E655)),ISNUMBER(SEARCH("metal pedal",E655))),"Snap Traps",
OR(ISNUMBER(SEARCH("electronic",E655)),ISNUMBER(SEARCH("zapper",E655))),"Electronic Traps",
OR(ISNUMBER(SEARCH("live catch",E655)),ISNUMBER(SEARCH("multi-catch",E655)),ISNUMBER(SEARCH("catch &amp; hold",E655)),ISNUMBER(SEARCH("tin cat",E655))),"Live Catch Traps",
OR(ISNUMBER(SEARCH("bait",E655)),ISNUMBER(SEARCH("poison",E655))),"Bait &amp; Poison",
ISNUMBER(SEARCH("repellent",E655)),"Repellents",
OR(ISNUMBER(SEARCH("fly trap",E655)),ISNUMBER(SEARCH("fly ribbon",E655)),ISNUMBER(SEARCH("fly stick",E655)),ISNUMBER(SEARCH("window fly",E655)),ISNUMBER(SEARCH("fly magnet",E655))),"Fly Traps",
OR(ISNUMBER(SEARCH("uv",E655)),ISNUMBER(SEARCH("fly light",E655)),ISNUMBER(SEARCH("plug-in",E655))),"UV Fly Traps",
ISNUMBER(SEARCH("roach",E655)),"Roach Traps",
ISNUMBER(SEARCH("ant",E655)),"Ant Traps",
ISNUMBER(SEARCH("spider",E655)),"Spider Traps",
ISNUMBER(SEARCH("mosquito",E655)),"Mosquito Traps",
ISNUMBER(SEARCH("beetle",E655)),"Beetle Traps",
ISNUMBER(SEARCH("lantern",E655)),"Lanternfly Control",
OR(ISNUMBER(SEARCH("tree shield",E655)),ISNUMBER(SEARCH("tree banding",E655)),ISNUMBER(SEARCH("insect barrier",E655))),"Tree Barriers",
OR(ISNUMBER(SEARCH("sun &amp; shade",E655)),ISNUMBER(SEARCH("sun and shade",E655))),"Sun &amp; Shade Mix",
ISNUMBER(SEARCH("tall fescue",E655)),"Tall Fescue",
ISNUMBER(SEARCH("bermudagrass",E655)),"Bermudagrass",
ISNUMBER(SEARCH("kentucky",E655)),"Kentucky Bluegrass",
ISNUMBER(SEARCH("zoysia",E655)),"Zoysia",
ISNUMBER(SEARCH("ryegrass",E655)),"Perennial Ryegrass",
ISNUMBER(SEARCH("centipede",E655)),"Centipede Grass",
ISNUMBER(SEARCH("dense shade",E655)),"Dense Shade Mix",
ISNUMBER(SEARCH("southern gold",E655)),"Southern Gold Mix",
ISNUMBER(SEARCH("heat-tolerant blue",E655)),"Heat-Tolerant Blue Mix",
ISNUMBER(SEARCH("high traffic",E655)),"High Traffic Mix",
ISNUMBER(SEARCH("quick fix",E655)),"Quick Fix Mix",
ISNUMBER(SEARCH("starter",E655)),"Starter Fertilizer",
ISNUMBER(SEARCH("weed &amp; feed",E655)),"Weed &amp; Feed",
ISNUMBER(SEARCH("lawn food",E655)),"Lawn Food",
ISNUMBER(SEARCH("triple action",E655)),"Triple Action Fertilizer",
ISNUMBER(SEARCH("green max",E655)),"Green Max Lawn Food",
ISNUMBER(SEARCH("patchmaster",E655)),"PatchMaster Repair",
ISNUMBER(SEARCH("ez seed",E655)),"EZ Seed Repair",
ISNUMBER(SEARCH("rapid grass",E655)),"Rapid Grass",
ISNUMBER(SEARCH("thick'r lawn",E655)),"Thick'R Lawn",
ISNUMBER(SEARCH("fungicide",E655)),"Fungicide",
ISNUMBER(SEARCH("moss",E655)),"Moss Control",
ISNUMBER(SEARCH("perlite",E655)),"Perlite",
ISNUMBER(SEARCH("plant food",E655)),"Plant Food",
ISNUMBER(SEARCH("spreader",E655)),"Spreader",
ISNUMBER(SEARCH("sprayer",E655)),"Sprayer",
ISNUMBER(SEARCH("mower",E655)),"Lawn Mower",
ISNUMBER(SEARCH("sweeper",E655)),"Lawn Sweeper",
OR(ISNUMBER(SEARCH("pruner",E655)),ISNUMBER(SEARCH("trimmer",E655)),ISNUMBER(SEARCH("pole saw",E655))),"Pruning Tools",
TRUE,"Other"
)</f>
        <v>Fungicide</v>
      </c>
      <c r="J655" s="7" t="str">
        <f t="shared" si="191"/>
        <v>Garden Pest Control - Fungicide</v>
      </c>
      <c r="K655" s="4">
        <v>100</v>
      </c>
      <c r="L655" s="4">
        <v>4.5</v>
      </c>
      <c r="M655" s="4">
        <v>8465</v>
      </c>
      <c r="N655" s="4" t="s">
        <v>3245</v>
      </c>
      <c r="O655" s="4">
        <f>VLOOKUP(A655,[13]Sheet1!$A:$M,2,0)</f>
        <v>50</v>
      </c>
      <c r="P655" s="4">
        <f>VLOOKUP(A655,[13]Sheet1!$A:$M,3,0)</f>
        <v>100</v>
      </c>
      <c r="Q655" s="4">
        <f>VLOOKUP(A655,[13]Sheet1!$A:$M,4,0)</f>
        <v>200</v>
      </c>
      <c r="R655" s="4">
        <f>VLOOKUP(A655,[13]Sheet1!$A:$M,5,0)</f>
        <v>300</v>
      </c>
      <c r="S655" s="4">
        <f>VLOOKUP(A655,[13]Sheet1!$A:$M,6,0)</f>
        <v>400</v>
      </c>
      <c r="T655" s="4">
        <f>VLOOKUP(A655,[13]Sheet1!$A:$M,7,0)</f>
        <v>400</v>
      </c>
      <c r="U655" s="4">
        <f>VLOOKUP(A655,[13]Sheet1!$A:$M,8,0)</f>
        <v>500</v>
      </c>
      <c r="V655" s="4">
        <f>VLOOKUP(A655,[13]Sheet1!$A:$M,9,0)</f>
        <v>500</v>
      </c>
      <c r="W655" s="4">
        <f>VLOOKUP(A655,[13]Sheet1!$A:$M,10,0)</f>
        <v>100</v>
      </c>
      <c r="X655" s="4">
        <f>VLOOKUP(A655,[13]Sheet1!$A:$M,11,0)</f>
        <v>200</v>
      </c>
      <c r="Y655" s="4">
        <f>VLOOKUP(A655,[13]Sheet1!$A:$M,12,0)</f>
        <v>100</v>
      </c>
      <c r="Z655" s="4">
        <f>VLOOKUP(A655,[13]Sheet1!$A:$M,13,0)</f>
        <v>100</v>
      </c>
      <c r="AA655" s="4">
        <f t="shared" si="192"/>
        <v>2950</v>
      </c>
      <c r="AB655" s="7">
        <f t="shared" si="193"/>
        <v>246</v>
      </c>
      <c r="AC655" s="15">
        <f t="shared" si="194"/>
        <v>245.83333333333334</v>
      </c>
      <c r="AD655" s="16">
        <f t="shared" si="195"/>
        <v>76670.5</v>
      </c>
      <c r="AE655" s="16">
        <f t="shared" si="196"/>
        <v>6389.208333333333</v>
      </c>
      <c r="AF655" s="21">
        <v>7.79</v>
      </c>
      <c r="AG655" s="21">
        <v>25.99</v>
      </c>
      <c r="AH655" s="15">
        <f t="shared" si="189"/>
        <v>0.10706666666666649</v>
      </c>
      <c r="AI655" s="15">
        <f t="shared" si="190"/>
        <v>0.3747333333333327</v>
      </c>
      <c r="AJ655" s="10">
        <v>0.5</v>
      </c>
      <c r="AK655" s="10">
        <v>0.5</v>
      </c>
      <c r="AL655" s="21">
        <v>7.79</v>
      </c>
      <c r="AM655" s="9">
        <f t="shared" si="197"/>
        <v>3.8984999999999994</v>
      </c>
      <c r="AN655" s="9">
        <f t="shared" si="198"/>
        <v>0.77969999999999995</v>
      </c>
      <c r="AO655" s="9">
        <f t="shared" si="199"/>
        <v>5.1980000000000004</v>
      </c>
      <c r="AP655" s="9">
        <f t="shared" si="200"/>
        <v>0.51979999999999993</v>
      </c>
      <c r="AQ655" s="9">
        <f t="shared" si="201"/>
        <v>5.1980000000000004</v>
      </c>
      <c r="AR655" s="9">
        <f t="shared" si="202"/>
        <v>6.4974999999999996</v>
      </c>
      <c r="AS655" s="11">
        <f t="shared" si="203"/>
        <v>1.0706666666666649</v>
      </c>
      <c r="AT655" s="12">
        <f t="shared" si="204"/>
        <v>0.20433333333333201</v>
      </c>
    </row>
    <row r="656" spans="1:46" ht="16.5" x14ac:dyDescent="0.4">
      <c r="A656" s="4" t="s">
        <v>2646</v>
      </c>
      <c r="B656" s="4" t="s">
        <v>2710</v>
      </c>
      <c r="C656" s="4" t="s">
        <v>2712</v>
      </c>
      <c r="D656" s="4" t="s">
        <v>2825</v>
      </c>
      <c r="E656" s="4" t="s">
        <v>2984</v>
      </c>
      <c r="F656" s="4" t="s">
        <v>3143</v>
      </c>
      <c r="G656" s="7" t="str">
        <f>VLOOKUP(A656,[1]done!$A:$I,9,0)</f>
        <v>Weed Control</v>
      </c>
      <c r="H656" s="7" t="str" cm="1">
        <f t="array" ref="H656">_xlfn.IFS(
OR(ISNUMBER(SEARCH("mouse",E656)),ISNUMBER(SEARCH("rat",E656)),ISNUMBER(SEARCH("mice",E656)),ISNUMBER(SEARCH("rodent",E656))),"Rodent Control",
OR(ISNUMBER(SEARCH("fly",E656)),ISNUMBER(SEARCH("gnat",E656)),ISNUMBER(SEARCH("insect",E656)),ISNUMBER(SEARCH("mosquito",E656))),"Flying Insect Control",
OR(ISNUMBER(SEARCH("roach",E656)),ISNUMBER(SEARCH("ant",E656)),ISNUMBER(SEARCH("spider",E656)),ISNUMBER(SEARCH("cricket",E656)),ISNUMBER(SEARCH("scorpion",E656)),ISNUMBER(SEARCH("centipede",E656)),ISNUMBER(SEARCH("beetle",E656))),"Crawling Insect Control",
OR(ISNUMBER(SEARCH("tree",E656)),ISNUMBER(SEARCH("lantern",E656)),ISNUMBER(SEARCH("garden",E656)),ISNUMBER(SEARCH("plant",E656))),"Garden Pest Control",
OR(ISNUMBER(SEARCH("grass seed",E656)),ISNUMBER(SEARCH("seed mix",E656))),"Grass Seed",
OR(ISNUMBER(SEARCH("lawn food",E656)),ISNUMBER(SEARCH("fertilizer",E656))),"Lawn Fertilizer",
OR(ISNUMBER(SEARCH("patch",E656)),ISNUMBER(SEARCH("repair",E656)),ISNUMBER(SEARCH("thick'r",E656)),ISNUMBER(SEARCH("thick'r lawn",E656)),ISNUMBER(SEARCH("rapid grass",E656))),"Lawn Repair",
OR(ISNUMBER(SEARCH("weed",E656)),ISNUMBER(SEARCH("crabgrass",E656))),"Weed Control",
OR(ISNUMBER(SEARCH("fungicide",E656)),ISNUMBER(SEARCH("moss",E656))),"Disease &amp; Moss Control",
OR(ISNUMBER(SEARCH("plant food",E656)),ISNUMBER(SEARCH("miracid",E656))),"Plant Nutrition",
OR(ISNUMBER(SEARCH("perlite",E656))),"Soil Amendment",
OR(ISNUMBER(SEARCH("spreader",E656)),ISNUMBER(SEARCH("sprayer",E656)),ISNUMBER(SEARCH("mower",E656)),ISNUMBER(SEARCH("sweeper",E656)),ISNUMBER(SEARCH("pruner",E656)),ISNUMBER(SEARCH("trimmer",E656)),ISNUMBER(SEARCH("pole saw",E656))),"Garden Equipment",
TRUE,"Other"
)</f>
        <v>Weed Control</v>
      </c>
      <c r="I656" s="7" t="str" cm="1">
        <f t="array" ref="I656">_xlfn.IFS(
OR(ISNUMBER(SEARCH("glue trap",E656)),ISNUMBER(SEARCH("glue board",E656))),"Glue Traps",
OR(ISNUMBER(SEARCH("snap trap",E656)),ISNUMBER(SEARCH("power-kill",E656)),ISNUMBER(SEARCH("wide pedal",E656)),ISNUMBER(SEARCH("metal pedal",E656))),"Snap Traps",
OR(ISNUMBER(SEARCH("electronic",E656)),ISNUMBER(SEARCH("zapper",E656))),"Electronic Traps",
OR(ISNUMBER(SEARCH("live catch",E656)),ISNUMBER(SEARCH("multi-catch",E656)),ISNUMBER(SEARCH("catch &amp; hold",E656)),ISNUMBER(SEARCH("tin cat",E656))),"Live Catch Traps",
OR(ISNUMBER(SEARCH("bait",E656)),ISNUMBER(SEARCH("poison",E656))),"Bait &amp; Poison",
ISNUMBER(SEARCH("repellent",E656)),"Repellents",
OR(ISNUMBER(SEARCH("fly trap",E656)),ISNUMBER(SEARCH("fly ribbon",E656)),ISNUMBER(SEARCH("fly stick",E656)),ISNUMBER(SEARCH("window fly",E656)),ISNUMBER(SEARCH("fly magnet",E656))),"Fly Traps",
OR(ISNUMBER(SEARCH("uv",E656)),ISNUMBER(SEARCH("fly light",E656)),ISNUMBER(SEARCH("plug-in",E656))),"UV Fly Traps",
ISNUMBER(SEARCH("roach",E656)),"Roach Traps",
ISNUMBER(SEARCH("ant",E656)),"Ant Traps",
ISNUMBER(SEARCH("spider",E656)),"Spider Traps",
ISNUMBER(SEARCH("mosquito",E656)),"Mosquito Traps",
ISNUMBER(SEARCH("beetle",E656)),"Beetle Traps",
ISNUMBER(SEARCH("lantern",E656)),"Lanternfly Control",
OR(ISNUMBER(SEARCH("tree shield",E656)),ISNUMBER(SEARCH("tree banding",E656)),ISNUMBER(SEARCH("insect barrier",E656))),"Tree Barriers",
OR(ISNUMBER(SEARCH("sun &amp; shade",E656)),ISNUMBER(SEARCH("sun and shade",E656))),"Sun &amp; Shade Mix",
ISNUMBER(SEARCH("tall fescue",E656)),"Tall Fescue",
ISNUMBER(SEARCH("bermudagrass",E656)),"Bermudagrass",
ISNUMBER(SEARCH("kentucky",E656)),"Kentucky Bluegrass",
ISNUMBER(SEARCH("zoysia",E656)),"Zoysia",
ISNUMBER(SEARCH("ryegrass",E656)),"Perennial Ryegrass",
ISNUMBER(SEARCH("centipede",E656)),"Centipede Grass",
ISNUMBER(SEARCH("dense shade",E656)),"Dense Shade Mix",
ISNUMBER(SEARCH("southern gold",E656)),"Southern Gold Mix",
ISNUMBER(SEARCH("heat-tolerant blue",E656)),"Heat-Tolerant Blue Mix",
ISNUMBER(SEARCH("high traffic",E656)),"High Traffic Mix",
ISNUMBER(SEARCH("quick fix",E656)),"Quick Fix Mix",
ISNUMBER(SEARCH("starter",E656)),"Starter Fertilizer",
ISNUMBER(SEARCH("weed &amp; feed",E656)),"Weed &amp; Feed",
ISNUMBER(SEARCH("lawn food",E656)),"Lawn Food",
ISNUMBER(SEARCH("triple action",E656)),"Triple Action Fertilizer",
ISNUMBER(SEARCH("green max",E656)),"Green Max Lawn Food",
ISNUMBER(SEARCH("patchmaster",E656)),"PatchMaster Repair",
ISNUMBER(SEARCH("ez seed",E656)),"EZ Seed Repair",
ISNUMBER(SEARCH("rapid grass",E656)),"Rapid Grass",
ISNUMBER(SEARCH("thick'r lawn",E656)),"Thick'R Lawn",
ISNUMBER(SEARCH("fungicide",E656)),"Fungicide",
ISNUMBER(SEARCH("moss",E656)),"Moss Control",
ISNUMBER(SEARCH("perlite",E656)),"Perlite",
ISNUMBER(SEARCH("plant food",E656)),"Plant Food",
ISNUMBER(SEARCH("spreader",E656)),"Spreader",
ISNUMBER(SEARCH("sprayer",E656)),"Sprayer",
ISNUMBER(SEARCH("mower",E656)),"Lawn Mower",
ISNUMBER(SEARCH("sweeper",E656)),"Lawn Sweeper",
OR(ISNUMBER(SEARCH("pruner",E656)),ISNUMBER(SEARCH("trimmer",E656)),ISNUMBER(SEARCH("pole saw",E656))),"Pruning Tools",
TRUE,"Other"
)</f>
        <v>Sprayer</v>
      </c>
      <c r="J656" s="7" t="str">
        <f t="shared" si="191"/>
        <v>Weed Control - Sprayer</v>
      </c>
      <c r="K656" s="4">
        <v>100</v>
      </c>
      <c r="L656" s="4">
        <v>3.8</v>
      </c>
      <c r="M656" s="4">
        <v>154</v>
      </c>
      <c r="N656" s="4" t="s">
        <v>3223</v>
      </c>
      <c r="O656" s="4">
        <f>VLOOKUP(A656,[13]Sheet1!$A:$M,2,0)</f>
        <v>0</v>
      </c>
      <c r="P656" s="4">
        <f>VLOOKUP(A656,[13]Sheet1!$A:$M,3,0)</f>
        <v>0</v>
      </c>
      <c r="Q656" s="4">
        <f>VLOOKUP(A656,[13]Sheet1!$A:$M,4,0)</f>
        <v>50</v>
      </c>
      <c r="R656" s="4">
        <f>VLOOKUP(A656,[13]Sheet1!$A:$M,5,0)</f>
        <v>100</v>
      </c>
      <c r="S656" s="4">
        <f>VLOOKUP(A656,[13]Sheet1!$A:$M,6,0)</f>
        <v>200</v>
      </c>
      <c r="T656" s="4">
        <f>VLOOKUP(A656,[13]Sheet1!$A:$M,7,0)</f>
        <v>300</v>
      </c>
      <c r="U656" s="4">
        <f>VLOOKUP(A656,[13]Sheet1!$A:$M,8,0)</f>
        <v>300</v>
      </c>
      <c r="V656" s="4">
        <f>VLOOKUP(A656,[13]Sheet1!$A:$M,9,0)</f>
        <v>200</v>
      </c>
      <c r="W656" s="4">
        <f>VLOOKUP(A656,[13]Sheet1!$A:$M,10,0)</f>
        <v>100</v>
      </c>
      <c r="X656" s="4">
        <f>VLOOKUP(A656,[13]Sheet1!$A:$M,11,0)</f>
        <v>50</v>
      </c>
      <c r="Y656" s="4">
        <f>VLOOKUP(A656,[13]Sheet1!$A:$M,12,0)</f>
        <v>50</v>
      </c>
      <c r="Z656" s="4">
        <f>VLOOKUP(A656,[13]Sheet1!$A:$M,13,0)</f>
        <v>0</v>
      </c>
      <c r="AA656" s="4">
        <f t="shared" si="192"/>
        <v>1350</v>
      </c>
      <c r="AB656" s="7">
        <f t="shared" si="193"/>
        <v>113</v>
      </c>
      <c r="AC656" s="15">
        <f t="shared" si="194"/>
        <v>112.5</v>
      </c>
      <c r="AD656" s="16">
        <f t="shared" si="195"/>
        <v>40432.5</v>
      </c>
      <c r="AE656" s="16">
        <f t="shared" si="196"/>
        <v>3369.375</v>
      </c>
      <c r="AF656" s="21">
        <v>9.4499999999999993</v>
      </c>
      <c r="AG656" s="21">
        <v>29.95</v>
      </c>
      <c r="AH656" s="15">
        <f t="shared" si="189"/>
        <v>0.10199999999999997</v>
      </c>
      <c r="AI656" s="15">
        <f t="shared" si="190"/>
        <v>0.35699999999999982</v>
      </c>
      <c r="AJ656" s="10">
        <v>0.5</v>
      </c>
      <c r="AK656" s="10">
        <v>0.5</v>
      </c>
      <c r="AL656" s="21">
        <v>9.4499999999999993</v>
      </c>
      <c r="AM656" s="9">
        <f t="shared" si="197"/>
        <v>4.4924999999999997</v>
      </c>
      <c r="AN656" s="9">
        <f t="shared" si="198"/>
        <v>0.89849999999999997</v>
      </c>
      <c r="AO656" s="9">
        <f t="shared" si="199"/>
        <v>5.99</v>
      </c>
      <c r="AP656" s="9">
        <f t="shared" si="200"/>
        <v>0.59899999999999998</v>
      </c>
      <c r="AQ656" s="9">
        <f t="shared" si="201"/>
        <v>5.99</v>
      </c>
      <c r="AR656" s="9">
        <f t="shared" si="202"/>
        <v>7.4874999999999998</v>
      </c>
      <c r="AS656" s="11">
        <f t="shared" si="203"/>
        <v>1.0199999999999996</v>
      </c>
      <c r="AT656" s="12">
        <f t="shared" si="204"/>
        <v>2.1666666666666501E-2</v>
      </c>
    </row>
    <row r="657" spans="1:46" ht="16.5" x14ac:dyDescent="0.4">
      <c r="A657" s="4" t="s">
        <v>2647</v>
      </c>
      <c r="B657" s="4" t="s">
        <v>2710</v>
      </c>
      <c r="C657" s="4" t="s">
        <v>2724</v>
      </c>
      <c r="D657" s="4" t="s">
        <v>2826</v>
      </c>
      <c r="E657" s="4" t="s">
        <v>2985</v>
      </c>
      <c r="F657" s="4" t="s">
        <v>3144</v>
      </c>
      <c r="G657" s="7" t="str">
        <f>VLOOKUP(A657,[1]done!$A:$I,9,0)</f>
        <v>Insecticide/Fungicide</v>
      </c>
      <c r="H657" s="7" t="str" cm="1">
        <f t="array" ref="H657">_xlfn.IFS(
OR(ISNUMBER(SEARCH("mouse",E657)),ISNUMBER(SEARCH("rat",E657)),ISNUMBER(SEARCH("mice",E657)),ISNUMBER(SEARCH("rodent",E657))),"Rodent Control",
OR(ISNUMBER(SEARCH("fly",E657)),ISNUMBER(SEARCH("gnat",E657)),ISNUMBER(SEARCH("insect",E657)),ISNUMBER(SEARCH("mosquito",E657))),"Flying Insect Control",
OR(ISNUMBER(SEARCH("roach",E657)),ISNUMBER(SEARCH("ant",E657)),ISNUMBER(SEARCH("spider",E657)),ISNUMBER(SEARCH("cricket",E657)),ISNUMBER(SEARCH("scorpion",E657)),ISNUMBER(SEARCH("centipede",E657)),ISNUMBER(SEARCH("beetle",E657))),"Crawling Insect Control",
OR(ISNUMBER(SEARCH("tree",E657)),ISNUMBER(SEARCH("lantern",E657)),ISNUMBER(SEARCH("garden",E657)),ISNUMBER(SEARCH("plant",E657))),"Garden Pest Control",
OR(ISNUMBER(SEARCH("grass seed",E657)),ISNUMBER(SEARCH("seed mix",E657))),"Grass Seed",
OR(ISNUMBER(SEARCH("lawn food",E657)),ISNUMBER(SEARCH("fertilizer",E657))),"Lawn Fertilizer",
OR(ISNUMBER(SEARCH("patch",E657)),ISNUMBER(SEARCH("repair",E657)),ISNUMBER(SEARCH("thick'r",E657)),ISNUMBER(SEARCH("thick'r lawn",E657)),ISNUMBER(SEARCH("rapid grass",E657))),"Lawn Repair",
OR(ISNUMBER(SEARCH("weed",E657)),ISNUMBER(SEARCH("crabgrass",E657))),"Weed Control",
OR(ISNUMBER(SEARCH("fungicide",E657)),ISNUMBER(SEARCH("moss",E657))),"Disease &amp; Moss Control",
OR(ISNUMBER(SEARCH("plant food",E657)),ISNUMBER(SEARCH("miracid",E657))),"Plant Nutrition",
OR(ISNUMBER(SEARCH("perlite",E657))),"Soil Amendment",
OR(ISNUMBER(SEARCH("spreader",E657)),ISNUMBER(SEARCH("sprayer",E657)),ISNUMBER(SEARCH("mower",E657)),ISNUMBER(SEARCH("sweeper",E657)),ISNUMBER(SEARCH("pruner",E657)),ISNUMBER(SEARCH("trimmer",E657)),ISNUMBER(SEARCH("pole saw",E657))),"Garden Equipment",
TRUE,"Other"
)</f>
        <v>Rodent Control</v>
      </c>
      <c r="I657" s="7" t="str" cm="1">
        <f t="array" ref="I657">_xlfn.IFS(
OR(ISNUMBER(SEARCH("glue trap",E657)),ISNUMBER(SEARCH("glue board",E657))),"Glue Traps",
OR(ISNUMBER(SEARCH("snap trap",E657)),ISNUMBER(SEARCH("power-kill",E657)),ISNUMBER(SEARCH("wide pedal",E657)),ISNUMBER(SEARCH("metal pedal",E657))),"Snap Traps",
OR(ISNUMBER(SEARCH("electronic",E657)),ISNUMBER(SEARCH("zapper",E657))),"Electronic Traps",
OR(ISNUMBER(SEARCH("live catch",E657)),ISNUMBER(SEARCH("multi-catch",E657)),ISNUMBER(SEARCH("catch &amp; hold",E657)),ISNUMBER(SEARCH("tin cat",E657))),"Live Catch Traps",
OR(ISNUMBER(SEARCH("bait",E657)),ISNUMBER(SEARCH("poison",E657))),"Bait &amp; Poison",
ISNUMBER(SEARCH("repellent",E657)),"Repellents",
OR(ISNUMBER(SEARCH("fly trap",E657)),ISNUMBER(SEARCH("fly ribbon",E657)),ISNUMBER(SEARCH("fly stick",E657)),ISNUMBER(SEARCH("window fly",E657)),ISNUMBER(SEARCH("fly magnet",E657))),"Fly Traps",
OR(ISNUMBER(SEARCH("uv",E657)),ISNUMBER(SEARCH("fly light",E657)),ISNUMBER(SEARCH("plug-in",E657))),"UV Fly Traps",
ISNUMBER(SEARCH("roach",E657)),"Roach Traps",
ISNUMBER(SEARCH("ant",E657)),"Ant Traps",
ISNUMBER(SEARCH("spider",E657)),"Spider Traps",
ISNUMBER(SEARCH("mosquito",E657)),"Mosquito Traps",
ISNUMBER(SEARCH("beetle",E657)),"Beetle Traps",
ISNUMBER(SEARCH("lantern",E657)),"Lanternfly Control",
OR(ISNUMBER(SEARCH("tree shield",E657)),ISNUMBER(SEARCH("tree banding",E657)),ISNUMBER(SEARCH("insect barrier",E657))),"Tree Barriers",
OR(ISNUMBER(SEARCH("sun &amp; shade",E657)),ISNUMBER(SEARCH("sun and shade",E657))),"Sun &amp; Shade Mix",
ISNUMBER(SEARCH("tall fescue",E657)),"Tall Fescue",
ISNUMBER(SEARCH("bermudagrass",E657)),"Bermudagrass",
ISNUMBER(SEARCH("kentucky",E657)),"Kentucky Bluegrass",
ISNUMBER(SEARCH("zoysia",E657)),"Zoysia",
ISNUMBER(SEARCH("ryegrass",E657)),"Perennial Ryegrass",
ISNUMBER(SEARCH("centipede",E657)),"Centipede Grass",
ISNUMBER(SEARCH("dense shade",E657)),"Dense Shade Mix",
ISNUMBER(SEARCH("southern gold",E657)),"Southern Gold Mix",
ISNUMBER(SEARCH("heat-tolerant blue",E657)),"Heat-Tolerant Blue Mix",
ISNUMBER(SEARCH("high traffic",E657)),"High Traffic Mix",
ISNUMBER(SEARCH("quick fix",E657)),"Quick Fix Mix",
ISNUMBER(SEARCH("starter",E657)),"Starter Fertilizer",
ISNUMBER(SEARCH("weed &amp; feed",E657)),"Weed &amp; Feed",
ISNUMBER(SEARCH("lawn food",E657)),"Lawn Food",
ISNUMBER(SEARCH("triple action",E657)),"Triple Action Fertilizer",
ISNUMBER(SEARCH("green max",E657)),"Green Max Lawn Food",
ISNUMBER(SEARCH("patchmaster",E657)),"PatchMaster Repair",
ISNUMBER(SEARCH("ez seed",E657)),"EZ Seed Repair",
ISNUMBER(SEARCH("rapid grass",E657)),"Rapid Grass",
ISNUMBER(SEARCH("thick'r lawn",E657)),"Thick'R Lawn",
ISNUMBER(SEARCH("fungicide",E657)),"Fungicide",
ISNUMBER(SEARCH("moss",E657)),"Moss Control",
ISNUMBER(SEARCH("perlite",E657)),"Perlite",
ISNUMBER(SEARCH("plant food",E657)),"Plant Food",
ISNUMBER(SEARCH("spreader",E657)),"Spreader",
ISNUMBER(SEARCH("sprayer",E657)),"Sprayer",
ISNUMBER(SEARCH("mower",E657)),"Lawn Mower",
ISNUMBER(SEARCH("sweeper",E657)),"Lawn Sweeper",
OR(ISNUMBER(SEARCH("pruner",E657)),ISNUMBER(SEARCH("trimmer",E657)),ISNUMBER(SEARCH("pole saw",E657))),"Pruning Tools",
TRUE,"Other"
)</f>
        <v>Other</v>
      </c>
      <c r="J657" s="7" t="str">
        <f t="shared" si="191"/>
        <v>Rodent Control - Other</v>
      </c>
      <c r="K657" s="4">
        <v>100</v>
      </c>
      <c r="L657" s="4">
        <v>4.4000000000000004</v>
      </c>
      <c r="M657" s="4">
        <v>3575</v>
      </c>
      <c r="N657" s="4" t="s">
        <v>3217</v>
      </c>
      <c r="O657" s="4">
        <f>VLOOKUP(A657,[13]Sheet1!$A:$M,2,0)</f>
        <v>50</v>
      </c>
      <c r="P657" s="4">
        <f>VLOOKUP(A657,[13]Sheet1!$A:$M,3,0)</f>
        <v>50</v>
      </c>
      <c r="Q657" s="4">
        <f>VLOOKUP(A657,[13]Sheet1!$A:$M,4,0)</f>
        <v>100</v>
      </c>
      <c r="R657" s="4">
        <f>VLOOKUP(A657,[13]Sheet1!$A:$M,5,0)</f>
        <v>200</v>
      </c>
      <c r="S657" s="4">
        <f>VLOOKUP(A657,[13]Sheet1!$A:$M,6,0)</f>
        <v>400</v>
      </c>
      <c r="T657" s="4">
        <f>VLOOKUP(A657,[13]Sheet1!$A:$M,7,0)</f>
        <v>300</v>
      </c>
      <c r="U657" s="4">
        <f>VLOOKUP(A657,[13]Sheet1!$A:$M,8,0)</f>
        <v>500</v>
      </c>
      <c r="V657" s="4">
        <f>VLOOKUP(A657,[13]Sheet1!$A:$M,9,0)</f>
        <v>200</v>
      </c>
      <c r="W657" s="4">
        <f>VLOOKUP(A657,[13]Sheet1!$A:$M,10,0)</f>
        <v>100</v>
      </c>
      <c r="X657" s="4">
        <f>VLOOKUP(A657,[13]Sheet1!$A:$M,11,0)</f>
        <v>100</v>
      </c>
      <c r="Y657" s="4">
        <f>VLOOKUP(A657,[13]Sheet1!$A:$M,12,0)</f>
        <v>50</v>
      </c>
      <c r="Z657" s="4">
        <f>VLOOKUP(A657,[13]Sheet1!$A:$M,13,0)</f>
        <v>50</v>
      </c>
      <c r="AA657" s="4">
        <f t="shared" si="192"/>
        <v>2100</v>
      </c>
      <c r="AB657" s="7">
        <f t="shared" si="193"/>
        <v>175</v>
      </c>
      <c r="AC657" s="15">
        <f t="shared" si="194"/>
        <v>175</v>
      </c>
      <c r="AD657" s="16">
        <f t="shared" si="195"/>
        <v>55629</v>
      </c>
      <c r="AE657" s="16">
        <f t="shared" si="196"/>
        <v>4635.75</v>
      </c>
      <c r="AF657" s="21">
        <v>5.22</v>
      </c>
      <c r="AG657" s="21">
        <v>26.49</v>
      </c>
      <c r="AH657" s="15">
        <f t="shared" si="189"/>
        <v>0.29173333333333334</v>
      </c>
      <c r="AI657" s="15">
        <f t="shared" si="190"/>
        <v>1.0210666666666666</v>
      </c>
      <c r="AJ657" s="10">
        <v>0.5</v>
      </c>
      <c r="AK657" s="10">
        <v>0.5</v>
      </c>
      <c r="AL657" s="21">
        <v>5.22</v>
      </c>
      <c r="AM657" s="9">
        <f t="shared" si="197"/>
        <v>3.9734999999999996</v>
      </c>
      <c r="AN657" s="9">
        <f t="shared" si="198"/>
        <v>0.79469999999999996</v>
      </c>
      <c r="AO657" s="9">
        <f t="shared" si="199"/>
        <v>5.298</v>
      </c>
      <c r="AP657" s="9">
        <f t="shared" si="200"/>
        <v>0.52979999999999994</v>
      </c>
      <c r="AQ657" s="9">
        <f t="shared" si="201"/>
        <v>5.298</v>
      </c>
      <c r="AR657" s="9">
        <f t="shared" si="202"/>
        <v>6.6224999999999996</v>
      </c>
      <c r="AS657" s="11">
        <f t="shared" si="203"/>
        <v>2.9173333333333331</v>
      </c>
      <c r="AT657" s="12">
        <f t="shared" si="204"/>
        <v>2.0343333333333331</v>
      </c>
    </row>
    <row r="658" spans="1:46" ht="16.5" x14ac:dyDescent="0.4">
      <c r="A658" s="4" t="s">
        <v>2648</v>
      </c>
      <c r="B658" s="4" t="s">
        <v>2710</v>
      </c>
      <c r="C658" s="4" t="s">
        <v>2714</v>
      </c>
      <c r="D658" s="4" t="s">
        <v>2827</v>
      </c>
      <c r="E658" s="4" t="s">
        <v>2986</v>
      </c>
      <c r="F658" s="4" t="s">
        <v>3145</v>
      </c>
      <c r="G658" s="7" t="str">
        <f>VLOOKUP(A658,[1]done!$A:$I,9,0)</f>
        <v>Insecticide/Fungicide</v>
      </c>
      <c r="H658" s="7" t="str" cm="1">
        <f t="array" ref="H658">_xlfn.IFS(
OR(ISNUMBER(SEARCH("mouse",E658)),ISNUMBER(SEARCH("rat",E658)),ISNUMBER(SEARCH("mice",E658)),ISNUMBER(SEARCH("rodent",E658))),"Rodent Control",
OR(ISNUMBER(SEARCH("fly",E658)),ISNUMBER(SEARCH("gnat",E658)),ISNUMBER(SEARCH("insect",E658)),ISNUMBER(SEARCH("mosquito",E658))),"Flying Insect Control",
OR(ISNUMBER(SEARCH("roach",E658)),ISNUMBER(SEARCH("ant",E658)),ISNUMBER(SEARCH("spider",E658)),ISNUMBER(SEARCH("cricket",E658)),ISNUMBER(SEARCH("scorpion",E658)),ISNUMBER(SEARCH("centipede",E658)),ISNUMBER(SEARCH("beetle",E658))),"Crawling Insect Control",
OR(ISNUMBER(SEARCH("tree",E658)),ISNUMBER(SEARCH("lantern",E658)),ISNUMBER(SEARCH("garden",E658)),ISNUMBER(SEARCH("plant",E658))),"Garden Pest Control",
OR(ISNUMBER(SEARCH("grass seed",E658)),ISNUMBER(SEARCH("seed mix",E658))),"Grass Seed",
OR(ISNUMBER(SEARCH("lawn food",E658)),ISNUMBER(SEARCH("fertilizer",E658))),"Lawn Fertilizer",
OR(ISNUMBER(SEARCH("patch",E658)),ISNUMBER(SEARCH("repair",E658)),ISNUMBER(SEARCH("thick'r",E658)),ISNUMBER(SEARCH("thick'r lawn",E658)),ISNUMBER(SEARCH("rapid grass",E658))),"Lawn Repair",
OR(ISNUMBER(SEARCH("weed",E658)),ISNUMBER(SEARCH("crabgrass",E658))),"Weed Control",
OR(ISNUMBER(SEARCH("fungicide",E658)),ISNUMBER(SEARCH("moss",E658))),"Disease &amp; Moss Control",
OR(ISNUMBER(SEARCH("plant food",E658)),ISNUMBER(SEARCH("miracid",E658))),"Plant Nutrition",
OR(ISNUMBER(SEARCH("perlite",E658))),"Soil Amendment",
OR(ISNUMBER(SEARCH("spreader",E658)),ISNUMBER(SEARCH("sprayer",E658)),ISNUMBER(SEARCH("mower",E658)),ISNUMBER(SEARCH("sweeper",E658)),ISNUMBER(SEARCH("pruner",E658)),ISNUMBER(SEARCH("trimmer",E658)),ISNUMBER(SEARCH("pole saw",E658))),"Garden Equipment",
TRUE,"Other"
)</f>
        <v>Rodent Control</v>
      </c>
      <c r="I658" s="7" t="str" cm="1">
        <f t="array" ref="I658">_xlfn.IFS(
OR(ISNUMBER(SEARCH("glue trap",E658)),ISNUMBER(SEARCH("glue board",E658))),"Glue Traps",
OR(ISNUMBER(SEARCH("snap trap",E658)),ISNUMBER(SEARCH("power-kill",E658)),ISNUMBER(SEARCH("wide pedal",E658)),ISNUMBER(SEARCH("metal pedal",E658))),"Snap Traps",
OR(ISNUMBER(SEARCH("electronic",E658)),ISNUMBER(SEARCH("zapper",E658))),"Electronic Traps",
OR(ISNUMBER(SEARCH("live catch",E658)),ISNUMBER(SEARCH("multi-catch",E658)),ISNUMBER(SEARCH("catch &amp; hold",E658)),ISNUMBER(SEARCH("tin cat",E658))),"Live Catch Traps",
OR(ISNUMBER(SEARCH("bait",E658)),ISNUMBER(SEARCH("poison",E658))),"Bait &amp; Poison",
ISNUMBER(SEARCH("repellent",E658)),"Repellents",
OR(ISNUMBER(SEARCH("fly trap",E658)),ISNUMBER(SEARCH("fly ribbon",E658)),ISNUMBER(SEARCH("fly stick",E658)),ISNUMBER(SEARCH("window fly",E658)),ISNUMBER(SEARCH("fly magnet",E658))),"Fly Traps",
OR(ISNUMBER(SEARCH("uv",E658)),ISNUMBER(SEARCH("fly light",E658)),ISNUMBER(SEARCH("plug-in",E658))),"UV Fly Traps",
ISNUMBER(SEARCH("roach",E658)),"Roach Traps",
ISNUMBER(SEARCH("ant",E658)),"Ant Traps",
ISNUMBER(SEARCH("spider",E658)),"Spider Traps",
ISNUMBER(SEARCH("mosquito",E658)),"Mosquito Traps",
ISNUMBER(SEARCH("beetle",E658)),"Beetle Traps",
ISNUMBER(SEARCH("lantern",E658)),"Lanternfly Control",
OR(ISNUMBER(SEARCH("tree shield",E658)),ISNUMBER(SEARCH("tree banding",E658)),ISNUMBER(SEARCH("insect barrier",E658))),"Tree Barriers",
OR(ISNUMBER(SEARCH("sun &amp; shade",E658)),ISNUMBER(SEARCH("sun and shade",E658))),"Sun &amp; Shade Mix",
ISNUMBER(SEARCH("tall fescue",E658)),"Tall Fescue",
ISNUMBER(SEARCH("bermudagrass",E658)),"Bermudagrass",
ISNUMBER(SEARCH("kentucky",E658)),"Kentucky Bluegrass",
ISNUMBER(SEARCH("zoysia",E658)),"Zoysia",
ISNUMBER(SEARCH("ryegrass",E658)),"Perennial Ryegrass",
ISNUMBER(SEARCH("centipede",E658)),"Centipede Grass",
ISNUMBER(SEARCH("dense shade",E658)),"Dense Shade Mix",
ISNUMBER(SEARCH("southern gold",E658)),"Southern Gold Mix",
ISNUMBER(SEARCH("heat-tolerant blue",E658)),"Heat-Tolerant Blue Mix",
ISNUMBER(SEARCH("high traffic",E658)),"High Traffic Mix",
ISNUMBER(SEARCH("quick fix",E658)),"Quick Fix Mix",
ISNUMBER(SEARCH("starter",E658)),"Starter Fertilizer",
ISNUMBER(SEARCH("weed &amp; feed",E658)),"Weed &amp; Feed",
ISNUMBER(SEARCH("lawn food",E658)),"Lawn Food",
ISNUMBER(SEARCH("triple action",E658)),"Triple Action Fertilizer",
ISNUMBER(SEARCH("green max",E658)),"Green Max Lawn Food",
ISNUMBER(SEARCH("patchmaster",E658)),"PatchMaster Repair",
ISNUMBER(SEARCH("ez seed",E658)),"EZ Seed Repair",
ISNUMBER(SEARCH("rapid grass",E658)),"Rapid Grass",
ISNUMBER(SEARCH("thick'r lawn",E658)),"Thick'R Lawn",
ISNUMBER(SEARCH("fungicide",E658)),"Fungicide",
ISNUMBER(SEARCH("moss",E658)),"Moss Control",
ISNUMBER(SEARCH("perlite",E658)),"Perlite",
ISNUMBER(SEARCH("plant food",E658)),"Plant Food",
ISNUMBER(SEARCH("spreader",E658)),"Spreader",
ISNUMBER(SEARCH("sprayer",E658)),"Sprayer",
ISNUMBER(SEARCH("mower",E658)),"Lawn Mower",
ISNUMBER(SEARCH("sweeper",E658)),"Lawn Sweeper",
OR(ISNUMBER(SEARCH("pruner",E658)),ISNUMBER(SEARCH("trimmer",E658)),ISNUMBER(SEARCH("pole saw",E658))),"Pruning Tools",
TRUE,"Other"
)</f>
        <v>Repellents</v>
      </c>
      <c r="J658" s="7" t="str">
        <f t="shared" si="191"/>
        <v>Rodent Control - Repellents</v>
      </c>
      <c r="K658" s="4">
        <v>100</v>
      </c>
      <c r="L658" s="4">
        <v>3.9</v>
      </c>
      <c r="M658" s="4">
        <v>1054</v>
      </c>
      <c r="N658" s="4" t="s">
        <v>3246</v>
      </c>
      <c r="O658" s="4">
        <f>VLOOKUP(A658,[13]Sheet1!$A:$M,2,0)</f>
        <v>0</v>
      </c>
      <c r="P658" s="4">
        <f>VLOOKUP(A658,[13]Sheet1!$A:$M,3,0)</f>
        <v>0</v>
      </c>
      <c r="Q658" s="4">
        <f>VLOOKUP(A658,[13]Sheet1!$A:$M,4,0)</f>
        <v>50</v>
      </c>
      <c r="R658" s="4">
        <f>VLOOKUP(A658,[13]Sheet1!$A:$M,5,0)</f>
        <v>100</v>
      </c>
      <c r="S658" s="4">
        <f>VLOOKUP(A658,[13]Sheet1!$A:$M,6,0)</f>
        <v>200</v>
      </c>
      <c r="T658" s="4">
        <f>VLOOKUP(A658,[13]Sheet1!$A:$M,7,0)</f>
        <v>400</v>
      </c>
      <c r="U658" s="4">
        <f>VLOOKUP(A658,[13]Sheet1!$A:$M,8,0)</f>
        <v>300</v>
      </c>
      <c r="V658" s="4">
        <f>VLOOKUP(A658,[13]Sheet1!$A:$M,9,0)</f>
        <v>300</v>
      </c>
      <c r="W658" s="4">
        <f>VLOOKUP(A658,[13]Sheet1!$A:$M,10,0)</f>
        <v>100</v>
      </c>
      <c r="X658" s="4">
        <f>VLOOKUP(A658,[13]Sheet1!$A:$M,11,0)</f>
        <v>200</v>
      </c>
      <c r="Y658" s="4">
        <f>VLOOKUP(A658,[13]Sheet1!$A:$M,12,0)</f>
        <v>100</v>
      </c>
      <c r="Z658" s="4">
        <f>VLOOKUP(A658,[13]Sheet1!$A:$M,13,0)</f>
        <v>50</v>
      </c>
      <c r="AA658" s="4">
        <f t="shared" si="192"/>
        <v>1800</v>
      </c>
      <c r="AB658" s="7">
        <f t="shared" si="193"/>
        <v>150</v>
      </c>
      <c r="AC658" s="15">
        <f t="shared" si="194"/>
        <v>150</v>
      </c>
      <c r="AD658" s="16">
        <f t="shared" si="195"/>
        <v>124488</v>
      </c>
      <c r="AE658" s="16">
        <f t="shared" si="196"/>
        <v>10374</v>
      </c>
      <c r="AF658" s="21">
        <v>9.4700000000000006</v>
      </c>
      <c r="AG658" s="21">
        <v>69.16</v>
      </c>
      <c r="AH658" s="15">
        <f t="shared" si="189"/>
        <v>1.1462666666666663</v>
      </c>
      <c r="AI658" s="15">
        <f t="shared" si="190"/>
        <v>4.0119333333333325</v>
      </c>
      <c r="AJ658" s="10">
        <v>0.5</v>
      </c>
      <c r="AK658" s="10">
        <v>0.5</v>
      </c>
      <c r="AL658" s="21">
        <v>9.4700000000000006</v>
      </c>
      <c r="AM658" s="9">
        <f t="shared" si="197"/>
        <v>10.373999999999999</v>
      </c>
      <c r="AN658" s="9">
        <f t="shared" si="198"/>
        <v>2.0747999999999998</v>
      </c>
      <c r="AO658" s="9">
        <f t="shared" si="199"/>
        <v>13.832000000000001</v>
      </c>
      <c r="AP658" s="9">
        <f t="shared" si="200"/>
        <v>1.3832</v>
      </c>
      <c r="AQ658" s="9">
        <f t="shared" si="201"/>
        <v>13.832000000000001</v>
      </c>
      <c r="AR658" s="9">
        <f t="shared" si="202"/>
        <v>17.29</v>
      </c>
      <c r="AS658" s="11">
        <f t="shared" si="203"/>
        <v>11.462666666666664</v>
      </c>
      <c r="AT658" s="12">
        <f t="shared" si="204"/>
        <v>9.157333333333332</v>
      </c>
    </row>
    <row r="659" spans="1:46" ht="16.5" x14ac:dyDescent="0.4">
      <c r="A659" s="4" t="s">
        <v>2649</v>
      </c>
      <c r="B659" s="4" t="s">
        <v>2710</v>
      </c>
      <c r="C659" s="4" t="s">
        <v>2710</v>
      </c>
      <c r="D659" s="4" t="s">
        <v>2828</v>
      </c>
      <c r="E659" s="4" t="s">
        <v>2987</v>
      </c>
      <c r="F659" s="4" t="s">
        <v>3146</v>
      </c>
      <c r="G659" s="7" t="str">
        <f>VLOOKUP(A659,[1]done!$A:$I,9,0)</f>
        <v>Insecticide/Fungicide</v>
      </c>
      <c r="H659" s="7" t="str" cm="1">
        <f t="array" ref="H659">_xlfn.IFS(
OR(ISNUMBER(SEARCH("mouse",E659)),ISNUMBER(SEARCH("rat",E659)),ISNUMBER(SEARCH("mice",E659)),ISNUMBER(SEARCH("rodent",E659))),"Rodent Control",
OR(ISNUMBER(SEARCH("fly",E659)),ISNUMBER(SEARCH("gnat",E659)),ISNUMBER(SEARCH("insect",E659)),ISNUMBER(SEARCH("mosquito",E659))),"Flying Insect Control",
OR(ISNUMBER(SEARCH("roach",E659)),ISNUMBER(SEARCH("ant",E659)),ISNUMBER(SEARCH("spider",E659)),ISNUMBER(SEARCH("cricket",E659)),ISNUMBER(SEARCH("scorpion",E659)),ISNUMBER(SEARCH("centipede",E659)),ISNUMBER(SEARCH("beetle",E659))),"Crawling Insect Control",
OR(ISNUMBER(SEARCH("tree",E659)),ISNUMBER(SEARCH("lantern",E659)),ISNUMBER(SEARCH("garden",E659)),ISNUMBER(SEARCH("plant",E659))),"Garden Pest Control",
OR(ISNUMBER(SEARCH("grass seed",E659)),ISNUMBER(SEARCH("seed mix",E659))),"Grass Seed",
OR(ISNUMBER(SEARCH("lawn food",E659)),ISNUMBER(SEARCH("fertilizer",E659))),"Lawn Fertilizer",
OR(ISNUMBER(SEARCH("patch",E659)),ISNUMBER(SEARCH("repair",E659)),ISNUMBER(SEARCH("thick'r",E659)),ISNUMBER(SEARCH("thick'r lawn",E659)),ISNUMBER(SEARCH("rapid grass",E659))),"Lawn Repair",
OR(ISNUMBER(SEARCH("weed",E659)),ISNUMBER(SEARCH("crabgrass",E659))),"Weed Control",
OR(ISNUMBER(SEARCH("fungicide",E659)),ISNUMBER(SEARCH("moss",E659))),"Disease &amp; Moss Control",
OR(ISNUMBER(SEARCH("plant food",E659)),ISNUMBER(SEARCH("miracid",E659))),"Plant Nutrition",
OR(ISNUMBER(SEARCH("perlite",E659))),"Soil Amendment",
OR(ISNUMBER(SEARCH("spreader",E659)),ISNUMBER(SEARCH("sprayer",E659)),ISNUMBER(SEARCH("mower",E659)),ISNUMBER(SEARCH("sweeper",E659)),ISNUMBER(SEARCH("pruner",E659)),ISNUMBER(SEARCH("trimmer",E659)),ISNUMBER(SEARCH("pole saw",E659))),"Garden Equipment",
TRUE,"Other"
)</f>
        <v>Other</v>
      </c>
      <c r="I659" s="7" t="str" cm="1">
        <f t="array" ref="I659">_xlfn.IFS(
OR(ISNUMBER(SEARCH("glue trap",E659)),ISNUMBER(SEARCH("glue board",E659))),"Glue Traps",
OR(ISNUMBER(SEARCH("snap trap",E659)),ISNUMBER(SEARCH("power-kill",E659)),ISNUMBER(SEARCH("wide pedal",E659)),ISNUMBER(SEARCH("metal pedal",E659))),"Snap Traps",
OR(ISNUMBER(SEARCH("electronic",E659)),ISNUMBER(SEARCH("zapper",E659))),"Electronic Traps",
OR(ISNUMBER(SEARCH("live catch",E659)),ISNUMBER(SEARCH("multi-catch",E659)),ISNUMBER(SEARCH("catch &amp; hold",E659)),ISNUMBER(SEARCH("tin cat",E659))),"Live Catch Traps",
OR(ISNUMBER(SEARCH("bait",E659)),ISNUMBER(SEARCH("poison",E659))),"Bait &amp; Poison",
ISNUMBER(SEARCH("repellent",E659)),"Repellents",
OR(ISNUMBER(SEARCH("fly trap",E659)),ISNUMBER(SEARCH("fly ribbon",E659)),ISNUMBER(SEARCH("fly stick",E659)),ISNUMBER(SEARCH("window fly",E659)),ISNUMBER(SEARCH("fly magnet",E659))),"Fly Traps",
OR(ISNUMBER(SEARCH("uv",E659)),ISNUMBER(SEARCH("fly light",E659)),ISNUMBER(SEARCH("plug-in",E659))),"UV Fly Traps",
ISNUMBER(SEARCH("roach",E659)),"Roach Traps",
ISNUMBER(SEARCH("ant",E659)),"Ant Traps",
ISNUMBER(SEARCH("spider",E659)),"Spider Traps",
ISNUMBER(SEARCH("mosquito",E659)),"Mosquito Traps",
ISNUMBER(SEARCH("beetle",E659)),"Beetle Traps",
ISNUMBER(SEARCH("lantern",E659)),"Lanternfly Control",
OR(ISNUMBER(SEARCH("tree shield",E659)),ISNUMBER(SEARCH("tree banding",E659)),ISNUMBER(SEARCH("insect barrier",E659))),"Tree Barriers",
OR(ISNUMBER(SEARCH("sun &amp; shade",E659)),ISNUMBER(SEARCH("sun and shade",E659))),"Sun &amp; Shade Mix",
ISNUMBER(SEARCH("tall fescue",E659)),"Tall Fescue",
ISNUMBER(SEARCH("bermudagrass",E659)),"Bermudagrass",
ISNUMBER(SEARCH("kentucky",E659)),"Kentucky Bluegrass",
ISNUMBER(SEARCH("zoysia",E659)),"Zoysia",
ISNUMBER(SEARCH("ryegrass",E659)),"Perennial Ryegrass",
ISNUMBER(SEARCH("centipede",E659)),"Centipede Grass",
ISNUMBER(SEARCH("dense shade",E659)),"Dense Shade Mix",
ISNUMBER(SEARCH("southern gold",E659)),"Southern Gold Mix",
ISNUMBER(SEARCH("heat-tolerant blue",E659)),"Heat-Tolerant Blue Mix",
ISNUMBER(SEARCH("high traffic",E659)),"High Traffic Mix",
ISNUMBER(SEARCH("quick fix",E659)),"Quick Fix Mix",
ISNUMBER(SEARCH("starter",E659)),"Starter Fertilizer",
ISNUMBER(SEARCH("weed &amp; feed",E659)),"Weed &amp; Feed",
ISNUMBER(SEARCH("lawn food",E659)),"Lawn Food",
ISNUMBER(SEARCH("triple action",E659)),"Triple Action Fertilizer",
ISNUMBER(SEARCH("green max",E659)),"Green Max Lawn Food",
ISNUMBER(SEARCH("patchmaster",E659)),"PatchMaster Repair",
ISNUMBER(SEARCH("ez seed",E659)),"EZ Seed Repair",
ISNUMBER(SEARCH("rapid grass",E659)),"Rapid Grass",
ISNUMBER(SEARCH("thick'r lawn",E659)),"Thick'R Lawn",
ISNUMBER(SEARCH("fungicide",E659)),"Fungicide",
ISNUMBER(SEARCH("moss",E659)),"Moss Control",
ISNUMBER(SEARCH("perlite",E659)),"Perlite",
ISNUMBER(SEARCH("plant food",E659)),"Plant Food",
ISNUMBER(SEARCH("spreader",E659)),"Spreader",
ISNUMBER(SEARCH("sprayer",E659)),"Sprayer",
ISNUMBER(SEARCH("mower",E659)),"Lawn Mower",
ISNUMBER(SEARCH("sweeper",E659)),"Lawn Sweeper",
OR(ISNUMBER(SEARCH("pruner",E659)),ISNUMBER(SEARCH("trimmer",E659)),ISNUMBER(SEARCH("pole saw",E659))),"Pruning Tools",
TRUE,"Other"
)</f>
        <v>Other</v>
      </c>
      <c r="J659" s="7" t="str">
        <f t="shared" si="191"/>
        <v>Other - Other</v>
      </c>
      <c r="K659" s="4">
        <v>100</v>
      </c>
      <c r="L659" s="4">
        <v>2.1</v>
      </c>
      <c r="M659" s="4">
        <v>1153</v>
      </c>
      <c r="N659" s="4" t="s">
        <v>1545</v>
      </c>
      <c r="O659" s="4">
        <f>VLOOKUP(A659,[13]Sheet1!$A:$M,2,0)</f>
        <v>300</v>
      </c>
      <c r="P659" s="4">
        <f>VLOOKUP(A659,[13]Sheet1!$A:$M,3,0)</f>
        <v>300</v>
      </c>
      <c r="Q659" s="4">
        <f>VLOOKUP(A659,[13]Sheet1!$A:$M,4,0)</f>
        <v>500</v>
      </c>
      <c r="R659" s="4">
        <f>VLOOKUP(A659,[13]Sheet1!$A:$M,5,0)</f>
        <v>600</v>
      </c>
      <c r="S659" s="4">
        <f>VLOOKUP(A659,[13]Sheet1!$A:$M,6,0)</f>
        <v>300</v>
      </c>
      <c r="T659" s="4">
        <f>VLOOKUP(A659,[13]Sheet1!$A:$M,7,0)</f>
        <v>300</v>
      </c>
      <c r="U659" s="4">
        <f>VLOOKUP(A659,[13]Sheet1!$A:$M,8,0)</f>
        <v>50</v>
      </c>
      <c r="V659" s="4">
        <f>VLOOKUP(A659,[13]Sheet1!$A:$M,9,0)</f>
        <v>50</v>
      </c>
      <c r="W659" s="4">
        <f>VLOOKUP(A659,[13]Sheet1!$A:$M,10,0)</f>
        <v>100</v>
      </c>
      <c r="X659" s="4">
        <f>VLOOKUP(A659,[13]Sheet1!$A:$M,11,0)</f>
        <v>1000</v>
      </c>
      <c r="Y659" s="4">
        <f>VLOOKUP(A659,[13]Sheet1!$A:$M,12,0)</f>
        <v>100</v>
      </c>
      <c r="Z659" s="4">
        <f>VLOOKUP(A659,[13]Sheet1!$A:$M,13,0)</f>
        <v>50</v>
      </c>
      <c r="AA659" s="4">
        <f t="shared" si="192"/>
        <v>3650</v>
      </c>
      <c r="AB659" s="7">
        <f t="shared" si="193"/>
        <v>304</v>
      </c>
      <c r="AC659" s="15">
        <f t="shared" si="194"/>
        <v>304.16666666666669</v>
      </c>
      <c r="AD659" s="16">
        <f t="shared" si="195"/>
        <v>78840</v>
      </c>
      <c r="AE659" s="16">
        <f t="shared" si="196"/>
        <v>6570.0000000000009</v>
      </c>
      <c r="AF659" s="21">
        <v>5.22</v>
      </c>
      <c r="AG659" s="21">
        <v>21.6</v>
      </c>
      <c r="AH659" s="15">
        <f t="shared" si="189"/>
        <v>0.16133333333333341</v>
      </c>
      <c r="AI659" s="15">
        <f t="shared" si="190"/>
        <v>0.56466666666666687</v>
      </c>
      <c r="AJ659" s="10">
        <v>0.5</v>
      </c>
      <c r="AK659" s="10">
        <v>0.5</v>
      </c>
      <c r="AL659" s="21">
        <v>5.22</v>
      </c>
      <c r="AM659" s="9">
        <f t="shared" si="197"/>
        <v>3.24</v>
      </c>
      <c r="AN659" s="9">
        <f t="shared" si="198"/>
        <v>0.64800000000000002</v>
      </c>
      <c r="AO659" s="9">
        <f t="shared" si="199"/>
        <v>4.32</v>
      </c>
      <c r="AP659" s="9">
        <f t="shared" si="200"/>
        <v>0.43200000000000005</v>
      </c>
      <c r="AQ659" s="9">
        <f t="shared" si="201"/>
        <v>4.32</v>
      </c>
      <c r="AR659" s="9">
        <f t="shared" si="202"/>
        <v>5.4</v>
      </c>
      <c r="AS659" s="11">
        <f t="shared" si="203"/>
        <v>1.613333333333334</v>
      </c>
      <c r="AT659" s="12">
        <f t="shared" si="204"/>
        <v>0.89333333333333387</v>
      </c>
    </row>
    <row r="660" spans="1:46" ht="16.5" x14ac:dyDescent="0.4">
      <c r="A660" s="4" t="s">
        <v>2650</v>
      </c>
      <c r="B660" s="4" t="s">
        <v>2710</v>
      </c>
      <c r="C660" s="4" t="s">
        <v>2714</v>
      </c>
      <c r="D660" s="4" t="s">
        <v>2829</v>
      </c>
      <c r="E660" s="4" t="s">
        <v>2988</v>
      </c>
      <c r="F660" s="4" t="s">
        <v>3147</v>
      </c>
      <c r="G660" s="7" t="str">
        <f>VLOOKUP(A660,[1]done!$A:$I,9,0)</f>
        <v>Insecticide/Fungicide</v>
      </c>
      <c r="H660" s="7" t="str" cm="1">
        <f t="array" ref="H660">_xlfn.IFS(
OR(ISNUMBER(SEARCH("mouse",E660)),ISNUMBER(SEARCH("rat",E660)),ISNUMBER(SEARCH("mice",E660)),ISNUMBER(SEARCH("rodent",E660))),"Rodent Control",
OR(ISNUMBER(SEARCH("fly",E660)),ISNUMBER(SEARCH("gnat",E660)),ISNUMBER(SEARCH("insect",E660)),ISNUMBER(SEARCH("mosquito",E660))),"Flying Insect Control",
OR(ISNUMBER(SEARCH("roach",E660)),ISNUMBER(SEARCH("ant",E660)),ISNUMBER(SEARCH("spider",E660)),ISNUMBER(SEARCH("cricket",E660)),ISNUMBER(SEARCH("scorpion",E660)),ISNUMBER(SEARCH("centipede",E660)),ISNUMBER(SEARCH("beetle",E660))),"Crawling Insect Control",
OR(ISNUMBER(SEARCH("tree",E660)),ISNUMBER(SEARCH("lantern",E660)),ISNUMBER(SEARCH("garden",E660)),ISNUMBER(SEARCH("plant",E660))),"Garden Pest Control",
OR(ISNUMBER(SEARCH("grass seed",E660)),ISNUMBER(SEARCH("seed mix",E660))),"Grass Seed",
OR(ISNUMBER(SEARCH("lawn food",E660)),ISNUMBER(SEARCH("fertilizer",E660))),"Lawn Fertilizer",
OR(ISNUMBER(SEARCH("patch",E660)),ISNUMBER(SEARCH("repair",E660)),ISNUMBER(SEARCH("thick'r",E660)),ISNUMBER(SEARCH("thick'r lawn",E660)),ISNUMBER(SEARCH("rapid grass",E660))),"Lawn Repair",
OR(ISNUMBER(SEARCH("weed",E660)),ISNUMBER(SEARCH("crabgrass",E660))),"Weed Control",
OR(ISNUMBER(SEARCH("fungicide",E660)),ISNUMBER(SEARCH("moss",E660))),"Disease &amp; Moss Control",
OR(ISNUMBER(SEARCH("plant food",E660)),ISNUMBER(SEARCH("miracid",E660))),"Plant Nutrition",
OR(ISNUMBER(SEARCH("perlite",E660))),"Soil Amendment",
OR(ISNUMBER(SEARCH("spreader",E660)),ISNUMBER(SEARCH("sprayer",E660)),ISNUMBER(SEARCH("mower",E660)),ISNUMBER(SEARCH("sweeper",E660)),ISNUMBER(SEARCH("pruner",E660)),ISNUMBER(SEARCH("trimmer",E660)),ISNUMBER(SEARCH("pole saw",E660))),"Garden Equipment",
TRUE,"Other"
)</f>
        <v>Rodent Control</v>
      </c>
      <c r="I660" s="7" t="str" cm="1">
        <f t="array" ref="I660">_xlfn.IFS(
OR(ISNUMBER(SEARCH("glue trap",E660)),ISNUMBER(SEARCH("glue board",E660))),"Glue Traps",
OR(ISNUMBER(SEARCH("snap trap",E660)),ISNUMBER(SEARCH("power-kill",E660)),ISNUMBER(SEARCH("wide pedal",E660)),ISNUMBER(SEARCH("metal pedal",E660))),"Snap Traps",
OR(ISNUMBER(SEARCH("electronic",E660)),ISNUMBER(SEARCH("zapper",E660))),"Electronic Traps",
OR(ISNUMBER(SEARCH("live catch",E660)),ISNUMBER(SEARCH("multi-catch",E660)),ISNUMBER(SEARCH("catch &amp; hold",E660)),ISNUMBER(SEARCH("tin cat",E660))),"Live Catch Traps",
OR(ISNUMBER(SEARCH("bait",E660)),ISNUMBER(SEARCH("poison",E660))),"Bait &amp; Poison",
ISNUMBER(SEARCH("repellent",E660)),"Repellents",
OR(ISNUMBER(SEARCH("fly trap",E660)),ISNUMBER(SEARCH("fly ribbon",E660)),ISNUMBER(SEARCH("fly stick",E660)),ISNUMBER(SEARCH("window fly",E660)),ISNUMBER(SEARCH("fly magnet",E660))),"Fly Traps",
OR(ISNUMBER(SEARCH("uv",E660)),ISNUMBER(SEARCH("fly light",E660)),ISNUMBER(SEARCH("plug-in",E660))),"UV Fly Traps",
ISNUMBER(SEARCH("roach",E660)),"Roach Traps",
ISNUMBER(SEARCH("ant",E660)),"Ant Traps",
ISNUMBER(SEARCH("spider",E660)),"Spider Traps",
ISNUMBER(SEARCH("mosquito",E660)),"Mosquito Traps",
ISNUMBER(SEARCH("beetle",E660)),"Beetle Traps",
ISNUMBER(SEARCH("lantern",E660)),"Lanternfly Control",
OR(ISNUMBER(SEARCH("tree shield",E660)),ISNUMBER(SEARCH("tree banding",E660)),ISNUMBER(SEARCH("insect barrier",E660))),"Tree Barriers",
OR(ISNUMBER(SEARCH("sun &amp; shade",E660)),ISNUMBER(SEARCH("sun and shade",E660))),"Sun &amp; Shade Mix",
ISNUMBER(SEARCH("tall fescue",E660)),"Tall Fescue",
ISNUMBER(SEARCH("bermudagrass",E660)),"Bermudagrass",
ISNUMBER(SEARCH("kentucky",E660)),"Kentucky Bluegrass",
ISNUMBER(SEARCH("zoysia",E660)),"Zoysia",
ISNUMBER(SEARCH("ryegrass",E660)),"Perennial Ryegrass",
ISNUMBER(SEARCH("centipede",E660)),"Centipede Grass",
ISNUMBER(SEARCH("dense shade",E660)),"Dense Shade Mix",
ISNUMBER(SEARCH("southern gold",E660)),"Southern Gold Mix",
ISNUMBER(SEARCH("heat-tolerant blue",E660)),"Heat-Tolerant Blue Mix",
ISNUMBER(SEARCH("high traffic",E660)),"High Traffic Mix",
ISNUMBER(SEARCH("quick fix",E660)),"Quick Fix Mix",
ISNUMBER(SEARCH("starter",E660)),"Starter Fertilizer",
ISNUMBER(SEARCH("weed &amp; feed",E660)),"Weed &amp; Feed",
ISNUMBER(SEARCH("lawn food",E660)),"Lawn Food",
ISNUMBER(SEARCH("triple action",E660)),"Triple Action Fertilizer",
ISNUMBER(SEARCH("green max",E660)),"Green Max Lawn Food",
ISNUMBER(SEARCH("patchmaster",E660)),"PatchMaster Repair",
ISNUMBER(SEARCH("ez seed",E660)),"EZ Seed Repair",
ISNUMBER(SEARCH("rapid grass",E660)),"Rapid Grass",
ISNUMBER(SEARCH("thick'r lawn",E660)),"Thick'R Lawn",
ISNUMBER(SEARCH("fungicide",E660)),"Fungicide",
ISNUMBER(SEARCH("moss",E660)),"Moss Control",
ISNUMBER(SEARCH("perlite",E660)),"Perlite",
ISNUMBER(SEARCH("plant food",E660)),"Plant Food",
ISNUMBER(SEARCH("spreader",E660)),"Spreader",
ISNUMBER(SEARCH("sprayer",E660)),"Sprayer",
ISNUMBER(SEARCH("mower",E660)),"Lawn Mower",
ISNUMBER(SEARCH("sweeper",E660)),"Lawn Sweeper",
OR(ISNUMBER(SEARCH("pruner",E660)),ISNUMBER(SEARCH("trimmer",E660)),ISNUMBER(SEARCH("pole saw",E660))),"Pruning Tools",
TRUE,"Other"
)</f>
        <v>Bait &amp; Poison</v>
      </c>
      <c r="J660" s="7" t="str">
        <f t="shared" si="191"/>
        <v>Rodent Control - Bait &amp; Poison</v>
      </c>
      <c r="K660" s="4">
        <v>100</v>
      </c>
      <c r="L660" s="4">
        <v>4.3</v>
      </c>
      <c r="M660" s="4">
        <v>665</v>
      </c>
      <c r="N660" s="4" t="s">
        <v>3209</v>
      </c>
      <c r="O660" s="4">
        <f>VLOOKUP(A660,[13]Sheet1!$A:$M,2,0)</f>
        <v>0</v>
      </c>
      <c r="P660" s="4">
        <f>VLOOKUP(A660,[13]Sheet1!$A:$M,3,0)</f>
        <v>0</v>
      </c>
      <c r="Q660" s="4">
        <f>VLOOKUP(A660,[13]Sheet1!$A:$M,4,0)</f>
        <v>0</v>
      </c>
      <c r="R660" s="4">
        <f>VLOOKUP(A660,[13]Sheet1!$A:$M,5,0)</f>
        <v>100</v>
      </c>
      <c r="S660" s="4">
        <f>VLOOKUP(A660,[13]Sheet1!$A:$M,6,0)</f>
        <v>200</v>
      </c>
      <c r="T660" s="4">
        <f>VLOOKUP(A660,[13]Sheet1!$A:$M,7,0)</f>
        <v>200</v>
      </c>
      <c r="U660" s="4">
        <f>VLOOKUP(A660,[13]Sheet1!$A:$M,8,0)</f>
        <v>400</v>
      </c>
      <c r="V660" s="4">
        <f>VLOOKUP(A660,[13]Sheet1!$A:$M,9,0)</f>
        <v>300</v>
      </c>
      <c r="W660" s="4">
        <f>VLOOKUP(A660,[13]Sheet1!$A:$M,10,0)</f>
        <v>100</v>
      </c>
      <c r="X660" s="4">
        <f>VLOOKUP(A660,[13]Sheet1!$A:$M,11,0)</f>
        <v>50</v>
      </c>
      <c r="Y660" s="4">
        <f>VLOOKUP(A660,[13]Sheet1!$A:$M,12,0)</f>
        <v>0</v>
      </c>
      <c r="Z660" s="4">
        <f>VLOOKUP(A660,[13]Sheet1!$A:$M,13,0)</f>
        <v>0</v>
      </c>
      <c r="AA660" s="4">
        <f t="shared" si="192"/>
        <v>1350</v>
      </c>
      <c r="AB660" s="7">
        <f t="shared" si="193"/>
        <v>113</v>
      </c>
      <c r="AC660" s="15">
        <f t="shared" si="194"/>
        <v>112.5</v>
      </c>
      <c r="AD660" s="16">
        <f t="shared" si="195"/>
        <v>24286.499999999996</v>
      </c>
      <c r="AE660" s="16">
        <f t="shared" si="196"/>
        <v>2023.8749999999998</v>
      </c>
      <c r="AF660" s="21">
        <v>6.31</v>
      </c>
      <c r="AG660" s="21">
        <v>17.989999999999998</v>
      </c>
      <c r="AH660" s="15">
        <f t="shared" si="189"/>
        <v>-7.6000000000000512E-3</v>
      </c>
      <c r="AI660" s="15">
        <f t="shared" si="190"/>
        <v>-2.6600000000000179E-2</v>
      </c>
      <c r="AJ660" s="10">
        <v>0.5</v>
      </c>
      <c r="AK660" s="10">
        <v>0.5</v>
      </c>
      <c r="AL660" s="21">
        <v>6.31</v>
      </c>
      <c r="AM660" s="9">
        <f t="shared" si="197"/>
        <v>2.6984999999999997</v>
      </c>
      <c r="AN660" s="9">
        <f t="shared" si="198"/>
        <v>0.53969999999999996</v>
      </c>
      <c r="AO660" s="9">
        <f t="shared" si="199"/>
        <v>3.5979999999999999</v>
      </c>
      <c r="AP660" s="9">
        <f t="shared" si="200"/>
        <v>0.35979999999999995</v>
      </c>
      <c r="AQ660" s="9">
        <f t="shared" si="201"/>
        <v>3.5979999999999999</v>
      </c>
      <c r="AR660" s="9">
        <f t="shared" si="202"/>
        <v>4.4974999999999996</v>
      </c>
      <c r="AS660" s="11">
        <f t="shared" si="203"/>
        <v>-7.6000000000000512E-2</v>
      </c>
      <c r="AT660" s="12">
        <f t="shared" si="204"/>
        <v>-0.67566666666666697</v>
      </c>
    </row>
    <row r="661" spans="1:46" ht="16.5" x14ac:dyDescent="0.4">
      <c r="A661" s="4" t="s">
        <v>2651</v>
      </c>
      <c r="B661" s="4" t="s">
        <v>2710</v>
      </c>
      <c r="C661" s="4" t="s">
        <v>2714</v>
      </c>
      <c r="D661" s="4" t="s">
        <v>2830</v>
      </c>
      <c r="E661" s="4" t="s">
        <v>2989</v>
      </c>
      <c r="F661" s="4" t="s">
        <v>3148</v>
      </c>
      <c r="G661" s="7" t="str">
        <f>VLOOKUP(A661,[1]done!$A:$I,9,0)</f>
        <v>Insecticide/Fungicide</v>
      </c>
      <c r="H661" s="7" t="str" cm="1">
        <f t="array" ref="H661">_xlfn.IFS(
OR(ISNUMBER(SEARCH("mouse",E661)),ISNUMBER(SEARCH("rat",E661)),ISNUMBER(SEARCH("mice",E661)),ISNUMBER(SEARCH("rodent",E661))),"Rodent Control",
OR(ISNUMBER(SEARCH("fly",E661)),ISNUMBER(SEARCH("gnat",E661)),ISNUMBER(SEARCH("insect",E661)),ISNUMBER(SEARCH("mosquito",E661))),"Flying Insect Control",
OR(ISNUMBER(SEARCH("roach",E661)),ISNUMBER(SEARCH("ant",E661)),ISNUMBER(SEARCH("spider",E661)),ISNUMBER(SEARCH("cricket",E661)),ISNUMBER(SEARCH("scorpion",E661)),ISNUMBER(SEARCH("centipede",E661)),ISNUMBER(SEARCH("beetle",E661))),"Crawling Insect Control",
OR(ISNUMBER(SEARCH("tree",E661)),ISNUMBER(SEARCH("lantern",E661)),ISNUMBER(SEARCH("garden",E661)),ISNUMBER(SEARCH("plant",E661))),"Garden Pest Control",
OR(ISNUMBER(SEARCH("grass seed",E661)),ISNUMBER(SEARCH("seed mix",E661))),"Grass Seed",
OR(ISNUMBER(SEARCH("lawn food",E661)),ISNUMBER(SEARCH("fertilizer",E661))),"Lawn Fertilizer",
OR(ISNUMBER(SEARCH("patch",E661)),ISNUMBER(SEARCH("repair",E661)),ISNUMBER(SEARCH("thick'r",E661)),ISNUMBER(SEARCH("thick'r lawn",E661)),ISNUMBER(SEARCH("rapid grass",E661))),"Lawn Repair",
OR(ISNUMBER(SEARCH("weed",E661)),ISNUMBER(SEARCH("crabgrass",E661))),"Weed Control",
OR(ISNUMBER(SEARCH("fungicide",E661)),ISNUMBER(SEARCH("moss",E661))),"Disease &amp; Moss Control",
OR(ISNUMBER(SEARCH("plant food",E661)),ISNUMBER(SEARCH("miracid",E661))),"Plant Nutrition",
OR(ISNUMBER(SEARCH("perlite",E661))),"Soil Amendment",
OR(ISNUMBER(SEARCH("spreader",E661)),ISNUMBER(SEARCH("sprayer",E661)),ISNUMBER(SEARCH("mower",E661)),ISNUMBER(SEARCH("sweeper",E661)),ISNUMBER(SEARCH("pruner",E661)),ISNUMBER(SEARCH("trimmer",E661)),ISNUMBER(SEARCH("pole saw",E661))),"Garden Equipment",
TRUE,"Other"
)</f>
        <v>Rodent Control</v>
      </c>
      <c r="I661" s="7" t="str" cm="1">
        <f t="array" ref="I661">_xlfn.IFS(
OR(ISNUMBER(SEARCH("glue trap",E661)),ISNUMBER(SEARCH("glue board",E661))),"Glue Traps",
OR(ISNUMBER(SEARCH("snap trap",E661)),ISNUMBER(SEARCH("power-kill",E661)),ISNUMBER(SEARCH("wide pedal",E661)),ISNUMBER(SEARCH("metal pedal",E661))),"Snap Traps",
OR(ISNUMBER(SEARCH("electronic",E661)),ISNUMBER(SEARCH("zapper",E661))),"Electronic Traps",
OR(ISNUMBER(SEARCH("live catch",E661)),ISNUMBER(SEARCH("multi-catch",E661)),ISNUMBER(SEARCH("catch &amp; hold",E661)),ISNUMBER(SEARCH("tin cat",E661))),"Live Catch Traps",
OR(ISNUMBER(SEARCH("bait",E661)),ISNUMBER(SEARCH("poison",E661))),"Bait &amp; Poison",
ISNUMBER(SEARCH("repellent",E661)),"Repellents",
OR(ISNUMBER(SEARCH("fly trap",E661)),ISNUMBER(SEARCH("fly ribbon",E661)),ISNUMBER(SEARCH("fly stick",E661)),ISNUMBER(SEARCH("window fly",E661)),ISNUMBER(SEARCH("fly magnet",E661))),"Fly Traps",
OR(ISNUMBER(SEARCH("uv",E661)),ISNUMBER(SEARCH("fly light",E661)),ISNUMBER(SEARCH("plug-in",E661))),"UV Fly Traps",
ISNUMBER(SEARCH("roach",E661)),"Roach Traps",
ISNUMBER(SEARCH("ant",E661)),"Ant Traps",
ISNUMBER(SEARCH("spider",E661)),"Spider Traps",
ISNUMBER(SEARCH("mosquito",E661)),"Mosquito Traps",
ISNUMBER(SEARCH("beetle",E661)),"Beetle Traps",
ISNUMBER(SEARCH("lantern",E661)),"Lanternfly Control",
OR(ISNUMBER(SEARCH("tree shield",E661)),ISNUMBER(SEARCH("tree banding",E661)),ISNUMBER(SEARCH("insect barrier",E661))),"Tree Barriers",
OR(ISNUMBER(SEARCH("sun &amp; shade",E661)),ISNUMBER(SEARCH("sun and shade",E661))),"Sun &amp; Shade Mix",
ISNUMBER(SEARCH("tall fescue",E661)),"Tall Fescue",
ISNUMBER(SEARCH("bermudagrass",E661)),"Bermudagrass",
ISNUMBER(SEARCH("kentucky",E661)),"Kentucky Bluegrass",
ISNUMBER(SEARCH("zoysia",E661)),"Zoysia",
ISNUMBER(SEARCH("ryegrass",E661)),"Perennial Ryegrass",
ISNUMBER(SEARCH("centipede",E661)),"Centipede Grass",
ISNUMBER(SEARCH("dense shade",E661)),"Dense Shade Mix",
ISNUMBER(SEARCH("southern gold",E661)),"Southern Gold Mix",
ISNUMBER(SEARCH("heat-tolerant blue",E661)),"Heat-Tolerant Blue Mix",
ISNUMBER(SEARCH("high traffic",E661)),"High Traffic Mix",
ISNUMBER(SEARCH("quick fix",E661)),"Quick Fix Mix",
ISNUMBER(SEARCH("starter",E661)),"Starter Fertilizer",
ISNUMBER(SEARCH("weed &amp; feed",E661)),"Weed &amp; Feed",
ISNUMBER(SEARCH("lawn food",E661)),"Lawn Food",
ISNUMBER(SEARCH("triple action",E661)),"Triple Action Fertilizer",
ISNUMBER(SEARCH("green max",E661)),"Green Max Lawn Food",
ISNUMBER(SEARCH("patchmaster",E661)),"PatchMaster Repair",
ISNUMBER(SEARCH("ez seed",E661)),"EZ Seed Repair",
ISNUMBER(SEARCH("rapid grass",E661)),"Rapid Grass",
ISNUMBER(SEARCH("thick'r lawn",E661)),"Thick'R Lawn",
ISNUMBER(SEARCH("fungicide",E661)),"Fungicide",
ISNUMBER(SEARCH("moss",E661)),"Moss Control",
ISNUMBER(SEARCH("perlite",E661)),"Perlite",
ISNUMBER(SEARCH("plant food",E661)),"Plant Food",
ISNUMBER(SEARCH("spreader",E661)),"Spreader",
ISNUMBER(SEARCH("sprayer",E661)),"Sprayer",
ISNUMBER(SEARCH("mower",E661)),"Lawn Mower",
ISNUMBER(SEARCH("sweeper",E661)),"Lawn Sweeper",
OR(ISNUMBER(SEARCH("pruner",E661)),ISNUMBER(SEARCH("trimmer",E661)),ISNUMBER(SEARCH("pole saw",E661))),"Pruning Tools",
TRUE,"Other"
)</f>
        <v>Bait &amp; Poison</v>
      </c>
      <c r="J661" s="7" t="str">
        <f t="shared" si="191"/>
        <v>Rodent Control - Bait &amp; Poison</v>
      </c>
      <c r="K661" s="4">
        <v>100</v>
      </c>
      <c r="L661" s="4">
        <v>4.3</v>
      </c>
      <c r="M661" s="4">
        <v>665</v>
      </c>
      <c r="N661" s="4" t="s">
        <v>3247</v>
      </c>
      <c r="O661" s="4">
        <f>VLOOKUP(A661,[13]Sheet1!$A:$M,2,0)</f>
        <v>0</v>
      </c>
      <c r="P661" s="4">
        <f>VLOOKUP(A661,[13]Sheet1!$A:$M,3,0)</f>
        <v>0</v>
      </c>
      <c r="Q661" s="4">
        <f>VLOOKUP(A661,[13]Sheet1!$A:$M,4,0)</f>
        <v>0</v>
      </c>
      <c r="R661" s="4">
        <f>VLOOKUP(A661,[13]Sheet1!$A:$M,5,0)</f>
        <v>50</v>
      </c>
      <c r="S661" s="4">
        <f>VLOOKUP(A661,[13]Sheet1!$A:$M,6,0)</f>
        <v>100</v>
      </c>
      <c r="T661" s="4">
        <f>VLOOKUP(A661,[13]Sheet1!$A:$M,7,0)</f>
        <v>100</v>
      </c>
      <c r="U661" s="4">
        <f>VLOOKUP(A661,[13]Sheet1!$A:$M,8,0)</f>
        <v>100</v>
      </c>
      <c r="V661" s="4">
        <f>VLOOKUP(A661,[13]Sheet1!$A:$M,9,0)</f>
        <v>100</v>
      </c>
      <c r="W661" s="4">
        <f>VLOOKUP(A661,[13]Sheet1!$A:$M,10,0)</f>
        <v>100</v>
      </c>
      <c r="X661" s="4">
        <f>VLOOKUP(A661,[13]Sheet1!$A:$M,11,0)</f>
        <v>0</v>
      </c>
      <c r="Y661" s="4">
        <f>VLOOKUP(A661,[13]Sheet1!$A:$M,12,0)</f>
        <v>0</v>
      </c>
      <c r="Z661" s="4">
        <f>VLOOKUP(A661,[13]Sheet1!$A:$M,13,0)</f>
        <v>0</v>
      </c>
      <c r="AA661" s="4">
        <f t="shared" si="192"/>
        <v>550</v>
      </c>
      <c r="AB661" s="7">
        <f t="shared" si="193"/>
        <v>46</v>
      </c>
      <c r="AC661" s="15">
        <f t="shared" si="194"/>
        <v>45.833333333333336</v>
      </c>
      <c r="AD661" s="16">
        <f t="shared" si="195"/>
        <v>7760.5</v>
      </c>
      <c r="AE661" s="16">
        <f t="shared" si="196"/>
        <v>646.70833333333337</v>
      </c>
      <c r="AF661" s="21">
        <v>5.61</v>
      </c>
      <c r="AG661" s="21">
        <v>14.11</v>
      </c>
      <c r="AH661" s="15">
        <f t="shared" si="189"/>
        <v>-6.4400000000000068E-2</v>
      </c>
      <c r="AI661" s="15">
        <f t="shared" si="190"/>
        <v>-0.22540000000000021</v>
      </c>
      <c r="AJ661" s="10">
        <v>0.5</v>
      </c>
      <c r="AK661" s="10">
        <v>0.5</v>
      </c>
      <c r="AL661" s="21">
        <v>5.61</v>
      </c>
      <c r="AM661" s="9">
        <f t="shared" si="197"/>
        <v>2.1164999999999998</v>
      </c>
      <c r="AN661" s="9">
        <f t="shared" si="198"/>
        <v>0.42329999999999995</v>
      </c>
      <c r="AO661" s="9">
        <f t="shared" si="199"/>
        <v>2.8220000000000001</v>
      </c>
      <c r="AP661" s="9">
        <f t="shared" si="200"/>
        <v>0.28220000000000001</v>
      </c>
      <c r="AQ661" s="9">
        <f t="shared" si="201"/>
        <v>2.8220000000000001</v>
      </c>
      <c r="AR661" s="9">
        <f t="shared" si="202"/>
        <v>3.5274999999999999</v>
      </c>
      <c r="AS661" s="11">
        <f t="shared" si="203"/>
        <v>-0.64400000000000068</v>
      </c>
      <c r="AT661" s="12">
        <f t="shared" si="204"/>
        <v>-1.1143333333333338</v>
      </c>
    </row>
    <row r="662" spans="1:46" ht="16.5" x14ac:dyDescent="0.4">
      <c r="A662" s="4" t="s">
        <v>2652</v>
      </c>
      <c r="B662" s="4" t="s">
        <v>2710</v>
      </c>
      <c r="C662" s="4" t="s">
        <v>2710</v>
      </c>
      <c r="D662" s="4" t="s">
        <v>2831</v>
      </c>
      <c r="E662" s="4" t="s">
        <v>2990</v>
      </c>
      <c r="F662" s="4" t="s">
        <v>3149</v>
      </c>
      <c r="G662" s="7" t="str">
        <f>VLOOKUP(A662,[1]done!$A:$I,9,0)</f>
        <v>Other crawling insects</v>
      </c>
      <c r="H662" s="7" t="str" cm="1">
        <f t="array" ref="H662">_xlfn.IFS(
OR(ISNUMBER(SEARCH("mouse",E662)),ISNUMBER(SEARCH("rat",E662)),ISNUMBER(SEARCH("mice",E662)),ISNUMBER(SEARCH("rodent",E662))),"Rodent Control",
OR(ISNUMBER(SEARCH("fly",E662)),ISNUMBER(SEARCH("gnat",E662)),ISNUMBER(SEARCH("insect",E662)),ISNUMBER(SEARCH("mosquito",E662))),"Flying Insect Control",
OR(ISNUMBER(SEARCH("roach",E662)),ISNUMBER(SEARCH("ant",E662)),ISNUMBER(SEARCH("spider",E662)),ISNUMBER(SEARCH("cricket",E662)),ISNUMBER(SEARCH("scorpion",E662)),ISNUMBER(SEARCH("centipede",E662)),ISNUMBER(SEARCH("beetle",E662))),"Crawling Insect Control",
OR(ISNUMBER(SEARCH("tree",E662)),ISNUMBER(SEARCH("lantern",E662)),ISNUMBER(SEARCH("garden",E662)),ISNUMBER(SEARCH("plant",E662))),"Garden Pest Control",
OR(ISNUMBER(SEARCH("grass seed",E662)),ISNUMBER(SEARCH("seed mix",E662))),"Grass Seed",
OR(ISNUMBER(SEARCH("lawn food",E662)),ISNUMBER(SEARCH("fertilizer",E662))),"Lawn Fertilizer",
OR(ISNUMBER(SEARCH("patch",E662)),ISNUMBER(SEARCH("repair",E662)),ISNUMBER(SEARCH("thick'r",E662)),ISNUMBER(SEARCH("thick'r lawn",E662)),ISNUMBER(SEARCH("rapid grass",E662))),"Lawn Repair",
OR(ISNUMBER(SEARCH("weed",E662)),ISNUMBER(SEARCH("crabgrass",E662))),"Weed Control",
OR(ISNUMBER(SEARCH("fungicide",E662)),ISNUMBER(SEARCH("moss",E662))),"Disease &amp; Moss Control",
OR(ISNUMBER(SEARCH("plant food",E662)),ISNUMBER(SEARCH("miracid",E662))),"Plant Nutrition",
OR(ISNUMBER(SEARCH("perlite",E662))),"Soil Amendment",
OR(ISNUMBER(SEARCH("spreader",E662)),ISNUMBER(SEARCH("sprayer",E662)),ISNUMBER(SEARCH("mower",E662)),ISNUMBER(SEARCH("sweeper",E662)),ISNUMBER(SEARCH("pruner",E662)),ISNUMBER(SEARCH("trimmer",E662)),ISNUMBER(SEARCH("pole saw",E662))),"Garden Equipment",
TRUE,"Other"
)</f>
        <v>Rodent Control</v>
      </c>
      <c r="I662" s="7" t="str" cm="1">
        <f t="array" ref="I662">_xlfn.IFS(
OR(ISNUMBER(SEARCH("glue trap",E662)),ISNUMBER(SEARCH("glue board",E662))),"Glue Traps",
OR(ISNUMBER(SEARCH("snap trap",E662)),ISNUMBER(SEARCH("power-kill",E662)),ISNUMBER(SEARCH("wide pedal",E662)),ISNUMBER(SEARCH("metal pedal",E662))),"Snap Traps",
OR(ISNUMBER(SEARCH("electronic",E662)),ISNUMBER(SEARCH("zapper",E662))),"Electronic Traps",
OR(ISNUMBER(SEARCH("live catch",E662)),ISNUMBER(SEARCH("multi-catch",E662)),ISNUMBER(SEARCH("catch &amp; hold",E662)),ISNUMBER(SEARCH("tin cat",E662))),"Live Catch Traps",
OR(ISNUMBER(SEARCH("bait",E662)),ISNUMBER(SEARCH("poison",E662))),"Bait &amp; Poison",
ISNUMBER(SEARCH("repellent",E662)),"Repellents",
OR(ISNUMBER(SEARCH("fly trap",E662)),ISNUMBER(SEARCH("fly ribbon",E662)),ISNUMBER(SEARCH("fly stick",E662)),ISNUMBER(SEARCH("window fly",E662)),ISNUMBER(SEARCH("fly magnet",E662))),"Fly Traps",
OR(ISNUMBER(SEARCH("uv",E662)),ISNUMBER(SEARCH("fly light",E662)),ISNUMBER(SEARCH("plug-in",E662))),"UV Fly Traps",
ISNUMBER(SEARCH("roach",E662)),"Roach Traps",
ISNUMBER(SEARCH("ant",E662)),"Ant Traps",
ISNUMBER(SEARCH("spider",E662)),"Spider Traps",
ISNUMBER(SEARCH("mosquito",E662)),"Mosquito Traps",
ISNUMBER(SEARCH("beetle",E662)),"Beetle Traps",
ISNUMBER(SEARCH("lantern",E662)),"Lanternfly Control",
OR(ISNUMBER(SEARCH("tree shield",E662)),ISNUMBER(SEARCH("tree banding",E662)),ISNUMBER(SEARCH("insect barrier",E662))),"Tree Barriers",
OR(ISNUMBER(SEARCH("sun &amp; shade",E662)),ISNUMBER(SEARCH("sun and shade",E662))),"Sun &amp; Shade Mix",
ISNUMBER(SEARCH("tall fescue",E662)),"Tall Fescue",
ISNUMBER(SEARCH("bermudagrass",E662)),"Bermudagrass",
ISNUMBER(SEARCH("kentucky",E662)),"Kentucky Bluegrass",
ISNUMBER(SEARCH("zoysia",E662)),"Zoysia",
ISNUMBER(SEARCH("ryegrass",E662)),"Perennial Ryegrass",
ISNUMBER(SEARCH("centipede",E662)),"Centipede Grass",
ISNUMBER(SEARCH("dense shade",E662)),"Dense Shade Mix",
ISNUMBER(SEARCH("southern gold",E662)),"Southern Gold Mix",
ISNUMBER(SEARCH("heat-tolerant blue",E662)),"Heat-Tolerant Blue Mix",
ISNUMBER(SEARCH("high traffic",E662)),"High Traffic Mix",
ISNUMBER(SEARCH("quick fix",E662)),"Quick Fix Mix",
ISNUMBER(SEARCH("starter",E662)),"Starter Fertilizer",
ISNUMBER(SEARCH("weed &amp; feed",E662)),"Weed &amp; Feed",
ISNUMBER(SEARCH("lawn food",E662)),"Lawn Food",
ISNUMBER(SEARCH("triple action",E662)),"Triple Action Fertilizer",
ISNUMBER(SEARCH("green max",E662)),"Green Max Lawn Food",
ISNUMBER(SEARCH("patchmaster",E662)),"PatchMaster Repair",
ISNUMBER(SEARCH("ez seed",E662)),"EZ Seed Repair",
ISNUMBER(SEARCH("rapid grass",E662)),"Rapid Grass",
ISNUMBER(SEARCH("thick'r lawn",E662)),"Thick'R Lawn",
ISNUMBER(SEARCH("fungicide",E662)),"Fungicide",
ISNUMBER(SEARCH("moss",E662)),"Moss Control",
ISNUMBER(SEARCH("perlite",E662)),"Perlite",
ISNUMBER(SEARCH("plant food",E662)),"Plant Food",
ISNUMBER(SEARCH("spreader",E662)),"Spreader",
ISNUMBER(SEARCH("sprayer",E662)),"Sprayer",
ISNUMBER(SEARCH("mower",E662)),"Lawn Mower",
ISNUMBER(SEARCH("sweeper",E662)),"Lawn Sweeper",
OR(ISNUMBER(SEARCH("pruner",E662)),ISNUMBER(SEARCH("trimmer",E662)),ISNUMBER(SEARCH("pole saw",E662))),"Pruning Tools",
TRUE,"Other"
)</f>
        <v>Ant Traps</v>
      </c>
      <c r="J662" s="7" t="str">
        <f t="shared" si="191"/>
        <v>Rodent Control - Ant Traps</v>
      </c>
      <c r="K662" s="4">
        <v>100</v>
      </c>
      <c r="L662" s="4">
        <v>4.5</v>
      </c>
      <c r="M662" s="4">
        <v>693</v>
      </c>
      <c r="N662" s="4" t="s">
        <v>1550</v>
      </c>
      <c r="O662" s="4">
        <f>VLOOKUP(A662,[13]Sheet1!$A:$M,2,0)</f>
        <v>100</v>
      </c>
      <c r="P662" s="4">
        <f>VLOOKUP(A662,[13]Sheet1!$A:$M,3,0)</f>
        <v>50</v>
      </c>
      <c r="Q662" s="4">
        <f>VLOOKUP(A662,[13]Sheet1!$A:$M,4,0)</f>
        <v>0</v>
      </c>
      <c r="R662" s="4">
        <f>VLOOKUP(A662,[13]Sheet1!$A:$M,5,0)</f>
        <v>50</v>
      </c>
      <c r="S662" s="4">
        <f>VLOOKUP(A662,[13]Sheet1!$A:$M,6,0)</f>
        <v>50</v>
      </c>
      <c r="T662" s="4">
        <f>VLOOKUP(A662,[13]Sheet1!$A:$M,7,0)</f>
        <v>50</v>
      </c>
      <c r="U662" s="4">
        <f>VLOOKUP(A662,[13]Sheet1!$A:$M,8,0)</f>
        <v>50</v>
      </c>
      <c r="V662" s="4">
        <f>VLOOKUP(A662,[13]Sheet1!$A:$M,9,0)</f>
        <v>100</v>
      </c>
      <c r="W662" s="4">
        <f>VLOOKUP(A662,[13]Sheet1!$A:$M,10,0)</f>
        <v>100</v>
      </c>
      <c r="X662" s="4">
        <f>VLOOKUP(A662,[13]Sheet1!$A:$M,11,0)</f>
        <v>100</v>
      </c>
      <c r="Y662" s="4">
        <f>VLOOKUP(A662,[13]Sheet1!$A:$M,12,0)</f>
        <v>1000</v>
      </c>
      <c r="Z662" s="4">
        <f>VLOOKUP(A662,[13]Sheet1!$A:$M,13,0)</f>
        <v>1000</v>
      </c>
      <c r="AA662" s="4">
        <f t="shared" si="192"/>
        <v>2650</v>
      </c>
      <c r="AB662" s="7">
        <f t="shared" si="193"/>
        <v>221</v>
      </c>
      <c r="AC662" s="15">
        <f t="shared" si="194"/>
        <v>220.83333333333334</v>
      </c>
      <c r="AD662" s="16">
        <f t="shared" si="195"/>
        <v>50323.499999999993</v>
      </c>
      <c r="AE662" s="16">
        <f t="shared" si="196"/>
        <v>4193.625</v>
      </c>
      <c r="AF662" s="21">
        <v>6.31</v>
      </c>
      <c r="AG662" s="21">
        <v>18.989999999999998</v>
      </c>
      <c r="AH662" s="15">
        <f t="shared" si="189"/>
        <v>1.9066666666666579E-2</v>
      </c>
      <c r="AI662" s="15">
        <f t="shared" si="190"/>
        <v>6.673333333333302E-2</v>
      </c>
      <c r="AJ662" s="10">
        <v>0.5</v>
      </c>
      <c r="AK662" s="10">
        <v>0.5</v>
      </c>
      <c r="AL662" s="21">
        <v>6.31</v>
      </c>
      <c r="AM662" s="9">
        <f t="shared" si="197"/>
        <v>2.8484999999999996</v>
      </c>
      <c r="AN662" s="9">
        <f t="shared" si="198"/>
        <v>0.56969999999999998</v>
      </c>
      <c r="AO662" s="9">
        <f t="shared" si="199"/>
        <v>3.798</v>
      </c>
      <c r="AP662" s="9">
        <f t="shared" si="200"/>
        <v>0.37979999999999997</v>
      </c>
      <c r="AQ662" s="9">
        <f t="shared" si="201"/>
        <v>3.798</v>
      </c>
      <c r="AR662" s="9">
        <f t="shared" si="202"/>
        <v>4.7474999999999996</v>
      </c>
      <c r="AS662" s="11">
        <f t="shared" si="203"/>
        <v>0.19066666666666579</v>
      </c>
      <c r="AT662" s="12">
        <f t="shared" si="204"/>
        <v>-0.44233333333333391</v>
      </c>
    </row>
    <row r="663" spans="1:46" ht="16.5" x14ac:dyDescent="0.4">
      <c r="A663" s="4" t="s">
        <v>2653</v>
      </c>
      <c r="B663" s="4" t="s">
        <v>2710</v>
      </c>
      <c r="C663" s="4" t="s">
        <v>2710</v>
      </c>
      <c r="D663" s="4" t="s">
        <v>2832</v>
      </c>
      <c r="E663" s="4" t="s">
        <v>2991</v>
      </c>
      <c r="F663" s="4" t="s">
        <v>3150</v>
      </c>
      <c r="G663" s="7" t="str">
        <f>VLOOKUP(A663,[1]done!$A:$I,9,0)</f>
        <v>Mole Repellent</v>
      </c>
      <c r="H663" s="7" t="str" cm="1">
        <f t="array" ref="H663">_xlfn.IFS(
OR(ISNUMBER(SEARCH("mouse",E663)),ISNUMBER(SEARCH("rat",E663)),ISNUMBER(SEARCH("mice",E663)),ISNUMBER(SEARCH("rodent",E663))),"Rodent Control",
OR(ISNUMBER(SEARCH("fly",E663)),ISNUMBER(SEARCH("gnat",E663)),ISNUMBER(SEARCH("insect",E663)),ISNUMBER(SEARCH("mosquito",E663))),"Flying Insect Control",
OR(ISNUMBER(SEARCH("roach",E663)),ISNUMBER(SEARCH("ant",E663)),ISNUMBER(SEARCH("spider",E663)),ISNUMBER(SEARCH("cricket",E663)),ISNUMBER(SEARCH("scorpion",E663)),ISNUMBER(SEARCH("centipede",E663)),ISNUMBER(SEARCH("beetle",E663))),"Crawling Insect Control",
OR(ISNUMBER(SEARCH("tree",E663)),ISNUMBER(SEARCH("lantern",E663)),ISNUMBER(SEARCH("garden",E663)),ISNUMBER(SEARCH("plant",E663))),"Garden Pest Control",
OR(ISNUMBER(SEARCH("grass seed",E663)),ISNUMBER(SEARCH("seed mix",E663))),"Grass Seed",
OR(ISNUMBER(SEARCH("lawn food",E663)),ISNUMBER(SEARCH("fertilizer",E663))),"Lawn Fertilizer",
OR(ISNUMBER(SEARCH("patch",E663)),ISNUMBER(SEARCH("repair",E663)),ISNUMBER(SEARCH("thick'r",E663)),ISNUMBER(SEARCH("thick'r lawn",E663)),ISNUMBER(SEARCH("rapid grass",E663))),"Lawn Repair",
OR(ISNUMBER(SEARCH("weed",E663)),ISNUMBER(SEARCH("crabgrass",E663))),"Weed Control",
OR(ISNUMBER(SEARCH("fungicide",E663)),ISNUMBER(SEARCH("moss",E663))),"Disease &amp; Moss Control",
OR(ISNUMBER(SEARCH("plant food",E663)),ISNUMBER(SEARCH("miracid",E663))),"Plant Nutrition",
OR(ISNUMBER(SEARCH("perlite",E663))),"Soil Amendment",
OR(ISNUMBER(SEARCH("spreader",E663)),ISNUMBER(SEARCH("sprayer",E663)),ISNUMBER(SEARCH("mower",E663)),ISNUMBER(SEARCH("sweeper",E663)),ISNUMBER(SEARCH("pruner",E663)),ISNUMBER(SEARCH("trimmer",E663)),ISNUMBER(SEARCH("pole saw",E663))),"Garden Equipment",
TRUE,"Other"
)</f>
        <v>Other</v>
      </c>
      <c r="I663" s="7" t="str" cm="1">
        <f t="array" ref="I663">_xlfn.IFS(
OR(ISNUMBER(SEARCH("glue trap",E663)),ISNUMBER(SEARCH("glue board",E663))),"Glue Traps",
OR(ISNUMBER(SEARCH("snap trap",E663)),ISNUMBER(SEARCH("power-kill",E663)),ISNUMBER(SEARCH("wide pedal",E663)),ISNUMBER(SEARCH("metal pedal",E663))),"Snap Traps",
OR(ISNUMBER(SEARCH("electronic",E663)),ISNUMBER(SEARCH("zapper",E663))),"Electronic Traps",
OR(ISNUMBER(SEARCH("live catch",E663)),ISNUMBER(SEARCH("multi-catch",E663)),ISNUMBER(SEARCH("catch &amp; hold",E663)),ISNUMBER(SEARCH("tin cat",E663))),"Live Catch Traps",
OR(ISNUMBER(SEARCH("bait",E663)),ISNUMBER(SEARCH("poison",E663))),"Bait &amp; Poison",
ISNUMBER(SEARCH("repellent",E663)),"Repellents",
OR(ISNUMBER(SEARCH("fly trap",E663)),ISNUMBER(SEARCH("fly ribbon",E663)),ISNUMBER(SEARCH("fly stick",E663)),ISNUMBER(SEARCH("window fly",E663)),ISNUMBER(SEARCH("fly magnet",E663))),"Fly Traps",
OR(ISNUMBER(SEARCH("uv",E663)),ISNUMBER(SEARCH("fly light",E663)),ISNUMBER(SEARCH("plug-in",E663))),"UV Fly Traps",
ISNUMBER(SEARCH("roach",E663)),"Roach Traps",
ISNUMBER(SEARCH("ant",E663)),"Ant Traps",
ISNUMBER(SEARCH("spider",E663)),"Spider Traps",
ISNUMBER(SEARCH("mosquito",E663)),"Mosquito Traps",
ISNUMBER(SEARCH("beetle",E663)),"Beetle Traps",
ISNUMBER(SEARCH("lantern",E663)),"Lanternfly Control",
OR(ISNUMBER(SEARCH("tree shield",E663)),ISNUMBER(SEARCH("tree banding",E663)),ISNUMBER(SEARCH("insect barrier",E663))),"Tree Barriers",
OR(ISNUMBER(SEARCH("sun &amp; shade",E663)),ISNUMBER(SEARCH("sun and shade",E663))),"Sun &amp; Shade Mix",
ISNUMBER(SEARCH("tall fescue",E663)),"Tall Fescue",
ISNUMBER(SEARCH("bermudagrass",E663)),"Bermudagrass",
ISNUMBER(SEARCH("kentucky",E663)),"Kentucky Bluegrass",
ISNUMBER(SEARCH("zoysia",E663)),"Zoysia",
ISNUMBER(SEARCH("ryegrass",E663)),"Perennial Ryegrass",
ISNUMBER(SEARCH("centipede",E663)),"Centipede Grass",
ISNUMBER(SEARCH("dense shade",E663)),"Dense Shade Mix",
ISNUMBER(SEARCH("southern gold",E663)),"Southern Gold Mix",
ISNUMBER(SEARCH("heat-tolerant blue",E663)),"Heat-Tolerant Blue Mix",
ISNUMBER(SEARCH("high traffic",E663)),"High Traffic Mix",
ISNUMBER(SEARCH("quick fix",E663)),"Quick Fix Mix",
ISNUMBER(SEARCH("starter",E663)),"Starter Fertilizer",
ISNUMBER(SEARCH("weed &amp; feed",E663)),"Weed &amp; Feed",
ISNUMBER(SEARCH("lawn food",E663)),"Lawn Food",
ISNUMBER(SEARCH("triple action",E663)),"Triple Action Fertilizer",
ISNUMBER(SEARCH("green max",E663)),"Green Max Lawn Food",
ISNUMBER(SEARCH("patchmaster",E663)),"PatchMaster Repair",
ISNUMBER(SEARCH("ez seed",E663)),"EZ Seed Repair",
ISNUMBER(SEARCH("rapid grass",E663)),"Rapid Grass",
ISNUMBER(SEARCH("thick'r lawn",E663)),"Thick'R Lawn",
ISNUMBER(SEARCH("fungicide",E663)),"Fungicide",
ISNUMBER(SEARCH("moss",E663)),"Moss Control",
ISNUMBER(SEARCH("perlite",E663)),"Perlite",
ISNUMBER(SEARCH("plant food",E663)),"Plant Food",
ISNUMBER(SEARCH("spreader",E663)),"Spreader",
ISNUMBER(SEARCH("sprayer",E663)),"Sprayer",
ISNUMBER(SEARCH("mower",E663)),"Lawn Mower",
ISNUMBER(SEARCH("sweeper",E663)),"Lawn Sweeper",
OR(ISNUMBER(SEARCH("pruner",E663)),ISNUMBER(SEARCH("trimmer",E663)),ISNUMBER(SEARCH("pole saw",E663))),"Pruning Tools",
TRUE,"Other"
)</f>
        <v>Other</v>
      </c>
      <c r="J663" s="7" t="str">
        <f t="shared" si="191"/>
        <v>Other - Other</v>
      </c>
      <c r="K663" s="4">
        <v>100</v>
      </c>
      <c r="L663" s="4">
        <v>3.9</v>
      </c>
      <c r="M663" s="4">
        <v>1169</v>
      </c>
      <c r="N663" s="4">
        <v>1</v>
      </c>
      <c r="O663" s="4">
        <f>VLOOKUP(A663,[13]Sheet1!$A:$M,2,0)</f>
        <v>0</v>
      </c>
      <c r="P663" s="4">
        <f>VLOOKUP(A663,[13]Sheet1!$A:$M,3,0)</f>
        <v>100</v>
      </c>
      <c r="Q663" s="4">
        <f>VLOOKUP(A663,[13]Sheet1!$A:$M,4,0)</f>
        <v>100</v>
      </c>
      <c r="R663" s="4">
        <f>VLOOKUP(A663,[13]Sheet1!$A:$M,5,0)</f>
        <v>50</v>
      </c>
      <c r="S663" s="4">
        <f>VLOOKUP(A663,[13]Sheet1!$A:$M,6,0)</f>
        <v>100</v>
      </c>
      <c r="T663" s="4">
        <f>VLOOKUP(A663,[13]Sheet1!$A:$M,7,0)</f>
        <v>100</v>
      </c>
      <c r="U663" s="4">
        <f>VLOOKUP(A663,[13]Sheet1!$A:$M,8,0)</f>
        <v>100</v>
      </c>
      <c r="V663" s="4">
        <f>VLOOKUP(A663,[13]Sheet1!$A:$M,9,0)</f>
        <v>100</v>
      </c>
      <c r="W663" s="4">
        <f>VLOOKUP(A663,[13]Sheet1!$A:$M,10,0)</f>
        <v>100</v>
      </c>
      <c r="X663" s="4">
        <f>VLOOKUP(A663,[13]Sheet1!$A:$M,11,0)</f>
        <v>200</v>
      </c>
      <c r="Y663" s="4">
        <f>VLOOKUP(A663,[13]Sheet1!$A:$M,12,0)</f>
        <v>200</v>
      </c>
      <c r="Z663" s="4">
        <f>VLOOKUP(A663,[13]Sheet1!$A:$M,13,0)</f>
        <v>50</v>
      </c>
      <c r="AA663" s="4">
        <f t="shared" si="192"/>
        <v>1200</v>
      </c>
      <c r="AB663" s="7">
        <f t="shared" si="193"/>
        <v>100</v>
      </c>
      <c r="AC663" s="15">
        <f t="shared" si="194"/>
        <v>100</v>
      </c>
      <c r="AD663" s="16">
        <f t="shared" si="195"/>
        <v>16548</v>
      </c>
      <c r="AE663" s="16">
        <f t="shared" si="196"/>
        <v>1379</v>
      </c>
      <c r="AF663" s="21">
        <v>5.22</v>
      </c>
      <c r="AG663" s="21">
        <v>13.79</v>
      </c>
      <c r="AH663" s="15">
        <f t="shared" si="189"/>
        <v>-4.6933333333333382E-2</v>
      </c>
      <c r="AI663" s="15">
        <f t="shared" si="190"/>
        <v>-0.16426666666666681</v>
      </c>
      <c r="AJ663" s="10">
        <v>0.5</v>
      </c>
      <c r="AK663" s="10">
        <v>0.5</v>
      </c>
      <c r="AL663" s="21">
        <v>5.22</v>
      </c>
      <c r="AM663" s="9">
        <f t="shared" si="197"/>
        <v>2.0684999999999998</v>
      </c>
      <c r="AN663" s="9">
        <f t="shared" si="198"/>
        <v>0.41369999999999996</v>
      </c>
      <c r="AO663" s="9">
        <f t="shared" si="199"/>
        <v>2.758</v>
      </c>
      <c r="AP663" s="9">
        <f t="shared" si="200"/>
        <v>0.27579999999999999</v>
      </c>
      <c r="AQ663" s="9">
        <f t="shared" si="201"/>
        <v>2.758</v>
      </c>
      <c r="AR663" s="9">
        <f t="shared" si="202"/>
        <v>3.4474999999999998</v>
      </c>
      <c r="AS663" s="11">
        <f t="shared" si="203"/>
        <v>-0.46933333333333377</v>
      </c>
      <c r="AT663" s="12">
        <f t="shared" si="204"/>
        <v>-0.92900000000000027</v>
      </c>
    </row>
    <row r="664" spans="1:46" ht="16.5" x14ac:dyDescent="0.4">
      <c r="A664" s="4" t="s">
        <v>2654</v>
      </c>
      <c r="B664" s="4" t="s">
        <v>2710</v>
      </c>
      <c r="C664" s="4" t="s">
        <v>2716</v>
      </c>
      <c r="D664" s="4" t="s">
        <v>2833</v>
      </c>
      <c r="E664" s="4" t="s">
        <v>2992</v>
      </c>
      <c r="F664" s="4" t="s">
        <v>3151</v>
      </c>
      <c r="G664" s="7" t="str">
        <f>VLOOKUP(A664,[1]done!$A:$I,9,0)</f>
        <v>Other crawling insects</v>
      </c>
      <c r="H664" s="7" t="str" cm="1">
        <f t="array" ref="H664">_xlfn.IFS(
OR(ISNUMBER(SEARCH("mouse",E664)),ISNUMBER(SEARCH("rat",E664)),ISNUMBER(SEARCH("mice",E664)),ISNUMBER(SEARCH("rodent",E664))),"Rodent Control",
OR(ISNUMBER(SEARCH("fly",E664)),ISNUMBER(SEARCH("gnat",E664)),ISNUMBER(SEARCH("insect",E664)),ISNUMBER(SEARCH("mosquito",E664))),"Flying Insect Control",
OR(ISNUMBER(SEARCH("roach",E664)),ISNUMBER(SEARCH("ant",E664)),ISNUMBER(SEARCH("spider",E664)),ISNUMBER(SEARCH("cricket",E664)),ISNUMBER(SEARCH("scorpion",E664)),ISNUMBER(SEARCH("centipede",E664)),ISNUMBER(SEARCH("beetle",E664))),"Crawling Insect Control",
OR(ISNUMBER(SEARCH("tree",E664)),ISNUMBER(SEARCH("lantern",E664)),ISNUMBER(SEARCH("garden",E664)),ISNUMBER(SEARCH("plant",E664))),"Garden Pest Control",
OR(ISNUMBER(SEARCH("grass seed",E664)),ISNUMBER(SEARCH("seed mix",E664))),"Grass Seed",
OR(ISNUMBER(SEARCH("lawn food",E664)),ISNUMBER(SEARCH("fertilizer",E664))),"Lawn Fertilizer",
OR(ISNUMBER(SEARCH("patch",E664)),ISNUMBER(SEARCH("repair",E664)),ISNUMBER(SEARCH("thick'r",E664)),ISNUMBER(SEARCH("thick'r lawn",E664)),ISNUMBER(SEARCH("rapid grass",E664))),"Lawn Repair",
OR(ISNUMBER(SEARCH("weed",E664)),ISNUMBER(SEARCH("crabgrass",E664))),"Weed Control",
OR(ISNUMBER(SEARCH("fungicide",E664)),ISNUMBER(SEARCH("moss",E664))),"Disease &amp; Moss Control",
OR(ISNUMBER(SEARCH("plant food",E664)),ISNUMBER(SEARCH("miracid",E664))),"Plant Nutrition",
OR(ISNUMBER(SEARCH("perlite",E664))),"Soil Amendment",
OR(ISNUMBER(SEARCH("spreader",E664)),ISNUMBER(SEARCH("sprayer",E664)),ISNUMBER(SEARCH("mower",E664)),ISNUMBER(SEARCH("sweeper",E664)),ISNUMBER(SEARCH("pruner",E664)),ISNUMBER(SEARCH("trimmer",E664)),ISNUMBER(SEARCH("pole saw",E664))),"Garden Equipment",
TRUE,"Other"
)</f>
        <v>Flying Insect Control</v>
      </c>
      <c r="I664" s="7" t="str" cm="1">
        <f t="array" ref="I664">_xlfn.IFS(
OR(ISNUMBER(SEARCH("glue trap",E664)),ISNUMBER(SEARCH("glue board",E664))),"Glue Traps",
OR(ISNUMBER(SEARCH("snap trap",E664)),ISNUMBER(SEARCH("power-kill",E664)),ISNUMBER(SEARCH("wide pedal",E664)),ISNUMBER(SEARCH("metal pedal",E664))),"Snap Traps",
OR(ISNUMBER(SEARCH("electronic",E664)),ISNUMBER(SEARCH("zapper",E664))),"Electronic Traps",
OR(ISNUMBER(SEARCH("live catch",E664)),ISNUMBER(SEARCH("multi-catch",E664)),ISNUMBER(SEARCH("catch &amp; hold",E664)),ISNUMBER(SEARCH("tin cat",E664))),"Live Catch Traps",
OR(ISNUMBER(SEARCH("bait",E664)),ISNUMBER(SEARCH("poison",E664))),"Bait &amp; Poison",
ISNUMBER(SEARCH("repellent",E664)),"Repellents",
OR(ISNUMBER(SEARCH("fly trap",E664)),ISNUMBER(SEARCH("fly ribbon",E664)),ISNUMBER(SEARCH("fly stick",E664)),ISNUMBER(SEARCH("window fly",E664)),ISNUMBER(SEARCH("fly magnet",E664))),"Fly Traps",
OR(ISNUMBER(SEARCH("uv",E664)),ISNUMBER(SEARCH("fly light",E664)),ISNUMBER(SEARCH("plug-in",E664))),"UV Fly Traps",
ISNUMBER(SEARCH("roach",E664)),"Roach Traps",
ISNUMBER(SEARCH("ant",E664)),"Ant Traps",
ISNUMBER(SEARCH("spider",E664)),"Spider Traps",
ISNUMBER(SEARCH("mosquito",E664)),"Mosquito Traps",
ISNUMBER(SEARCH("beetle",E664)),"Beetle Traps",
ISNUMBER(SEARCH("lantern",E664)),"Lanternfly Control",
OR(ISNUMBER(SEARCH("tree shield",E664)),ISNUMBER(SEARCH("tree banding",E664)),ISNUMBER(SEARCH("insect barrier",E664))),"Tree Barriers",
OR(ISNUMBER(SEARCH("sun &amp; shade",E664)),ISNUMBER(SEARCH("sun and shade",E664))),"Sun &amp; Shade Mix",
ISNUMBER(SEARCH("tall fescue",E664)),"Tall Fescue",
ISNUMBER(SEARCH("bermudagrass",E664)),"Bermudagrass",
ISNUMBER(SEARCH("kentucky",E664)),"Kentucky Bluegrass",
ISNUMBER(SEARCH("zoysia",E664)),"Zoysia",
ISNUMBER(SEARCH("ryegrass",E664)),"Perennial Ryegrass",
ISNUMBER(SEARCH("centipede",E664)),"Centipede Grass",
ISNUMBER(SEARCH("dense shade",E664)),"Dense Shade Mix",
ISNUMBER(SEARCH("southern gold",E664)),"Southern Gold Mix",
ISNUMBER(SEARCH("heat-tolerant blue",E664)),"Heat-Tolerant Blue Mix",
ISNUMBER(SEARCH("high traffic",E664)),"High Traffic Mix",
ISNUMBER(SEARCH("quick fix",E664)),"Quick Fix Mix",
ISNUMBER(SEARCH("starter",E664)),"Starter Fertilizer",
ISNUMBER(SEARCH("weed &amp; feed",E664)),"Weed &amp; Feed",
ISNUMBER(SEARCH("lawn food",E664)),"Lawn Food",
ISNUMBER(SEARCH("triple action",E664)),"Triple Action Fertilizer",
ISNUMBER(SEARCH("green max",E664)),"Green Max Lawn Food",
ISNUMBER(SEARCH("patchmaster",E664)),"PatchMaster Repair",
ISNUMBER(SEARCH("ez seed",E664)),"EZ Seed Repair",
ISNUMBER(SEARCH("rapid grass",E664)),"Rapid Grass",
ISNUMBER(SEARCH("thick'r lawn",E664)),"Thick'R Lawn",
ISNUMBER(SEARCH("fungicide",E664)),"Fungicide",
ISNUMBER(SEARCH("moss",E664)),"Moss Control",
ISNUMBER(SEARCH("perlite",E664)),"Perlite",
ISNUMBER(SEARCH("plant food",E664)),"Plant Food",
ISNUMBER(SEARCH("spreader",E664)),"Spreader",
ISNUMBER(SEARCH("sprayer",E664)),"Sprayer",
ISNUMBER(SEARCH("mower",E664)),"Lawn Mower",
ISNUMBER(SEARCH("sweeper",E664)),"Lawn Sweeper",
OR(ISNUMBER(SEARCH("pruner",E664)),ISNUMBER(SEARCH("trimmer",E664)),ISNUMBER(SEARCH("pole saw",E664))),"Pruning Tools",
TRUE,"Other"
)</f>
        <v>Ant Traps</v>
      </c>
      <c r="J664" s="7" t="str">
        <f t="shared" si="191"/>
        <v>Flying Insect Control - Ant Traps</v>
      </c>
      <c r="K664" s="4">
        <v>100</v>
      </c>
      <c r="L664" s="4">
        <v>4.5</v>
      </c>
      <c r="M664" s="4">
        <v>274</v>
      </c>
      <c r="O664" s="4">
        <f>VLOOKUP(A664,[13]Sheet1!$A:$M,2,0)</f>
        <v>100</v>
      </c>
      <c r="P664" s="4">
        <f>VLOOKUP(A664,[13]Sheet1!$A:$M,3,0)</f>
        <v>100</v>
      </c>
      <c r="Q664" s="4">
        <f>VLOOKUP(A664,[13]Sheet1!$A:$M,4,0)</f>
        <v>100</v>
      </c>
      <c r="R664" s="4">
        <f>VLOOKUP(A664,[13]Sheet1!$A:$M,5,0)</f>
        <v>100</v>
      </c>
      <c r="S664" s="4">
        <f>VLOOKUP(A664,[13]Sheet1!$A:$M,6,0)</f>
        <v>100</v>
      </c>
      <c r="T664" s="4">
        <f>VLOOKUP(A664,[13]Sheet1!$A:$M,7,0)</f>
        <v>200</v>
      </c>
      <c r="U664" s="4">
        <f>VLOOKUP(A664,[13]Sheet1!$A:$M,8,0)</f>
        <v>50</v>
      </c>
      <c r="V664" s="4">
        <f>VLOOKUP(A664,[13]Sheet1!$A:$M,9,0)</f>
        <v>50</v>
      </c>
      <c r="W664" s="4">
        <f>VLOOKUP(A664,[13]Sheet1!$A:$M,10,0)</f>
        <v>100</v>
      </c>
      <c r="X664" s="4">
        <f>VLOOKUP(A664,[13]Sheet1!$A:$M,11,0)</f>
        <v>200</v>
      </c>
      <c r="Y664" s="4">
        <f>VLOOKUP(A664,[13]Sheet1!$A:$M,12,0)</f>
        <v>200</v>
      </c>
      <c r="Z664" s="4">
        <f>VLOOKUP(A664,[13]Sheet1!$A:$M,13,0)</f>
        <v>200</v>
      </c>
      <c r="AA664" s="4">
        <f t="shared" si="192"/>
        <v>1500</v>
      </c>
      <c r="AB664" s="7">
        <f t="shared" si="193"/>
        <v>125</v>
      </c>
      <c r="AC664" s="15">
        <f t="shared" si="194"/>
        <v>125</v>
      </c>
      <c r="AD664" s="16">
        <f t="shared" si="195"/>
        <v>54735</v>
      </c>
      <c r="AE664" s="16">
        <f t="shared" si="196"/>
        <v>4561.25</v>
      </c>
      <c r="AF664" s="21">
        <v>6.48</v>
      </c>
      <c r="AG664" s="21">
        <v>36.49</v>
      </c>
      <c r="AH664" s="15">
        <f t="shared" si="189"/>
        <v>0.4744000000000001</v>
      </c>
      <c r="AI664" s="15">
        <f t="shared" si="190"/>
        <v>1.6604000000000001</v>
      </c>
      <c r="AJ664" s="10">
        <v>0.5</v>
      </c>
      <c r="AK664" s="10">
        <v>0.5</v>
      </c>
      <c r="AL664" s="21">
        <v>6.48</v>
      </c>
      <c r="AM664" s="9">
        <f t="shared" si="197"/>
        <v>5.4735000000000005</v>
      </c>
      <c r="AN664" s="9">
        <f t="shared" si="198"/>
        <v>1.0947</v>
      </c>
      <c r="AO664" s="9">
        <f t="shared" si="199"/>
        <v>7.2980000000000009</v>
      </c>
      <c r="AP664" s="9">
        <f t="shared" si="200"/>
        <v>0.7298</v>
      </c>
      <c r="AQ664" s="9">
        <f t="shared" si="201"/>
        <v>7.2980000000000009</v>
      </c>
      <c r="AR664" s="9">
        <f t="shared" si="202"/>
        <v>9.1225000000000005</v>
      </c>
      <c r="AS664" s="11">
        <f t="shared" si="203"/>
        <v>4.7440000000000007</v>
      </c>
      <c r="AT664" s="12">
        <f t="shared" si="204"/>
        <v>3.5276666666666672</v>
      </c>
    </row>
    <row r="665" spans="1:46" ht="16.5" x14ac:dyDescent="0.4">
      <c r="A665" s="4" t="s">
        <v>2655</v>
      </c>
      <c r="B665" s="4" t="s">
        <v>2710</v>
      </c>
      <c r="C665" s="4" t="s">
        <v>2712</v>
      </c>
      <c r="D665" s="4" t="s">
        <v>2834</v>
      </c>
      <c r="E665" s="4" t="s">
        <v>2993</v>
      </c>
      <c r="F665" s="4" t="s">
        <v>3152</v>
      </c>
      <c r="G665" s="7" t="str">
        <f>VLOOKUP(A665,[1]done!$A:$I,9,0)</f>
        <v>Weed Control</v>
      </c>
      <c r="H665" s="7" t="str" cm="1">
        <f t="array" ref="H665">_xlfn.IFS(
OR(ISNUMBER(SEARCH("mouse",E665)),ISNUMBER(SEARCH("rat",E665)),ISNUMBER(SEARCH("mice",E665)),ISNUMBER(SEARCH("rodent",E665))),"Rodent Control",
OR(ISNUMBER(SEARCH("fly",E665)),ISNUMBER(SEARCH("gnat",E665)),ISNUMBER(SEARCH("insect",E665)),ISNUMBER(SEARCH("mosquito",E665))),"Flying Insect Control",
OR(ISNUMBER(SEARCH("roach",E665)),ISNUMBER(SEARCH("ant",E665)),ISNUMBER(SEARCH("spider",E665)),ISNUMBER(SEARCH("cricket",E665)),ISNUMBER(SEARCH("scorpion",E665)),ISNUMBER(SEARCH("centipede",E665)),ISNUMBER(SEARCH("beetle",E665))),"Crawling Insect Control",
OR(ISNUMBER(SEARCH("tree",E665)),ISNUMBER(SEARCH("lantern",E665)),ISNUMBER(SEARCH("garden",E665)),ISNUMBER(SEARCH("plant",E665))),"Garden Pest Control",
OR(ISNUMBER(SEARCH("grass seed",E665)),ISNUMBER(SEARCH("seed mix",E665))),"Grass Seed",
OR(ISNUMBER(SEARCH("lawn food",E665)),ISNUMBER(SEARCH("fertilizer",E665))),"Lawn Fertilizer",
OR(ISNUMBER(SEARCH("patch",E665)),ISNUMBER(SEARCH("repair",E665)),ISNUMBER(SEARCH("thick'r",E665)),ISNUMBER(SEARCH("thick'r lawn",E665)),ISNUMBER(SEARCH("rapid grass",E665))),"Lawn Repair",
OR(ISNUMBER(SEARCH("weed",E665)),ISNUMBER(SEARCH("crabgrass",E665))),"Weed Control",
OR(ISNUMBER(SEARCH("fungicide",E665)),ISNUMBER(SEARCH("moss",E665))),"Disease &amp; Moss Control",
OR(ISNUMBER(SEARCH("plant food",E665)),ISNUMBER(SEARCH("miracid",E665))),"Plant Nutrition",
OR(ISNUMBER(SEARCH("perlite",E665))),"Soil Amendment",
OR(ISNUMBER(SEARCH("spreader",E665)),ISNUMBER(SEARCH("sprayer",E665)),ISNUMBER(SEARCH("mower",E665)),ISNUMBER(SEARCH("sweeper",E665)),ISNUMBER(SEARCH("pruner",E665)),ISNUMBER(SEARCH("trimmer",E665)),ISNUMBER(SEARCH("pole saw",E665))),"Garden Equipment",
TRUE,"Other"
)</f>
        <v>Weed Control</v>
      </c>
      <c r="I665" s="7" t="str" cm="1">
        <f t="array" ref="I665">_xlfn.IFS(
OR(ISNUMBER(SEARCH("glue trap",E665)),ISNUMBER(SEARCH("glue board",E665))),"Glue Traps",
OR(ISNUMBER(SEARCH("snap trap",E665)),ISNUMBER(SEARCH("power-kill",E665)),ISNUMBER(SEARCH("wide pedal",E665)),ISNUMBER(SEARCH("metal pedal",E665))),"Snap Traps",
OR(ISNUMBER(SEARCH("electronic",E665)),ISNUMBER(SEARCH("zapper",E665))),"Electronic Traps",
OR(ISNUMBER(SEARCH("live catch",E665)),ISNUMBER(SEARCH("multi-catch",E665)),ISNUMBER(SEARCH("catch &amp; hold",E665)),ISNUMBER(SEARCH("tin cat",E665))),"Live Catch Traps",
OR(ISNUMBER(SEARCH("bait",E665)),ISNUMBER(SEARCH("poison",E665))),"Bait &amp; Poison",
ISNUMBER(SEARCH("repellent",E665)),"Repellents",
OR(ISNUMBER(SEARCH("fly trap",E665)),ISNUMBER(SEARCH("fly ribbon",E665)),ISNUMBER(SEARCH("fly stick",E665)),ISNUMBER(SEARCH("window fly",E665)),ISNUMBER(SEARCH("fly magnet",E665))),"Fly Traps",
OR(ISNUMBER(SEARCH("uv",E665)),ISNUMBER(SEARCH("fly light",E665)),ISNUMBER(SEARCH("plug-in",E665))),"UV Fly Traps",
ISNUMBER(SEARCH("roach",E665)),"Roach Traps",
ISNUMBER(SEARCH("ant",E665)),"Ant Traps",
ISNUMBER(SEARCH("spider",E665)),"Spider Traps",
ISNUMBER(SEARCH("mosquito",E665)),"Mosquito Traps",
ISNUMBER(SEARCH("beetle",E665)),"Beetle Traps",
ISNUMBER(SEARCH("lantern",E665)),"Lanternfly Control",
OR(ISNUMBER(SEARCH("tree shield",E665)),ISNUMBER(SEARCH("tree banding",E665)),ISNUMBER(SEARCH("insect barrier",E665))),"Tree Barriers",
OR(ISNUMBER(SEARCH("sun &amp; shade",E665)),ISNUMBER(SEARCH("sun and shade",E665))),"Sun &amp; Shade Mix",
ISNUMBER(SEARCH("tall fescue",E665)),"Tall Fescue",
ISNUMBER(SEARCH("bermudagrass",E665)),"Bermudagrass",
ISNUMBER(SEARCH("kentucky",E665)),"Kentucky Bluegrass",
ISNUMBER(SEARCH("zoysia",E665)),"Zoysia",
ISNUMBER(SEARCH("ryegrass",E665)),"Perennial Ryegrass",
ISNUMBER(SEARCH("centipede",E665)),"Centipede Grass",
ISNUMBER(SEARCH("dense shade",E665)),"Dense Shade Mix",
ISNUMBER(SEARCH("southern gold",E665)),"Southern Gold Mix",
ISNUMBER(SEARCH("heat-tolerant blue",E665)),"Heat-Tolerant Blue Mix",
ISNUMBER(SEARCH("high traffic",E665)),"High Traffic Mix",
ISNUMBER(SEARCH("quick fix",E665)),"Quick Fix Mix",
ISNUMBER(SEARCH("starter",E665)),"Starter Fertilizer",
ISNUMBER(SEARCH("weed &amp; feed",E665)),"Weed &amp; Feed",
ISNUMBER(SEARCH("lawn food",E665)),"Lawn Food",
ISNUMBER(SEARCH("triple action",E665)),"Triple Action Fertilizer",
ISNUMBER(SEARCH("green max",E665)),"Green Max Lawn Food",
ISNUMBER(SEARCH("patchmaster",E665)),"PatchMaster Repair",
ISNUMBER(SEARCH("ez seed",E665)),"EZ Seed Repair",
ISNUMBER(SEARCH("rapid grass",E665)),"Rapid Grass",
ISNUMBER(SEARCH("thick'r lawn",E665)),"Thick'R Lawn",
ISNUMBER(SEARCH("fungicide",E665)),"Fungicide",
ISNUMBER(SEARCH("moss",E665)),"Moss Control",
ISNUMBER(SEARCH("perlite",E665)),"Perlite",
ISNUMBER(SEARCH("plant food",E665)),"Plant Food",
ISNUMBER(SEARCH("spreader",E665)),"Spreader",
ISNUMBER(SEARCH("sprayer",E665)),"Sprayer",
ISNUMBER(SEARCH("mower",E665)),"Lawn Mower",
ISNUMBER(SEARCH("sweeper",E665)),"Lawn Sweeper",
OR(ISNUMBER(SEARCH("pruner",E665)),ISNUMBER(SEARCH("trimmer",E665)),ISNUMBER(SEARCH("pole saw",E665))),"Pruning Tools",
TRUE,"Other"
)</f>
        <v>Other</v>
      </c>
      <c r="J665" s="7" t="str">
        <f t="shared" si="191"/>
        <v>Weed Control - Other</v>
      </c>
      <c r="K665" s="4">
        <v>100</v>
      </c>
      <c r="L665" s="4">
        <v>4</v>
      </c>
      <c r="M665" s="4">
        <v>337</v>
      </c>
      <c r="N665" s="4" t="s">
        <v>3209</v>
      </c>
      <c r="O665" s="4">
        <f>VLOOKUP(A665,[13]Sheet1!$A:$M,2,0)</f>
        <v>0</v>
      </c>
      <c r="P665" s="4">
        <f>VLOOKUP(A665,[13]Sheet1!$A:$M,3,0)</f>
        <v>0</v>
      </c>
      <c r="Q665" s="4">
        <f>VLOOKUP(A665,[13]Sheet1!$A:$M,4,0)</f>
        <v>0</v>
      </c>
      <c r="R665" s="4">
        <f>VLOOKUP(A665,[13]Sheet1!$A:$M,5,0)</f>
        <v>100</v>
      </c>
      <c r="S665" s="4">
        <f>VLOOKUP(A665,[13]Sheet1!$A:$M,6,0)</f>
        <v>100</v>
      </c>
      <c r="T665" s="4">
        <f>VLOOKUP(A665,[13]Sheet1!$A:$M,7,0)</f>
        <v>100</v>
      </c>
      <c r="U665" s="4">
        <f>VLOOKUP(A665,[13]Sheet1!$A:$M,8,0)</f>
        <v>100</v>
      </c>
      <c r="V665" s="4">
        <f>VLOOKUP(A665,[13]Sheet1!$A:$M,9,0)</f>
        <v>100</v>
      </c>
      <c r="W665" s="4">
        <f>VLOOKUP(A665,[13]Sheet1!$A:$M,10,0)</f>
        <v>100</v>
      </c>
      <c r="X665" s="4">
        <f>VLOOKUP(A665,[13]Sheet1!$A:$M,11,0)</f>
        <v>50</v>
      </c>
      <c r="Y665" s="4">
        <f>VLOOKUP(A665,[13]Sheet1!$A:$M,12,0)</f>
        <v>0</v>
      </c>
      <c r="Z665" s="4">
        <f>VLOOKUP(A665,[13]Sheet1!$A:$M,13,0)</f>
        <v>0</v>
      </c>
      <c r="AA665" s="4">
        <f t="shared" si="192"/>
        <v>650</v>
      </c>
      <c r="AB665" s="7">
        <f t="shared" si="193"/>
        <v>54</v>
      </c>
      <c r="AC665" s="15">
        <f t="shared" si="194"/>
        <v>54.166666666666664</v>
      </c>
      <c r="AD665" s="16">
        <f t="shared" si="195"/>
        <v>6493.5</v>
      </c>
      <c r="AE665" s="16">
        <f t="shared" si="196"/>
        <v>541.125</v>
      </c>
      <c r="AF665" s="21">
        <v>5.46</v>
      </c>
      <c r="AG665" s="21">
        <v>9.99</v>
      </c>
      <c r="AH665" s="15">
        <f t="shared" si="189"/>
        <v>-0.1642666666666667</v>
      </c>
      <c r="AI665" s="15">
        <f t="shared" si="190"/>
        <v>-0.57493333333333341</v>
      </c>
      <c r="AJ665" s="10">
        <v>0.5</v>
      </c>
      <c r="AK665" s="10">
        <v>0.5</v>
      </c>
      <c r="AL665" s="21">
        <v>5.46</v>
      </c>
      <c r="AM665" s="9">
        <f t="shared" si="197"/>
        <v>1.4984999999999999</v>
      </c>
      <c r="AN665" s="9">
        <f t="shared" si="198"/>
        <v>0.29970000000000002</v>
      </c>
      <c r="AO665" s="9">
        <f t="shared" si="199"/>
        <v>1.9980000000000002</v>
      </c>
      <c r="AP665" s="9">
        <f t="shared" si="200"/>
        <v>0.19980000000000001</v>
      </c>
      <c r="AQ665" s="9">
        <f t="shared" si="201"/>
        <v>1.9980000000000002</v>
      </c>
      <c r="AR665" s="9">
        <f t="shared" si="202"/>
        <v>2.4975000000000001</v>
      </c>
      <c r="AS665" s="11">
        <f t="shared" si="203"/>
        <v>-1.6426666666666669</v>
      </c>
      <c r="AT665" s="12">
        <f t="shared" si="204"/>
        <v>-1.9756666666666669</v>
      </c>
    </row>
    <row r="666" spans="1:46" ht="16.5" x14ac:dyDescent="0.4">
      <c r="A666" s="4" t="s">
        <v>2656</v>
      </c>
      <c r="B666" s="4" t="s">
        <v>2710</v>
      </c>
      <c r="C666" s="4" t="s">
        <v>2712</v>
      </c>
      <c r="D666" s="4" t="s">
        <v>2835</v>
      </c>
      <c r="E666" s="4" t="s">
        <v>2994</v>
      </c>
      <c r="F666" s="4" t="s">
        <v>3153</v>
      </c>
      <c r="G666" s="7" t="str">
        <f>VLOOKUP(A666,[1]done!$A:$I,9,0)</f>
        <v>Insecticide/Fungicide</v>
      </c>
      <c r="H666" s="7" t="str" cm="1">
        <f t="array" ref="H666">_xlfn.IFS(
OR(ISNUMBER(SEARCH("mouse",E666)),ISNUMBER(SEARCH("rat",E666)),ISNUMBER(SEARCH("mice",E666)),ISNUMBER(SEARCH("rodent",E666))),"Rodent Control",
OR(ISNUMBER(SEARCH("fly",E666)),ISNUMBER(SEARCH("gnat",E666)),ISNUMBER(SEARCH("insect",E666)),ISNUMBER(SEARCH("mosquito",E666))),"Flying Insect Control",
OR(ISNUMBER(SEARCH("roach",E666)),ISNUMBER(SEARCH("ant",E666)),ISNUMBER(SEARCH("spider",E666)),ISNUMBER(SEARCH("cricket",E666)),ISNUMBER(SEARCH("scorpion",E666)),ISNUMBER(SEARCH("centipede",E666)),ISNUMBER(SEARCH("beetle",E666))),"Crawling Insect Control",
OR(ISNUMBER(SEARCH("tree",E666)),ISNUMBER(SEARCH("lantern",E666)),ISNUMBER(SEARCH("garden",E666)),ISNUMBER(SEARCH("plant",E666))),"Garden Pest Control",
OR(ISNUMBER(SEARCH("grass seed",E666)),ISNUMBER(SEARCH("seed mix",E666))),"Grass Seed",
OR(ISNUMBER(SEARCH("lawn food",E666)),ISNUMBER(SEARCH("fertilizer",E666))),"Lawn Fertilizer",
OR(ISNUMBER(SEARCH("patch",E666)),ISNUMBER(SEARCH("repair",E666)),ISNUMBER(SEARCH("thick'r",E666)),ISNUMBER(SEARCH("thick'r lawn",E666)),ISNUMBER(SEARCH("rapid grass",E666))),"Lawn Repair",
OR(ISNUMBER(SEARCH("weed",E666)),ISNUMBER(SEARCH("crabgrass",E666))),"Weed Control",
OR(ISNUMBER(SEARCH("fungicide",E666)),ISNUMBER(SEARCH("moss",E666))),"Disease &amp; Moss Control",
OR(ISNUMBER(SEARCH("plant food",E666)),ISNUMBER(SEARCH("miracid",E666))),"Plant Nutrition",
OR(ISNUMBER(SEARCH("perlite",E666))),"Soil Amendment",
OR(ISNUMBER(SEARCH("spreader",E666)),ISNUMBER(SEARCH("sprayer",E666)),ISNUMBER(SEARCH("mower",E666)),ISNUMBER(SEARCH("sweeper",E666)),ISNUMBER(SEARCH("pruner",E666)),ISNUMBER(SEARCH("trimmer",E666)),ISNUMBER(SEARCH("pole saw",E666))),"Garden Equipment",
TRUE,"Other"
)</f>
        <v>Rodent Control</v>
      </c>
      <c r="I666" s="7" t="str" cm="1">
        <f t="array" ref="I666">_xlfn.IFS(
OR(ISNUMBER(SEARCH("glue trap",E666)),ISNUMBER(SEARCH("glue board",E666))),"Glue Traps",
OR(ISNUMBER(SEARCH("snap trap",E666)),ISNUMBER(SEARCH("power-kill",E666)),ISNUMBER(SEARCH("wide pedal",E666)),ISNUMBER(SEARCH("metal pedal",E666))),"Snap Traps",
OR(ISNUMBER(SEARCH("electronic",E666)),ISNUMBER(SEARCH("zapper",E666))),"Electronic Traps",
OR(ISNUMBER(SEARCH("live catch",E666)),ISNUMBER(SEARCH("multi-catch",E666)),ISNUMBER(SEARCH("catch &amp; hold",E666)),ISNUMBER(SEARCH("tin cat",E666))),"Live Catch Traps",
OR(ISNUMBER(SEARCH("bait",E666)),ISNUMBER(SEARCH("poison",E666))),"Bait &amp; Poison",
ISNUMBER(SEARCH("repellent",E666)),"Repellents",
OR(ISNUMBER(SEARCH("fly trap",E666)),ISNUMBER(SEARCH("fly ribbon",E666)),ISNUMBER(SEARCH("fly stick",E666)),ISNUMBER(SEARCH("window fly",E666)),ISNUMBER(SEARCH("fly magnet",E666))),"Fly Traps",
OR(ISNUMBER(SEARCH("uv",E666)),ISNUMBER(SEARCH("fly light",E666)),ISNUMBER(SEARCH("plug-in",E666))),"UV Fly Traps",
ISNUMBER(SEARCH("roach",E666)),"Roach Traps",
ISNUMBER(SEARCH("ant",E666)),"Ant Traps",
ISNUMBER(SEARCH("spider",E666)),"Spider Traps",
ISNUMBER(SEARCH("mosquito",E666)),"Mosquito Traps",
ISNUMBER(SEARCH("beetle",E666)),"Beetle Traps",
ISNUMBER(SEARCH("lantern",E666)),"Lanternfly Control",
OR(ISNUMBER(SEARCH("tree shield",E666)),ISNUMBER(SEARCH("tree banding",E666)),ISNUMBER(SEARCH("insect barrier",E666))),"Tree Barriers",
OR(ISNUMBER(SEARCH("sun &amp; shade",E666)),ISNUMBER(SEARCH("sun and shade",E666))),"Sun &amp; Shade Mix",
ISNUMBER(SEARCH("tall fescue",E666)),"Tall Fescue",
ISNUMBER(SEARCH("bermudagrass",E666)),"Bermudagrass",
ISNUMBER(SEARCH("kentucky",E666)),"Kentucky Bluegrass",
ISNUMBER(SEARCH("zoysia",E666)),"Zoysia",
ISNUMBER(SEARCH("ryegrass",E666)),"Perennial Ryegrass",
ISNUMBER(SEARCH("centipede",E666)),"Centipede Grass",
ISNUMBER(SEARCH("dense shade",E666)),"Dense Shade Mix",
ISNUMBER(SEARCH("southern gold",E666)),"Southern Gold Mix",
ISNUMBER(SEARCH("heat-tolerant blue",E666)),"Heat-Tolerant Blue Mix",
ISNUMBER(SEARCH("high traffic",E666)),"High Traffic Mix",
ISNUMBER(SEARCH("quick fix",E666)),"Quick Fix Mix",
ISNUMBER(SEARCH("starter",E666)),"Starter Fertilizer",
ISNUMBER(SEARCH("weed &amp; feed",E666)),"Weed &amp; Feed",
ISNUMBER(SEARCH("lawn food",E666)),"Lawn Food",
ISNUMBER(SEARCH("triple action",E666)),"Triple Action Fertilizer",
ISNUMBER(SEARCH("green max",E666)),"Green Max Lawn Food",
ISNUMBER(SEARCH("patchmaster",E666)),"PatchMaster Repair",
ISNUMBER(SEARCH("ez seed",E666)),"EZ Seed Repair",
ISNUMBER(SEARCH("rapid grass",E666)),"Rapid Grass",
ISNUMBER(SEARCH("thick'r lawn",E666)),"Thick'R Lawn",
ISNUMBER(SEARCH("fungicide",E666)),"Fungicide",
ISNUMBER(SEARCH("moss",E666)),"Moss Control",
ISNUMBER(SEARCH("perlite",E666)),"Perlite",
ISNUMBER(SEARCH("plant food",E666)),"Plant Food",
ISNUMBER(SEARCH("spreader",E666)),"Spreader",
ISNUMBER(SEARCH("sprayer",E666)),"Sprayer",
ISNUMBER(SEARCH("mower",E666)),"Lawn Mower",
ISNUMBER(SEARCH("sweeper",E666)),"Lawn Sweeper",
OR(ISNUMBER(SEARCH("pruner",E666)),ISNUMBER(SEARCH("trimmer",E666)),ISNUMBER(SEARCH("pole saw",E666))),"Pruning Tools",
TRUE,"Other"
)</f>
        <v>Fungicide</v>
      </c>
      <c r="J666" s="7" t="str">
        <f t="shared" si="191"/>
        <v>Rodent Control - Fungicide</v>
      </c>
      <c r="K666" s="4">
        <v>100</v>
      </c>
      <c r="L666" s="4">
        <v>4.5999999999999996</v>
      </c>
      <c r="M666" s="4">
        <v>996</v>
      </c>
      <c r="N666" s="4" t="s">
        <v>3209</v>
      </c>
      <c r="O666" s="4">
        <f>VLOOKUP(A666,[13]Sheet1!$A:$M,2,0)</f>
        <v>50</v>
      </c>
      <c r="P666" s="4">
        <f>VLOOKUP(A666,[13]Sheet1!$A:$M,3,0)</f>
        <v>100</v>
      </c>
      <c r="Q666" s="4">
        <f>VLOOKUP(A666,[13]Sheet1!$A:$M,4,0)</f>
        <v>300</v>
      </c>
      <c r="R666" s="4">
        <f>VLOOKUP(A666,[13]Sheet1!$A:$M,5,0)</f>
        <v>800</v>
      </c>
      <c r="S666" s="4">
        <f>VLOOKUP(A666,[13]Sheet1!$A:$M,6,0)</f>
        <v>1000</v>
      </c>
      <c r="T666" s="4">
        <f>VLOOKUP(A666,[13]Sheet1!$A:$M,7,0)</f>
        <v>1000</v>
      </c>
      <c r="U666" s="4">
        <f>VLOOKUP(A666,[13]Sheet1!$A:$M,8,0)</f>
        <v>700</v>
      </c>
      <c r="V666" s="4">
        <f>VLOOKUP(A666,[13]Sheet1!$A:$M,9,0)</f>
        <v>400</v>
      </c>
      <c r="W666" s="4">
        <f>VLOOKUP(A666,[13]Sheet1!$A:$M,10,0)</f>
        <v>100</v>
      </c>
      <c r="X666" s="4">
        <f>VLOOKUP(A666,[13]Sheet1!$A:$M,11,0)</f>
        <v>100</v>
      </c>
      <c r="Y666" s="4">
        <f>VLOOKUP(A666,[13]Sheet1!$A:$M,12,0)</f>
        <v>100</v>
      </c>
      <c r="Z666" s="4">
        <f>VLOOKUP(A666,[13]Sheet1!$A:$M,13,0)</f>
        <v>100</v>
      </c>
      <c r="AA666" s="4">
        <f t="shared" si="192"/>
        <v>4750</v>
      </c>
      <c r="AB666" s="7">
        <f t="shared" si="193"/>
        <v>396</v>
      </c>
      <c r="AC666" s="15">
        <f t="shared" si="194"/>
        <v>395.83333333333331</v>
      </c>
      <c r="AD666" s="16">
        <f t="shared" si="195"/>
        <v>104357.5</v>
      </c>
      <c r="AE666" s="16">
        <f t="shared" si="196"/>
        <v>8696.4583333333321</v>
      </c>
      <c r="AF666" s="21">
        <v>6.79</v>
      </c>
      <c r="AG666" s="21">
        <v>21.97</v>
      </c>
      <c r="AH666" s="15">
        <f t="shared" si="189"/>
        <v>6.6533333333333236E-2</v>
      </c>
      <c r="AI666" s="15">
        <f t="shared" si="190"/>
        <v>0.23286666666666631</v>
      </c>
      <c r="AJ666" s="10">
        <v>0.5</v>
      </c>
      <c r="AK666" s="10">
        <v>0.5</v>
      </c>
      <c r="AL666" s="21">
        <v>6.79</v>
      </c>
      <c r="AM666" s="9">
        <f t="shared" si="197"/>
        <v>3.2954999999999997</v>
      </c>
      <c r="AN666" s="9">
        <f t="shared" si="198"/>
        <v>0.65909999999999991</v>
      </c>
      <c r="AO666" s="9">
        <f t="shared" si="199"/>
        <v>4.3940000000000001</v>
      </c>
      <c r="AP666" s="9">
        <f t="shared" si="200"/>
        <v>0.43940000000000001</v>
      </c>
      <c r="AQ666" s="9">
        <f t="shared" si="201"/>
        <v>4.3940000000000001</v>
      </c>
      <c r="AR666" s="9">
        <f t="shared" si="202"/>
        <v>5.4924999999999997</v>
      </c>
      <c r="AS666" s="11">
        <f t="shared" si="203"/>
        <v>0.66533333333333233</v>
      </c>
      <c r="AT666" s="12">
        <f t="shared" si="204"/>
        <v>-6.7000000000000767E-2</v>
      </c>
    </row>
    <row r="667" spans="1:46" ht="16.5" x14ac:dyDescent="0.4">
      <c r="A667" s="4" t="s">
        <v>2657</v>
      </c>
      <c r="B667" s="4" t="s">
        <v>2710</v>
      </c>
      <c r="C667" s="4" t="s">
        <v>2712</v>
      </c>
      <c r="D667" s="4" t="s">
        <v>2836</v>
      </c>
      <c r="E667" s="4" t="s">
        <v>2995</v>
      </c>
      <c r="F667" s="4" t="s">
        <v>3154</v>
      </c>
      <c r="G667" s="7" t="str">
        <f>VLOOKUP(A667,[1]done!$A:$I,9,0)</f>
        <v>Cockroach</v>
      </c>
      <c r="H667" s="7" t="str" cm="1">
        <f t="array" ref="H667">_xlfn.IFS(
OR(ISNUMBER(SEARCH("mouse",E667)),ISNUMBER(SEARCH("rat",E667)),ISNUMBER(SEARCH("mice",E667)),ISNUMBER(SEARCH("rodent",E667))),"Rodent Control",
OR(ISNUMBER(SEARCH("fly",E667)),ISNUMBER(SEARCH("gnat",E667)),ISNUMBER(SEARCH("insect",E667)),ISNUMBER(SEARCH("mosquito",E667))),"Flying Insect Control",
OR(ISNUMBER(SEARCH("roach",E667)),ISNUMBER(SEARCH("ant",E667)),ISNUMBER(SEARCH("spider",E667)),ISNUMBER(SEARCH("cricket",E667)),ISNUMBER(SEARCH("scorpion",E667)),ISNUMBER(SEARCH("centipede",E667)),ISNUMBER(SEARCH("beetle",E667))),"Crawling Insect Control",
OR(ISNUMBER(SEARCH("tree",E667)),ISNUMBER(SEARCH("lantern",E667)),ISNUMBER(SEARCH("garden",E667)),ISNUMBER(SEARCH("plant",E667))),"Garden Pest Control",
OR(ISNUMBER(SEARCH("grass seed",E667)),ISNUMBER(SEARCH("seed mix",E667))),"Grass Seed",
OR(ISNUMBER(SEARCH("lawn food",E667)),ISNUMBER(SEARCH("fertilizer",E667))),"Lawn Fertilizer",
OR(ISNUMBER(SEARCH("patch",E667)),ISNUMBER(SEARCH("repair",E667)),ISNUMBER(SEARCH("thick'r",E667)),ISNUMBER(SEARCH("thick'r lawn",E667)),ISNUMBER(SEARCH("rapid grass",E667))),"Lawn Repair",
OR(ISNUMBER(SEARCH("weed",E667)),ISNUMBER(SEARCH("crabgrass",E667))),"Weed Control",
OR(ISNUMBER(SEARCH("fungicide",E667)),ISNUMBER(SEARCH("moss",E667))),"Disease &amp; Moss Control",
OR(ISNUMBER(SEARCH("plant food",E667)),ISNUMBER(SEARCH("miracid",E667))),"Plant Nutrition",
OR(ISNUMBER(SEARCH("perlite",E667))),"Soil Amendment",
OR(ISNUMBER(SEARCH("spreader",E667)),ISNUMBER(SEARCH("sprayer",E667)),ISNUMBER(SEARCH("mower",E667)),ISNUMBER(SEARCH("sweeper",E667)),ISNUMBER(SEARCH("pruner",E667)),ISNUMBER(SEARCH("trimmer",E667)),ISNUMBER(SEARCH("pole saw",E667))),"Garden Equipment",
TRUE,"Other"
)</f>
        <v>Flying Insect Control</v>
      </c>
      <c r="I667" s="7" t="str" cm="1">
        <f t="array" ref="I667">_xlfn.IFS(
OR(ISNUMBER(SEARCH("glue trap",E667)),ISNUMBER(SEARCH("glue board",E667))),"Glue Traps",
OR(ISNUMBER(SEARCH("snap trap",E667)),ISNUMBER(SEARCH("power-kill",E667)),ISNUMBER(SEARCH("wide pedal",E667)),ISNUMBER(SEARCH("metal pedal",E667))),"Snap Traps",
OR(ISNUMBER(SEARCH("electronic",E667)),ISNUMBER(SEARCH("zapper",E667))),"Electronic Traps",
OR(ISNUMBER(SEARCH("live catch",E667)),ISNUMBER(SEARCH("multi-catch",E667)),ISNUMBER(SEARCH("catch &amp; hold",E667)),ISNUMBER(SEARCH("tin cat",E667))),"Live Catch Traps",
OR(ISNUMBER(SEARCH("bait",E667)),ISNUMBER(SEARCH("poison",E667))),"Bait &amp; Poison",
ISNUMBER(SEARCH("repellent",E667)),"Repellents",
OR(ISNUMBER(SEARCH("fly trap",E667)),ISNUMBER(SEARCH("fly ribbon",E667)),ISNUMBER(SEARCH("fly stick",E667)),ISNUMBER(SEARCH("window fly",E667)),ISNUMBER(SEARCH("fly magnet",E667))),"Fly Traps",
OR(ISNUMBER(SEARCH("uv",E667)),ISNUMBER(SEARCH("fly light",E667)),ISNUMBER(SEARCH("plug-in",E667))),"UV Fly Traps",
ISNUMBER(SEARCH("roach",E667)),"Roach Traps",
ISNUMBER(SEARCH("ant",E667)),"Ant Traps",
ISNUMBER(SEARCH("spider",E667)),"Spider Traps",
ISNUMBER(SEARCH("mosquito",E667)),"Mosquito Traps",
ISNUMBER(SEARCH("beetle",E667)),"Beetle Traps",
ISNUMBER(SEARCH("lantern",E667)),"Lanternfly Control",
OR(ISNUMBER(SEARCH("tree shield",E667)),ISNUMBER(SEARCH("tree banding",E667)),ISNUMBER(SEARCH("insect barrier",E667))),"Tree Barriers",
OR(ISNUMBER(SEARCH("sun &amp; shade",E667)),ISNUMBER(SEARCH("sun and shade",E667))),"Sun &amp; Shade Mix",
ISNUMBER(SEARCH("tall fescue",E667)),"Tall Fescue",
ISNUMBER(SEARCH("bermudagrass",E667)),"Bermudagrass",
ISNUMBER(SEARCH("kentucky",E667)),"Kentucky Bluegrass",
ISNUMBER(SEARCH("zoysia",E667)),"Zoysia",
ISNUMBER(SEARCH("ryegrass",E667)),"Perennial Ryegrass",
ISNUMBER(SEARCH("centipede",E667)),"Centipede Grass",
ISNUMBER(SEARCH("dense shade",E667)),"Dense Shade Mix",
ISNUMBER(SEARCH("southern gold",E667)),"Southern Gold Mix",
ISNUMBER(SEARCH("heat-tolerant blue",E667)),"Heat-Tolerant Blue Mix",
ISNUMBER(SEARCH("high traffic",E667)),"High Traffic Mix",
ISNUMBER(SEARCH("quick fix",E667)),"Quick Fix Mix",
ISNUMBER(SEARCH("starter",E667)),"Starter Fertilizer",
ISNUMBER(SEARCH("weed &amp; feed",E667)),"Weed &amp; Feed",
ISNUMBER(SEARCH("lawn food",E667)),"Lawn Food",
ISNUMBER(SEARCH("triple action",E667)),"Triple Action Fertilizer",
ISNUMBER(SEARCH("green max",E667)),"Green Max Lawn Food",
ISNUMBER(SEARCH("patchmaster",E667)),"PatchMaster Repair",
ISNUMBER(SEARCH("ez seed",E667)),"EZ Seed Repair",
ISNUMBER(SEARCH("rapid grass",E667)),"Rapid Grass",
ISNUMBER(SEARCH("thick'r lawn",E667)),"Thick'R Lawn",
ISNUMBER(SEARCH("fungicide",E667)),"Fungicide",
ISNUMBER(SEARCH("moss",E667)),"Moss Control",
ISNUMBER(SEARCH("perlite",E667)),"Perlite",
ISNUMBER(SEARCH("plant food",E667)),"Plant Food",
ISNUMBER(SEARCH("spreader",E667)),"Spreader",
ISNUMBER(SEARCH("sprayer",E667)),"Sprayer",
ISNUMBER(SEARCH("mower",E667)),"Lawn Mower",
ISNUMBER(SEARCH("sweeper",E667)),"Lawn Sweeper",
OR(ISNUMBER(SEARCH("pruner",E667)),ISNUMBER(SEARCH("trimmer",E667)),ISNUMBER(SEARCH("pole saw",E667))),"Pruning Tools",
TRUE,"Other"
)</f>
        <v>Roach Traps</v>
      </c>
      <c r="J667" s="7" t="str">
        <f t="shared" si="191"/>
        <v>Flying Insect Control - Roach Traps</v>
      </c>
      <c r="K667" s="4">
        <v>100</v>
      </c>
      <c r="L667" s="4">
        <v>4.0999999999999996</v>
      </c>
      <c r="M667" s="4">
        <v>267</v>
      </c>
      <c r="N667" s="4" t="s">
        <v>1400</v>
      </c>
      <c r="O667" s="4">
        <f>VLOOKUP(A667,[13]Sheet1!$A:$M,2,0)</f>
        <v>50</v>
      </c>
      <c r="P667" s="4">
        <f>VLOOKUP(A667,[13]Sheet1!$A:$M,3,0)</f>
        <v>50</v>
      </c>
      <c r="Q667" s="4">
        <f>VLOOKUP(A667,[13]Sheet1!$A:$M,4,0)</f>
        <v>50</v>
      </c>
      <c r="R667" s="4">
        <f>VLOOKUP(A667,[13]Sheet1!$A:$M,5,0)</f>
        <v>50</v>
      </c>
      <c r="S667" s="4">
        <f>VLOOKUP(A667,[13]Sheet1!$A:$M,6,0)</f>
        <v>50</v>
      </c>
      <c r="T667" s="4">
        <f>VLOOKUP(A667,[13]Sheet1!$A:$M,7,0)</f>
        <v>50</v>
      </c>
      <c r="U667" s="4">
        <f>VLOOKUP(A667,[13]Sheet1!$A:$M,8,0)</f>
        <v>50</v>
      </c>
      <c r="V667" s="4">
        <f>VLOOKUP(A667,[13]Sheet1!$A:$M,9,0)</f>
        <v>100</v>
      </c>
      <c r="W667" s="4">
        <f>VLOOKUP(A667,[13]Sheet1!$A:$M,10,0)</f>
        <v>100</v>
      </c>
      <c r="X667" s="4">
        <f>VLOOKUP(A667,[13]Sheet1!$A:$M,11,0)</f>
        <v>100</v>
      </c>
      <c r="Y667" s="4">
        <f>VLOOKUP(A667,[13]Sheet1!$A:$M,12,0)</f>
        <v>100</v>
      </c>
      <c r="Z667" s="4">
        <f>VLOOKUP(A667,[13]Sheet1!$A:$M,13,0)</f>
        <v>100</v>
      </c>
      <c r="AA667" s="4">
        <f t="shared" si="192"/>
        <v>850</v>
      </c>
      <c r="AB667" s="7">
        <f t="shared" si="193"/>
        <v>71</v>
      </c>
      <c r="AC667" s="15">
        <f t="shared" si="194"/>
        <v>70.833333333333329</v>
      </c>
      <c r="AD667" s="16">
        <f t="shared" si="195"/>
        <v>16974.5</v>
      </c>
      <c r="AE667" s="16">
        <f t="shared" si="196"/>
        <v>1414.5416666666665</v>
      </c>
      <c r="AF667" s="21">
        <v>5.37</v>
      </c>
      <c r="AG667" s="21">
        <v>19.97</v>
      </c>
      <c r="AH667" s="15">
        <f t="shared" si="189"/>
        <v>0.10786666666666662</v>
      </c>
      <c r="AI667" s="15">
        <f t="shared" si="190"/>
        <v>0.37753333333333317</v>
      </c>
      <c r="AJ667" s="10">
        <v>0.5</v>
      </c>
      <c r="AK667" s="10">
        <v>0.5</v>
      </c>
      <c r="AL667" s="21">
        <v>5.37</v>
      </c>
      <c r="AM667" s="9">
        <f t="shared" si="197"/>
        <v>2.9954999999999998</v>
      </c>
      <c r="AN667" s="9">
        <f t="shared" si="198"/>
        <v>0.59909999999999997</v>
      </c>
      <c r="AO667" s="9">
        <f t="shared" si="199"/>
        <v>3.9939999999999998</v>
      </c>
      <c r="AP667" s="9">
        <f t="shared" si="200"/>
        <v>0.39939999999999998</v>
      </c>
      <c r="AQ667" s="9">
        <f t="shared" si="201"/>
        <v>3.9939999999999998</v>
      </c>
      <c r="AR667" s="9">
        <f t="shared" si="202"/>
        <v>4.9924999999999997</v>
      </c>
      <c r="AS667" s="11">
        <f t="shared" si="203"/>
        <v>1.0786666666666662</v>
      </c>
      <c r="AT667" s="12">
        <f t="shared" si="204"/>
        <v>0.41299999999999965</v>
      </c>
    </row>
    <row r="668" spans="1:46" ht="16.5" x14ac:dyDescent="0.4">
      <c r="A668" s="4" t="s">
        <v>2658</v>
      </c>
      <c r="B668" s="4" t="s">
        <v>2710</v>
      </c>
      <c r="C668" s="4" t="s">
        <v>2712</v>
      </c>
      <c r="D668" s="4" t="s">
        <v>2837</v>
      </c>
      <c r="E668" s="4" t="s">
        <v>2996</v>
      </c>
      <c r="F668" s="4" t="s">
        <v>3155</v>
      </c>
      <c r="G668" s="7" t="str">
        <f>VLOOKUP(A668,[1]done!$A:$I,9,0)</f>
        <v>Mosquito/Fly</v>
      </c>
      <c r="H668" s="7" t="str" cm="1">
        <f t="array" ref="H668">_xlfn.IFS(
OR(ISNUMBER(SEARCH("mouse",E668)),ISNUMBER(SEARCH("rat",E668)),ISNUMBER(SEARCH("mice",E668)),ISNUMBER(SEARCH("rodent",E668))),"Rodent Control",
OR(ISNUMBER(SEARCH("fly",E668)),ISNUMBER(SEARCH("gnat",E668)),ISNUMBER(SEARCH("insect",E668)),ISNUMBER(SEARCH("mosquito",E668))),"Flying Insect Control",
OR(ISNUMBER(SEARCH("roach",E668)),ISNUMBER(SEARCH("ant",E668)),ISNUMBER(SEARCH("spider",E668)),ISNUMBER(SEARCH("cricket",E668)),ISNUMBER(SEARCH("scorpion",E668)),ISNUMBER(SEARCH("centipede",E668)),ISNUMBER(SEARCH("beetle",E668))),"Crawling Insect Control",
OR(ISNUMBER(SEARCH("tree",E668)),ISNUMBER(SEARCH("lantern",E668)),ISNUMBER(SEARCH("garden",E668)),ISNUMBER(SEARCH("plant",E668))),"Garden Pest Control",
OR(ISNUMBER(SEARCH("grass seed",E668)),ISNUMBER(SEARCH("seed mix",E668))),"Grass Seed",
OR(ISNUMBER(SEARCH("lawn food",E668)),ISNUMBER(SEARCH("fertilizer",E668))),"Lawn Fertilizer",
OR(ISNUMBER(SEARCH("patch",E668)),ISNUMBER(SEARCH("repair",E668)),ISNUMBER(SEARCH("thick'r",E668)),ISNUMBER(SEARCH("thick'r lawn",E668)),ISNUMBER(SEARCH("rapid grass",E668))),"Lawn Repair",
OR(ISNUMBER(SEARCH("weed",E668)),ISNUMBER(SEARCH("crabgrass",E668))),"Weed Control",
OR(ISNUMBER(SEARCH("fungicide",E668)),ISNUMBER(SEARCH("moss",E668))),"Disease &amp; Moss Control",
OR(ISNUMBER(SEARCH("plant food",E668)),ISNUMBER(SEARCH("miracid",E668))),"Plant Nutrition",
OR(ISNUMBER(SEARCH("perlite",E668))),"Soil Amendment",
OR(ISNUMBER(SEARCH("spreader",E668)),ISNUMBER(SEARCH("sprayer",E668)),ISNUMBER(SEARCH("mower",E668)),ISNUMBER(SEARCH("sweeper",E668)),ISNUMBER(SEARCH("pruner",E668)),ISNUMBER(SEARCH("trimmer",E668)),ISNUMBER(SEARCH("pole saw",E668))),"Garden Equipment",
TRUE,"Other"
)</f>
        <v>Flying Insect Control</v>
      </c>
      <c r="I668" s="7" t="str" cm="1">
        <f t="array" ref="I668">_xlfn.IFS(
OR(ISNUMBER(SEARCH("glue trap",E668)),ISNUMBER(SEARCH("glue board",E668))),"Glue Traps",
OR(ISNUMBER(SEARCH("snap trap",E668)),ISNUMBER(SEARCH("power-kill",E668)),ISNUMBER(SEARCH("wide pedal",E668)),ISNUMBER(SEARCH("metal pedal",E668))),"Snap Traps",
OR(ISNUMBER(SEARCH("electronic",E668)),ISNUMBER(SEARCH("zapper",E668))),"Electronic Traps",
OR(ISNUMBER(SEARCH("live catch",E668)),ISNUMBER(SEARCH("multi-catch",E668)),ISNUMBER(SEARCH("catch &amp; hold",E668)),ISNUMBER(SEARCH("tin cat",E668))),"Live Catch Traps",
OR(ISNUMBER(SEARCH("bait",E668)),ISNUMBER(SEARCH("poison",E668))),"Bait &amp; Poison",
ISNUMBER(SEARCH("repellent",E668)),"Repellents",
OR(ISNUMBER(SEARCH("fly trap",E668)),ISNUMBER(SEARCH("fly ribbon",E668)),ISNUMBER(SEARCH("fly stick",E668)),ISNUMBER(SEARCH("window fly",E668)),ISNUMBER(SEARCH("fly magnet",E668))),"Fly Traps",
OR(ISNUMBER(SEARCH("uv",E668)),ISNUMBER(SEARCH("fly light",E668)),ISNUMBER(SEARCH("plug-in",E668))),"UV Fly Traps",
ISNUMBER(SEARCH("roach",E668)),"Roach Traps",
ISNUMBER(SEARCH("ant",E668)),"Ant Traps",
ISNUMBER(SEARCH("spider",E668)),"Spider Traps",
ISNUMBER(SEARCH("mosquito",E668)),"Mosquito Traps",
ISNUMBER(SEARCH("beetle",E668)),"Beetle Traps",
ISNUMBER(SEARCH("lantern",E668)),"Lanternfly Control",
OR(ISNUMBER(SEARCH("tree shield",E668)),ISNUMBER(SEARCH("tree banding",E668)),ISNUMBER(SEARCH("insect barrier",E668))),"Tree Barriers",
OR(ISNUMBER(SEARCH("sun &amp; shade",E668)),ISNUMBER(SEARCH("sun and shade",E668))),"Sun &amp; Shade Mix",
ISNUMBER(SEARCH("tall fescue",E668)),"Tall Fescue",
ISNUMBER(SEARCH("bermudagrass",E668)),"Bermudagrass",
ISNUMBER(SEARCH("kentucky",E668)),"Kentucky Bluegrass",
ISNUMBER(SEARCH("zoysia",E668)),"Zoysia",
ISNUMBER(SEARCH("ryegrass",E668)),"Perennial Ryegrass",
ISNUMBER(SEARCH("centipede",E668)),"Centipede Grass",
ISNUMBER(SEARCH("dense shade",E668)),"Dense Shade Mix",
ISNUMBER(SEARCH("southern gold",E668)),"Southern Gold Mix",
ISNUMBER(SEARCH("heat-tolerant blue",E668)),"Heat-Tolerant Blue Mix",
ISNUMBER(SEARCH("high traffic",E668)),"High Traffic Mix",
ISNUMBER(SEARCH("quick fix",E668)),"Quick Fix Mix",
ISNUMBER(SEARCH("starter",E668)),"Starter Fertilizer",
ISNUMBER(SEARCH("weed &amp; feed",E668)),"Weed &amp; Feed",
ISNUMBER(SEARCH("lawn food",E668)),"Lawn Food",
ISNUMBER(SEARCH("triple action",E668)),"Triple Action Fertilizer",
ISNUMBER(SEARCH("green max",E668)),"Green Max Lawn Food",
ISNUMBER(SEARCH("patchmaster",E668)),"PatchMaster Repair",
ISNUMBER(SEARCH("ez seed",E668)),"EZ Seed Repair",
ISNUMBER(SEARCH("rapid grass",E668)),"Rapid Grass",
ISNUMBER(SEARCH("thick'r lawn",E668)),"Thick'R Lawn",
ISNUMBER(SEARCH("fungicide",E668)),"Fungicide",
ISNUMBER(SEARCH("moss",E668)),"Moss Control",
ISNUMBER(SEARCH("perlite",E668)),"Perlite",
ISNUMBER(SEARCH("plant food",E668)),"Plant Food",
ISNUMBER(SEARCH("spreader",E668)),"Spreader",
ISNUMBER(SEARCH("sprayer",E668)),"Sprayer",
ISNUMBER(SEARCH("mower",E668)),"Lawn Mower",
ISNUMBER(SEARCH("sweeper",E668)),"Lawn Sweeper",
OR(ISNUMBER(SEARCH("pruner",E668)),ISNUMBER(SEARCH("trimmer",E668)),ISNUMBER(SEARCH("pole saw",E668))),"Pruning Tools",
TRUE,"Other"
)</f>
        <v>Other</v>
      </c>
      <c r="J668" s="7" t="str">
        <f t="shared" si="191"/>
        <v>Flying Insect Control - Other</v>
      </c>
      <c r="K668" s="4">
        <v>100</v>
      </c>
      <c r="L668" s="4">
        <v>3.7</v>
      </c>
      <c r="M668" s="4">
        <v>750</v>
      </c>
      <c r="N668" s="4" t="s">
        <v>3209</v>
      </c>
      <c r="O668" s="4">
        <f>VLOOKUP(A668,[13]Sheet1!$A:$M,2,0)</f>
        <v>0</v>
      </c>
      <c r="P668" s="4">
        <f>VLOOKUP(A668,[13]Sheet1!$A:$M,3,0)</f>
        <v>0</v>
      </c>
      <c r="Q668" s="4">
        <f>VLOOKUP(A668,[13]Sheet1!$A:$M,4,0)</f>
        <v>0</v>
      </c>
      <c r="R668" s="4">
        <f>VLOOKUP(A668,[13]Sheet1!$A:$M,5,0)</f>
        <v>100</v>
      </c>
      <c r="S668" s="4">
        <f>VLOOKUP(A668,[13]Sheet1!$A:$M,6,0)</f>
        <v>100</v>
      </c>
      <c r="T668" s="4">
        <f>VLOOKUP(A668,[13]Sheet1!$A:$M,7,0)</f>
        <v>300</v>
      </c>
      <c r="U668" s="4">
        <f>VLOOKUP(A668,[13]Sheet1!$A:$M,8,0)</f>
        <v>200</v>
      </c>
      <c r="V668" s="4">
        <f>VLOOKUP(A668,[13]Sheet1!$A:$M,9,0)</f>
        <v>300</v>
      </c>
      <c r="W668" s="4">
        <f>VLOOKUP(A668,[13]Sheet1!$A:$M,10,0)</f>
        <v>100</v>
      </c>
      <c r="X668" s="4">
        <f>VLOOKUP(A668,[13]Sheet1!$A:$M,11,0)</f>
        <v>50</v>
      </c>
      <c r="Y668" s="4">
        <f>VLOOKUP(A668,[13]Sheet1!$A:$M,12,0)</f>
        <v>0</v>
      </c>
      <c r="Z668" s="4">
        <f>VLOOKUP(A668,[13]Sheet1!$A:$M,13,0)</f>
        <v>0</v>
      </c>
      <c r="AA668" s="4">
        <f t="shared" si="192"/>
        <v>1150</v>
      </c>
      <c r="AB668" s="7">
        <f t="shared" si="193"/>
        <v>96</v>
      </c>
      <c r="AC668" s="15">
        <f t="shared" si="194"/>
        <v>95.833333333333329</v>
      </c>
      <c r="AD668" s="16">
        <f t="shared" si="195"/>
        <v>11488.5</v>
      </c>
      <c r="AE668" s="16">
        <f t="shared" si="196"/>
        <v>957.375</v>
      </c>
      <c r="AF668" s="21">
        <v>5.46</v>
      </c>
      <c r="AG668" s="21">
        <v>9.99</v>
      </c>
      <c r="AH668" s="15">
        <f t="shared" si="189"/>
        <v>-0.1642666666666667</v>
      </c>
      <c r="AI668" s="15">
        <f t="shared" si="190"/>
        <v>-0.57493333333333341</v>
      </c>
      <c r="AJ668" s="10">
        <v>0.5</v>
      </c>
      <c r="AK668" s="10">
        <v>0.5</v>
      </c>
      <c r="AL668" s="21">
        <v>5.46</v>
      </c>
      <c r="AM668" s="9">
        <f t="shared" si="197"/>
        <v>1.4984999999999999</v>
      </c>
      <c r="AN668" s="9">
        <f t="shared" si="198"/>
        <v>0.29970000000000002</v>
      </c>
      <c r="AO668" s="9">
        <f t="shared" si="199"/>
        <v>1.9980000000000002</v>
      </c>
      <c r="AP668" s="9">
        <f t="shared" si="200"/>
        <v>0.19980000000000001</v>
      </c>
      <c r="AQ668" s="9">
        <f t="shared" si="201"/>
        <v>1.9980000000000002</v>
      </c>
      <c r="AR668" s="9">
        <f t="shared" si="202"/>
        <v>2.4975000000000001</v>
      </c>
      <c r="AS668" s="11">
        <f t="shared" si="203"/>
        <v>-1.6426666666666669</v>
      </c>
      <c r="AT668" s="12">
        <f t="shared" si="204"/>
        <v>-1.9756666666666669</v>
      </c>
    </row>
    <row r="669" spans="1:46" ht="16.5" x14ac:dyDescent="0.4">
      <c r="A669" s="4" t="s">
        <v>2659</v>
      </c>
      <c r="B669" s="4" t="s">
        <v>2710</v>
      </c>
      <c r="C669" s="4" t="s">
        <v>2710</v>
      </c>
      <c r="D669" s="4" t="s">
        <v>2838</v>
      </c>
      <c r="E669" s="4" t="s">
        <v>2997</v>
      </c>
      <c r="F669" s="4" t="s">
        <v>3156</v>
      </c>
      <c r="G669" s="7" t="str">
        <f>VLOOKUP(A669,[1]done!$A:$I,9,0)</f>
        <v>Weed Control</v>
      </c>
      <c r="H669" s="7" t="str" cm="1">
        <f t="array" ref="H669">_xlfn.IFS(
OR(ISNUMBER(SEARCH("mouse",E669)),ISNUMBER(SEARCH("rat",E669)),ISNUMBER(SEARCH("mice",E669)),ISNUMBER(SEARCH("rodent",E669))),"Rodent Control",
OR(ISNUMBER(SEARCH("fly",E669)),ISNUMBER(SEARCH("gnat",E669)),ISNUMBER(SEARCH("insect",E669)),ISNUMBER(SEARCH("mosquito",E669))),"Flying Insect Control",
OR(ISNUMBER(SEARCH("roach",E669)),ISNUMBER(SEARCH("ant",E669)),ISNUMBER(SEARCH("spider",E669)),ISNUMBER(SEARCH("cricket",E669)),ISNUMBER(SEARCH("scorpion",E669)),ISNUMBER(SEARCH("centipede",E669)),ISNUMBER(SEARCH("beetle",E669))),"Crawling Insect Control",
OR(ISNUMBER(SEARCH("tree",E669)),ISNUMBER(SEARCH("lantern",E669)),ISNUMBER(SEARCH("garden",E669)),ISNUMBER(SEARCH("plant",E669))),"Garden Pest Control",
OR(ISNUMBER(SEARCH("grass seed",E669)),ISNUMBER(SEARCH("seed mix",E669))),"Grass Seed",
OR(ISNUMBER(SEARCH("lawn food",E669)),ISNUMBER(SEARCH("fertilizer",E669))),"Lawn Fertilizer",
OR(ISNUMBER(SEARCH("patch",E669)),ISNUMBER(SEARCH("repair",E669)),ISNUMBER(SEARCH("thick'r",E669)),ISNUMBER(SEARCH("thick'r lawn",E669)),ISNUMBER(SEARCH("rapid grass",E669))),"Lawn Repair",
OR(ISNUMBER(SEARCH("weed",E669)),ISNUMBER(SEARCH("crabgrass",E669))),"Weed Control",
OR(ISNUMBER(SEARCH("fungicide",E669)),ISNUMBER(SEARCH("moss",E669))),"Disease &amp; Moss Control",
OR(ISNUMBER(SEARCH("plant food",E669)),ISNUMBER(SEARCH("miracid",E669))),"Plant Nutrition",
OR(ISNUMBER(SEARCH("perlite",E669))),"Soil Amendment",
OR(ISNUMBER(SEARCH("spreader",E669)),ISNUMBER(SEARCH("sprayer",E669)),ISNUMBER(SEARCH("mower",E669)),ISNUMBER(SEARCH("sweeper",E669)),ISNUMBER(SEARCH("pruner",E669)),ISNUMBER(SEARCH("trimmer",E669)),ISNUMBER(SEARCH("pole saw",E669))),"Garden Equipment",
TRUE,"Other"
)</f>
        <v>Weed Control</v>
      </c>
      <c r="I669" s="7" t="str" cm="1">
        <f t="array" ref="I669">_xlfn.IFS(
OR(ISNUMBER(SEARCH("glue trap",E669)),ISNUMBER(SEARCH("glue board",E669))),"Glue Traps",
OR(ISNUMBER(SEARCH("snap trap",E669)),ISNUMBER(SEARCH("power-kill",E669)),ISNUMBER(SEARCH("wide pedal",E669)),ISNUMBER(SEARCH("metal pedal",E669))),"Snap Traps",
OR(ISNUMBER(SEARCH("electronic",E669)),ISNUMBER(SEARCH("zapper",E669))),"Electronic Traps",
OR(ISNUMBER(SEARCH("live catch",E669)),ISNUMBER(SEARCH("multi-catch",E669)),ISNUMBER(SEARCH("catch &amp; hold",E669)),ISNUMBER(SEARCH("tin cat",E669))),"Live Catch Traps",
OR(ISNUMBER(SEARCH("bait",E669)),ISNUMBER(SEARCH("poison",E669))),"Bait &amp; Poison",
ISNUMBER(SEARCH("repellent",E669)),"Repellents",
OR(ISNUMBER(SEARCH("fly trap",E669)),ISNUMBER(SEARCH("fly ribbon",E669)),ISNUMBER(SEARCH("fly stick",E669)),ISNUMBER(SEARCH("window fly",E669)),ISNUMBER(SEARCH("fly magnet",E669))),"Fly Traps",
OR(ISNUMBER(SEARCH("uv",E669)),ISNUMBER(SEARCH("fly light",E669)),ISNUMBER(SEARCH("plug-in",E669))),"UV Fly Traps",
ISNUMBER(SEARCH("roach",E669)),"Roach Traps",
ISNUMBER(SEARCH("ant",E669)),"Ant Traps",
ISNUMBER(SEARCH("spider",E669)),"Spider Traps",
ISNUMBER(SEARCH("mosquito",E669)),"Mosquito Traps",
ISNUMBER(SEARCH("beetle",E669)),"Beetle Traps",
ISNUMBER(SEARCH("lantern",E669)),"Lanternfly Control",
OR(ISNUMBER(SEARCH("tree shield",E669)),ISNUMBER(SEARCH("tree banding",E669)),ISNUMBER(SEARCH("insect barrier",E669))),"Tree Barriers",
OR(ISNUMBER(SEARCH("sun &amp; shade",E669)),ISNUMBER(SEARCH("sun and shade",E669))),"Sun &amp; Shade Mix",
ISNUMBER(SEARCH("tall fescue",E669)),"Tall Fescue",
ISNUMBER(SEARCH("bermudagrass",E669)),"Bermudagrass",
ISNUMBER(SEARCH("kentucky",E669)),"Kentucky Bluegrass",
ISNUMBER(SEARCH("zoysia",E669)),"Zoysia",
ISNUMBER(SEARCH("ryegrass",E669)),"Perennial Ryegrass",
ISNUMBER(SEARCH("centipede",E669)),"Centipede Grass",
ISNUMBER(SEARCH("dense shade",E669)),"Dense Shade Mix",
ISNUMBER(SEARCH("southern gold",E669)),"Southern Gold Mix",
ISNUMBER(SEARCH("heat-tolerant blue",E669)),"Heat-Tolerant Blue Mix",
ISNUMBER(SEARCH("high traffic",E669)),"High Traffic Mix",
ISNUMBER(SEARCH("quick fix",E669)),"Quick Fix Mix",
ISNUMBER(SEARCH("starter",E669)),"Starter Fertilizer",
ISNUMBER(SEARCH("weed &amp; feed",E669)),"Weed &amp; Feed",
ISNUMBER(SEARCH("lawn food",E669)),"Lawn Food",
ISNUMBER(SEARCH("triple action",E669)),"Triple Action Fertilizer",
ISNUMBER(SEARCH("green max",E669)),"Green Max Lawn Food",
ISNUMBER(SEARCH("patchmaster",E669)),"PatchMaster Repair",
ISNUMBER(SEARCH("ez seed",E669)),"EZ Seed Repair",
ISNUMBER(SEARCH("rapid grass",E669)),"Rapid Grass",
ISNUMBER(SEARCH("thick'r lawn",E669)),"Thick'R Lawn",
ISNUMBER(SEARCH("fungicide",E669)),"Fungicide",
ISNUMBER(SEARCH("moss",E669)),"Moss Control",
ISNUMBER(SEARCH("perlite",E669)),"Perlite",
ISNUMBER(SEARCH("plant food",E669)),"Plant Food",
ISNUMBER(SEARCH("spreader",E669)),"Spreader",
ISNUMBER(SEARCH("sprayer",E669)),"Sprayer",
ISNUMBER(SEARCH("mower",E669)),"Lawn Mower",
ISNUMBER(SEARCH("sweeper",E669)),"Lawn Sweeper",
OR(ISNUMBER(SEARCH("pruner",E669)),ISNUMBER(SEARCH("trimmer",E669)),ISNUMBER(SEARCH("pole saw",E669))),"Pruning Tools",
TRUE,"Other"
)</f>
        <v>Other</v>
      </c>
      <c r="J669" s="7" t="str">
        <f t="shared" si="191"/>
        <v>Weed Control - Other</v>
      </c>
      <c r="K669" s="4">
        <v>100</v>
      </c>
      <c r="L669" s="4">
        <v>4.0999999999999996</v>
      </c>
      <c r="M669" s="4">
        <v>212</v>
      </c>
      <c r="N669" s="4" t="s">
        <v>3248</v>
      </c>
      <c r="O669" s="4">
        <f>VLOOKUP(A669,[13]Sheet1!$A:$M,2,0)</f>
        <v>0</v>
      </c>
      <c r="P669" s="4">
        <f>VLOOKUP(A669,[13]Sheet1!$A:$M,3,0)</f>
        <v>0</v>
      </c>
      <c r="Q669" s="4">
        <f>VLOOKUP(A669,[13]Sheet1!$A:$M,4,0)</f>
        <v>50</v>
      </c>
      <c r="R669" s="4">
        <f>VLOOKUP(A669,[13]Sheet1!$A:$M,5,0)</f>
        <v>100</v>
      </c>
      <c r="S669" s="4">
        <f>VLOOKUP(A669,[13]Sheet1!$A:$M,6,0)</f>
        <v>100</v>
      </c>
      <c r="T669" s="4">
        <f>VLOOKUP(A669,[13]Sheet1!$A:$M,7,0)</f>
        <v>100</v>
      </c>
      <c r="U669" s="4">
        <f>VLOOKUP(A669,[13]Sheet1!$A:$M,8,0)</f>
        <v>200</v>
      </c>
      <c r="V669" s="4">
        <f>VLOOKUP(A669,[13]Sheet1!$A:$M,9,0)</f>
        <v>300</v>
      </c>
      <c r="W669" s="4">
        <f>VLOOKUP(A669,[13]Sheet1!$A:$M,10,0)</f>
        <v>100</v>
      </c>
      <c r="X669" s="4">
        <f>VLOOKUP(A669,[13]Sheet1!$A:$M,11,0)</f>
        <v>0</v>
      </c>
      <c r="Y669" s="4">
        <f>VLOOKUP(A669,[13]Sheet1!$A:$M,12,0)</f>
        <v>0</v>
      </c>
      <c r="Z669" s="4">
        <f>VLOOKUP(A669,[13]Sheet1!$A:$M,13,0)</f>
        <v>0</v>
      </c>
      <c r="AA669" s="4">
        <f t="shared" si="192"/>
        <v>950</v>
      </c>
      <c r="AB669" s="7">
        <f t="shared" si="193"/>
        <v>79</v>
      </c>
      <c r="AC669" s="15">
        <f t="shared" si="194"/>
        <v>79.166666666666671</v>
      </c>
      <c r="AD669" s="16">
        <f t="shared" si="195"/>
        <v>28490.5</v>
      </c>
      <c r="AE669" s="16">
        <f t="shared" si="196"/>
        <v>2374.2083333333335</v>
      </c>
      <c r="AF669" s="21">
        <v>5.61</v>
      </c>
      <c r="AG669" s="21">
        <v>29.99</v>
      </c>
      <c r="AH669" s="15">
        <f t="shared" si="189"/>
        <v>0.3590666666666667</v>
      </c>
      <c r="AI669" s="15">
        <f t="shared" si="190"/>
        <v>1.2567333333333333</v>
      </c>
      <c r="AJ669" s="10">
        <v>0.5</v>
      </c>
      <c r="AK669" s="10">
        <v>0.5</v>
      </c>
      <c r="AL669" s="21">
        <v>5.61</v>
      </c>
      <c r="AM669" s="9">
        <f t="shared" si="197"/>
        <v>4.4984999999999999</v>
      </c>
      <c r="AN669" s="9">
        <f t="shared" si="198"/>
        <v>0.89969999999999994</v>
      </c>
      <c r="AO669" s="9">
        <f t="shared" si="199"/>
        <v>5.9980000000000002</v>
      </c>
      <c r="AP669" s="9">
        <f t="shared" si="200"/>
        <v>0.5998</v>
      </c>
      <c r="AQ669" s="9">
        <f t="shared" si="201"/>
        <v>5.9980000000000002</v>
      </c>
      <c r="AR669" s="9">
        <f t="shared" si="202"/>
        <v>7.4974999999999996</v>
      </c>
      <c r="AS669" s="11">
        <f t="shared" si="203"/>
        <v>3.5906666666666669</v>
      </c>
      <c r="AT669" s="12">
        <f t="shared" si="204"/>
        <v>2.5910000000000006</v>
      </c>
    </row>
    <row r="670" spans="1:46" ht="16.5" x14ac:dyDescent="0.4">
      <c r="A670" s="4" t="s">
        <v>2660</v>
      </c>
      <c r="B670" s="4" t="s">
        <v>2710</v>
      </c>
      <c r="C670" s="4" t="s">
        <v>1797</v>
      </c>
      <c r="D670" s="4" t="s">
        <v>2839</v>
      </c>
      <c r="E670" s="4" t="s">
        <v>2998</v>
      </c>
      <c r="F670" s="4" t="s">
        <v>3157</v>
      </c>
      <c r="G670" s="7" t="str">
        <f>VLOOKUP(A670,[1]done!$A:$I,9,0)</f>
        <v>Insecticide/Fungicide</v>
      </c>
      <c r="H670" s="7" t="str" cm="1">
        <f t="array" ref="H670">_xlfn.IFS(
OR(ISNUMBER(SEARCH("mouse",E670)),ISNUMBER(SEARCH("rat",E670)),ISNUMBER(SEARCH("mice",E670)),ISNUMBER(SEARCH("rodent",E670))),"Rodent Control",
OR(ISNUMBER(SEARCH("fly",E670)),ISNUMBER(SEARCH("gnat",E670)),ISNUMBER(SEARCH("insect",E670)),ISNUMBER(SEARCH("mosquito",E670))),"Flying Insect Control",
OR(ISNUMBER(SEARCH("roach",E670)),ISNUMBER(SEARCH("ant",E670)),ISNUMBER(SEARCH("spider",E670)),ISNUMBER(SEARCH("cricket",E670)),ISNUMBER(SEARCH("scorpion",E670)),ISNUMBER(SEARCH("centipede",E670)),ISNUMBER(SEARCH("beetle",E670))),"Crawling Insect Control",
OR(ISNUMBER(SEARCH("tree",E670)),ISNUMBER(SEARCH("lantern",E670)),ISNUMBER(SEARCH("garden",E670)),ISNUMBER(SEARCH("plant",E670))),"Garden Pest Control",
OR(ISNUMBER(SEARCH("grass seed",E670)),ISNUMBER(SEARCH("seed mix",E670))),"Grass Seed",
OR(ISNUMBER(SEARCH("lawn food",E670)),ISNUMBER(SEARCH("fertilizer",E670))),"Lawn Fertilizer",
OR(ISNUMBER(SEARCH("patch",E670)),ISNUMBER(SEARCH("repair",E670)),ISNUMBER(SEARCH("thick'r",E670)),ISNUMBER(SEARCH("thick'r lawn",E670)),ISNUMBER(SEARCH("rapid grass",E670))),"Lawn Repair",
OR(ISNUMBER(SEARCH("weed",E670)),ISNUMBER(SEARCH("crabgrass",E670))),"Weed Control",
OR(ISNUMBER(SEARCH("fungicide",E670)),ISNUMBER(SEARCH("moss",E670))),"Disease &amp; Moss Control",
OR(ISNUMBER(SEARCH("plant food",E670)),ISNUMBER(SEARCH("miracid",E670))),"Plant Nutrition",
OR(ISNUMBER(SEARCH("perlite",E670))),"Soil Amendment",
OR(ISNUMBER(SEARCH("spreader",E670)),ISNUMBER(SEARCH("sprayer",E670)),ISNUMBER(SEARCH("mower",E670)),ISNUMBER(SEARCH("sweeper",E670)),ISNUMBER(SEARCH("pruner",E670)),ISNUMBER(SEARCH("trimmer",E670)),ISNUMBER(SEARCH("pole saw",E670))),"Garden Equipment",
TRUE,"Other"
)</f>
        <v>Garden Pest Control</v>
      </c>
      <c r="I670" s="7" t="str" cm="1">
        <f t="array" ref="I670">_xlfn.IFS(
OR(ISNUMBER(SEARCH("glue trap",E670)),ISNUMBER(SEARCH("glue board",E670))),"Glue Traps",
OR(ISNUMBER(SEARCH("snap trap",E670)),ISNUMBER(SEARCH("power-kill",E670)),ISNUMBER(SEARCH("wide pedal",E670)),ISNUMBER(SEARCH("metal pedal",E670))),"Snap Traps",
OR(ISNUMBER(SEARCH("electronic",E670)),ISNUMBER(SEARCH("zapper",E670))),"Electronic Traps",
OR(ISNUMBER(SEARCH("live catch",E670)),ISNUMBER(SEARCH("multi-catch",E670)),ISNUMBER(SEARCH("catch &amp; hold",E670)),ISNUMBER(SEARCH("tin cat",E670))),"Live Catch Traps",
OR(ISNUMBER(SEARCH("bait",E670)),ISNUMBER(SEARCH("poison",E670))),"Bait &amp; Poison",
ISNUMBER(SEARCH("repellent",E670)),"Repellents",
OR(ISNUMBER(SEARCH("fly trap",E670)),ISNUMBER(SEARCH("fly ribbon",E670)),ISNUMBER(SEARCH("fly stick",E670)),ISNUMBER(SEARCH("window fly",E670)),ISNUMBER(SEARCH("fly magnet",E670))),"Fly Traps",
OR(ISNUMBER(SEARCH("uv",E670)),ISNUMBER(SEARCH("fly light",E670)),ISNUMBER(SEARCH("plug-in",E670))),"UV Fly Traps",
ISNUMBER(SEARCH("roach",E670)),"Roach Traps",
ISNUMBER(SEARCH("ant",E670)),"Ant Traps",
ISNUMBER(SEARCH("spider",E670)),"Spider Traps",
ISNUMBER(SEARCH("mosquito",E670)),"Mosquito Traps",
ISNUMBER(SEARCH("beetle",E670)),"Beetle Traps",
ISNUMBER(SEARCH("lantern",E670)),"Lanternfly Control",
OR(ISNUMBER(SEARCH("tree shield",E670)),ISNUMBER(SEARCH("tree banding",E670)),ISNUMBER(SEARCH("insect barrier",E670))),"Tree Barriers",
OR(ISNUMBER(SEARCH("sun &amp; shade",E670)),ISNUMBER(SEARCH("sun and shade",E670))),"Sun &amp; Shade Mix",
ISNUMBER(SEARCH("tall fescue",E670)),"Tall Fescue",
ISNUMBER(SEARCH("bermudagrass",E670)),"Bermudagrass",
ISNUMBER(SEARCH("kentucky",E670)),"Kentucky Bluegrass",
ISNUMBER(SEARCH("zoysia",E670)),"Zoysia",
ISNUMBER(SEARCH("ryegrass",E670)),"Perennial Ryegrass",
ISNUMBER(SEARCH("centipede",E670)),"Centipede Grass",
ISNUMBER(SEARCH("dense shade",E670)),"Dense Shade Mix",
ISNUMBER(SEARCH("southern gold",E670)),"Southern Gold Mix",
ISNUMBER(SEARCH("heat-tolerant blue",E670)),"Heat-Tolerant Blue Mix",
ISNUMBER(SEARCH("high traffic",E670)),"High Traffic Mix",
ISNUMBER(SEARCH("quick fix",E670)),"Quick Fix Mix",
ISNUMBER(SEARCH("starter",E670)),"Starter Fertilizer",
ISNUMBER(SEARCH("weed &amp; feed",E670)),"Weed &amp; Feed",
ISNUMBER(SEARCH("lawn food",E670)),"Lawn Food",
ISNUMBER(SEARCH("triple action",E670)),"Triple Action Fertilizer",
ISNUMBER(SEARCH("green max",E670)),"Green Max Lawn Food",
ISNUMBER(SEARCH("patchmaster",E670)),"PatchMaster Repair",
ISNUMBER(SEARCH("ez seed",E670)),"EZ Seed Repair",
ISNUMBER(SEARCH("rapid grass",E670)),"Rapid Grass",
ISNUMBER(SEARCH("thick'r lawn",E670)),"Thick'R Lawn",
ISNUMBER(SEARCH("fungicide",E670)),"Fungicide",
ISNUMBER(SEARCH("moss",E670)),"Moss Control",
ISNUMBER(SEARCH("perlite",E670)),"Perlite",
ISNUMBER(SEARCH("plant food",E670)),"Plant Food",
ISNUMBER(SEARCH("spreader",E670)),"Spreader",
ISNUMBER(SEARCH("sprayer",E670)),"Sprayer",
ISNUMBER(SEARCH("mower",E670)),"Lawn Mower",
ISNUMBER(SEARCH("sweeper",E670)),"Lawn Sweeper",
OR(ISNUMBER(SEARCH("pruner",E670)),ISNUMBER(SEARCH("trimmer",E670)),ISNUMBER(SEARCH("pole saw",E670))),"Pruning Tools",
TRUE,"Other"
)</f>
        <v>Bait &amp; Poison</v>
      </c>
      <c r="J670" s="7" t="str">
        <f t="shared" si="191"/>
        <v>Garden Pest Control - Bait &amp; Poison</v>
      </c>
      <c r="K670" s="4">
        <v>100</v>
      </c>
      <c r="L670" s="4">
        <v>3.9</v>
      </c>
      <c r="M670" s="4">
        <v>192</v>
      </c>
      <c r="O670" s="4">
        <f>VLOOKUP(A670,[13]Sheet1!$A:$M,2,0)</f>
        <v>0</v>
      </c>
      <c r="P670" s="4">
        <f>VLOOKUP(A670,[13]Sheet1!$A:$M,3,0)</f>
        <v>0</v>
      </c>
      <c r="Q670" s="4">
        <f>VLOOKUP(A670,[13]Sheet1!$A:$M,4,0)</f>
        <v>100</v>
      </c>
      <c r="R670" s="4">
        <f>VLOOKUP(A670,[13]Sheet1!$A:$M,5,0)</f>
        <v>100</v>
      </c>
      <c r="S670" s="4">
        <f>VLOOKUP(A670,[13]Sheet1!$A:$M,6,0)</f>
        <v>100</v>
      </c>
      <c r="T670" s="4">
        <f>VLOOKUP(A670,[13]Sheet1!$A:$M,7,0)</f>
        <v>200</v>
      </c>
      <c r="U670" s="4">
        <f>VLOOKUP(A670,[13]Sheet1!$A:$M,8,0)</f>
        <v>100</v>
      </c>
      <c r="V670" s="4">
        <f>VLOOKUP(A670,[13]Sheet1!$A:$M,9,0)</f>
        <v>100</v>
      </c>
      <c r="W670" s="4">
        <f>VLOOKUP(A670,[13]Sheet1!$A:$M,10,0)</f>
        <v>50</v>
      </c>
      <c r="X670" s="4">
        <f>VLOOKUP(A670,[13]Sheet1!$A:$M,11,0)</f>
        <v>0</v>
      </c>
      <c r="Y670" s="4">
        <f>VLOOKUP(A670,[13]Sheet1!$A:$M,12,0)</f>
        <v>0</v>
      </c>
      <c r="Z670" s="4">
        <f>VLOOKUP(A670,[13]Sheet1!$A:$M,13,0)</f>
        <v>0</v>
      </c>
      <c r="AA670" s="4">
        <f t="shared" si="192"/>
        <v>750</v>
      </c>
      <c r="AB670" s="7">
        <f t="shared" si="193"/>
        <v>63</v>
      </c>
      <c r="AC670" s="15">
        <f t="shared" si="194"/>
        <v>62.5</v>
      </c>
      <c r="AD670" s="16">
        <f t="shared" si="195"/>
        <v>15427.5</v>
      </c>
      <c r="AE670" s="16">
        <f t="shared" si="196"/>
        <v>1285.625</v>
      </c>
      <c r="AF670" s="21">
        <v>5.76</v>
      </c>
      <c r="AG670" s="21">
        <v>20.57</v>
      </c>
      <c r="AH670" s="15">
        <f t="shared" si="189"/>
        <v>9.7866666666666727E-2</v>
      </c>
      <c r="AI670" s="15">
        <f t="shared" si="190"/>
        <v>0.34253333333333352</v>
      </c>
      <c r="AJ670" s="10">
        <v>0.5</v>
      </c>
      <c r="AK670" s="10">
        <v>0.5</v>
      </c>
      <c r="AL670" s="21">
        <v>5.76</v>
      </c>
      <c r="AM670" s="9">
        <f t="shared" si="197"/>
        <v>3.0855000000000001</v>
      </c>
      <c r="AN670" s="9">
        <f t="shared" si="198"/>
        <v>0.61709999999999998</v>
      </c>
      <c r="AO670" s="9">
        <f t="shared" si="199"/>
        <v>4.1139999999999999</v>
      </c>
      <c r="AP670" s="9">
        <f t="shared" si="200"/>
        <v>0.41139999999999999</v>
      </c>
      <c r="AQ670" s="9">
        <f t="shared" si="201"/>
        <v>4.1139999999999999</v>
      </c>
      <c r="AR670" s="9">
        <f t="shared" si="202"/>
        <v>5.1425000000000001</v>
      </c>
      <c r="AS670" s="11">
        <f t="shared" si="203"/>
        <v>0.97866666666666724</v>
      </c>
      <c r="AT670" s="12">
        <f t="shared" si="204"/>
        <v>0.29300000000000043</v>
      </c>
    </row>
    <row r="671" spans="1:46" ht="16.5" x14ac:dyDescent="0.4">
      <c r="A671" s="4" t="s">
        <v>2661</v>
      </c>
      <c r="B671" s="4" t="s">
        <v>2710</v>
      </c>
      <c r="C671" s="4" t="s">
        <v>2712</v>
      </c>
      <c r="D671" s="4" t="s">
        <v>2840</v>
      </c>
      <c r="E671" s="4" t="s">
        <v>2999</v>
      </c>
      <c r="F671" s="4" t="s">
        <v>3158</v>
      </c>
      <c r="G671" s="7" t="str">
        <f>VLOOKUP(A671,[1]done!$A:$I,9,0)</f>
        <v>Weed Control</v>
      </c>
      <c r="H671" s="7" t="str" cm="1">
        <f t="array" ref="H671">_xlfn.IFS(
OR(ISNUMBER(SEARCH("mouse",E671)),ISNUMBER(SEARCH("rat",E671)),ISNUMBER(SEARCH("mice",E671)),ISNUMBER(SEARCH("rodent",E671))),"Rodent Control",
OR(ISNUMBER(SEARCH("fly",E671)),ISNUMBER(SEARCH("gnat",E671)),ISNUMBER(SEARCH("insect",E671)),ISNUMBER(SEARCH("mosquito",E671))),"Flying Insect Control",
OR(ISNUMBER(SEARCH("roach",E671)),ISNUMBER(SEARCH("ant",E671)),ISNUMBER(SEARCH("spider",E671)),ISNUMBER(SEARCH("cricket",E671)),ISNUMBER(SEARCH("scorpion",E671)),ISNUMBER(SEARCH("centipede",E671)),ISNUMBER(SEARCH("beetle",E671))),"Crawling Insect Control",
OR(ISNUMBER(SEARCH("tree",E671)),ISNUMBER(SEARCH("lantern",E671)),ISNUMBER(SEARCH("garden",E671)),ISNUMBER(SEARCH("plant",E671))),"Garden Pest Control",
OR(ISNUMBER(SEARCH("grass seed",E671)),ISNUMBER(SEARCH("seed mix",E671))),"Grass Seed",
OR(ISNUMBER(SEARCH("lawn food",E671)),ISNUMBER(SEARCH("fertilizer",E671))),"Lawn Fertilizer",
OR(ISNUMBER(SEARCH("patch",E671)),ISNUMBER(SEARCH("repair",E671)),ISNUMBER(SEARCH("thick'r",E671)),ISNUMBER(SEARCH("thick'r lawn",E671)),ISNUMBER(SEARCH("rapid grass",E671))),"Lawn Repair",
OR(ISNUMBER(SEARCH("weed",E671)),ISNUMBER(SEARCH("crabgrass",E671))),"Weed Control",
OR(ISNUMBER(SEARCH("fungicide",E671)),ISNUMBER(SEARCH("moss",E671))),"Disease &amp; Moss Control",
OR(ISNUMBER(SEARCH("plant food",E671)),ISNUMBER(SEARCH("miracid",E671))),"Plant Nutrition",
OR(ISNUMBER(SEARCH("perlite",E671))),"Soil Amendment",
OR(ISNUMBER(SEARCH("spreader",E671)),ISNUMBER(SEARCH("sprayer",E671)),ISNUMBER(SEARCH("mower",E671)),ISNUMBER(SEARCH("sweeper",E671)),ISNUMBER(SEARCH("pruner",E671)),ISNUMBER(SEARCH("trimmer",E671)),ISNUMBER(SEARCH("pole saw",E671))),"Garden Equipment",
TRUE,"Other"
)</f>
        <v>Weed Control</v>
      </c>
      <c r="I671" s="7" t="str" cm="1">
        <f t="array" ref="I671">_xlfn.IFS(
OR(ISNUMBER(SEARCH("glue trap",E671)),ISNUMBER(SEARCH("glue board",E671))),"Glue Traps",
OR(ISNUMBER(SEARCH("snap trap",E671)),ISNUMBER(SEARCH("power-kill",E671)),ISNUMBER(SEARCH("wide pedal",E671)),ISNUMBER(SEARCH("metal pedal",E671))),"Snap Traps",
OR(ISNUMBER(SEARCH("electronic",E671)),ISNUMBER(SEARCH("zapper",E671))),"Electronic Traps",
OR(ISNUMBER(SEARCH("live catch",E671)),ISNUMBER(SEARCH("multi-catch",E671)),ISNUMBER(SEARCH("catch &amp; hold",E671)),ISNUMBER(SEARCH("tin cat",E671))),"Live Catch Traps",
OR(ISNUMBER(SEARCH("bait",E671)),ISNUMBER(SEARCH("poison",E671))),"Bait &amp; Poison",
ISNUMBER(SEARCH("repellent",E671)),"Repellents",
OR(ISNUMBER(SEARCH("fly trap",E671)),ISNUMBER(SEARCH("fly ribbon",E671)),ISNUMBER(SEARCH("fly stick",E671)),ISNUMBER(SEARCH("window fly",E671)),ISNUMBER(SEARCH("fly magnet",E671))),"Fly Traps",
OR(ISNUMBER(SEARCH("uv",E671)),ISNUMBER(SEARCH("fly light",E671)),ISNUMBER(SEARCH("plug-in",E671))),"UV Fly Traps",
ISNUMBER(SEARCH("roach",E671)),"Roach Traps",
ISNUMBER(SEARCH("ant",E671)),"Ant Traps",
ISNUMBER(SEARCH("spider",E671)),"Spider Traps",
ISNUMBER(SEARCH("mosquito",E671)),"Mosquito Traps",
ISNUMBER(SEARCH("beetle",E671)),"Beetle Traps",
ISNUMBER(SEARCH("lantern",E671)),"Lanternfly Control",
OR(ISNUMBER(SEARCH("tree shield",E671)),ISNUMBER(SEARCH("tree banding",E671)),ISNUMBER(SEARCH("insect barrier",E671))),"Tree Barriers",
OR(ISNUMBER(SEARCH("sun &amp; shade",E671)),ISNUMBER(SEARCH("sun and shade",E671))),"Sun &amp; Shade Mix",
ISNUMBER(SEARCH("tall fescue",E671)),"Tall Fescue",
ISNUMBER(SEARCH("bermudagrass",E671)),"Bermudagrass",
ISNUMBER(SEARCH("kentucky",E671)),"Kentucky Bluegrass",
ISNUMBER(SEARCH("zoysia",E671)),"Zoysia",
ISNUMBER(SEARCH("ryegrass",E671)),"Perennial Ryegrass",
ISNUMBER(SEARCH("centipede",E671)),"Centipede Grass",
ISNUMBER(SEARCH("dense shade",E671)),"Dense Shade Mix",
ISNUMBER(SEARCH("southern gold",E671)),"Southern Gold Mix",
ISNUMBER(SEARCH("heat-tolerant blue",E671)),"Heat-Tolerant Blue Mix",
ISNUMBER(SEARCH("high traffic",E671)),"High Traffic Mix",
ISNUMBER(SEARCH("quick fix",E671)),"Quick Fix Mix",
ISNUMBER(SEARCH("starter",E671)),"Starter Fertilizer",
ISNUMBER(SEARCH("weed &amp; feed",E671)),"Weed &amp; Feed",
ISNUMBER(SEARCH("lawn food",E671)),"Lawn Food",
ISNUMBER(SEARCH("triple action",E671)),"Triple Action Fertilizer",
ISNUMBER(SEARCH("green max",E671)),"Green Max Lawn Food",
ISNUMBER(SEARCH("patchmaster",E671)),"PatchMaster Repair",
ISNUMBER(SEARCH("ez seed",E671)),"EZ Seed Repair",
ISNUMBER(SEARCH("rapid grass",E671)),"Rapid Grass",
ISNUMBER(SEARCH("thick'r lawn",E671)),"Thick'R Lawn",
ISNUMBER(SEARCH("fungicide",E671)),"Fungicide",
ISNUMBER(SEARCH("moss",E671)),"Moss Control",
ISNUMBER(SEARCH("perlite",E671)),"Perlite",
ISNUMBER(SEARCH("plant food",E671)),"Plant Food",
ISNUMBER(SEARCH("spreader",E671)),"Spreader",
ISNUMBER(SEARCH("sprayer",E671)),"Sprayer",
ISNUMBER(SEARCH("mower",E671)),"Lawn Mower",
ISNUMBER(SEARCH("sweeper",E671)),"Lawn Sweeper",
OR(ISNUMBER(SEARCH("pruner",E671)),ISNUMBER(SEARCH("trimmer",E671)),ISNUMBER(SEARCH("pole saw",E671))),"Pruning Tools",
TRUE,"Other"
)</f>
        <v>Other</v>
      </c>
      <c r="J671" s="7" t="str">
        <f t="shared" si="191"/>
        <v>Weed Control - Other</v>
      </c>
      <c r="K671" s="4">
        <v>100</v>
      </c>
      <c r="L671" s="4">
        <v>3.7</v>
      </c>
      <c r="M671" s="4">
        <v>180</v>
      </c>
      <c r="N671" s="4" t="s">
        <v>3209</v>
      </c>
      <c r="O671" s="4">
        <f>VLOOKUP(A671,[13]Sheet1!$A:$M,2,0)</f>
        <v>0</v>
      </c>
      <c r="P671" s="4">
        <f>VLOOKUP(A671,[13]Sheet1!$A:$M,3,0)</f>
        <v>0</v>
      </c>
      <c r="Q671" s="4">
        <f>VLOOKUP(A671,[13]Sheet1!$A:$M,4,0)</f>
        <v>0</v>
      </c>
      <c r="R671" s="4">
        <f>VLOOKUP(A671,[13]Sheet1!$A:$M,5,0)</f>
        <v>100</v>
      </c>
      <c r="S671" s="4">
        <f>VLOOKUP(A671,[13]Sheet1!$A:$M,6,0)</f>
        <v>300</v>
      </c>
      <c r="T671" s="4">
        <f>VLOOKUP(A671,[13]Sheet1!$A:$M,7,0)</f>
        <v>300</v>
      </c>
      <c r="U671" s="4">
        <f>VLOOKUP(A671,[13]Sheet1!$A:$M,8,0)</f>
        <v>200</v>
      </c>
      <c r="V671" s="4">
        <f>VLOOKUP(A671,[13]Sheet1!$A:$M,9,0)</f>
        <v>200</v>
      </c>
      <c r="W671" s="4">
        <f>VLOOKUP(A671,[13]Sheet1!$A:$M,10,0)</f>
        <v>100</v>
      </c>
      <c r="X671" s="4">
        <f>VLOOKUP(A671,[13]Sheet1!$A:$M,11,0)</f>
        <v>0</v>
      </c>
      <c r="Y671" s="4">
        <f>VLOOKUP(A671,[13]Sheet1!$A:$M,12,0)</f>
        <v>0</v>
      </c>
      <c r="Z671" s="4">
        <f>VLOOKUP(A671,[13]Sheet1!$A:$M,13,0)</f>
        <v>0</v>
      </c>
      <c r="AA671" s="4">
        <f t="shared" si="192"/>
        <v>1200</v>
      </c>
      <c r="AB671" s="7">
        <f t="shared" si="193"/>
        <v>100</v>
      </c>
      <c r="AC671" s="15">
        <f t="shared" si="194"/>
        <v>100</v>
      </c>
      <c r="AD671" s="16">
        <f t="shared" si="195"/>
        <v>9564</v>
      </c>
      <c r="AE671" s="16">
        <f t="shared" si="196"/>
        <v>797</v>
      </c>
      <c r="AF671" s="21">
        <v>5.46</v>
      </c>
      <c r="AG671" s="21">
        <v>7.97</v>
      </c>
      <c r="AH671" s="15">
        <f t="shared" si="189"/>
        <v>-0.21813333333333335</v>
      </c>
      <c r="AI671" s="15">
        <f t="shared" si="190"/>
        <v>-0.76346666666666663</v>
      </c>
      <c r="AJ671" s="10">
        <v>0.5</v>
      </c>
      <c r="AK671" s="10">
        <v>0.5</v>
      </c>
      <c r="AL671" s="21">
        <v>5.46</v>
      </c>
      <c r="AM671" s="9">
        <f t="shared" si="197"/>
        <v>1.1955</v>
      </c>
      <c r="AN671" s="9">
        <f t="shared" si="198"/>
        <v>0.23909999999999998</v>
      </c>
      <c r="AO671" s="9">
        <f t="shared" si="199"/>
        <v>1.5940000000000001</v>
      </c>
      <c r="AP671" s="9">
        <f t="shared" si="200"/>
        <v>0.15939999999999999</v>
      </c>
      <c r="AQ671" s="9">
        <f t="shared" si="201"/>
        <v>1.5940000000000001</v>
      </c>
      <c r="AR671" s="9">
        <f t="shared" si="202"/>
        <v>1.9924999999999999</v>
      </c>
      <c r="AS671" s="11">
        <f t="shared" si="203"/>
        <v>-2.1813333333333333</v>
      </c>
      <c r="AT671" s="12">
        <f t="shared" si="204"/>
        <v>-2.4469999999999996</v>
      </c>
    </row>
    <row r="672" spans="1:46" ht="16.5" x14ac:dyDescent="0.4">
      <c r="A672" s="4" t="s">
        <v>2662</v>
      </c>
      <c r="B672" s="4" t="s">
        <v>2710</v>
      </c>
      <c r="C672" s="4" t="s">
        <v>2710</v>
      </c>
      <c r="D672" s="4" t="s">
        <v>2841</v>
      </c>
      <c r="E672" s="4" t="s">
        <v>3000</v>
      </c>
      <c r="F672" s="4" t="s">
        <v>3159</v>
      </c>
      <c r="G672" s="7" t="str">
        <f>VLOOKUP(A672,[1]done!$A:$I,9,0)</f>
        <v>Other crawling insects</v>
      </c>
      <c r="H672" s="7" t="str" cm="1">
        <f t="array" ref="H672">_xlfn.IFS(
OR(ISNUMBER(SEARCH("mouse",E672)),ISNUMBER(SEARCH("rat",E672)),ISNUMBER(SEARCH("mice",E672)),ISNUMBER(SEARCH("rodent",E672))),"Rodent Control",
OR(ISNUMBER(SEARCH("fly",E672)),ISNUMBER(SEARCH("gnat",E672)),ISNUMBER(SEARCH("insect",E672)),ISNUMBER(SEARCH("mosquito",E672))),"Flying Insect Control",
OR(ISNUMBER(SEARCH("roach",E672)),ISNUMBER(SEARCH("ant",E672)),ISNUMBER(SEARCH("spider",E672)),ISNUMBER(SEARCH("cricket",E672)),ISNUMBER(SEARCH("scorpion",E672)),ISNUMBER(SEARCH("centipede",E672)),ISNUMBER(SEARCH("beetle",E672))),"Crawling Insect Control",
OR(ISNUMBER(SEARCH("tree",E672)),ISNUMBER(SEARCH("lantern",E672)),ISNUMBER(SEARCH("garden",E672)),ISNUMBER(SEARCH("plant",E672))),"Garden Pest Control",
OR(ISNUMBER(SEARCH("grass seed",E672)),ISNUMBER(SEARCH("seed mix",E672))),"Grass Seed",
OR(ISNUMBER(SEARCH("lawn food",E672)),ISNUMBER(SEARCH("fertilizer",E672))),"Lawn Fertilizer",
OR(ISNUMBER(SEARCH("patch",E672)),ISNUMBER(SEARCH("repair",E672)),ISNUMBER(SEARCH("thick'r",E672)),ISNUMBER(SEARCH("thick'r lawn",E672)),ISNUMBER(SEARCH("rapid grass",E672))),"Lawn Repair",
OR(ISNUMBER(SEARCH("weed",E672)),ISNUMBER(SEARCH("crabgrass",E672))),"Weed Control",
OR(ISNUMBER(SEARCH("fungicide",E672)),ISNUMBER(SEARCH("moss",E672))),"Disease &amp; Moss Control",
OR(ISNUMBER(SEARCH("plant food",E672)),ISNUMBER(SEARCH("miracid",E672))),"Plant Nutrition",
OR(ISNUMBER(SEARCH("perlite",E672))),"Soil Amendment",
OR(ISNUMBER(SEARCH("spreader",E672)),ISNUMBER(SEARCH("sprayer",E672)),ISNUMBER(SEARCH("mower",E672)),ISNUMBER(SEARCH("sweeper",E672)),ISNUMBER(SEARCH("pruner",E672)),ISNUMBER(SEARCH("trimmer",E672)),ISNUMBER(SEARCH("pole saw",E672))),"Garden Equipment",
TRUE,"Other"
)</f>
        <v>Crawling Insect Control</v>
      </c>
      <c r="I672" s="7" t="str" cm="1">
        <f t="array" ref="I672">_xlfn.IFS(
OR(ISNUMBER(SEARCH("glue trap",E672)),ISNUMBER(SEARCH("glue board",E672))),"Glue Traps",
OR(ISNUMBER(SEARCH("snap trap",E672)),ISNUMBER(SEARCH("power-kill",E672)),ISNUMBER(SEARCH("wide pedal",E672)),ISNUMBER(SEARCH("metal pedal",E672))),"Snap Traps",
OR(ISNUMBER(SEARCH("electronic",E672)),ISNUMBER(SEARCH("zapper",E672))),"Electronic Traps",
OR(ISNUMBER(SEARCH("live catch",E672)),ISNUMBER(SEARCH("multi-catch",E672)),ISNUMBER(SEARCH("catch &amp; hold",E672)),ISNUMBER(SEARCH("tin cat",E672))),"Live Catch Traps",
OR(ISNUMBER(SEARCH("bait",E672)),ISNUMBER(SEARCH("poison",E672))),"Bait &amp; Poison",
ISNUMBER(SEARCH("repellent",E672)),"Repellents",
OR(ISNUMBER(SEARCH("fly trap",E672)),ISNUMBER(SEARCH("fly ribbon",E672)),ISNUMBER(SEARCH("fly stick",E672)),ISNUMBER(SEARCH("window fly",E672)),ISNUMBER(SEARCH("fly magnet",E672))),"Fly Traps",
OR(ISNUMBER(SEARCH("uv",E672)),ISNUMBER(SEARCH("fly light",E672)),ISNUMBER(SEARCH("plug-in",E672))),"UV Fly Traps",
ISNUMBER(SEARCH("roach",E672)),"Roach Traps",
ISNUMBER(SEARCH("ant",E672)),"Ant Traps",
ISNUMBER(SEARCH("spider",E672)),"Spider Traps",
ISNUMBER(SEARCH("mosquito",E672)),"Mosquito Traps",
ISNUMBER(SEARCH("beetle",E672)),"Beetle Traps",
ISNUMBER(SEARCH("lantern",E672)),"Lanternfly Control",
OR(ISNUMBER(SEARCH("tree shield",E672)),ISNUMBER(SEARCH("tree banding",E672)),ISNUMBER(SEARCH("insect barrier",E672))),"Tree Barriers",
OR(ISNUMBER(SEARCH("sun &amp; shade",E672)),ISNUMBER(SEARCH("sun and shade",E672))),"Sun &amp; Shade Mix",
ISNUMBER(SEARCH("tall fescue",E672)),"Tall Fescue",
ISNUMBER(SEARCH("bermudagrass",E672)),"Bermudagrass",
ISNUMBER(SEARCH("kentucky",E672)),"Kentucky Bluegrass",
ISNUMBER(SEARCH("zoysia",E672)),"Zoysia",
ISNUMBER(SEARCH("ryegrass",E672)),"Perennial Ryegrass",
ISNUMBER(SEARCH("centipede",E672)),"Centipede Grass",
ISNUMBER(SEARCH("dense shade",E672)),"Dense Shade Mix",
ISNUMBER(SEARCH("southern gold",E672)),"Southern Gold Mix",
ISNUMBER(SEARCH("heat-tolerant blue",E672)),"Heat-Tolerant Blue Mix",
ISNUMBER(SEARCH("high traffic",E672)),"High Traffic Mix",
ISNUMBER(SEARCH("quick fix",E672)),"Quick Fix Mix",
ISNUMBER(SEARCH("starter",E672)),"Starter Fertilizer",
ISNUMBER(SEARCH("weed &amp; feed",E672)),"Weed &amp; Feed",
ISNUMBER(SEARCH("lawn food",E672)),"Lawn Food",
ISNUMBER(SEARCH("triple action",E672)),"Triple Action Fertilizer",
ISNUMBER(SEARCH("green max",E672)),"Green Max Lawn Food",
ISNUMBER(SEARCH("patchmaster",E672)),"PatchMaster Repair",
ISNUMBER(SEARCH("ez seed",E672)),"EZ Seed Repair",
ISNUMBER(SEARCH("rapid grass",E672)),"Rapid Grass",
ISNUMBER(SEARCH("thick'r lawn",E672)),"Thick'R Lawn",
ISNUMBER(SEARCH("fungicide",E672)),"Fungicide",
ISNUMBER(SEARCH("moss",E672)),"Moss Control",
ISNUMBER(SEARCH("perlite",E672)),"Perlite",
ISNUMBER(SEARCH("plant food",E672)),"Plant Food",
ISNUMBER(SEARCH("spreader",E672)),"Spreader",
ISNUMBER(SEARCH("sprayer",E672)),"Sprayer",
ISNUMBER(SEARCH("mower",E672)),"Lawn Mower",
ISNUMBER(SEARCH("sweeper",E672)),"Lawn Sweeper",
OR(ISNUMBER(SEARCH("pruner",E672)),ISNUMBER(SEARCH("trimmer",E672)),ISNUMBER(SEARCH("pole saw",E672))),"Pruning Tools",
TRUE,"Other"
)</f>
        <v>Ant Traps</v>
      </c>
      <c r="J672" s="7" t="str">
        <f t="shared" si="191"/>
        <v>Crawling Insect Control - Ant Traps</v>
      </c>
      <c r="K672" s="4">
        <v>100</v>
      </c>
      <c r="L672" s="4">
        <v>4.3</v>
      </c>
      <c r="M672" s="4">
        <v>421</v>
      </c>
      <c r="O672" s="4">
        <f>VLOOKUP(A672,[13]Sheet1!$A:$M,2,0)</f>
        <v>100</v>
      </c>
      <c r="P672" s="4">
        <f>VLOOKUP(A672,[13]Sheet1!$A:$M,3,0)</f>
        <v>100</v>
      </c>
      <c r="Q672" s="4">
        <f>VLOOKUP(A672,[13]Sheet1!$A:$M,4,0)</f>
        <v>50</v>
      </c>
      <c r="R672" s="4">
        <f>VLOOKUP(A672,[13]Sheet1!$A:$M,5,0)</f>
        <v>100</v>
      </c>
      <c r="S672" s="4">
        <f>VLOOKUP(A672,[13]Sheet1!$A:$M,6,0)</f>
        <v>100</v>
      </c>
      <c r="T672" s="4">
        <f>VLOOKUP(A672,[13]Sheet1!$A:$M,7,0)</f>
        <v>100</v>
      </c>
      <c r="U672" s="4">
        <f>VLOOKUP(A672,[13]Sheet1!$A:$M,8,0)</f>
        <v>100</v>
      </c>
      <c r="V672" s="4">
        <f>VLOOKUP(A672,[13]Sheet1!$A:$M,9,0)</f>
        <v>100</v>
      </c>
      <c r="W672" s="4">
        <f>VLOOKUP(A672,[13]Sheet1!$A:$M,10,0)</f>
        <v>100</v>
      </c>
      <c r="X672" s="4">
        <f>VLOOKUP(A672,[13]Sheet1!$A:$M,11,0)</f>
        <v>100</v>
      </c>
      <c r="Y672" s="4">
        <f>VLOOKUP(A672,[13]Sheet1!$A:$M,12,0)</f>
        <v>100</v>
      </c>
      <c r="Z672" s="4">
        <f>VLOOKUP(A672,[13]Sheet1!$A:$M,13,0)</f>
        <v>50</v>
      </c>
      <c r="AA672" s="4">
        <f t="shared" si="192"/>
        <v>1100</v>
      </c>
      <c r="AB672" s="7">
        <f t="shared" si="193"/>
        <v>92</v>
      </c>
      <c r="AC672" s="15">
        <f t="shared" si="194"/>
        <v>91.666666666666671</v>
      </c>
      <c r="AD672" s="16">
        <f t="shared" si="195"/>
        <v>10208</v>
      </c>
      <c r="AE672" s="16">
        <f t="shared" si="196"/>
        <v>850.66666666666663</v>
      </c>
      <c r="AF672" s="21">
        <v>3.5</v>
      </c>
      <c r="AG672" s="21">
        <v>9.2799999999999994</v>
      </c>
      <c r="AH672" s="15">
        <f t="shared" si="189"/>
        <v>-5.2533333333333355E-2</v>
      </c>
      <c r="AI672" s="15">
        <f t="shared" si="190"/>
        <v>-0.18386666666666673</v>
      </c>
      <c r="AJ672" s="10">
        <v>0.5</v>
      </c>
      <c r="AK672" s="10">
        <v>0.5</v>
      </c>
      <c r="AL672" s="21">
        <v>3.5</v>
      </c>
      <c r="AM672" s="9">
        <f t="shared" si="197"/>
        <v>1.3919999999999999</v>
      </c>
      <c r="AN672" s="9">
        <f t="shared" si="198"/>
        <v>0.27839999999999998</v>
      </c>
      <c r="AO672" s="9">
        <f t="shared" si="199"/>
        <v>1.8559999999999999</v>
      </c>
      <c r="AP672" s="9">
        <f t="shared" si="200"/>
        <v>0.18559999999999999</v>
      </c>
      <c r="AQ672" s="9">
        <f t="shared" si="201"/>
        <v>1.8559999999999999</v>
      </c>
      <c r="AR672" s="9">
        <f t="shared" si="202"/>
        <v>2.3199999999999998</v>
      </c>
      <c r="AS672" s="11">
        <f t="shared" si="203"/>
        <v>-0.52533333333333354</v>
      </c>
      <c r="AT672" s="12">
        <f t="shared" si="204"/>
        <v>-0.83466666666666678</v>
      </c>
    </row>
    <row r="673" spans="1:46" ht="16.5" x14ac:dyDescent="0.4">
      <c r="A673" s="4" t="s">
        <v>2663</v>
      </c>
      <c r="B673" s="4" t="s">
        <v>2710</v>
      </c>
      <c r="C673" s="4" t="s">
        <v>2725</v>
      </c>
      <c r="D673" s="4" t="s">
        <v>2842</v>
      </c>
      <c r="E673" s="4" t="s">
        <v>3001</v>
      </c>
      <c r="F673" s="4" t="s">
        <v>3160</v>
      </c>
      <c r="G673" s="7" t="str">
        <f>VLOOKUP(A673,[1]done!$A:$I,9,0)</f>
        <v>Rodent</v>
      </c>
      <c r="H673" s="7" t="str" cm="1">
        <f t="array" ref="H673">_xlfn.IFS(
OR(ISNUMBER(SEARCH("mouse",E673)),ISNUMBER(SEARCH("rat",E673)),ISNUMBER(SEARCH("mice",E673)),ISNUMBER(SEARCH("rodent",E673))),"Rodent Control",
OR(ISNUMBER(SEARCH("fly",E673)),ISNUMBER(SEARCH("gnat",E673)),ISNUMBER(SEARCH("insect",E673)),ISNUMBER(SEARCH("mosquito",E673))),"Flying Insect Control",
OR(ISNUMBER(SEARCH("roach",E673)),ISNUMBER(SEARCH("ant",E673)),ISNUMBER(SEARCH("spider",E673)),ISNUMBER(SEARCH("cricket",E673)),ISNUMBER(SEARCH("scorpion",E673)),ISNUMBER(SEARCH("centipede",E673)),ISNUMBER(SEARCH("beetle",E673))),"Crawling Insect Control",
OR(ISNUMBER(SEARCH("tree",E673)),ISNUMBER(SEARCH("lantern",E673)),ISNUMBER(SEARCH("garden",E673)),ISNUMBER(SEARCH("plant",E673))),"Garden Pest Control",
OR(ISNUMBER(SEARCH("grass seed",E673)),ISNUMBER(SEARCH("seed mix",E673))),"Grass Seed",
OR(ISNUMBER(SEARCH("lawn food",E673)),ISNUMBER(SEARCH("fertilizer",E673))),"Lawn Fertilizer",
OR(ISNUMBER(SEARCH("patch",E673)),ISNUMBER(SEARCH("repair",E673)),ISNUMBER(SEARCH("thick'r",E673)),ISNUMBER(SEARCH("thick'r lawn",E673)),ISNUMBER(SEARCH("rapid grass",E673))),"Lawn Repair",
OR(ISNUMBER(SEARCH("weed",E673)),ISNUMBER(SEARCH("crabgrass",E673))),"Weed Control",
OR(ISNUMBER(SEARCH("fungicide",E673)),ISNUMBER(SEARCH("moss",E673))),"Disease &amp; Moss Control",
OR(ISNUMBER(SEARCH("plant food",E673)),ISNUMBER(SEARCH("miracid",E673))),"Plant Nutrition",
OR(ISNUMBER(SEARCH("perlite",E673))),"Soil Amendment",
OR(ISNUMBER(SEARCH("spreader",E673)),ISNUMBER(SEARCH("sprayer",E673)),ISNUMBER(SEARCH("mower",E673)),ISNUMBER(SEARCH("sweeper",E673)),ISNUMBER(SEARCH("pruner",E673)),ISNUMBER(SEARCH("trimmer",E673)),ISNUMBER(SEARCH("pole saw",E673))),"Garden Equipment",
TRUE,"Other"
)</f>
        <v>Rodent Control</v>
      </c>
      <c r="I673" s="7" t="str" cm="1">
        <f t="array" ref="I673">_xlfn.IFS(
OR(ISNUMBER(SEARCH("glue trap",E673)),ISNUMBER(SEARCH("glue board",E673))),"Glue Traps",
OR(ISNUMBER(SEARCH("snap trap",E673)),ISNUMBER(SEARCH("power-kill",E673)),ISNUMBER(SEARCH("wide pedal",E673)),ISNUMBER(SEARCH("metal pedal",E673))),"Snap Traps",
OR(ISNUMBER(SEARCH("electronic",E673)),ISNUMBER(SEARCH("zapper",E673))),"Electronic Traps",
OR(ISNUMBER(SEARCH("live catch",E673)),ISNUMBER(SEARCH("multi-catch",E673)),ISNUMBER(SEARCH("catch &amp; hold",E673)),ISNUMBER(SEARCH("tin cat",E673))),"Live Catch Traps",
OR(ISNUMBER(SEARCH("bait",E673)),ISNUMBER(SEARCH("poison",E673))),"Bait &amp; Poison",
ISNUMBER(SEARCH("repellent",E673)),"Repellents",
OR(ISNUMBER(SEARCH("fly trap",E673)),ISNUMBER(SEARCH("fly ribbon",E673)),ISNUMBER(SEARCH("fly stick",E673)),ISNUMBER(SEARCH("window fly",E673)),ISNUMBER(SEARCH("fly magnet",E673))),"Fly Traps",
OR(ISNUMBER(SEARCH("uv",E673)),ISNUMBER(SEARCH("fly light",E673)),ISNUMBER(SEARCH("plug-in",E673))),"UV Fly Traps",
ISNUMBER(SEARCH("roach",E673)),"Roach Traps",
ISNUMBER(SEARCH("ant",E673)),"Ant Traps",
ISNUMBER(SEARCH("spider",E673)),"Spider Traps",
ISNUMBER(SEARCH("mosquito",E673)),"Mosquito Traps",
ISNUMBER(SEARCH("beetle",E673)),"Beetle Traps",
ISNUMBER(SEARCH("lantern",E673)),"Lanternfly Control",
OR(ISNUMBER(SEARCH("tree shield",E673)),ISNUMBER(SEARCH("tree banding",E673)),ISNUMBER(SEARCH("insect barrier",E673))),"Tree Barriers",
OR(ISNUMBER(SEARCH("sun &amp; shade",E673)),ISNUMBER(SEARCH("sun and shade",E673))),"Sun &amp; Shade Mix",
ISNUMBER(SEARCH("tall fescue",E673)),"Tall Fescue",
ISNUMBER(SEARCH("bermudagrass",E673)),"Bermudagrass",
ISNUMBER(SEARCH("kentucky",E673)),"Kentucky Bluegrass",
ISNUMBER(SEARCH("zoysia",E673)),"Zoysia",
ISNUMBER(SEARCH("ryegrass",E673)),"Perennial Ryegrass",
ISNUMBER(SEARCH("centipede",E673)),"Centipede Grass",
ISNUMBER(SEARCH("dense shade",E673)),"Dense Shade Mix",
ISNUMBER(SEARCH("southern gold",E673)),"Southern Gold Mix",
ISNUMBER(SEARCH("heat-tolerant blue",E673)),"Heat-Tolerant Blue Mix",
ISNUMBER(SEARCH("high traffic",E673)),"High Traffic Mix",
ISNUMBER(SEARCH("quick fix",E673)),"Quick Fix Mix",
ISNUMBER(SEARCH("starter",E673)),"Starter Fertilizer",
ISNUMBER(SEARCH("weed &amp; feed",E673)),"Weed &amp; Feed",
ISNUMBER(SEARCH("lawn food",E673)),"Lawn Food",
ISNUMBER(SEARCH("triple action",E673)),"Triple Action Fertilizer",
ISNUMBER(SEARCH("green max",E673)),"Green Max Lawn Food",
ISNUMBER(SEARCH("patchmaster",E673)),"PatchMaster Repair",
ISNUMBER(SEARCH("ez seed",E673)),"EZ Seed Repair",
ISNUMBER(SEARCH("rapid grass",E673)),"Rapid Grass",
ISNUMBER(SEARCH("thick'r lawn",E673)),"Thick'R Lawn",
ISNUMBER(SEARCH("fungicide",E673)),"Fungicide",
ISNUMBER(SEARCH("moss",E673)),"Moss Control",
ISNUMBER(SEARCH("perlite",E673)),"Perlite",
ISNUMBER(SEARCH("plant food",E673)),"Plant Food",
ISNUMBER(SEARCH("spreader",E673)),"Spreader",
ISNUMBER(SEARCH("sprayer",E673)),"Sprayer",
ISNUMBER(SEARCH("mower",E673)),"Lawn Mower",
ISNUMBER(SEARCH("sweeper",E673)),"Lawn Sweeper",
OR(ISNUMBER(SEARCH("pruner",E673)),ISNUMBER(SEARCH("trimmer",E673)),ISNUMBER(SEARCH("pole saw",E673))),"Pruning Tools",
TRUE,"Other"
)</f>
        <v>Repellents</v>
      </c>
      <c r="J673" s="7" t="str">
        <f t="shared" si="191"/>
        <v>Rodent Control - Repellents</v>
      </c>
      <c r="K673" s="4">
        <v>100</v>
      </c>
      <c r="L673" s="4">
        <v>4.2</v>
      </c>
      <c r="M673" s="4">
        <v>812</v>
      </c>
      <c r="N673" s="4" t="s">
        <v>3249</v>
      </c>
      <c r="O673" s="4">
        <f>VLOOKUP(A673,[13]Sheet1!$A:$M,2,0)</f>
        <v>0</v>
      </c>
      <c r="P673" s="4">
        <f>VLOOKUP(A673,[13]Sheet1!$A:$M,3,0)</f>
        <v>0</v>
      </c>
      <c r="Q673" s="4">
        <f>VLOOKUP(A673,[13]Sheet1!$A:$M,4,0)</f>
        <v>0</v>
      </c>
      <c r="R673" s="4">
        <f>VLOOKUP(A673,[13]Sheet1!$A:$M,5,0)</f>
        <v>0</v>
      </c>
      <c r="S673" s="4">
        <f>VLOOKUP(A673,[13]Sheet1!$A:$M,6,0)</f>
        <v>0</v>
      </c>
      <c r="T673" s="4">
        <f>VLOOKUP(A673,[13]Sheet1!$A:$M,7,0)</f>
        <v>0</v>
      </c>
      <c r="U673" s="4">
        <f>VLOOKUP(A673,[13]Sheet1!$A:$M,8,0)</f>
        <v>0</v>
      </c>
      <c r="V673" s="4">
        <f>VLOOKUP(A673,[13]Sheet1!$A:$M,9,0)</f>
        <v>0</v>
      </c>
      <c r="W673" s="4">
        <f>VLOOKUP(A673,[13]Sheet1!$A:$M,10,0)</f>
        <v>100</v>
      </c>
      <c r="X673" s="4">
        <f>VLOOKUP(A673,[13]Sheet1!$A:$M,11,0)</f>
        <v>100</v>
      </c>
      <c r="Y673" s="4">
        <f>VLOOKUP(A673,[13]Sheet1!$A:$M,12,0)</f>
        <v>100</v>
      </c>
      <c r="Z673" s="4">
        <f>VLOOKUP(A673,[13]Sheet1!$A:$M,13,0)</f>
        <v>50</v>
      </c>
      <c r="AA673" s="4">
        <f t="shared" si="192"/>
        <v>350</v>
      </c>
      <c r="AB673" s="7">
        <f t="shared" si="193"/>
        <v>29</v>
      </c>
      <c r="AC673" s="15">
        <f t="shared" si="194"/>
        <v>29.166666666666668</v>
      </c>
      <c r="AD673" s="16">
        <f t="shared" si="195"/>
        <v>8739.5</v>
      </c>
      <c r="AE673" s="16">
        <f t="shared" si="196"/>
        <v>728.29166666666663</v>
      </c>
      <c r="AF673" s="21">
        <v>5.66</v>
      </c>
      <c r="AG673" s="21">
        <v>24.97</v>
      </c>
      <c r="AH673" s="15">
        <f t="shared" ref="AH673:AH736" si="205">0.1*AS673</f>
        <v>0.22186666666666663</v>
      </c>
      <c r="AI673" s="15">
        <f t="shared" ref="AI673:AI736" si="206">0.35*AS673</f>
        <v>0.77653333333333308</v>
      </c>
      <c r="AJ673" s="10">
        <v>0.5</v>
      </c>
      <c r="AK673" s="10">
        <v>0.5</v>
      </c>
      <c r="AL673" s="21">
        <v>5.66</v>
      </c>
      <c r="AM673" s="9">
        <f t="shared" si="197"/>
        <v>3.7454999999999998</v>
      </c>
      <c r="AN673" s="9">
        <f t="shared" si="198"/>
        <v>0.74909999999999999</v>
      </c>
      <c r="AO673" s="9">
        <f t="shared" si="199"/>
        <v>4.9939999999999998</v>
      </c>
      <c r="AP673" s="9">
        <f t="shared" si="200"/>
        <v>0.49940000000000001</v>
      </c>
      <c r="AQ673" s="9">
        <f t="shared" si="201"/>
        <v>4.9939999999999998</v>
      </c>
      <c r="AR673" s="9">
        <f t="shared" si="202"/>
        <v>6.2424999999999997</v>
      </c>
      <c r="AS673" s="11">
        <f t="shared" si="203"/>
        <v>2.2186666666666661</v>
      </c>
      <c r="AT673" s="12">
        <f t="shared" si="204"/>
        <v>1.386333333333333</v>
      </c>
    </row>
    <row r="674" spans="1:46" ht="16.5" x14ac:dyDescent="0.4">
      <c r="A674" s="4" t="s">
        <v>2664</v>
      </c>
      <c r="B674" s="4" t="s">
        <v>2710</v>
      </c>
      <c r="C674" s="4" t="s">
        <v>2714</v>
      </c>
      <c r="D674" s="4" t="s">
        <v>2843</v>
      </c>
      <c r="E674" s="4" t="s">
        <v>3002</v>
      </c>
      <c r="F674" s="4" t="s">
        <v>3161</v>
      </c>
      <c r="G674" s="7" t="str">
        <f>VLOOKUP(A674,[1]done!$A:$I,9,0)</f>
        <v>Insecticide/Fungicide</v>
      </c>
      <c r="H674" s="7" t="str" cm="1">
        <f t="array" ref="H674">_xlfn.IFS(
OR(ISNUMBER(SEARCH("mouse",E674)),ISNUMBER(SEARCH("rat",E674)),ISNUMBER(SEARCH("mice",E674)),ISNUMBER(SEARCH("rodent",E674))),"Rodent Control",
OR(ISNUMBER(SEARCH("fly",E674)),ISNUMBER(SEARCH("gnat",E674)),ISNUMBER(SEARCH("insect",E674)),ISNUMBER(SEARCH("mosquito",E674))),"Flying Insect Control",
OR(ISNUMBER(SEARCH("roach",E674)),ISNUMBER(SEARCH("ant",E674)),ISNUMBER(SEARCH("spider",E674)),ISNUMBER(SEARCH("cricket",E674)),ISNUMBER(SEARCH("scorpion",E674)),ISNUMBER(SEARCH("centipede",E674)),ISNUMBER(SEARCH("beetle",E674))),"Crawling Insect Control",
OR(ISNUMBER(SEARCH("tree",E674)),ISNUMBER(SEARCH("lantern",E674)),ISNUMBER(SEARCH("garden",E674)),ISNUMBER(SEARCH("plant",E674))),"Garden Pest Control",
OR(ISNUMBER(SEARCH("grass seed",E674)),ISNUMBER(SEARCH("seed mix",E674))),"Grass Seed",
OR(ISNUMBER(SEARCH("lawn food",E674)),ISNUMBER(SEARCH("fertilizer",E674))),"Lawn Fertilizer",
OR(ISNUMBER(SEARCH("patch",E674)),ISNUMBER(SEARCH("repair",E674)),ISNUMBER(SEARCH("thick'r",E674)),ISNUMBER(SEARCH("thick'r lawn",E674)),ISNUMBER(SEARCH("rapid grass",E674))),"Lawn Repair",
OR(ISNUMBER(SEARCH("weed",E674)),ISNUMBER(SEARCH("crabgrass",E674))),"Weed Control",
OR(ISNUMBER(SEARCH("fungicide",E674)),ISNUMBER(SEARCH("moss",E674))),"Disease &amp; Moss Control",
OR(ISNUMBER(SEARCH("plant food",E674)),ISNUMBER(SEARCH("miracid",E674))),"Plant Nutrition",
OR(ISNUMBER(SEARCH("perlite",E674))),"Soil Amendment",
OR(ISNUMBER(SEARCH("spreader",E674)),ISNUMBER(SEARCH("sprayer",E674)),ISNUMBER(SEARCH("mower",E674)),ISNUMBER(SEARCH("sweeper",E674)),ISNUMBER(SEARCH("pruner",E674)),ISNUMBER(SEARCH("trimmer",E674)),ISNUMBER(SEARCH("pole saw",E674))),"Garden Equipment",
TRUE,"Other"
)</f>
        <v>Other</v>
      </c>
      <c r="I674" s="7" t="str" cm="1">
        <f t="array" ref="I674">_xlfn.IFS(
OR(ISNUMBER(SEARCH("glue trap",E674)),ISNUMBER(SEARCH("glue board",E674))),"Glue Traps",
OR(ISNUMBER(SEARCH("snap trap",E674)),ISNUMBER(SEARCH("power-kill",E674)),ISNUMBER(SEARCH("wide pedal",E674)),ISNUMBER(SEARCH("metal pedal",E674))),"Snap Traps",
OR(ISNUMBER(SEARCH("electronic",E674)),ISNUMBER(SEARCH("zapper",E674))),"Electronic Traps",
OR(ISNUMBER(SEARCH("live catch",E674)),ISNUMBER(SEARCH("multi-catch",E674)),ISNUMBER(SEARCH("catch &amp; hold",E674)),ISNUMBER(SEARCH("tin cat",E674))),"Live Catch Traps",
OR(ISNUMBER(SEARCH("bait",E674)),ISNUMBER(SEARCH("poison",E674))),"Bait &amp; Poison",
ISNUMBER(SEARCH("repellent",E674)),"Repellents",
OR(ISNUMBER(SEARCH("fly trap",E674)),ISNUMBER(SEARCH("fly ribbon",E674)),ISNUMBER(SEARCH("fly stick",E674)),ISNUMBER(SEARCH("window fly",E674)),ISNUMBER(SEARCH("fly magnet",E674))),"Fly Traps",
OR(ISNUMBER(SEARCH("uv",E674)),ISNUMBER(SEARCH("fly light",E674)),ISNUMBER(SEARCH("plug-in",E674))),"UV Fly Traps",
ISNUMBER(SEARCH("roach",E674)),"Roach Traps",
ISNUMBER(SEARCH("ant",E674)),"Ant Traps",
ISNUMBER(SEARCH("spider",E674)),"Spider Traps",
ISNUMBER(SEARCH("mosquito",E674)),"Mosquito Traps",
ISNUMBER(SEARCH("beetle",E674)),"Beetle Traps",
ISNUMBER(SEARCH("lantern",E674)),"Lanternfly Control",
OR(ISNUMBER(SEARCH("tree shield",E674)),ISNUMBER(SEARCH("tree banding",E674)),ISNUMBER(SEARCH("insect barrier",E674))),"Tree Barriers",
OR(ISNUMBER(SEARCH("sun &amp; shade",E674)),ISNUMBER(SEARCH("sun and shade",E674))),"Sun &amp; Shade Mix",
ISNUMBER(SEARCH("tall fescue",E674)),"Tall Fescue",
ISNUMBER(SEARCH("bermudagrass",E674)),"Bermudagrass",
ISNUMBER(SEARCH("kentucky",E674)),"Kentucky Bluegrass",
ISNUMBER(SEARCH("zoysia",E674)),"Zoysia",
ISNUMBER(SEARCH("ryegrass",E674)),"Perennial Ryegrass",
ISNUMBER(SEARCH("centipede",E674)),"Centipede Grass",
ISNUMBER(SEARCH("dense shade",E674)),"Dense Shade Mix",
ISNUMBER(SEARCH("southern gold",E674)),"Southern Gold Mix",
ISNUMBER(SEARCH("heat-tolerant blue",E674)),"Heat-Tolerant Blue Mix",
ISNUMBER(SEARCH("high traffic",E674)),"High Traffic Mix",
ISNUMBER(SEARCH("quick fix",E674)),"Quick Fix Mix",
ISNUMBER(SEARCH("starter",E674)),"Starter Fertilizer",
ISNUMBER(SEARCH("weed &amp; feed",E674)),"Weed &amp; Feed",
ISNUMBER(SEARCH("lawn food",E674)),"Lawn Food",
ISNUMBER(SEARCH("triple action",E674)),"Triple Action Fertilizer",
ISNUMBER(SEARCH("green max",E674)),"Green Max Lawn Food",
ISNUMBER(SEARCH("patchmaster",E674)),"PatchMaster Repair",
ISNUMBER(SEARCH("ez seed",E674)),"EZ Seed Repair",
ISNUMBER(SEARCH("rapid grass",E674)),"Rapid Grass",
ISNUMBER(SEARCH("thick'r lawn",E674)),"Thick'R Lawn",
ISNUMBER(SEARCH("fungicide",E674)),"Fungicide",
ISNUMBER(SEARCH("moss",E674)),"Moss Control",
ISNUMBER(SEARCH("perlite",E674)),"Perlite",
ISNUMBER(SEARCH("plant food",E674)),"Plant Food",
ISNUMBER(SEARCH("spreader",E674)),"Spreader",
ISNUMBER(SEARCH("sprayer",E674)),"Sprayer",
ISNUMBER(SEARCH("mower",E674)),"Lawn Mower",
ISNUMBER(SEARCH("sweeper",E674)),"Lawn Sweeper",
OR(ISNUMBER(SEARCH("pruner",E674)),ISNUMBER(SEARCH("trimmer",E674)),ISNUMBER(SEARCH("pole saw",E674))),"Pruning Tools",
TRUE,"Other"
)</f>
        <v>Repellents</v>
      </c>
      <c r="J674" s="7" t="str">
        <f t="shared" si="191"/>
        <v>Other - Repellents</v>
      </c>
      <c r="K674" s="4">
        <v>100</v>
      </c>
      <c r="L674" s="4">
        <v>3.8</v>
      </c>
      <c r="M674" s="4">
        <v>232</v>
      </c>
      <c r="N674" s="4" t="s">
        <v>3233</v>
      </c>
      <c r="O674" s="4">
        <f>VLOOKUP(A674,[13]Sheet1!$A:$M,2,0)</f>
        <v>0</v>
      </c>
      <c r="P674" s="4">
        <f>VLOOKUP(A674,[13]Sheet1!$A:$M,3,0)</f>
        <v>0</v>
      </c>
      <c r="Q674" s="4">
        <f>VLOOKUP(A674,[13]Sheet1!$A:$M,4,0)</f>
        <v>50</v>
      </c>
      <c r="R674" s="4">
        <f>VLOOKUP(A674,[13]Sheet1!$A:$M,5,0)</f>
        <v>50</v>
      </c>
      <c r="S674" s="4">
        <f>VLOOKUP(A674,[13]Sheet1!$A:$M,6,0)</f>
        <v>50</v>
      </c>
      <c r="T674" s="4">
        <f>VLOOKUP(A674,[13]Sheet1!$A:$M,7,0)</f>
        <v>50</v>
      </c>
      <c r="U674" s="4">
        <f>VLOOKUP(A674,[13]Sheet1!$A:$M,8,0)</f>
        <v>100</v>
      </c>
      <c r="V674" s="4">
        <f>VLOOKUP(A674,[13]Sheet1!$A:$M,9,0)</f>
        <v>100</v>
      </c>
      <c r="W674" s="4">
        <f>VLOOKUP(A674,[13]Sheet1!$A:$M,10,0)</f>
        <v>100</v>
      </c>
      <c r="X674" s="4">
        <f>VLOOKUP(A674,[13]Sheet1!$A:$M,11,0)</f>
        <v>100</v>
      </c>
      <c r="Y674" s="4">
        <f>VLOOKUP(A674,[13]Sheet1!$A:$M,12,0)</f>
        <v>50</v>
      </c>
      <c r="Z674" s="4">
        <f>VLOOKUP(A674,[13]Sheet1!$A:$M,13,0)</f>
        <v>50</v>
      </c>
      <c r="AA674" s="4">
        <f t="shared" si="192"/>
        <v>700</v>
      </c>
      <c r="AB674" s="7">
        <f t="shared" si="193"/>
        <v>58</v>
      </c>
      <c r="AC674" s="15">
        <f t="shared" si="194"/>
        <v>58.333333333333336</v>
      </c>
      <c r="AD674" s="16">
        <f t="shared" si="195"/>
        <v>20160</v>
      </c>
      <c r="AE674" s="16">
        <f t="shared" si="196"/>
        <v>1680</v>
      </c>
      <c r="AF674" s="21">
        <v>6.31</v>
      </c>
      <c r="AG674" s="21">
        <v>28.8</v>
      </c>
      <c r="AH674" s="15">
        <f t="shared" si="205"/>
        <v>0.28066666666666679</v>
      </c>
      <c r="AI674" s="15">
        <f t="shared" si="206"/>
        <v>0.98233333333333372</v>
      </c>
      <c r="AJ674" s="10">
        <v>0.5</v>
      </c>
      <c r="AK674" s="10">
        <v>0.5</v>
      </c>
      <c r="AL674" s="21">
        <v>6.31</v>
      </c>
      <c r="AM674" s="9">
        <f t="shared" si="197"/>
        <v>4.32</v>
      </c>
      <c r="AN674" s="9">
        <f t="shared" si="198"/>
        <v>0.86399999999999999</v>
      </c>
      <c r="AO674" s="9">
        <f t="shared" si="199"/>
        <v>5.7600000000000007</v>
      </c>
      <c r="AP674" s="9">
        <f t="shared" si="200"/>
        <v>0.57600000000000007</v>
      </c>
      <c r="AQ674" s="9">
        <f t="shared" si="201"/>
        <v>5.7600000000000007</v>
      </c>
      <c r="AR674" s="9">
        <f t="shared" si="202"/>
        <v>7.2</v>
      </c>
      <c r="AS674" s="11">
        <f t="shared" si="203"/>
        <v>2.806666666666668</v>
      </c>
      <c r="AT674" s="12">
        <f t="shared" si="204"/>
        <v>1.8466666666666682</v>
      </c>
    </row>
    <row r="675" spans="1:46" ht="16.5" x14ac:dyDescent="0.4">
      <c r="A675" s="4" t="s">
        <v>2665</v>
      </c>
      <c r="B675" s="4" t="s">
        <v>2710</v>
      </c>
      <c r="C675" s="4" t="s">
        <v>2712</v>
      </c>
      <c r="D675" s="4" t="s">
        <v>2844</v>
      </c>
      <c r="E675" s="4" t="s">
        <v>3003</v>
      </c>
      <c r="F675" s="4" t="s">
        <v>3162</v>
      </c>
      <c r="G675" s="7" t="str">
        <f>VLOOKUP(A675,[1]done!$A:$I,9,0)</f>
        <v>Weed Control</v>
      </c>
      <c r="H675" s="7" t="str" cm="1">
        <f t="array" ref="H675">_xlfn.IFS(
OR(ISNUMBER(SEARCH("mouse",E675)),ISNUMBER(SEARCH("rat",E675)),ISNUMBER(SEARCH("mice",E675)),ISNUMBER(SEARCH("rodent",E675))),"Rodent Control",
OR(ISNUMBER(SEARCH("fly",E675)),ISNUMBER(SEARCH("gnat",E675)),ISNUMBER(SEARCH("insect",E675)),ISNUMBER(SEARCH("mosquito",E675))),"Flying Insect Control",
OR(ISNUMBER(SEARCH("roach",E675)),ISNUMBER(SEARCH("ant",E675)),ISNUMBER(SEARCH("spider",E675)),ISNUMBER(SEARCH("cricket",E675)),ISNUMBER(SEARCH("scorpion",E675)),ISNUMBER(SEARCH("centipede",E675)),ISNUMBER(SEARCH("beetle",E675))),"Crawling Insect Control",
OR(ISNUMBER(SEARCH("tree",E675)),ISNUMBER(SEARCH("lantern",E675)),ISNUMBER(SEARCH("garden",E675)),ISNUMBER(SEARCH("plant",E675))),"Garden Pest Control",
OR(ISNUMBER(SEARCH("grass seed",E675)),ISNUMBER(SEARCH("seed mix",E675))),"Grass Seed",
OR(ISNUMBER(SEARCH("lawn food",E675)),ISNUMBER(SEARCH("fertilizer",E675))),"Lawn Fertilizer",
OR(ISNUMBER(SEARCH("patch",E675)),ISNUMBER(SEARCH("repair",E675)),ISNUMBER(SEARCH("thick'r",E675)),ISNUMBER(SEARCH("thick'r lawn",E675)),ISNUMBER(SEARCH("rapid grass",E675))),"Lawn Repair",
OR(ISNUMBER(SEARCH("weed",E675)),ISNUMBER(SEARCH("crabgrass",E675))),"Weed Control",
OR(ISNUMBER(SEARCH("fungicide",E675)),ISNUMBER(SEARCH("moss",E675))),"Disease &amp; Moss Control",
OR(ISNUMBER(SEARCH("plant food",E675)),ISNUMBER(SEARCH("miracid",E675))),"Plant Nutrition",
OR(ISNUMBER(SEARCH("perlite",E675))),"Soil Amendment",
OR(ISNUMBER(SEARCH("spreader",E675)),ISNUMBER(SEARCH("sprayer",E675)),ISNUMBER(SEARCH("mower",E675)),ISNUMBER(SEARCH("sweeper",E675)),ISNUMBER(SEARCH("pruner",E675)),ISNUMBER(SEARCH("trimmer",E675)),ISNUMBER(SEARCH("pole saw",E675))),"Garden Equipment",
TRUE,"Other"
)</f>
        <v>Weed Control</v>
      </c>
      <c r="I675" s="7" t="str" cm="1">
        <f t="array" ref="I675">_xlfn.IFS(
OR(ISNUMBER(SEARCH("glue trap",E675)),ISNUMBER(SEARCH("glue board",E675))),"Glue Traps",
OR(ISNUMBER(SEARCH("snap trap",E675)),ISNUMBER(SEARCH("power-kill",E675)),ISNUMBER(SEARCH("wide pedal",E675)),ISNUMBER(SEARCH("metal pedal",E675))),"Snap Traps",
OR(ISNUMBER(SEARCH("electronic",E675)),ISNUMBER(SEARCH("zapper",E675))),"Electronic Traps",
OR(ISNUMBER(SEARCH("live catch",E675)),ISNUMBER(SEARCH("multi-catch",E675)),ISNUMBER(SEARCH("catch &amp; hold",E675)),ISNUMBER(SEARCH("tin cat",E675))),"Live Catch Traps",
OR(ISNUMBER(SEARCH("bait",E675)),ISNUMBER(SEARCH("poison",E675))),"Bait &amp; Poison",
ISNUMBER(SEARCH("repellent",E675)),"Repellents",
OR(ISNUMBER(SEARCH("fly trap",E675)),ISNUMBER(SEARCH("fly ribbon",E675)),ISNUMBER(SEARCH("fly stick",E675)),ISNUMBER(SEARCH("window fly",E675)),ISNUMBER(SEARCH("fly magnet",E675))),"Fly Traps",
OR(ISNUMBER(SEARCH("uv",E675)),ISNUMBER(SEARCH("fly light",E675)),ISNUMBER(SEARCH("plug-in",E675))),"UV Fly Traps",
ISNUMBER(SEARCH("roach",E675)),"Roach Traps",
ISNUMBER(SEARCH("ant",E675)),"Ant Traps",
ISNUMBER(SEARCH("spider",E675)),"Spider Traps",
ISNUMBER(SEARCH("mosquito",E675)),"Mosquito Traps",
ISNUMBER(SEARCH("beetle",E675)),"Beetle Traps",
ISNUMBER(SEARCH("lantern",E675)),"Lanternfly Control",
OR(ISNUMBER(SEARCH("tree shield",E675)),ISNUMBER(SEARCH("tree banding",E675)),ISNUMBER(SEARCH("insect barrier",E675))),"Tree Barriers",
OR(ISNUMBER(SEARCH("sun &amp; shade",E675)),ISNUMBER(SEARCH("sun and shade",E675))),"Sun &amp; Shade Mix",
ISNUMBER(SEARCH("tall fescue",E675)),"Tall Fescue",
ISNUMBER(SEARCH("bermudagrass",E675)),"Bermudagrass",
ISNUMBER(SEARCH("kentucky",E675)),"Kentucky Bluegrass",
ISNUMBER(SEARCH("zoysia",E675)),"Zoysia",
ISNUMBER(SEARCH("ryegrass",E675)),"Perennial Ryegrass",
ISNUMBER(SEARCH("centipede",E675)),"Centipede Grass",
ISNUMBER(SEARCH("dense shade",E675)),"Dense Shade Mix",
ISNUMBER(SEARCH("southern gold",E675)),"Southern Gold Mix",
ISNUMBER(SEARCH("heat-tolerant blue",E675)),"Heat-Tolerant Blue Mix",
ISNUMBER(SEARCH("high traffic",E675)),"High Traffic Mix",
ISNUMBER(SEARCH("quick fix",E675)),"Quick Fix Mix",
ISNUMBER(SEARCH("starter",E675)),"Starter Fertilizer",
ISNUMBER(SEARCH("weed &amp; feed",E675)),"Weed &amp; Feed",
ISNUMBER(SEARCH("lawn food",E675)),"Lawn Food",
ISNUMBER(SEARCH("triple action",E675)),"Triple Action Fertilizer",
ISNUMBER(SEARCH("green max",E675)),"Green Max Lawn Food",
ISNUMBER(SEARCH("patchmaster",E675)),"PatchMaster Repair",
ISNUMBER(SEARCH("ez seed",E675)),"EZ Seed Repair",
ISNUMBER(SEARCH("rapid grass",E675)),"Rapid Grass",
ISNUMBER(SEARCH("thick'r lawn",E675)),"Thick'R Lawn",
ISNUMBER(SEARCH("fungicide",E675)),"Fungicide",
ISNUMBER(SEARCH("moss",E675)),"Moss Control",
ISNUMBER(SEARCH("perlite",E675)),"Perlite",
ISNUMBER(SEARCH("plant food",E675)),"Plant Food",
ISNUMBER(SEARCH("spreader",E675)),"Spreader",
ISNUMBER(SEARCH("sprayer",E675)),"Sprayer",
ISNUMBER(SEARCH("mower",E675)),"Lawn Mower",
ISNUMBER(SEARCH("sweeper",E675)),"Lawn Sweeper",
OR(ISNUMBER(SEARCH("pruner",E675)),ISNUMBER(SEARCH("trimmer",E675)),ISNUMBER(SEARCH("pole saw",E675))),"Pruning Tools",
TRUE,"Other"
)</f>
        <v>Other</v>
      </c>
      <c r="J675" s="7" t="str">
        <f t="shared" si="191"/>
        <v>Weed Control - Other</v>
      </c>
      <c r="K675" s="4">
        <v>100</v>
      </c>
      <c r="L675" s="4">
        <v>3.5</v>
      </c>
      <c r="M675" s="4">
        <v>86</v>
      </c>
      <c r="N675" s="4" t="s">
        <v>1400</v>
      </c>
      <c r="O675" s="4">
        <f>VLOOKUP(A675,[13]Sheet1!$A:$M,2,0)</f>
        <v>0</v>
      </c>
      <c r="P675" s="4">
        <f>VLOOKUP(A675,[13]Sheet1!$A:$M,3,0)</f>
        <v>0</v>
      </c>
      <c r="Q675" s="4">
        <f>VLOOKUP(A675,[13]Sheet1!$A:$M,4,0)</f>
        <v>100</v>
      </c>
      <c r="R675" s="4">
        <f>VLOOKUP(A675,[13]Sheet1!$A:$M,5,0)</f>
        <v>200</v>
      </c>
      <c r="S675" s="4">
        <f>VLOOKUP(A675,[13]Sheet1!$A:$M,6,0)</f>
        <v>400</v>
      </c>
      <c r="T675" s="4">
        <f>VLOOKUP(A675,[13]Sheet1!$A:$M,7,0)</f>
        <v>400</v>
      </c>
      <c r="U675" s="4">
        <f>VLOOKUP(A675,[13]Sheet1!$A:$M,8,0)</f>
        <v>200</v>
      </c>
      <c r="V675" s="4">
        <f>VLOOKUP(A675,[13]Sheet1!$A:$M,9,0)</f>
        <v>100</v>
      </c>
      <c r="W675" s="4">
        <f>VLOOKUP(A675,[13]Sheet1!$A:$M,10,0)</f>
        <v>100</v>
      </c>
      <c r="X675" s="4">
        <f>VLOOKUP(A675,[13]Sheet1!$A:$M,11,0)</f>
        <v>50</v>
      </c>
      <c r="Y675" s="4">
        <f>VLOOKUP(A675,[13]Sheet1!$A:$M,12,0)</f>
        <v>0</v>
      </c>
      <c r="Z675" s="4">
        <f>VLOOKUP(A675,[13]Sheet1!$A:$M,13,0)</f>
        <v>0</v>
      </c>
      <c r="AA675" s="4">
        <f t="shared" si="192"/>
        <v>1550</v>
      </c>
      <c r="AB675" s="7">
        <f t="shared" si="193"/>
        <v>129</v>
      </c>
      <c r="AC675" s="15">
        <f t="shared" si="194"/>
        <v>129.16666666666666</v>
      </c>
      <c r="AD675" s="16">
        <f t="shared" si="195"/>
        <v>39509.5</v>
      </c>
      <c r="AE675" s="16">
        <f t="shared" si="196"/>
        <v>3292.458333333333</v>
      </c>
      <c r="AF675" s="21">
        <v>7.3</v>
      </c>
      <c r="AG675" s="21">
        <v>25.49</v>
      </c>
      <c r="AH675" s="15">
        <f t="shared" si="205"/>
        <v>0.12639999999999993</v>
      </c>
      <c r="AI675" s="15">
        <f t="shared" si="206"/>
        <v>0.44239999999999974</v>
      </c>
      <c r="AJ675" s="10">
        <v>0.5</v>
      </c>
      <c r="AK675" s="10">
        <v>0.5</v>
      </c>
      <c r="AL675" s="21">
        <v>7.3</v>
      </c>
      <c r="AM675" s="9">
        <f t="shared" si="197"/>
        <v>3.8234999999999997</v>
      </c>
      <c r="AN675" s="9">
        <f t="shared" si="198"/>
        <v>0.76469999999999994</v>
      </c>
      <c r="AO675" s="9">
        <f t="shared" si="199"/>
        <v>5.0979999999999999</v>
      </c>
      <c r="AP675" s="9">
        <f t="shared" si="200"/>
        <v>0.50980000000000003</v>
      </c>
      <c r="AQ675" s="9">
        <f t="shared" si="201"/>
        <v>5.0979999999999999</v>
      </c>
      <c r="AR675" s="9">
        <f t="shared" si="202"/>
        <v>6.3724999999999996</v>
      </c>
      <c r="AS675" s="11">
        <f t="shared" si="203"/>
        <v>1.2639999999999993</v>
      </c>
      <c r="AT675" s="12">
        <f t="shared" si="204"/>
        <v>0.41433333333333283</v>
      </c>
    </row>
    <row r="676" spans="1:46" ht="16.5" x14ac:dyDescent="0.4">
      <c r="A676" s="4" t="s">
        <v>2666</v>
      </c>
      <c r="B676" s="4" t="s">
        <v>2710</v>
      </c>
      <c r="C676" s="4" t="s">
        <v>2710</v>
      </c>
      <c r="D676" s="4" t="s">
        <v>2845</v>
      </c>
      <c r="E676" s="4" t="s">
        <v>3004</v>
      </c>
      <c r="F676" s="4" t="s">
        <v>3163</v>
      </c>
      <c r="G676" s="7" t="str">
        <f>VLOOKUP(A676,[1]done!$A:$I,9,0)</f>
        <v>Insecticide/Fungicide</v>
      </c>
      <c r="H676" s="7" t="str" cm="1">
        <f t="array" ref="H676">_xlfn.IFS(
OR(ISNUMBER(SEARCH("mouse",E676)),ISNUMBER(SEARCH("rat",E676)),ISNUMBER(SEARCH("mice",E676)),ISNUMBER(SEARCH("rodent",E676))),"Rodent Control",
OR(ISNUMBER(SEARCH("fly",E676)),ISNUMBER(SEARCH("gnat",E676)),ISNUMBER(SEARCH("insect",E676)),ISNUMBER(SEARCH("mosquito",E676))),"Flying Insect Control",
OR(ISNUMBER(SEARCH("roach",E676)),ISNUMBER(SEARCH("ant",E676)),ISNUMBER(SEARCH("spider",E676)),ISNUMBER(SEARCH("cricket",E676)),ISNUMBER(SEARCH("scorpion",E676)),ISNUMBER(SEARCH("centipede",E676)),ISNUMBER(SEARCH("beetle",E676))),"Crawling Insect Control",
OR(ISNUMBER(SEARCH("tree",E676)),ISNUMBER(SEARCH("lantern",E676)),ISNUMBER(SEARCH("garden",E676)),ISNUMBER(SEARCH("plant",E676))),"Garden Pest Control",
OR(ISNUMBER(SEARCH("grass seed",E676)),ISNUMBER(SEARCH("seed mix",E676))),"Grass Seed",
OR(ISNUMBER(SEARCH("lawn food",E676)),ISNUMBER(SEARCH("fertilizer",E676))),"Lawn Fertilizer",
OR(ISNUMBER(SEARCH("patch",E676)),ISNUMBER(SEARCH("repair",E676)),ISNUMBER(SEARCH("thick'r",E676)),ISNUMBER(SEARCH("thick'r lawn",E676)),ISNUMBER(SEARCH("rapid grass",E676))),"Lawn Repair",
OR(ISNUMBER(SEARCH("weed",E676)),ISNUMBER(SEARCH("crabgrass",E676))),"Weed Control",
OR(ISNUMBER(SEARCH("fungicide",E676)),ISNUMBER(SEARCH("moss",E676))),"Disease &amp; Moss Control",
OR(ISNUMBER(SEARCH("plant food",E676)),ISNUMBER(SEARCH("miracid",E676))),"Plant Nutrition",
OR(ISNUMBER(SEARCH("perlite",E676))),"Soil Amendment",
OR(ISNUMBER(SEARCH("spreader",E676)),ISNUMBER(SEARCH("sprayer",E676)),ISNUMBER(SEARCH("mower",E676)),ISNUMBER(SEARCH("sweeper",E676)),ISNUMBER(SEARCH("pruner",E676)),ISNUMBER(SEARCH("trimmer",E676)),ISNUMBER(SEARCH("pole saw",E676))),"Garden Equipment",
TRUE,"Other"
)</f>
        <v>Rodent Control</v>
      </c>
      <c r="I676" s="7" t="str" cm="1">
        <f t="array" ref="I676">_xlfn.IFS(
OR(ISNUMBER(SEARCH("glue trap",E676)),ISNUMBER(SEARCH("glue board",E676))),"Glue Traps",
OR(ISNUMBER(SEARCH("snap trap",E676)),ISNUMBER(SEARCH("power-kill",E676)),ISNUMBER(SEARCH("wide pedal",E676)),ISNUMBER(SEARCH("metal pedal",E676))),"Snap Traps",
OR(ISNUMBER(SEARCH("electronic",E676)),ISNUMBER(SEARCH("zapper",E676))),"Electronic Traps",
OR(ISNUMBER(SEARCH("live catch",E676)),ISNUMBER(SEARCH("multi-catch",E676)),ISNUMBER(SEARCH("catch &amp; hold",E676)),ISNUMBER(SEARCH("tin cat",E676))),"Live Catch Traps",
OR(ISNUMBER(SEARCH("bait",E676)),ISNUMBER(SEARCH("poison",E676))),"Bait &amp; Poison",
ISNUMBER(SEARCH("repellent",E676)),"Repellents",
OR(ISNUMBER(SEARCH("fly trap",E676)),ISNUMBER(SEARCH("fly ribbon",E676)),ISNUMBER(SEARCH("fly stick",E676)),ISNUMBER(SEARCH("window fly",E676)),ISNUMBER(SEARCH("fly magnet",E676))),"Fly Traps",
OR(ISNUMBER(SEARCH("uv",E676)),ISNUMBER(SEARCH("fly light",E676)),ISNUMBER(SEARCH("plug-in",E676))),"UV Fly Traps",
ISNUMBER(SEARCH("roach",E676)),"Roach Traps",
ISNUMBER(SEARCH("ant",E676)),"Ant Traps",
ISNUMBER(SEARCH("spider",E676)),"Spider Traps",
ISNUMBER(SEARCH("mosquito",E676)),"Mosquito Traps",
ISNUMBER(SEARCH("beetle",E676)),"Beetle Traps",
ISNUMBER(SEARCH("lantern",E676)),"Lanternfly Control",
OR(ISNUMBER(SEARCH("tree shield",E676)),ISNUMBER(SEARCH("tree banding",E676)),ISNUMBER(SEARCH("insect barrier",E676))),"Tree Barriers",
OR(ISNUMBER(SEARCH("sun &amp; shade",E676)),ISNUMBER(SEARCH("sun and shade",E676))),"Sun &amp; Shade Mix",
ISNUMBER(SEARCH("tall fescue",E676)),"Tall Fescue",
ISNUMBER(SEARCH("bermudagrass",E676)),"Bermudagrass",
ISNUMBER(SEARCH("kentucky",E676)),"Kentucky Bluegrass",
ISNUMBER(SEARCH("zoysia",E676)),"Zoysia",
ISNUMBER(SEARCH("ryegrass",E676)),"Perennial Ryegrass",
ISNUMBER(SEARCH("centipede",E676)),"Centipede Grass",
ISNUMBER(SEARCH("dense shade",E676)),"Dense Shade Mix",
ISNUMBER(SEARCH("southern gold",E676)),"Southern Gold Mix",
ISNUMBER(SEARCH("heat-tolerant blue",E676)),"Heat-Tolerant Blue Mix",
ISNUMBER(SEARCH("high traffic",E676)),"High Traffic Mix",
ISNUMBER(SEARCH("quick fix",E676)),"Quick Fix Mix",
ISNUMBER(SEARCH("starter",E676)),"Starter Fertilizer",
ISNUMBER(SEARCH("weed &amp; feed",E676)),"Weed &amp; Feed",
ISNUMBER(SEARCH("lawn food",E676)),"Lawn Food",
ISNUMBER(SEARCH("triple action",E676)),"Triple Action Fertilizer",
ISNUMBER(SEARCH("green max",E676)),"Green Max Lawn Food",
ISNUMBER(SEARCH("patchmaster",E676)),"PatchMaster Repair",
ISNUMBER(SEARCH("ez seed",E676)),"EZ Seed Repair",
ISNUMBER(SEARCH("rapid grass",E676)),"Rapid Grass",
ISNUMBER(SEARCH("thick'r lawn",E676)),"Thick'R Lawn",
ISNUMBER(SEARCH("fungicide",E676)),"Fungicide",
ISNUMBER(SEARCH("moss",E676)),"Moss Control",
ISNUMBER(SEARCH("perlite",E676)),"Perlite",
ISNUMBER(SEARCH("plant food",E676)),"Plant Food",
ISNUMBER(SEARCH("spreader",E676)),"Spreader",
ISNUMBER(SEARCH("sprayer",E676)),"Sprayer",
ISNUMBER(SEARCH("mower",E676)),"Lawn Mower",
ISNUMBER(SEARCH("sweeper",E676)),"Lawn Sweeper",
OR(ISNUMBER(SEARCH("pruner",E676)),ISNUMBER(SEARCH("trimmer",E676)),ISNUMBER(SEARCH("pole saw",E676))),"Pruning Tools",
TRUE,"Other"
)</f>
        <v>Other</v>
      </c>
      <c r="J676" s="7" t="str">
        <f t="shared" si="191"/>
        <v>Rodent Control - Other</v>
      </c>
      <c r="K676" s="4">
        <v>100</v>
      </c>
      <c r="L676" s="4">
        <v>4</v>
      </c>
      <c r="M676" s="4">
        <v>18</v>
      </c>
      <c r="N676" s="4" t="s">
        <v>1400</v>
      </c>
      <c r="O676" s="4">
        <f>VLOOKUP(A676,[13]Sheet1!$A:$M,2,0)</f>
        <v>0</v>
      </c>
      <c r="P676" s="4">
        <f>VLOOKUP(A676,[13]Sheet1!$A:$M,3,0)</f>
        <v>0</v>
      </c>
      <c r="Q676" s="4">
        <f>VLOOKUP(A676,[13]Sheet1!$A:$M,4,0)</f>
        <v>0</v>
      </c>
      <c r="R676" s="4">
        <f>VLOOKUP(A676,[13]Sheet1!$A:$M,5,0)</f>
        <v>0</v>
      </c>
      <c r="S676" s="4">
        <f>VLOOKUP(A676,[13]Sheet1!$A:$M,6,0)</f>
        <v>50</v>
      </c>
      <c r="T676" s="4">
        <f>VLOOKUP(A676,[13]Sheet1!$A:$M,7,0)</f>
        <v>0</v>
      </c>
      <c r="U676" s="4">
        <f>VLOOKUP(A676,[13]Sheet1!$A:$M,8,0)</f>
        <v>0</v>
      </c>
      <c r="V676" s="4">
        <f>VLOOKUP(A676,[13]Sheet1!$A:$M,9,0)</f>
        <v>50</v>
      </c>
      <c r="W676" s="4">
        <f>VLOOKUP(A676,[13]Sheet1!$A:$M,10,0)</f>
        <v>100</v>
      </c>
      <c r="X676" s="4">
        <f>VLOOKUP(A676,[13]Sheet1!$A:$M,11,0)</f>
        <v>0</v>
      </c>
      <c r="Y676" s="4">
        <f>VLOOKUP(A676,[13]Sheet1!$A:$M,12,0)</f>
        <v>0</v>
      </c>
      <c r="Z676" s="4">
        <f>VLOOKUP(A676,[13]Sheet1!$A:$M,13,0)</f>
        <v>0</v>
      </c>
      <c r="AA676" s="4">
        <f t="shared" si="192"/>
        <v>200</v>
      </c>
      <c r="AB676" s="7">
        <f t="shared" si="193"/>
        <v>17</v>
      </c>
      <c r="AC676" s="15">
        <f t="shared" si="194"/>
        <v>16.666666666666668</v>
      </c>
      <c r="AD676" s="16">
        <f t="shared" si="195"/>
        <v>2998</v>
      </c>
      <c r="AE676" s="16">
        <f t="shared" si="196"/>
        <v>249.83333333333334</v>
      </c>
      <c r="AF676" s="21">
        <v>8.9499999999999993</v>
      </c>
      <c r="AG676" s="21">
        <v>14.99</v>
      </c>
      <c r="AH676" s="15">
        <f t="shared" si="205"/>
        <v>-0.2636</v>
      </c>
      <c r="AI676" s="15">
        <f t="shared" si="206"/>
        <v>-0.92259999999999986</v>
      </c>
      <c r="AJ676" s="10">
        <v>0.5</v>
      </c>
      <c r="AK676" s="10">
        <v>0.5</v>
      </c>
      <c r="AL676" s="21">
        <v>8.9499999999999993</v>
      </c>
      <c r="AM676" s="9">
        <f t="shared" si="197"/>
        <v>2.2484999999999999</v>
      </c>
      <c r="AN676" s="9">
        <f t="shared" si="198"/>
        <v>0.44969999999999999</v>
      </c>
      <c r="AO676" s="9">
        <f t="shared" si="199"/>
        <v>2.9980000000000002</v>
      </c>
      <c r="AP676" s="9">
        <f t="shared" si="200"/>
        <v>0.29980000000000001</v>
      </c>
      <c r="AQ676" s="9">
        <f t="shared" si="201"/>
        <v>2.9980000000000002</v>
      </c>
      <c r="AR676" s="9">
        <f t="shared" si="202"/>
        <v>3.7475000000000001</v>
      </c>
      <c r="AS676" s="11">
        <f t="shared" si="203"/>
        <v>-2.6359999999999997</v>
      </c>
      <c r="AT676" s="12">
        <f t="shared" si="204"/>
        <v>-3.1356666666666668</v>
      </c>
    </row>
    <row r="677" spans="1:46" ht="16.5" x14ac:dyDescent="0.4">
      <c r="A677" s="4" t="s">
        <v>2667</v>
      </c>
      <c r="B677" s="4" t="s">
        <v>2710</v>
      </c>
      <c r="C677" s="4" t="s">
        <v>1797</v>
      </c>
      <c r="D677" s="4" t="s">
        <v>2846</v>
      </c>
      <c r="E677" s="4" t="s">
        <v>3005</v>
      </c>
      <c r="F677" s="4" t="s">
        <v>3164</v>
      </c>
      <c r="G677" s="7" t="str">
        <f>VLOOKUP(A677,[1]done!$A:$I,9,0)</f>
        <v>Insecticide/Fungicide</v>
      </c>
      <c r="H677" s="7" t="str" cm="1">
        <f t="array" ref="H677">_xlfn.IFS(
OR(ISNUMBER(SEARCH("mouse",E677)),ISNUMBER(SEARCH("rat",E677)),ISNUMBER(SEARCH("mice",E677)),ISNUMBER(SEARCH("rodent",E677))),"Rodent Control",
OR(ISNUMBER(SEARCH("fly",E677)),ISNUMBER(SEARCH("gnat",E677)),ISNUMBER(SEARCH("insect",E677)),ISNUMBER(SEARCH("mosquito",E677))),"Flying Insect Control",
OR(ISNUMBER(SEARCH("roach",E677)),ISNUMBER(SEARCH("ant",E677)),ISNUMBER(SEARCH("spider",E677)),ISNUMBER(SEARCH("cricket",E677)),ISNUMBER(SEARCH("scorpion",E677)),ISNUMBER(SEARCH("centipede",E677)),ISNUMBER(SEARCH("beetle",E677))),"Crawling Insect Control",
OR(ISNUMBER(SEARCH("tree",E677)),ISNUMBER(SEARCH("lantern",E677)),ISNUMBER(SEARCH("garden",E677)),ISNUMBER(SEARCH("plant",E677))),"Garden Pest Control",
OR(ISNUMBER(SEARCH("grass seed",E677)),ISNUMBER(SEARCH("seed mix",E677))),"Grass Seed",
OR(ISNUMBER(SEARCH("lawn food",E677)),ISNUMBER(SEARCH("fertilizer",E677))),"Lawn Fertilizer",
OR(ISNUMBER(SEARCH("patch",E677)),ISNUMBER(SEARCH("repair",E677)),ISNUMBER(SEARCH("thick'r",E677)),ISNUMBER(SEARCH("thick'r lawn",E677)),ISNUMBER(SEARCH("rapid grass",E677))),"Lawn Repair",
OR(ISNUMBER(SEARCH("weed",E677)),ISNUMBER(SEARCH("crabgrass",E677))),"Weed Control",
OR(ISNUMBER(SEARCH("fungicide",E677)),ISNUMBER(SEARCH("moss",E677))),"Disease &amp; Moss Control",
OR(ISNUMBER(SEARCH("plant food",E677)),ISNUMBER(SEARCH("miracid",E677))),"Plant Nutrition",
OR(ISNUMBER(SEARCH("perlite",E677))),"Soil Amendment",
OR(ISNUMBER(SEARCH("spreader",E677)),ISNUMBER(SEARCH("sprayer",E677)),ISNUMBER(SEARCH("mower",E677)),ISNUMBER(SEARCH("sweeper",E677)),ISNUMBER(SEARCH("pruner",E677)),ISNUMBER(SEARCH("trimmer",E677)),ISNUMBER(SEARCH("pole saw",E677))),"Garden Equipment",
TRUE,"Other"
)</f>
        <v>Flying Insect Control</v>
      </c>
      <c r="I677" s="7" t="str" cm="1">
        <f t="array" ref="I677">_xlfn.IFS(
OR(ISNUMBER(SEARCH("glue trap",E677)),ISNUMBER(SEARCH("glue board",E677))),"Glue Traps",
OR(ISNUMBER(SEARCH("snap trap",E677)),ISNUMBER(SEARCH("power-kill",E677)),ISNUMBER(SEARCH("wide pedal",E677)),ISNUMBER(SEARCH("metal pedal",E677))),"Snap Traps",
OR(ISNUMBER(SEARCH("electronic",E677)),ISNUMBER(SEARCH("zapper",E677))),"Electronic Traps",
OR(ISNUMBER(SEARCH("live catch",E677)),ISNUMBER(SEARCH("multi-catch",E677)),ISNUMBER(SEARCH("catch &amp; hold",E677)),ISNUMBER(SEARCH("tin cat",E677))),"Live Catch Traps",
OR(ISNUMBER(SEARCH("bait",E677)),ISNUMBER(SEARCH("poison",E677))),"Bait &amp; Poison",
ISNUMBER(SEARCH("repellent",E677)),"Repellents",
OR(ISNUMBER(SEARCH("fly trap",E677)),ISNUMBER(SEARCH("fly ribbon",E677)),ISNUMBER(SEARCH("fly stick",E677)),ISNUMBER(SEARCH("window fly",E677)),ISNUMBER(SEARCH("fly magnet",E677))),"Fly Traps",
OR(ISNUMBER(SEARCH("uv",E677)),ISNUMBER(SEARCH("fly light",E677)),ISNUMBER(SEARCH("plug-in",E677))),"UV Fly Traps",
ISNUMBER(SEARCH("roach",E677)),"Roach Traps",
ISNUMBER(SEARCH("ant",E677)),"Ant Traps",
ISNUMBER(SEARCH("spider",E677)),"Spider Traps",
ISNUMBER(SEARCH("mosquito",E677)),"Mosquito Traps",
ISNUMBER(SEARCH("beetle",E677)),"Beetle Traps",
ISNUMBER(SEARCH("lantern",E677)),"Lanternfly Control",
OR(ISNUMBER(SEARCH("tree shield",E677)),ISNUMBER(SEARCH("tree banding",E677)),ISNUMBER(SEARCH("insect barrier",E677))),"Tree Barriers",
OR(ISNUMBER(SEARCH("sun &amp; shade",E677)),ISNUMBER(SEARCH("sun and shade",E677))),"Sun &amp; Shade Mix",
ISNUMBER(SEARCH("tall fescue",E677)),"Tall Fescue",
ISNUMBER(SEARCH("bermudagrass",E677)),"Bermudagrass",
ISNUMBER(SEARCH("kentucky",E677)),"Kentucky Bluegrass",
ISNUMBER(SEARCH("zoysia",E677)),"Zoysia",
ISNUMBER(SEARCH("ryegrass",E677)),"Perennial Ryegrass",
ISNUMBER(SEARCH("centipede",E677)),"Centipede Grass",
ISNUMBER(SEARCH("dense shade",E677)),"Dense Shade Mix",
ISNUMBER(SEARCH("southern gold",E677)),"Southern Gold Mix",
ISNUMBER(SEARCH("heat-tolerant blue",E677)),"Heat-Tolerant Blue Mix",
ISNUMBER(SEARCH("high traffic",E677)),"High Traffic Mix",
ISNUMBER(SEARCH("quick fix",E677)),"Quick Fix Mix",
ISNUMBER(SEARCH("starter",E677)),"Starter Fertilizer",
ISNUMBER(SEARCH("weed &amp; feed",E677)),"Weed &amp; Feed",
ISNUMBER(SEARCH("lawn food",E677)),"Lawn Food",
ISNUMBER(SEARCH("triple action",E677)),"Triple Action Fertilizer",
ISNUMBER(SEARCH("green max",E677)),"Green Max Lawn Food",
ISNUMBER(SEARCH("patchmaster",E677)),"PatchMaster Repair",
ISNUMBER(SEARCH("ez seed",E677)),"EZ Seed Repair",
ISNUMBER(SEARCH("rapid grass",E677)),"Rapid Grass",
ISNUMBER(SEARCH("thick'r lawn",E677)),"Thick'R Lawn",
ISNUMBER(SEARCH("fungicide",E677)),"Fungicide",
ISNUMBER(SEARCH("moss",E677)),"Moss Control",
ISNUMBER(SEARCH("perlite",E677)),"Perlite",
ISNUMBER(SEARCH("plant food",E677)),"Plant Food",
ISNUMBER(SEARCH("spreader",E677)),"Spreader",
ISNUMBER(SEARCH("sprayer",E677)),"Sprayer",
ISNUMBER(SEARCH("mower",E677)),"Lawn Mower",
ISNUMBER(SEARCH("sweeper",E677)),"Lawn Sweeper",
OR(ISNUMBER(SEARCH("pruner",E677)),ISNUMBER(SEARCH("trimmer",E677)),ISNUMBER(SEARCH("pole saw",E677))),"Pruning Tools",
TRUE,"Other"
)</f>
        <v>Other</v>
      </c>
      <c r="J677" s="7" t="str">
        <f t="shared" si="191"/>
        <v>Flying Insect Control - Other</v>
      </c>
      <c r="K677" s="4">
        <v>100</v>
      </c>
      <c r="L677" s="4">
        <v>4.4000000000000004</v>
      </c>
      <c r="M677" s="4">
        <v>202</v>
      </c>
      <c r="N677" s="4" t="s">
        <v>1400</v>
      </c>
      <c r="O677" s="4">
        <f>VLOOKUP(A677,[13]Sheet1!$A:$M,2,0)</f>
        <v>0</v>
      </c>
      <c r="P677" s="4">
        <f>VLOOKUP(A677,[13]Sheet1!$A:$M,3,0)</f>
        <v>0</v>
      </c>
      <c r="Q677" s="4">
        <f>VLOOKUP(A677,[13]Sheet1!$A:$M,4,0)</f>
        <v>50</v>
      </c>
      <c r="R677" s="4">
        <f>VLOOKUP(A677,[13]Sheet1!$A:$M,5,0)</f>
        <v>50</v>
      </c>
      <c r="S677" s="4">
        <f>VLOOKUP(A677,[13]Sheet1!$A:$M,6,0)</f>
        <v>100</v>
      </c>
      <c r="T677" s="4">
        <f>VLOOKUP(A677,[13]Sheet1!$A:$M,7,0)</f>
        <v>100</v>
      </c>
      <c r="U677" s="4">
        <f>VLOOKUP(A677,[13]Sheet1!$A:$M,8,0)</f>
        <v>100</v>
      </c>
      <c r="V677" s="4">
        <f>VLOOKUP(A677,[13]Sheet1!$A:$M,9,0)</f>
        <v>200</v>
      </c>
      <c r="W677" s="4">
        <f>VLOOKUP(A677,[13]Sheet1!$A:$M,10,0)</f>
        <v>100</v>
      </c>
      <c r="X677" s="4">
        <f>VLOOKUP(A677,[13]Sheet1!$A:$M,11,0)</f>
        <v>0</v>
      </c>
      <c r="Y677" s="4">
        <f>VLOOKUP(A677,[13]Sheet1!$A:$M,12,0)</f>
        <v>0</v>
      </c>
      <c r="Z677" s="4">
        <f>VLOOKUP(A677,[13]Sheet1!$A:$M,13,0)</f>
        <v>0</v>
      </c>
      <c r="AA677" s="4">
        <f t="shared" si="192"/>
        <v>700</v>
      </c>
      <c r="AB677" s="7">
        <f t="shared" si="193"/>
        <v>58</v>
      </c>
      <c r="AC677" s="15">
        <f t="shared" si="194"/>
        <v>58.333333333333336</v>
      </c>
      <c r="AD677" s="16">
        <f t="shared" si="195"/>
        <v>16072</v>
      </c>
      <c r="AE677" s="16">
        <f t="shared" si="196"/>
        <v>1339.3333333333335</v>
      </c>
      <c r="AF677" s="21">
        <v>6.31</v>
      </c>
      <c r="AG677" s="21">
        <v>22.96</v>
      </c>
      <c r="AH677" s="15">
        <f t="shared" si="205"/>
        <v>0.12493333333333333</v>
      </c>
      <c r="AI677" s="15">
        <f t="shared" si="206"/>
        <v>0.43726666666666658</v>
      </c>
      <c r="AJ677" s="10">
        <v>0.5</v>
      </c>
      <c r="AK677" s="10">
        <v>0.5</v>
      </c>
      <c r="AL677" s="21">
        <v>6.31</v>
      </c>
      <c r="AM677" s="9">
        <f t="shared" si="197"/>
        <v>3.444</v>
      </c>
      <c r="AN677" s="9">
        <f t="shared" si="198"/>
        <v>0.68879999999999997</v>
      </c>
      <c r="AO677" s="9">
        <f t="shared" si="199"/>
        <v>4.5920000000000005</v>
      </c>
      <c r="AP677" s="9">
        <f t="shared" si="200"/>
        <v>0.45920000000000005</v>
      </c>
      <c r="AQ677" s="9">
        <f t="shared" si="201"/>
        <v>4.5920000000000005</v>
      </c>
      <c r="AR677" s="9">
        <f t="shared" si="202"/>
        <v>5.74</v>
      </c>
      <c r="AS677" s="11">
        <f t="shared" si="203"/>
        <v>1.2493333333333332</v>
      </c>
      <c r="AT677" s="12">
        <f t="shared" si="204"/>
        <v>0.48399999999999999</v>
      </c>
    </row>
    <row r="678" spans="1:46" ht="16.5" x14ac:dyDescent="0.4">
      <c r="A678" s="4" t="s">
        <v>2668</v>
      </c>
      <c r="B678" s="4" t="s">
        <v>2710</v>
      </c>
      <c r="C678" s="4" t="s">
        <v>2712</v>
      </c>
      <c r="D678" s="4" t="s">
        <v>2847</v>
      </c>
      <c r="E678" s="4" t="s">
        <v>3006</v>
      </c>
      <c r="F678" s="4" t="s">
        <v>3165</v>
      </c>
      <c r="G678" s="7" t="str">
        <f>VLOOKUP(A678,[1]done!$A:$I,9,0)</f>
        <v>Weed Control</v>
      </c>
      <c r="H678" s="7" t="str" cm="1">
        <f t="array" ref="H678">_xlfn.IFS(
OR(ISNUMBER(SEARCH("mouse",E678)),ISNUMBER(SEARCH("rat",E678)),ISNUMBER(SEARCH("mice",E678)),ISNUMBER(SEARCH("rodent",E678))),"Rodent Control",
OR(ISNUMBER(SEARCH("fly",E678)),ISNUMBER(SEARCH("gnat",E678)),ISNUMBER(SEARCH("insect",E678)),ISNUMBER(SEARCH("mosquito",E678))),"Flying Insect Control",
OR(ISNUMBER(SEARCH("roach",E678)),ISNUMBER(SEARCH("ant",E678)),ISNUMBER(SEARCH("spider",E678)),ISNUMBER(SEARCH("cricket",E678)),ISNUMBER(SEARCH("scorpion",E678)),ISNUMBER(SEARCH("centipede",E678)),ISNUMBER(SEARCH("beetle",E678))),"Crawling Insect Control",
OR(ISNUMBER(SEARCH("tree",E678)),ISNUMBER(SEARCH("lantern",E678)),ISNUMBER(SEARCH("garden",E678)),ISNUMBER(SEARCH("plant",E678))),"Garden Pest Control",
OR(ISNUMBER(SEARCH("grass seed",E678)),ISNUMBER(SEARCH("seed mix",E678))),"Grass Seed",
OR(ISNUMBER(SEARCH("lawn food",E678)),ISNUMBER(SEARCH("fertilizer",E678))),"Lawn Fertilizer",
OR(ISNUMBER(SEARCH("patch",E678)),ISNUMBER(SEARCH("repair",E678)),ISNUMBER(SEARCH("thick'r",E678)),ISNUMBER(SEARCH("thick'r lawn",E678)),ISNUMBER(SEARCH("rapid grass",E678))),"Lawn Repair",
OR(ISNUMBER(SEARCH("weed",E678)),ISNUMBER(SEARCH("crabgrass",E678))),"Weed Control",
OR(ISNUMBER(SEARCH("fungicide",E678)),ISNUMBER(SEARCH("moss",E678))),"Disease &amp; Moss Control",
OR(ISNUMBER(SEARCH("plant food",E678)),ISNUMBER(SEARCH("miracid",E678))),"Plant Nutrition",
OR(ISNUMBER(SEARCH("perlite",E678))),"Soil Amendment",
OR(ISNUMBER(SEARCH("spreader",E678)),ISNUMBER(SEARCH("sprayer",E678)),ISNUMBER(SEARCH("mower",E678)),ISNUMBER(SEARCH("sweeper",E678)),ISNUMBER(SEARCH("pruner",E678)),ISNUMBER(SEARCH("trimmer",E678)),ISNUMBER(SEARCH("pole saw",E678))),"Garden Equipment",
TRUE,"Other"
)</f>
        <v>Rodent Control</v>
      </c>
      <c r="I678" s="7" t="str" cm="1">
        <f t="array" ref="I678">_xlfn.IFS(
OR(ISNUMBER(SEARCH("glue trap",E678)),ISNUMBER(SEARCH("glue board",E678))),"Glue Traps",
OR(ISNUMBER(SEARCH("snap trap",E678)),ISNUMBER(SEARCH("power-kill",E678)),ISNUMBER(SEARCH("wide pedal",E678)),ISNUMBER(SEARCH("metal pedal",E678))),"Snap Traps",
OR(ISNUMBER(SEARCH("electronic",E678)),ISNUMBER(SEARCH("zapper",E678))),"Electronic Traps",
OR(ISNUMBER(SEARCH("live catch",E678)),ISNUMBER(SEARCH("multi-catch",E678)),ISNUMBER(SEARCH("catch &amp; hold",E678)),ISNUMBER(SEARCH("tin cat",E678))),"Live Catch Traps",
OR(ISNUMBER(SEARCH("bait",E678)),ISNUMBER(SEARCH("poison",E678))),"Bait &amp; Poison",
ISNUMBER(SEARCH("repellent",E678)),"Repellents",
OR(ISNUMBER(SEARCH("fly trap",E678)),ISNUMBER(SEARCH("fly ribbon",E678)),ISNUMBER(SEARCH("fly stick",E678)),ISNUMBER(SEARCH("window fly",E678)),ISNUMBER(SEARCH("fly magnet",E678))),"Fly Traps",
OR(ISNUMBER(SEARCH("uv",E678)),ISNUMBER(SEARCH("fly light",E678)),ISNUMBER(SEARCH("plug-in",E678))),"UV Fly Traps",
ISNUMBER(SEARCH("roach",E678)),"Roach Traps",
ISNUMBER(SEARCH("ant",E678)),"Ant Traps",
ISNUMBER(SEARCH("spider",E678)),"Spider Traps",
ISNUMBER(SEARCH("mosquito",E678)),"Mosquito Traps",
ISNUMBER(SEARCH("beetle",E678)),"Beetle Traps",
ISNUMBER(SEARCH("lantern",E678)),"Lanternfly Control",
OR(ISNUMBER(SEARCH("tree shield",E678)),ISNUMBER(SEARCH("tree banding",E678)),ISNUMBER(SEARCH("insect barrier",E678))),"Tree Barriers",
OR(ISNUMBER(SEARCH("sun &amp; shade",E678)),ISNUMBER(SEARCH("sun and shade",E678))),"Sun &amp; Shade Mix",
ISNUMBER(SEARCH("tall fescue",E678)),"Tall Fescue",
ISNUMBER(SEARCH("bermudagrass",E678)),"Bermudagrass",
ISNUMBER(SEARCH("kentucky",E678)),"Kentucky Bluegrass",
ISNUMBER(SEARCH("zoysia",E678)),"Zoysia",
ISNUMBER(SEARCH("ryegrass",E678)),"Perennial Ryegrass",
ISNUMBER(SEARCH("centipede",E678)),"Centipede Grass",
ISNUMBER(SEARCH("dense shade",E678)),"Dense Shade Mix",
ISNUMBER(SEARCH("southern gold",E678)),"Southern Gold Mix",
ISNUMBER(SEARCH("heat-tolerant blue",E678)),"Heat-Tolerant Blue Mix",
ISNUMBER(SEARCH("high traffic",E678)),"High Traffic Mix",
ISNUMBER(SEARCH("quick fix",E678)),"Quick Fix Mix",
ISNUMBER(SEARCH("starter",E678)),"Starter Fertilizer",
ISNUMBER(SEARCH("weed &amp; feed",E678)),"Weed &amp; Feed",
ISNUMBER(SEARCH("lawn food",E678)),"Lawn Food",
ISNUMBER(SEARCH("triple action",E678)),"Triple Action Fertilizer",
ISNUMBER(SEARCH("green max",E678)),"Green Max Lawn Food",
ISNUMBER(SEARCH("patchmaster",E678)),"PatchMaster Repair",
ISNUMBER(SEARCH("ez seed",E678)),"EZ Seed Repair",
ISNUMBER(SEARCH("rapid grass",E678)),"Rapid Grass",
ISNUMBER(SEARCH("thick'r lawn",E678)),"Thick'R Lawn",
ISNUMBER(SEARCH("fungicide",E678)),"Fungicide",
ISNUMBER(SEARCH("moss",E678)),"Moss Control",
ISNUMBER(SEARCH("perlite",E678)),"Perlite",
ISNUMBER(SEARCH("plant food",E678)),"Plant Food",
ISNUMBER(SEARCH("spreader",E678)),"Spreader",
ISNUMBER(SEARCH("sprayer",E678)),"Sprayer",
ISNUMBER(SEARCH("mower",E678)),"Lawn Mower",
ISNUMBER(SEARCH("sweeper",E678)),"Lawn Sweeper",
OR(ISNUMBER(SEARCH("pruner",E678)),ISNUMBER(SEARCH("trimmer",E678)),ISNUMBER(SEARCH("pole saw",E678))),"Pruning Tools",
TRUE,"Other"
)</f>
        <v>Other</v>
      </c>
      <c r="J678" s="7" t="str">
        <f t="shared" si="191"/>
        <v>Rodent Control - Other</v>
      </c>
      <c r="K678" s="4">
        <v>100</v>
      </c>
      <c r="L678" s="4">
        <v>4.3</v>
      </c>
      <c r="M678" s="4">
        <v>192</v>
      </c>
      <c r="N678" s="4" t="s">
        <v>3223</v>
      </c>
      <c r="O678" s="4">
        <f>VLOOKUP(A678,[13]Sheet1!$A:$M,2,0)</f>
        <v>0</v>
      </c>
      <c r="P678" s="4">
        <f>VLOOKUP(A678,[13]Sheet1!$A:$M,3,0)</f>
        <v>50</v>
      </c>
      <c r="Q678" s="4">
        <f>VLOOKUP(A678,[13]Sheet1!$A:$M,4,0)</f>
        <v>100</v>
      </c>
      <c r="R678" s="4">
        <f>VLOOKUP(A678,[13]Sheet1!$A:$M,5,0)</f>
        <v>200</v>
      </c>
      <c r="S678" s="4">
        <f>VLOOKUP(A678,[13]Sheet1!$A:$M,6,0)</f>
        <v>300</v>
      </c>
      <c r="T678" s="4">
        <f>VLOOKUP(A678,[13]Sheet1!$A:$M,7,0)</f>
        <v>300</v>
      </c>
      <c r="U678" s="4">
        <f>VLOOKUP(A678,[13]Sheet1!$A:$M,8,0)</f>
        <v>300</v>
      </c>
      <c r="V678" s="4">
        <f>VLOOKUP(A678,[13]Sheet1!$A:$M,9,0)</f>
        <v>100</v>
      </c>
      <c r="W678" s="4">
        <f>VLOOKUP(A678,[13]Sheet1!$A:$M,10,0)</f>
        <v>100</v>
      </c>
      <c r="X678" s="4">
        <f>VLOOKUP(A678,[13]Sheet1!$A:$M,11,0)</f>
        <v>50</v>
      </c>
      <c r="Y678" s="4">
        <f>VLOOKUP(A678,[13]Sheet1!$A:$M,12,0)</f>
        <v>0</v>
      </c>
      <c r="Z678" s="4">
        <f>VLOOKUP(A678,[13]Sheet1!$A:$M,13,0)</f>
        <v>0</v>
      </c>
      <c r="AA678" s="4">
        <f t="shared" si="192"/>
        <v>1500</v>
      </c>
      <c r="AB678" s="7">
        <f t="shared" si="193"/>
        <v>125</v>
      </c>
      <c r="AC678" s="15">
        <f t="shared" si="194"/>
        <v>125</v>
      </c>
      <c r="AD678" s="16">
        <f t="shared" si="195"/>
        <v>190605</v>
      </c>
      <c r="AE678" s="16">
        <f t="shared" si="196"/>
        <v>15883.75</v>
      </c>
      <c r="AF678" s="21">
        <v>9.3000000000000007</v>
      </c>
      <c r="AG678" s="21">
        <v>127.07</v>
      </c>
      <c r="AH678" s="15">
        <f t="shared" si="205"/>
        <v>2.7018666666666662</v>
      </c>
      <c r="AI678" s="15">
        <f t="shared" si="206"/>
        <v>9.456533333333331</v>
      </c>
      <c r="AJ678" s="10">
        <v>0.5</v>
      </c>
      <c r="AK678" s="10">
        <v>0.5</v>
      </c>
      <c r="AL678" s="21">
        <v>9.3000000000000007</v>
      </c>
      <c r="AM678" s="9">
        <f t="shared" si="197"/>
        <v>19.060499999999998</v>
      </c>
      <c r="AN678" s="9">
        <f t="shared" si="198"/>
        <v>3.8120999999999996</v>
      </c>
      <c r="AO678" s="9">
        <f t="shared" si="199"/>
        <v>25.414000000000001</v>
      </c>
      <c r="AP678" s="9">
        <f t="shared" si="200"/>
        <v>2.5413999999999999</v>
      </c>
      <c r="AQ678" s="9">
        <f t="shared" si="201"/>
        <v>25.414000000000001</v>
      </c>
      <c r="AR678" s="9">
        <f t="shared" si="202"/>
        <v>31.767499999999998</v>
      </c>
      <c r="AS678" s="11">
        <f t="shared" si="203"/>
        <v>27.018666666666661</v>
      </c>
      <c r="AT678" s="12">
        <f t="shared" si="204"/>
        <v>22.782999999999998</v>
      </c>
    </row>
    <row r="679" spans="1:46" ht="16.5" x14ac:dyDescent="0.4">
      <c r="A679" s="4" t="s">
        <v>2669</v>
      </c>
      <c r="B679" s="4" t="s">
        <v>2710</v>
      </c>
      <c r="C679" s="4" t="s">
        <v>2712</v>
      </c>
      <c r="D679" s="4" t="s">
        <v>2848</v>
      </c>
      <c r="E679" s="4" t="s">
        <v>3007</v>
      </c>
      <c r="F679" s="4" t="s">
        <v>3166</v>
      </c>
      <c r="G679" s="7" t="str">
        <f>VLOOKUP(A679,[1]done!$A:$I,9,0)</f>
        <v>Mosquito/Fly</v>
      </c>
      <c r="H679" s="7" t="str" cm="1">
        <f t="array" ref="H679">_xlfn.IFS(
OR(ISNUMBER(SEARCH("mouse",E679)),ISNUMBER(SEARCH("rat",E679)),ISNUMBER(SEARCH("mice",E679)),ISNUMBER(SEARCH("rodent",E679))),"Rodent Control",
OR(ISNUMBER(SEARCH("fly",E679)),ISNUMBER(SEARCH("gnat",E679)),ISNUMBER(SEARCH("insect",E679)),ISNUMBER(SEARCH("mosquito",E679))),"Flying Insect Control",
OR(ISNUMBER(SEARCH("roach",E679)),ISNUMBER(SEARCH("ant",E679)),ISNUMBER(SEARCH("spider",E679)),ISNUMBER(SEARCH("cricket",E679)),ISNUMBER(SEARCH("scorpion",E679)),ISNUMBER(SEARCH("centipede",E679)),ISNUMBER(SEARCH("beetle",E679))),"Crawling Insect Control",
OR(ISNUMBER(SEARCH("tree",E679)),ISNUMBER(SEARCH("lantern",E679)),ISNUMBER(SEARCH("garden",E679)),ISNUMBER(SEARCH("plant",E679))),"Garden Pest Control",
OR(ISNUMBER(SEARCH("grass seed",E679)),ISNUMBER(SEARCH("seed mix",E679))),"Grass Seed",
OR(ISNUMBER(SEARCH("lawn food",E679)),ISNUMBER(SEARCH("fertilizer",E679))),"Lawn Fertilizer",
OR(ISNUMBER(SEARCH("patch",E679)),ISNUMBER(SEARCH("repair",E679)),ISNUMBER(SEARCH("thick'r",E679)),ISNUMBER(SEARCH("thick'r lawn",E679)),ISNUMBER(SEARCH("rapid grass",E679))),"Lawn Repair",
OR(ISNUMBER(SEARCH("weed",E679)),ISNUMBER(SEARCH("crabgrass",E679))),"Weed Control",
OR(ISNUMBER(SEARCH("fungicide",E679)),ISNUMBER(SEARCH("moss",E679))),"Disease &amp; Moss Control",
OR(ISNUMBER(SEARCH("plant food",E679)),ISNUMBER(SEARCH("miracid",E679))),"Plant Nutrition",
OR(ISNUMBER(SEARCH("perlite",E679))),"Soil Amendment",
OR(ISNUMBER(SEARCH("spreader",E679)),ISNUMBER(SEARCH("sprayer",E679)),ISNUMBER(SEARCH("mower",E679)),ISNUMBER(SEARCH("sweeper",E679)),ISNUMBER(SEARCH("pruner",E679)),ISNUMBER(SEARCH("trimmer",E679)),ISNUMBER(SEARCH("pole saw",E679))),"Garden Equipment",
TRUE,"Other"
)</f>
        <v>Rodent Control</v>
      </c>
      <c r="I679" s="7" t="str" cm="1">
        <f t="array" ref="I679">_xlfn.IFS(
OR(ISNUMBER(SEARCH("glue trap",E679)),ISNUMBER(SEARCH("glue board",E679))),"Glue Traps",
OR(ISNUMBER(SEARCH("snap trap",E679)),ISNUMBER(SEARCH("power-kill",E679)),ISNUMBER(SEARCH("wide pedal",E679)),ISNUMBER(SEARCH("metal pedal",E679))),"Snap Traps",
OR(ISNUMBER(SEARCH("electronic",E679)),ISNUMBER(SEARCH("zapper",E679))),"Electronic Traps",
OR(ISNUMBER(SEARCH("live catch",E679)),ISNUMBER(SEARCH("multi-catch",E679)),ISNUMBER(SEARCH("catch &amp; hold",E679)),ISNUMBER(SEARCH("tin cat",E679))),"Live Catch Traps",
OR(ISNUMBER(SEARCH("bait",E679)),ISNUMBER(SEARCH("poison",E679))),"Bait &amp; Poison",
ISNUMBER(SEARCH("repellent",E679)),"Repellents",
OR(ISNUMBER(SEARCH("fly trap",E679)),ISNUMBER(SEARCH("fly ribbon",E679)),ISNUMBER(SEARCH("fly stick",E679)),ISNUMBER(SEARCH("window fly",E679)),ISNUMBER(SEARCH("fly magnet",E679))),"Fly Traps",
OR(ISNUMBER(SEARCH("uv",E679)),ISNUMBER(SEARCH("fly light",E679)),ISNUMBER(SEARCH("plug-in",E679))),"UV Fly Traps",
ISNUMBER(SEARCH("roach",E679)),"Roach Traps",
ISNUMBER(SEARCH("ant",E679)),"Ant Traps",
ISNUMBER(SEARCH("spider",E679)),"Spider Traps",
ISNUMBER(SEARCH("mosquito",E679)),"Mosquito Traps",
ISNUMBER(SEARCH("beetle",E679)),"Beetle Traps",
ISNUMBER(SEARCH("lantern",E679)),"Lanternfly Control",
OR(ISNUMBER(SEARCH("tree shield",E679)),ISNUMBER(SEARCH("tree banding",E679)),ISNUMBER(SEARCH("insect barrier",E679))),"Tree Barriers",
OR(ISNUMBER(SEARCH("sun &amp; shade",E679)),ISNUMBER(SEARCH("sun and shade",E679))),"Sun &amp; Shade Mix",
ISNUMBER(SEARCH("tall fescue",E679)),"Tall Fescue",
ISNUMBER(SEARCH("bermudagrass",E679)),"Bermudagrass",
ISNUMBER(SEARCH("kentucky",E679)),"Kentucky Bluegrass",
ISNUMBER(SEARCH("zoysia",E679)),"Zoysia",
ISNUMBER(SEARCH("ryegrass",E679)),"Perennial Ryegrass",
ISNUMBER(SEARCH("centipede",E679)),"Centipede Grass",
ISNUMBER(SEARCH("dense shade",E679)),"Dense Shade Mix",
ISNUMBER(SEARCH("southern gold",E679)),"Southern Gold Mix",
ISNUMBER(SEARCH("heat-tolerant blue",E679)),"Heat-Tolerant Blue Mix",
ISNUMBER(SEARCH("high traffic",E679)),"High Traffic Mix",
ISNUMBER(SEARCH("quick fix",E679)),"Quick Fix Mix",
ISNUMBER(SEARCH("starter",E679)),"Starter Fertilizer",
ISNUMBER(SEARCH("weed &amp; feed",E679)),"Weed &amp; Feed",
ISNUMBER(SEARCH("lawn food",E679)),"Lawn Food",
ISNUMBER(SEARCH("triple action",E679)),"Triple Action Fertilizer",
ISNUMBER(SEARCH("green max",E679)),"Green Max Lawn Food",
ISNUMBER(SEARCH("patchmaster",E679)),"PatchMaster Repair",
ISNUMBER(SEARCH("ez seed",E679)),"EZ Seed Repair",
ISNUMBER(SEARCH("rapid grass",E679)),"Rapid Grass",
ISNUMBER(SEARCH("thick'r lawn",E679)),"Thick'R Lawn",
ISNUMBER(SEARCH("fungicide",E679)),"Fungicide",
ISNUMBER(SEARCH("moss",E679)),"Moss Control",
ISNUMBER(SEARCH("perlite",E679)),"Perlite",
ISNUMBER(SEARCH("plant food",E679)),"Plant Food",
ISNUMBER(SEARCH("spreader",E679)),"Spreader",
ISNUMBER(SEARCH("sprayer",E679)),"Sprayer",
ISNUMBER(SEARCH("mower",E679)),"Lawn Mower",
ISNUMBER(SEARCH("sweeper",E679)),"Lawn Sweeper",
OR(ISNUMBER(SEARCH("pruner",E679)),ISNUMBER(SEARCH("trimmer",E679)),ISNUMBER(SEARCH("pole saw",E679))),"Pruning Tools",
TRUE,"Other"
)</f>
        <v>Ant Traps</v>
      </c>
      <c r="J679" s="7" t="str">
        <f t="shared" si="191"/>
        <v>Rodent Control - Ant Traps</v>
      </c>
      <c r="K679" s="4">
        <v>100</v>
      </c>
      <c r="L679" s="4">
        <v>3.5</v>
      </c>
      <c r="M679" s="4">
        <v>35</v>
      </c>
      <c r="O679" s="4">
        <f>VLOOKUP(A679,[13]Sheet1!$A:$M,2,0)</f>
        <v>0</v>
      </c>
      <c r="P679" s="4">
        <f>VLOOKUP(A679,[13]Sheet1!$A:$M,3,0)</f>
        <v>0</v>
      </c>
      <c r="Q679" s="4">
        <f>VLOOKUP(A679,[13]Sheet1!$A:$M,4,0)</f>
        <v>0</v>
      </c>
      <c r="R679" s="4">
        <f>VLOOKUP(A679,[13]Sheet1!$A:$M,5,0)</f>
        <v>0</v>
      </c>
      <c r="S679" s="4">
        <f>VLOOKUP(A679,[13]Sheet1!$A:$M,6,0)</f>
        <v>0</v>
      </c>
      <c r="T679" s="4">
        <f>VLOOKUP(A679,[13]Sheet1!$A:$M,7,0)</f>
        <v>0</v>
      </c>
      <c r="U679" s="4">
        <f>VLOOKUP(A679,[13]Sheet1!$A:$M,8,0)</f>
        <v>0</v>
      </c>
      <c r="V679" s="4">
        <f>VLOOKUP(A679,[13]Sheet1!$A:$M,9,0)</f>
        <v>200</v>
      </c>
      <c r="W679" s="4">
        <f>VLOOKUP(A679,[13]Sheet1!$A:$M,10,0)</f>
        <v>100</v>
      </c>
      <c r="X679" s="4">
        <f>VLOOKUP(A679,[13]Sheet1!$A:$M,11,0)</f>
        <v>0</v>
      </c>
      <c r="Y679" s="4">
        <f>VLOOKUP(A679,[13]Sheet1!$A:$M,12,0)</f>
        <v>0</v>
      </c>
      <c r="Z679" s="4">
        <f>VLOOKUP(A679,[13]Sheet1!$A:$M,13,0)</f>
        <v>0</v>
      </c>
      <c r="AA679" s="4">
        <f t="shared" si="192"/>
        <v>300</v>
      </c>
      <c r="AB679" s="7">
        <f t="shared" si="193"/>
        <v>25</v>
      </c>
      <c r="AC679" s="15">
        <f t="shared" si="194"/>
        <v>25</v>
      </c>
      <c r="AD679" s="16">
        <f t="shared" si="195"/>
        <v>5996.9999999999991</v>
      </c>
      <c r="AE679" s="16">
        <f t="shared" si="196"/>
        <v>499.74999999999994</v>
      </c>
      <c r="AF679" s="21">
        <v>5.22</v>
      </c>
      <c r="AG679" s="21">
        <v>19.989999999999998</v>
      </c>
      <c r="AH679" s="15">
        <f t="shared" si="205"/>
        <v>0.11839999999999991</v>
      </c>
      <c r="AI679" s="15">
        <f t="shared" si="206"/>
        <v>0.41439999999999966</v>
      </c>
      <c r="AJ679" s="10">
        <v>0.5</v>
      </c>
      <c r="AK679" s="10">
        <v>0.5</v>
      </c>
      <c r="AL679" s="21">
        <v>5.22</v>
      </c>
      <c r="AM679" s="9">
        <f t="shared" si="197"/>
        <v>2.9984999999999995</v>
      </c>
      <c r="AN679" s="9">
        <f t="shared" si="198"/>
        <v>0.5996999999999999</v>
      </c>
      <c r="AO679" s="9">
        <f t="shared" si="199"/>
        <v>3.9979999999999998</v>
      </c>
      <c r="AP679" s="9">
        <f t="shared" si="200"/>
        <v>0.39979999999999999</v>
      </c>
      <c r="AQ679" s="9">
        <f t="shared" si="201"/>
        <v>3.9979999999999998</v>
      </c>
      <c r="AR679" s="9">
        <f t="shared" si="202"/>
        <v>4.9974999999999996</v>
      </c>
      <c r="AS679" s="11">
        <f t="shared" si="203"/>
        <v>1.1839999999999991</v>
      </c>
      <c r="AT679" s="12">
        <f t="shared" si="204"/>
        <v>0.51766666666666572</v>
      </c>
    </row>
    <row r="680" spans="1:46" ht="16.5" x14ac:dyDescent="0.4">
      <c r="A680" s="4" t="s">
        <v>2670</v>
      </c>
      <c r="B680" s="4" t="s">
        <v>2710</v>
      </c>
      <c r="C680" s="4" t="s">
        <v>2716</v>
      </c>
      <c r="D680" s="4" t="s">
        <v>2849</v>
      </c>
      <c r="E680" s="4" t="s">
        <v>3008</v>
      </c>
      <c r="F680" s="4" t="s">
        <v>3167</v>
      </c>
      <c r="G680" s="7" t="str">
        <f>VLOOKUP(A680,[1]done!$A:$I,9,0)</f>
        <v>Insecticide/Fungicide</v>
      </c>
      <c r="H680" s="7" t="str" cm="1">
        <f t="array" ref="H680">_xlfn.IFS(
OR(ISNUMBER(SEARCH("mouse",E680)),ISNUMBER(SEARCH("rat",E680)),ISNUMBER(SEARCH("mice",E680)),ISNUMBER(SEARCH("rodent",E680))),"Rodent Control",
OR(ISNUMBER(SEARCH("fly",E680)),ISNUMBER(SEARCH("gnat",E680)),ISNUMBER(SEARCH("insect",E680)),ISNUMBER(SEARCH("mosquito",E680))),"Flying Insect Control",
OR(ISNUMBER(SEARCH("roach",E680)),ISNUMBER(SEARCH("ant",E680)),ISNUMBER(SEARCH("spider",E680)),ISNUMBER(SEARCH("cricket",E680)),ISNUMBER(SEARCH("scorpion",E680)),ISNUMBER(SEARCH("centipede",E680)),ISNUMBER(SEARCH("beetle",E680))),"Crawling Insect Control",
OR(ISNUMBER(SEARCH("tree",E680)),ISNUMBER(SEARCH("lantern",E680)),ISNUMBER(SEARCH("garden",E680)),ISNUMBER(SEARCH("plant",E680))),"Garden Pest Control",
OR(ISNUMBER(SEARCH("grass seed",E680)),ISNUMBER(SEARCH("seed mix",E680))),"Grass Seed",
OR(ISNUMBER(SEARCH("lawn food",E680)),ISNUMBER(SEARCH("fertilizer",E680))),"Lawn Fertilizer",
OR(ISNUMBER(SEARCH("patch",E680)),ISNUMBER(SEARCH("repair",E680)),ISNUMBER(SEARCH("thick'r",E680)),ISNUMBER(SEARCH("thick'r lawn",E680)),ISNUMBER(SEARCH("rapid grass",E680))),"Lawn Repair",
OR(ISNUMBER(SEARCH("weed",E680)),ISNUMBER(SEARCH("crabgrass",E680))),"Weed Control",
OR(ISNUMBER(SEARCH("fungicide",E680)),ISNUMBER(SEARCH("moss",E680))),"Disease &amp; Moss Control",
OR(ISNUMBER(SEARCH("plant food",E680)),ISNUMBER(SEARCH("miracid",E680))),"Plant Nutrition",
OR(ISNUMBER(SEARCH("perlite",E680))),"Soil Amendment",
OR(ISNUMBER(SEARCH("spreader",E680)),ISNUMBER(SEARCH("sprayer",E680)),ISNUMBER(SEARCH("mower",E680)),ISNUMBER(SEARCH("sweeper",E680)),ISNUMBER(SEARCH("pruner",E680)),ISNUMBER(SEARCH("trimmer",E680)),ISNUMBER(SEARCH("pole saw",E680))),"Garden Equipment",
TRUE,"Other"
)</f>
        <v>Other</v>
      </c>
      <c r="I680" s="7" t="str" cm="1">
        <f t="array" ref="I680">_xlfn.IFS(
OR(ISNUMBER(SEARCH("glue trap",E680)),ISNUMBER(SEARCH("glue board",E680))),"Glue Traps",
OR(ISNUMBER(SEARCH("snap trap",E680)),ISNUMBER(SEARCH("power-kill",E680)),ISNUMBER(SEARCH("wide pedal",E680)),ISNUMBER(SEARCH("metal pedal",E680))),"Snap Traps",
OR(ISNUMBER(SEARCH("electronic",E680)),ISNUMBER(SEARCH("zapper",E680))),"Electronic Traps",
OR(ISNUMBER(SEARCH("live catch",E680)),ISNUMBER(SEARCH("multi-catch",E680)),ISNUMBER(SEARCH("catch &amp; hold",E680)),ISNUMBER(SEARCH("tin cat",E680))),"Live Catch Traps",
OR(ISNUMBER(SEARCH("bait",E680)),ISNUMBER(SEARCH("poison",E680))),"Bait &amp; Poison",
ISNUMBER(SEARCH("repellent",E680)),"Repellents",
OR(ISNUMBER(SEARCH("fly trap",E680)),ISNUMBER(SEARCH("fly ribbon",E680)),ISNUMBER(SEARCH("fly stick",E680)),ISNUMBER(SEARCH("window fly",E680)),ISNUMBER(SEARCH("fly magnet",E680))),"Fly Traps",
OR(ISNUMBER(SEARCH("uv",E680)),ISNUMBER(SEARCH("fly light",E680)),ISNUMBER(SEARCH("plug-in",E680))),"UV Fly Traps",
ISNUMBER(SEARCH("roach",E680)),"Roach Traps",
ISNUMBER(SEARCH("ant",E680)),"Ant Traps",
ISNUMBER(SEARCH("spider",E680)),"Spider Traps",
ISNUMBER(SEARCH("mosquito",E680)),"Mosquito Traps",
ISNUMBER(SEARCH("beetle",E680)),"Beetle Traps",
ISNUMBER(SEARCH("lantern",E680)),"Lanternfly Control",
OR(ISNUMBER(SEARCH("tree shield",E680)),ISNUMBER(SEARCH("tree banding",E680)),ISNUMBER(SEARCH("insect barrier",E680))),"Tree Barriers",
OR(ISNUMBER(SEARCH("sun &amp; shade",E680)),ISNUMBER(SEARCH("sun and shade",E680))),"Sun &amp; Shade Mix",
ISNUMBER(SEARCH("tall fescue",E680)),"Tall Fescue",
ISNUMBER(SEARCH("bermudagrass",E680)),"Bermudagrass",
ISNUMBER(SEARCH("kentucky",E680)),"Kentucky Bluegrass",
ISNUMBER(SEARCH("zoysia",E680)),"Zoysia",
ISNUMBER(SEARCH("ryegrass",E680)),"Perennial Ryegrass",
ISNUMBER(SEARCH("centipede",E680)),"Centipede Grass",
ISNUMBER(SEARCH("dense shade",E680)),"Dense Shade Mix",
ISNUMBER(SEARCH("southern gold",E680)),"Southern Gold Mix",
ISNUMBER(SEARCH("heat-tolerant blue",E680)),"Heat-Tolerant Blue Mix",
ISNUMBER(SEARCH("high traffic",E680)),"High Traffic Mix",
ISNUMBER(SEARCH("quick fix",E680)),"Quick Fix Mix",
ISNUMBER(SEARCH("starter",E680)),"Starter Fertilizer",
ISNUMBER(SEARCH("weed &amp; feed",E680)),"Weed &amp; Feed",
ISNUMBER(SEARCH("lawn food",E680)),"Lawn Food",
ISNUMBER(SEARCH("triple action",E680)),"Triple Action Fertilizer",
ISNUMBER(SEARCH("green max",E680)),"Green Max Lawn Food",
ISNUMBER(SEARCH("patchmaster",E680)),"PatchMaster Repair",
ISNUMBER(SEARCH("ez seed",E680)),"EZ Seed Repair",
ISNUMBER(SEARCH("rapid grass",E680)),"Rapid Grass",
ISNUMBER(SEARCH("thick'r lawn",E680)),"Thick'R Lawn",
ISNUMBER(SEARCH("fungicide",E680)),"Fungicide",
ISNUMBER(SEARCH("moss",E680)),"Moss Control",
ISNUMBER(SEARCH("perlite",E680)),"Perlite",
ISNUMBER(SEARCH("plant food",E680)),"Plant Food",
ISNUMBER(SEARCH("spreader",E680)),"Spreader",
ISNUMBER(SEARCH("sprayer",E680)),"Sprayer",
ISNUMBER(SEARCH("mower",E680)),"Lawn Mower",
ISNUMBER(SEARCH("sweeper",E680)),"Lawn Sweeper",
OR(ISNUMBER(SEARCH("pruner",E680)),ISNUMBER(SEARCH("trimmer",E680)),ISNUMBER(SEARCH("pole saw",E680))),"Pruning Tools",
TRUE,"Other"
)</f>
        <v>Other</v>
      </c>
      <c r="J680" s="7" t="str">
        <f t="shared" si="191"/>
        <v>Other - Other</v>
      </c>
      <c r="K680" s="4">
        <v>100</v>
      </c>
      <c r="L680" s="4">
        <v>4.5</v>
      </c>
      <c r="M680" s="4">
        <v>1056</v>
      </c>
      <c r="N680" s="4" t="s">
        <v>3212</v>
      </c>
      <c r="O680" s="4">
        <f>VLOOKUP(A680,[13]Sheet1!$A:$M,2,0)</f>
        <v>100</v>
      </c>
      <c r="P680" s="4">
        <f>VLOOKUP(A680,[13]Sheet1!$A:$M,3,0)</f>
        <v>100</v>
      </c>
      <c r="Q680" s="4">
        <f>VLOOKUP(A680,[13]Sheet1!$A:$M,4,0)</f>
        <v>100</v>
      </c>
      <c r="R680" s="4">
        <f>VLOOKUP(A680,[13]Sheet1!$A:$M,5,0)</f>
        <v>600</v>
      </c>
      <c r="S680" s="4">
        <f>VLOOKUP(A680,[13]Sheet1!$A:$M,6,0)</f>
        <v>400</v>
      </c>
      <c r="T680" s="4">
        <f>VLOOKUP(A680,[13]Sheet1!$A:$M,7,0)</f>
        <v>500</v>
      </c>
      <c r="U680" s="4">
        <f>VLOOKUP(A680,[13]Sheet1!$A:$M,8,0)</f>
        <v>300</v>
      </c>
      <c r="V680" s="4">
        <f>VLOOKUP(A680,[13]Sheet1!$A:$M,9,0)</f>
        <v>200</v>
      </c>
      <c r="W680" s="4">
        <f>VLOOKUP(A680,[13]Sheet1!$A:$M,10,0)</f>
        <v>100</v>
      </c>
      <c r="X680" s="4">
        <f>VLOOKUP(A680,[13]Sheet1!$A:$M,11,0)</f>
        <v>400</v>
      </c>
      <c r="Y680" s="4">
        <f>VLOOKUP(A680,[13]Sheet1!$A:$M,12,0)</f>
        <v>200</v>
      </c>
      <c r="Z680" s="4">
        <f>VLOOKUP(A680,[13]Sheet1!$A:$M,13,0)</f>
        <v>100</v>
      </c>
      <c r="AA680" s="4">
        <f t="shared" si="192"/>
        <v>3100</v>
      </c>
      <c r="AB680" s="7">
        <f t="shared" si="193"/>
        <v>258</v>
      </c>
      <c r="AC680" s="15">
        <f t="shared" si="194"/>
        <v>258.33333333333331</v>
      </c>
      <c r="AD680" s="16">
        <f t="shared" si="195"/>
        <v>27217.999999999996</v>
      </c>
      <c r="AE680" s="16">
        <f t="shared" si="196"/>
        <v>2268.1666666666665</v>
      </c>
      <c r="AF680" s="21">
        <v>3.01</v>
      </c>
      <c r="AG680" s="21">
        <v>8.7799999999999994</v>
      </c>
      <c r="AH680" s="15">
        <f t="shared" si="205"/>
        <v>-3.32E-2</v>
      </c>
      <c r="AI680" s="15">
        <f t="shared" si="206"/>
        <v>-0.1162</v>
      </c>
      <c r="AJ680" s="10">
        <v>0.5</v>
      </c>
      <c r="AK680" s="10">
        <v>0.5</v>
      </c>
      <c r="AL680" s="21">
        <v>3.01</v>
      </c>
      <c r="AM680" s="9">
        <f t="shared" si="197"/>
        <v>1.3169999999999999</v>
      </c>
      <c r="AN680" s="9">
        <f t="shared" si="198"/>
        <v>0.26339999999999997</v>
      </c>
      <c r="AO680" s="9">
        <f t="shared" si="199"/>
        <v>1.756</v>
      </c>
      <c r="AP680" s="9">
        <f t="shared" si="200"/>
        <v>0.17559999999999998</v>
      </c>
      <c r="AQ680" s="9">
        <f t="shared" si="201"/>
        <v>1.756</v>
      </c>
      <c r="AR680" s="9">
        <f t="shared" si="202"/>
        <v>2.1949999999999998</v>
      </c>
      <c r="AS680" s="11">
        <f t="shared" si="203"/>
        <v>-0.33200000000000002</v>
      </c>
      <c r="AT680" s="12">
        <f t="shared" si="204"/>
        <v>-0.62466666666666659</v>
      </c>
    </row>
    <row r="681" spans="1:46" ht="16.5" x14ac:dyDescent="0.4">
      <c r="A681" s="4" t="s">
        <v>2671</v>
      </c>
      <c r="B681" s="4" t="s">
        <v>2710</v>
      </c>
      <c r="C681" s="4" t="s">
        <v>2715</v>
      </c>
      <c r="D681" s="4" t="s">
        <v>2850</v>
      </c>
      <c r="E681" s="4" t="s">
        <v>3009</v>
      </c>
      <c r="F681" s="4" t="s">
        <v>3168</v>
      </c>
      <c r="G681" s="7" t="str">
        <f>VLOOKUP(A681,[1]done!$A:$I,9,0)</f>
        <v>Insecticide/Fungicide</v>
      </c>
      <c r="H681" s="7" t="str" cm="1">
        <f t="array" ref="H681">_xlfn.IFS(
OR(ISNUMBER(SEARCH("mouse",E681)),ISNUMBER(SEARCH("rat",E681)),ISNUMBER(SEARCH("mice",E681)),ISNUMBER(SEARCH("rodent",E681))),"Rodent Control",
OR(ISNUMBER(SEARCH("fly",E681)),ISNUMBER(SEARCH("gnat",E681)),ISNUMBER(SEARCH("insect",E681)),ISNUMBER(SEARCH("mosquito",E681))),"Flying Insect Control",
OR(ISNUMBER(SEARCH("roach",E681)),ISNUMBER(SEARCH("ant",E681)),ISNUMBER(SEARCH("spider",E681)),ISNUMBER(SEARCH("cricket",E681)),ISNUMBER(SEARCH("scorpion",E681)),ISNUMBER(SEARCH("centipede",E681)),ISNUMBER(SEARCH("beetle",E681))),"Crawling Insect Control",
OR(ISNUMBER(SEARCH("tree",E681)),ISNUMBER(SEARCH("lantern",E681)),ISNUMBER(SEARCH("garden",E681)),ISNUMBER(SEARCH("plant",E681))),"Garden Pest Control",
OR(ISNUMBER(SEARCH("grass seed",E681)),ISNUMBER(SEARCH("seed mix",E681))),"Grass Seed",
OR(ISNUMBER(SEARCH("lawn food",E681)),ISNUMBER(SEARCH("fertilizer",E681))),"Lawn Fertilizer",
OR(ISNUMBER(SEARCH("patch",E681)),ISNUMBER(SEARCH("repair",E681)),ISNUMBER(SEARCH("thick'r",E681)),ISNUMBER(SEARCH("thick'r lawn",E681)),ISNUMBER(SEARCH("rapid grass",E681))),"Lawn Repair",
OR(ISNUMBER(SEARCH("weed",E681)),ISNUMBER(SEARCH("crabgrass",E681))),"Weed Control",
OR(ISNUMBER(SEARCH("fungicide",E681)),ISNUMBER(SEARCH("moss",E681))),"Disease &amp; Moss Control",
OR(ISNUMBER(SEARCH("plant food",E681)),ISNUMBER(SEARCH("miracid",E681))),"Plant Nutrition",
OR(ISNUMBER(SEARCH("perlite",E681))),"Soil Amendment",
OR(ISNUMBER(SEARCH("spreader",E681)),ISNUMBER(SEARCH("sprayer",E681)),ISNUMBER(SEARCH("mower",E681)),ISNUMBER(SEARCH("sweeper",E681)),ISNUMBER(SEARCH("pruner",E681)),ISNUMBER(SEARCH("trimmer",E681)),ISNUMBER(SEARCH("pole saw",E681))),"Garden Equipment",
TRUE,"Other"
)</f>
        <v>Flying Insect Control</v>
      </c>
      <c r="I681" s="7" t="str" cm="1">
        <f t="array" ref="I681">_xlfn.IFS(
OR(ISNUMBER(SEARCH("glue trap",E681)),ISNUMBER(SEARCH("glue board",E681))),"Glue Traps",
OR(ISNUMBER(SEARCH("snap trap",E681)),ISNUMBER(SEARCH("power-kill",E681)),ISNUMBER(SEARCH("wide pedal",E681)),ISNUMBER(SEARCH("metal pedal",E681))),"Snap Traps",
OR(ISNUMBER(SEARCH("electronic",E681)),ISNUMBER(SEARCH("zapper",E681))),"Electronic Traps",
OR(ISNUMBER(SEARCH("live catch",E681)),ISNUMBER(SEARCH("multi-catch",E681)),ISNUMBER(SEARCH("catch &amp; hold",E681)),ISNUMBER(SEARCH("tin cat",E681))),"Live Catch Traps",
OR(ISNUMBER(SEARCH("bait",E681)),ISNUMBER(SEARCH("poison",E681))),"Bait &amp; Poison",
ISNUMBER(SEARCH("repellent",E681)),"Repellents",
OR(ISNUMBER(SEARCH("fly trap",E681)),ISNUMBER(SEARCH("fly ribbon",E681)),ISNUMBER(SEARCH("fly stick",E681)),ISNUMBER(SEARCH("window fly",E681)),ISNUMBER(SEARCH("fly magnet",E681))),"Fly Traps",
OR(ISNUMBER(SEARCH("uv",E681)),ISNUMBER(SEARCH("fly light",E681)),ISNUMBER(SEARCH("plug-in",E681))),"UV Fly Traps",
ISNUMBER(SEARCH("roach",E681)),"Roach Traps",
ISNUMBER(SEARCH("ant",E681)),"Ant Traps",
ISNUMBER(SEARCH("spider",E681)),"Spider Traps",
ISNUMBER(SEARCH("mosquito",E681)),"Mosquito Traps",
ISNUMBER(SEARCH("beetle",E681)),"Beetle Traps",
ISNUMBER(SEARCH("lantern",E681)),"Lanternfly Control",
OR(ISNUMBER(SEARCH("tree shield",E681)),ISNUMBER(SEARCH("tree banding",E681)),ISNUMBER(SEARCH("insect barrier",E681))),"Tree Barriers",
OR(ISNUMBER(SEARCH("sun &amp; shade",E681)),ISNUMBER(SEARCH("sun and shade",E681))),"Sun &amp; Shade Mix",
ISNUMBER(SEARCH("tall fescue",E681)),"Tall Fescue",
ISNUMBER(SEARCH("bermudagrass",E681)),"Bermudagrass",
ISNUMBER(SEARCH("kentucky",E681)),"Kentucky Bluegrass",
ISNUMBER(SEARCH("zoysia",E681)),"Zoysia",
ISNUMBER(SEARCH("ryegrass",E681)),"Perennial Ryegrass",
ISNUMBER(SEARCH("centipede",E681)),"Centipede Grass",
ISNUMBER(SEARCH("dense shade",E681)),"Dense Shade Mix",
ISNUMBER(SEARCH("southern gold",E681)),"Southern Gold Mix",
ISNUMBER(SEARCH("heat-tolerant blue",E681)),"Heat-Tolerant Blue Mix",
ISNUMBER(SEARCH("high traffic",E681)),"High Traffic Mix",
ISNUMBER(SEARCH("quick fix",E681)),"Quick Fix Mix",
ISNUMBER(SEARCH("starter",E681)),"Starter Fertilizer",
ISNUMBER(SEARCH("weed &amp; feed",E681)),"Weed &amp; Feed",
ISNUMBER(SEARCH("lawn food",E681)),"Lawn Food",
ISNUMBER(SEARCH("triple action",E681)),"Triple Action Fertilizer",
ISNUMBER(SEARCH("green max",E681)),"Green Max Lawn Food",
ISNUMBER(SEARCH("patchmaster",E681)),"PatchMaster Repair",
ISNUMBER(SEARCH("ez seed",E681)),"EZ Seed Repair",
ISNUMBER(SEARCH("rapid grass",E681)),"Rapid Grass",
ISNUMBER(SEARCH("thick'r lawn",E681)),"Thick'R Lawn",
ISNUMBER(SEARCH("fungicide",E681)),"Fungicide",
ISNUMBER(SEARCH("moss",E681)),"Moss Control",
ISNUMBER(SEARCH("perlite",E681)),"Perlite",
ISNUMBER(SEARCH("plant food",E681)),"Plant Food",
ISNUMBER(SEARCH("spreader",E681)),"Spreader",
ISNUMBER(SEARCH("sprayer",E681)),"Sprayer",
ISNUMBER(SEARCH("mower",E681)),"Lawn Mower",
ISNUMBER(SEARCH("sweeper",E681)),"Lawn Sweeper",
OR(ISNUMBER(SEARCH("pruner",E681)),ISNUMBER(SEARCH("trimmer",E681)),ISNUMBER(SEARCH("pole saw",E681))),"Pruning Tools",
TRUE,"Other"
)</f>
        <v>Other</v>
      </c>
      <c r="J681" s="7" t="str">
        <f t="shared" si="191"/>
        <v>Flying Insect Control - Other</v>
      </c>
      <c r="K681" s="4">
        <v>100</v>
      </c>
      <c r="L681" s="4">
        <v>4.3</v>
      </c>
      <c r="M681" s="4">
        <v>398</v>
      </c>
      <c r="N681" s="4" t="s">
        <v>3250</v>
      </c>
      <c r="O681" s="4">
        <f>VLOOKUP(A681,[13]Sheet1!$A:$M,2,0)</f>
        <v>0</v>
      </c>
      <c r="P681" s="4">
        <f>VLOOKUP(A681,[13]Sheet1!$A:$M,3,0)</f>
        <v>0</v>
      </c>
      <c r="Q681" s="4">
        <f>VLOOKUP(A681,[13]Sheet1!$A:$M,4,0)</f>
        <v>50</v>
      </c>
      <c r="R681" s="4">
        <f>VLOOKUP(A681,[13]Sheet1!$A:$M,5,0)</f>
        <v>100</v>
      </c>
      <c r="S681" s="4">
        <f>VLOOKUP(A681,[13]Sheet1!$A:$M,6,0)</f>
        <v>200</v>
      </c>
      <c r="T681" s="4">
        <f>VLOOKUP(A681,[13]Sheet1!$A:$M,7,0)</f>
        <v>300</v>
      </c>
      <c r="U681" s="4">
        <f>VLOOKUP(A681,[13]Sheet1!$A:$M,8,0)</f>
        <v>400</v>
      </c>
      <c r="V681" s="4">
        <f>VLOOKUP(A681,[13]Sheet1!$A:$M,9,0)</f>
        <v>600</v>
      </c>
      <c r="W681" s="4">
        <f>VLOOKUP(A681,[13]Sheet1!$A:$M,10,0)</f>
        <v>100</v>
      </c>
      <c r="X681" s="4">
        <f>VLOOKUP(A681,[13]Sheet1!$A:$M,11,0)</f>
        <v>100</v>
      </c>
      <c r="Y681" s="4">
        <f>VLOOKUP(A681,[13]Sheet1!$A:$M,12,0)</f>
        <v>50</v>
      </c>
      <c r="Z681" s="4">
        <f>VLOOKUP(A681,[13]Sheet1!$A:$M,13,0)</f>
        <v>0</v>
      </c>
      <c r="AA681" s="4">
        <f t="shared" si="192"/>
        <v>1900</v>
      </c>
      <c r="AB681" s="7">
        <f t="shared" si="193"/>
        <v>158</v>
      </c>
      <c r="AC681" s="15">
        <f t="shared" si="194"/>
        <v>158.33333333333334</v>
      </c>
      <c r="AD681" s="16">
        <f t="shared" si="195"/>
        <v>43681</v>
      </c>
      <c r="AE681" s="16">
        <f t="shared" si="196"/>
        <v>3640.0833333333335</v>
      </c>
      <c r="AF681" s="21">
        <v>6.31</v>
      </c>
      <c r="AG681" s="21">
        <v>22.99</v>
      </c>
      <c r="AH681" s="15">
        <f t="shared" si="205"/>
        <v>0.12573333333333328</v>
      </c>
      <c r="AI681" s="15">
        <f t="shared" si="206"/>
        <v>0.44006666666666644</v>
      </c>
      <c r="AJ681" s="10">
        <v>0.5</v>
      </c>
      <c r="AK681" s="10">
        <v>0.5</v>
      </c>
      <c r="AL681" s="21">
        <v>6.31</v>
      </c>
      <c r="AM681" s="9">
        <f t="shared" si="197"/>
        <v>3.4484999999999997</v>
      </c>
      <c r="AN681" s="9">
        <f t="shared" si="198"/>
        <v>0.68969999999999998</v>
      </c>
      <c r="AO681" s="9">
        <f t="shared" si="199"/>
        <v>4.5979999999999999</v>
      </c>
      <c r="AP681" s="9">
        <f t="shared" si="200"/>
        <v>0.45979999999999999</v>
      </c>
      <c r="AQ681" s="9">
        <f t="shared" si="201"/>
        <v>4.5979999999999999</v>
      </c>
      <c r="AR681" s="9">
        <f t="shared" si="202"/>
        <v>5.7474999999999996</v>
      </c>
      <c r="AS681" s="11">
        <f t="shared" si="203"/>
        <v>1.2573333333333327</v>
      </c>
      <c r="AT681" s="12">
        <f t="shared" si="204"/>
        <v>0.49099999999999966</v>
      </c>
    </row>
    <row r="682" spans="1:46" ht="16.5" x14ac:dyDescent="0.4">
      <c r="A682" s="4" t="s">
        <v>2672</v>
      </c>
      <c r="B682" s="4" t="s">
        <v>2710</v>
      </c>
      <c r="C682" s="4" t="s">
        <v>2712</v>
      </c>
      <c r="D682" s="4" t="s">
        <v>2851</v>
      </c>
      <c r="E682" s="4" t="s">
        <v>3010</v>
      </c>
      <c r="F682" s="4" t="s">
        <v>3169</v>
      </c>
      <c r="G682" s="7" t="str">
        <f>VLOOKUP(A682,[1]done!$A:$I,9,0)</f>
        <v>Other crawling insects</v>
      </c>
      <c r="H682" s="7" t="str" cm="1">
        <f t="array" ref="H682">_xlfn.IFS(
OR(ISNUMBER(SEARCH("mouse",E682)),ISNUMBER(SEARCH("rat",E682)),ISNUMBER(SEARCH("mice",E682)),ISNUMBER(SEARCH("rodent",E682))),"Rodent Control",
OR(ISNUMBER(SEARCH("fly",E682)),ISNUMBER(SEARCH("gnat",E682)),ISNUMBER(SEARCH("insect",E682)),ISNUMBER(SEARCH("mosquito",E682))),"Flying Insect Control",
OR(ISNUMBER(SEARCH("roach",E682)),ISNUMBER(SEARCH("ant",E682)),ISNUMBER(SEARCH("spider",E682)),ISNUMBER(SEARCH("cricket",E682)),ISNUMBER(SEARCH("scorpion",E682)),ISNUMBER(SEARCH("centipede",E682)),ISNUMBER(SEARCH("beetle",E682))),"Crawling Insect Control",
OR(ISNUMBER(SEARCH("tree",E682)),ISNUMBER(SEARCH("lantern",E682)),ISNUMBER(SEARCH("garden",E682)),ISNUMBER(SEARCH("plant",E682))),"Garden Pest Control",
OR(ISNUMBER(SEARCH("grass seed",E682)),ISNUMBER(SEARCH("seed mix",E682))),"Grass Seed",
OR(ISNUMBER(SEARCH("lawn food",E682)),ISNUMBER(SEARCH("fertilizer",E682))),"Lawn Fertilizer",
OR(ISNUMBER(SEARCH("patch",E682)),ISNUMBER(SEARCH("repair",E682)),ISNUMBER(SEARCH("thick'r",E682)),ISNUMBER(SEARCH("thick'r lawn",E682)),ISNUMBER(SEARCH("rapid grass",E682))),"Lawn Repair",
OR(ISNUMBER(SEARCH("weed",E682)),ISNUMBER(SEARCH("crabgrass",E682))),"Weed Control",
OR(ISNUMBER(SEARCH("fungicide",E682)),ISNUMBER(SEARCH("moss",E682))),"Disease &amp; Moss Control",
OR(ISNUMBER(SEARCH("plant food",E682)),ISNUMBER(SEARCH("miracid",E682))),"Plant Nutrition",
OR(ISNUMBER(SEARCH("perlite",E682))),"Soil Amendment",
OR(ISNUMBER(SEARCH("spreader",E682)),ISNUMBER(SEARCH("sprayer",E682)),ISNUMBER(SEARCH("mower",E682)),ISNUMBER(SEARCH("sweeper",E682)),ISNUMBER(SEARCH("pruner",E682)),ISNUMBER(SEARCH("trimmer",E682)),ISNUMBER(SEARCH("pole saw",E682))),"Garden Equipment",
TRUE,"Other"
)</f>
        <v>Crawling Insect Control</v>
      </c>
      <c r="I682" s="7" t="str" cm="1">
        <f t="array" ref="I682">_xlfn.IFS(
OR(ISNUMBER(SEARCH("glue trap",E682)),ISNUMBER(SEARCH("glue board",E682))),"Glue Traps",
OR(ISNUMBER(SEARCH("snap trap",E682)),ISNUMBER(SEARCH("power-kill",E682)),ISNUMBER(SEARCH("wide pedal",E682)),ISNUMBER(SEARCH("metal pedal",E682))),"Snap Traps",
OR(ISNUMBER(SEARCH("electronic",E682)),ISNUMBER(SEARCH("zapper",E682))),"Electronic Traps",
OR(ISNUMBER(SEARCH("live catch",E682)),ISNUMBER(SEARCH("multi-catch",E682)),ISNUMBER(SEARCH("catch &amp; hold",E682)),ISNUMBER(SEARCH("tin cat",E682))),"Live Catch Traps",
OR(ISNUMBER(SEARCH("bait",E682)),ISNUMBER(SEARCH("poison",E682))),"Bait &amp; Poison",
ISNUMBER(SEARCH("repellent",E682)),"Repellents",
OR(ISNUMBER(SEARCH("fly trap",E682)),ISNUMBER(SEARCH("fly ribbon",E682)),ISNUMBER(SEARCH("fly stick",E682)),ISNUMBER(SEARCH("window fly",E682)),ISNUMBER(SEARCH("fly magnet",E682))),"Fly Traps",
OR(ISNUMBER(SEARCH("uv",E682)),ISNUMBER(SEARCH("fly light",E682)),ISNUMBER(SEARCH("plug-in",E682))),"UV Fly Traps",
ISNUMBER(SEARCH("roach",E682)),"Roach Traps",
ISNUMBER(SEARCH("ant",E682)),"Ant Traps",
ISNUMBER(SEARCH("spider",E682)),"Spider Traps",
ISNUMBER(SEARCH("mosquito",E682)),"Mosquito Traps",
ISNUMBER(SEARCH("beetle",E682)),"Beetle Traps",
ISNUMBER(SEARCH("lantern",E682)),"Lanternfly Control",
OR(ISNUMBER(SEARCH("tree shield",E682)),ISNUMBER(SEARCH("tree banding",E682)),ISNUMBER(SEARCH("insect barrier",E682))),"Tree Barriers",
OR(ISNUMBER(SEARCH("sun &amp; shade",E682)),ISNUMBER(SEARCH("sun and shade",E682))),"Sun &amp; Shade Mix",
ISNUMBER(SEARCH("tall fescue",E682)),"Tall Fescue",
ISNUMBER(SEARCH("bermudagrass",E682)),"Bermudagrass",
ISNUMBER(SEARCH("kentucky",E682)),"Kentucky Bluegrass",
ISNUMBER(SEARCH("zoysia",E682)),"Zoysia",
ISNUMBER(SEARCH("ryegrass",E682)),"Perennial Ryegrass",
ISNUMBER(SEARCH("centipede",E682)),"Centipede Grass",
ISNUMBER(SEARCH("dense shade",E682)),"Dense Shade Mix",
ISNUMBER(SEARCH("southern gold",E682)),"Southern Gold Mix",
ISNUMBER(SEARCH("heat-tolerant blue",E682)),"Heat-Tolerant Blue Mix",
ISNUMBER(SEARCH("high traffic",E682)),"High Traffic Mix",
ISNUMBER(SEARCH("quick fix",E682)),"Quick Fix Mix",
ISNUMBER(SEARCH("starter",E682)),"Starter Fertilizer",
ISNUMBER(SEARCH("weed &amp; feed",E682)),"Weed &amp; Feed",
ISNUMBER(SEARCH("lawn food",E682)),"Lawn Food",
ISNUMBER(SEARCH("triple action",E682)),"Triple Action Fertilizer",
ISNUMBER(SEARCH("green max",E682)),"Green Max Lawn Food",
ISNUMBER(SEARCH("patchmaster",E682)),"PatchMaster Repair",
ISNUMBER(SEARCH("ez seed",E682)),"EZ Seed Repair",
ISNUMBER(SEARCH("rapid grass",E682)),"Rapid Grass",
ISNUMBER(SEARCH("thick'r lawn",E682)),"Thick'R Lawn",
ISNUMBER(SEARCH("fungicide",E682)),"Fungicide",
ISNUMBER(SEARCH("moss",E682)),"Moss Control",
ISNUMBER(SEARCH("perlite",E682)),"Perlite",
ISNUMBER(SEARCH("plant food",E682)),"Plant Food",
ISNUMBER(SEARCH("spreader",E682)),"Spreader",
ISNUMBER(SEARCH("sprayer",E682)),"Sprayer",
ISNUMBER(SEARCH("mower",E682)),"Lawn Mower",
ISNUMBER(SEARCH("sweeper",E682)),"Lawn Sweeper",
OR(ISNUMBER(SEARCH("pruner",E682)),ISNUMBER(SEARCH("trimmer",E682)),ISNUMBER(SEARCH("pole saw",E682))),"Pruning Tools",
TRUE,"Other"
)</f>
        <v>Spider Traps</v>
      </c>
      <c r="J682" s="7" t="str">
        <f t="shared" si="191"/>
        <v>Crawling Insect Control - Spider Traps</v>
      </c>
      <c r="K682" s="4">
        <v>100</v>
      </c>
      <c r="L682" s="4">
        <v>4.2</v>
      </c>
      <c r="M682" s="4">
        <v>85</v>
      </c>
      <c r="N682" s="4" t="s">
        <v>2014</v>
      </c>
      <c r="O682" s="4">
        <f>VLOOKUP(A682,[13]Sheet1!$A:$M,2,0)</f>
        <v>0</v>
      </c>
      <c r="P682" s="4">
        <f>VLOOKUP(A682,[13]Sheet1!$A:$M,3,0)</f>
        <v>0</v>
      </c>
      <c r="Q682" s="4">
        <f>VLOOKUP(A682,[13]Sheet1!$A:$M,4,0)</f>
        <v>0</v>
      </c>
      <c r="R682" s="4">
        <f>VLOOKUP(A682,[13]Sheet1!$A:$M,5,0)</f>
        <v>0</v>
      </c>
      <c r="S682" s="4">
        <f>VLOOKUP(A682,[13]Sheet1!$A:$M,6,0)</f>
        <v>0</v>
      </c>
      <c r="T682" s="4">
        <f>VLOOKUP(A682,[13]Sheet1!$A:$M,7,0)</f>
        <v>50</v>
      </c>
      <c r="U682" s="4">
        <f>VLOOKUP(A682,[13]Sheet1!$A:$M,8,0)</f>
        <v>50</v>
      </c>
      <c r="V682" s="4">
        <f>VLOOKUP(A682,[13]Sheet1!$A:$M,9,0)</f>
        <v>50</v>
      </c>
      <c r="W682" s="4">
        <f>VLOOKUP(A682,[13]Sheet1!$A:$M,10,0)</f>
        <v>100</v>
      </c>
      <c r="X682" s="4">
        <f>VLOOKUP(A682,[13]Sheet1!$A:$M,11,0)</f>
        <v>50</v>
      </c>
      <c r="Y682" s="4">
        <f>VLOOKUP(A682,[13]Sheet1!$A:$M,12,0)</f>
        <v>50</v>
      </c>
      <c r="Z682" s="4">
        <f>VLOOKUP(A682,[13]Sheet1!$A:$M,13,0)</f>
        <v>0</v>
      </c>
      <c r="AA682" s="4">
        <f t="shared" si="192"/>
        <v>350</v>
      </c>
      <c r="AB682" s="7">
        <f t="shared" si="193"/>
        <v>29</v>
      </c>
      <c r="AC682" s="15">
        <f t="shared" si="194"/>
        <v>29.166666666666668</v>
      </c>
      <c r="AD682" s="16">
        <f t="shared" si="195"/>
        <v>9908.5</v>
      </c>
      <c r="AE682" s="16">
        <f t="shared" si="196"/>
        <v>825.70833333333337</v>
      </c>
      <c r="AF682" s="21">
        <v>9.1999999999999993</v>
      </c>
      <c r="AG682" s="21">
        <v>28.31</v>
      </c>
      <c r="AH682" s="15">
        <f t="shared" si="205"/>
        <v>7.4933333333333199E-2</v>
      </c>
      <c r="AI682" s="15">
        <f t="shared" si="206"/>
        <v>0.26226666666666615</v>
      </c>
      <c r="AJ682" s="10">
        <v>0.5</v>
      </c>
      <c r="AK682" s="10">
        <v>0.5</v>
      </c>
      <c r="AL682" s="21">
        <v>9.1999999999999993</v>
      </c>
      <c r="AM682" s="9">
        <f t="shared" si="197"/>
        <v>4.2464999999999993</v>
      </c>
      <c r="AN682" s="9">
        <f t="shared" si="198"/>
        <v>0.84929999999999994</v>
      </c>
      <c r="AO682" s="9">
        <f t="shared" si="199"/>
        <v>5.6619999999999999</v>
      </c>
      <c r="AP682" s="9">
        <f t="shared" si="200"/>
        <v>0.56620000000000004</v>
      </c>
      <c r="AQ682" s="9">
        <f t="shared" si="201"/>
        <v>5.6619999999999999</v>
      </c>
      <c r="AR682" s="9">
        <f t="shared" si="202"/>
        <v>7.0774999999999997</v>
      </c>
      <c r="AS682" s="11">
        <f t="shared" si="203"/>
        <v>0.74933333333333196</v>
      </c>
      <c r="AT682" s="12">
        <f t="shared" si="204"/>
        <v>-0.19433333333333458</v>
      </c>
    </row>
    <row r="683" spans="1:46" ht="16.5" x14ac:dyDescent="0.4">
      <c r="A683" s="4" t="s">
        <v>2673</v>
      </c>
      <c r="B683" s="4" t="s">
        <v>2710</v>
      </c>
      <c r="C683" s="4" t="s">
        <v>2714</v>
      </c>
      <c r="D683" s="4" t="s">
        <v>2852</v>
      </c>
      <c r="E683" s="4" t="s">
        <v>3011</v>
      </c>
      <c r="F683" s="4" t="s">
        <v>3170</v>
      </c>
      <c r="G683" s="7" t="str">
        <f>VLOOKUP(A683,[1]done!$A:$I,9,0)</f>
        <v>Insecticide/Fungicide</v>
      </c>
      <c r="H683" s="7" t="str" cm="1">
        <f t="array" ref="H683">_xlfn.IFS(
OR(ISNUMBER(SEARCH("mouse",E683)),ISNUMBER(SEARCH("rat",E683)),ISNUMBER(SEARCH("mice",E683)),ISNUMBER(SEARCH("rodent",E683))),"Rodent Control",
OR(ISNUMBER(SEARCH("fly",E683)),ISNUMBER(SEARCH("gnat",E683)),ISNUMBER(SEARCH("insect",E683)),ISNUMBER(SEARCH("mosquito",E683))),"Flying Insect Control",
OR(ISNUMBER(SEARCH("roach",E683)),ISNUMBER(SEARCH("ant",E683)),ISNUMBER(SEARCH("spider",E683)),ISNUMBER(SEARCH("cricket",E683)),ISNUMBER(SEARCH("scorpion",E683)),ISNUMBER(SEARCH("centipede",E683)),ISNUMBER(SEARCH("beetle",E683))),"Crawling Insect Control",
OR(ISNUMBER(SEARCH("tree",E683)),ISNUMBER(SEARCH("lantern",E683)),ISNUMBER(SEARCH("garden",E683)),ISNUMBER(SEARCH("plant",E683))),"Garden Pest Control",
OR(ISNUMBER(SEARCH("grass seed",E683)),ISNUMBER(SEARCH("seed mix",E683))),"Grass Seed",
OR(ISNUMBER(SEARCH("lawn food",E683)),ISNUMBER(SEARCH("fertilizer",E683))),"Lawn Fertilizer",
OR(ISNUMBER(SEARCH("patch",E683)),ISNUMBER(SEARCH("repair",E683)),ISNUMBER(SEARCH("thick'r",E683)),ISNUMBER(SEARCH("thick'r lawn",E683)),ISNUMBER(SEARCH("rapid grass",E683))),"Lawn Repair",
OR(ISNUMBER(SEARCH("weed",E683)),ISNUMBER(SEARCH("crabgrass",E683))),"Weed Control",
OR(ISNUMBER(SEARCH("fungicide",E683)),ISNUMBER(SEARCH("moss",E683))),"Disease &amp; Moss Control",
OR(ISNUMBER(SEARCH("plant food",E683)),ISNUMBER(SEARCH("miracid",E683))),"Plant Nutrition",
OR(ISNUMBER(SEARCH("perlite",E683))),"Soil Amendment",
OR(ISNUMBER(SEARCH("spreader",E683)),ISNUMBER(SEARCH("sprayer",E683)),ISNUMBER(SEARCH("mower",E683)),ISNUMBER(SEARCH("sweeper",E683)),ISNUMBER(SEARCH("pruner",E683)),ISNUMBER(SEARCH("trimmer",E683)),ISNUMBER(SEARCH("pole saw",E683))),"Garden Equipment",
TRUE,"Other"
)</f>
        <v>Rodent Control</v>
      </c>
      <c r="I683" s="7" t="str" cm="1">
        <f t="array" ref="I683">_xlfn.IFS(
OR(ISNUMBER(SEARCH("glue trap",E683)),ISNUMBER(SEARCH("glue board",E683))),"Glue Traps",
OR(ISNUMBER(SEARCH("snap trap",E683)),ISNUMBER(SEARCH("power-kill",E683)),ISNUMBER(SEARCH("wide pedal",E683)),ISNUMBER(SEARCH("metal pedal",E683))),"Snap Traps",
OR(ISNUMBER(SEARCH("electronic",E683)),ISNUMBER(SEARCH("zapper",E683))),"Electronic Traps",
OR(ISNUMBER(SEARCH("live catch",E683)),ISNUMBER(SEARCH("multi-catch",E683)),ISNUMBER(SEARCH("catch &amp; hold",E683)),ISNUMBER(SEARCH("tin cat",E683))),"Live Catch Traps",
OR(ISNUMBER(SEARCH("bait",E683)),ISNUMBER(SEARCH("poison",E683))),"Bait &amp; Poison",
ISNUMBER(SEARCH("repellent",E683)),"Repellents",
OR(ISNUMBER(SEARCH("fly trap",E683)),ISNUMBER(SEARCH("fly ribbon",E683)),ISNUMBER(SEARCH("fly stick",E683)),ISNUMBER(SEARCH("window fly",E683)),ISNUMBER(SEARCH("fly magnet",E683))),"Fly Traps",
OR(ISNUMBER(SEARCH("uv",E683)),ISNUMBER(SEARCH("fly light",E683)),ISNUMBER(SEARCH("plug-in",E683))),"UV Fly Traps",
ISNUMBER(SEARCH("roach",E683)),"Roach Traps",
ISNUMBER(SEARCH("ant",E683)),"Ant Traps",
ISNUMBER(SEARCH("spider",E683)),"Spider Traps",
ISNUMBER(SEARCH("mosquito",E683)),"Mosquito Traps",
ISNUMBER(SEARCH("beetle",E683)),"Beetle Traps",
ISNUMBER(SEARCH("lantern",E683)),"Lanternfly Control",
OR(ISNUMBER(SEARCH("tree shield",E683)),ISNUMBER(SEARCH("tree banding",E683)),ISNUMBER(SEARCH("insect barrier",E683))),"Tree Barriers",
OR(ISNUMBER(SEARCH("sun &amp; shade",E683)),ISNUMBER(SEARCH("sun and shade",E683))),"Sun &amp; Shade Mix",
ISNUMBER(SEARCH("tall fescue",E683)),"Tall Fescue",
ISNUMBER(SEARCH("bermudagrass",E683)),"Bermudagrass",
ISNUMBER(SEARCH("kentucky",E683)),"Kentucky Bluegrass",
ISNUMBER(SEARCH("zoysia",E683)),"Zoysia",
ISNUMBER(SEARCH("ryegrass",E683)),"Perennial Ryegrass",
ISNUMBER(SEARCH("centipede",E683)),"Centipede Grass",
ISNUMBER(SEARCH("dense shade",E683)),"Dense Shade Mix",
ISNUMBER(SEARCH("southern gold",E683)),"Southern Gold Mix",
ISNUMBER(SEARCH("heat-tolerant blue",E683)),"Heat-Tolerant Blue Mix",
ISNUMBER(SEARCH("high traffic",E683)),"High Traffic Mix",
ISNUMBER(SEARCH("quick fix",E683)),"Quick Fix Mix",
ISNUMBER(SEARCH("starter",E683)),"Starter Fertilizer",
ISNUMBER(SEARCH("weed &amp; feed",E683)),"Weed &amp; Feed",
ISNUMBER(SEARCH("lawn food",E683)),"Lawn Food",
ISNUMBER(SEARCH("triple action",E683)),"Triple Action Fertilizer",
ISNUMBER(SEARCH("green max",E683)),"Green Max Lawn Food",
ISNUMBER(SEARCH("patchmaster",E683)),"PatchMaster Repair",
ISNUMBER(SEARCH("ez seed",E683)),"EZ Seed Repair",
ISNUMBER(SEARCH("rapid grass",E683)),"Rapid Grass",
ISNUMBER(SEARCH("thick'r lawn",E683)),"Thick'R Lawn",
ISNUMBER(SEARCH("fungicide",E683)),"Fungicide",
ISNUMBER(SEARCH("moss",E683)),"Moss Control",
ISNUMBER(SEARCH("perlite",E683)),"Perlite",
ISNUMBER(SEARCH("plant food",E683)),"Plant Food",
ISNUMBER(SEARCH("spreader",E683)),"Spreader",
ISNUMBER(SEARCH("sprayer",E683)),"Sprayer",
ISNUMBER(SEARCH("mower",E683)),"Lawn Mower",
ISNUMBER(SEARCH("sweeper",E683)),"Lawn Sweeper",
OR(ISNUMBER(SEARCH("pruner",E683)),ISNUMBER(SEARCH("trimmer",E683)),ISNUMBER(SEARCH("pole saw",E683))),"Pruning Tools",
TRUE,"Other"
)</f>
        <v>Fungicide</v>
      </c>
      <c r="J683" s="7" t="str">
        <f t="shared" si="191"/>
        <v>Rodent Control - Fungicide</v>
      </c>
      <c r="K683" s="4">
        <v>100</v>
      </c>
      <c r="L683" s="4">
        <v>4.5</v>
      </c>
      <c r="M683" s="4">
        <v>558</v>
      </c>
      <c r="N683" s="4" t="s">
        <v>3217</v>
      </c>
      <c r="O683" s="4">
        <f>VLOOKUP(A683,[13]Sheet1!$A:$M,2,0)</f>
        <v>0</v>
      </c>
      <c r="P683" s="4">
        <f>VLOOKUP(A683,[13]Sheet1!$A:$M,3,0)</f>
        <v>0</v>
      </c>
      <c r="Q683" s="4">
        <f>VLOOKUP(A683,[13]Sheet1!$A:$M,4,0)</f>
        <v>100</v>
      </c>
      <c r="R683" s="4">
        <f>VLOOKUP(A683,[13]Sheet1!$A:$M,5,0)</f>
        <v>300</v>
      </c>
      <c r="S683" s="4">
        <f>VLOOKUP(A683,[13]Sheet1!$A:$M,6,0)</f>
        <v>300</v>
      </c>
      <c r="T683" s="4">
        <f>VLOOKUP(A683,[13]Sheet1!$A:$M,7,0)</f>
        <v>400</v>
      </c>
      <c r="U683" s="4">
        <f>VLOOKUP(A683,[13]Sheet1!$A:$M,8,0)</f>
        <v>400</v>
      </c>
      <c r="V683" s="4">
        <f>VLOOKUP(A683,[13]Sheet1!$A:$M,9,0)</f>
        <v>300</v>
      </c>
      <c r="W683" s="4">
        <f>VLOOKUP(A683,[13]Sheet1!$A:$M,10,0)</f>
        <v>100</v>
      </c>
      <c r="X683" s="4">
        <f>VLOOKUP(A683,[13]Sheet1!$A:$M,11,0)</f>
        <v>100</v>
      </c>
      <c r="Y683" s="4">
        <f>VLOOKUP(A683,[13]Sheet1!$A:$M,12,0)</f>
        <v>50</v>
      </c>
      <c r="Z683" s="4">
        <f>VLOOKUP(A683,[13]Sheet1!$A:$M,13,0)</f>
        <v>50</v>
      </c>
      <c r="AA683" s="4">
        <f t="shared" si="192"/>
        <v>2100</v>
      </c>
      <c r="AB683" s="7">
        <f t="shared" si="193"/>
        <v>175</v>
      </c>
      <c r="AC683" s="15">
        <f t="shared" si="194"/>
        <v>175</v>
      </c>
      <c r="AD683" s="16">
        <f t="shared" si="195"/>
        <v>47229</v>
      </c>
      <c r="AE683" s="16">
        <f t="shared" si="196"/>
        <v>3935.7499999999995</v>
      </c>
      <c r="AF683" s="21">
        <v>6.23</v>
      </c>
      <c r="AG683" s="21">
        <v>22.49</v>
      </c>
      <c r="AH683" s="15">
        <f t="shared" si="205"/>
        <v>0.11773333333333316</v>
      </c>
      <c r="AI683" s="15">
        <f t="shared" si="206"/>
        <v>0.41206666666666603</v>
      </c>
      <c r="AJ683" s="10">
        <v>0.5</v>
      </c>
      <c r="AK683" s="10">
        <v>0.5</v>
      </c>
      <c r="AL683" s="21">
        <v>6.23</v>
      </c>
      <c r="AM683" s="9">
        <f t="shared" si="197"/>
        <v>3.3734999999999995</v>
      </c>
      <c r="AN683" s="9">
        <f t="shared" si="198"/>
        <v>0.67469999999999997</v>
      </c>
      <c r="AO683" s="9">
        <f t="shared" si="199"/>
        <v>4.4980000000000002</v>
      </c>
      <c r="AP683" s="9">
        <f t="shared" si="200"/>
        <v>0.44979999999999998</v>
      </c>
      <c r="AQ683" s="9">
        <f t="shared" si="201"/>
        <v>4.4980000000000002</v>
      </c>
      <c r="AR683" s="9">
        <f t="shared" si="202"/>
        <v>5.6224999999999996</v>
      </c>
      <c r="AS683" s="11">
        <f t="shared" si="203"/>
        <v>1.1773333333333316</v>
      </c>
      <c r="AT683" s="12">
        <f t="shared" si="204"/>
        <v>0.42766666666666531</v>
      </c>
    </row>
    <row r="684" spans="1:46" ht="16.5" x14ac:dyDescent="0.4">
      <c r="A684" s="4" t="s">
        <v>2674</v>
      </c>
      <c r="B684" s="4" t="s">
        <v>2710</v>
      </c>
      <c r="C684" s="4" t="s">
        <v>2712</v>
      </c>
      <c r="D684" s="4" t="s">
        <v>2853</v>
      </c>
      <c r="E684" s="4" t="s">
        <v>3012</v>
      </c>
      <c r="F684" s="4" t="s">
        <v>3171</v>
      </c>
      <c r="G684" s="7" t="str">
        <f>VLOOKUP(A684,[1]done!$A:$I,9,0)</f>
        <v>Insecticide/Fungicide</v>
      </c>
      <c r="H684" s="7" t="str" cm="1">
        <f t="array" ref="H684">_xlfn.IFS(
OR(ISNUMBER(SEARCH("mouse",E684)),ISNUMBER(SEARCH("rat",E684)),ISNUMBER(SEARCH("mice",E684)),ISNUMBER(SEARCH("rodent",E684))),"Rodent Control",
OR(ISNUMBER(SEARCH("fly",E684)),ISNUMBER(SEARCH("gnat",E684)),ISNUMBER(SEARCH("insect",E684)),ISNUMBER(SEARCH("mosquito",E684))),"Flying Insect Control",
OR(ISNUMBER(SEARCH("roach",E684)),ISNUMBER(SEARCH("ant",E684)),ISNUMBER(SEARCH("spider",E684)),ISNUMBER(SEARCH("cricket",E684)),ISNUMBER(SEARCH("scorpion",E684)),ISNUMBER(SEARCH("centipede",E684)),ISNUMBER(SEARCH("beetle",E684))),"Crawling Insect Control",
OR(ISNUMBER(SEARCH("tree",E684)),ISNUMBER(SEARCH("lantern",E684)),ISNUMBER(SEARCH("garden",E684)),ISNUMBER(SEARCH("plant",E684))),"Garden Pest Control",
OR(ISNUMBER(SEARCH("grass seed",E684)),ISNUMBER(SEARCH("seed mix",E684))),"Grass Seed",
OR(ISNUMBER(SEARCH("lawn food",E684)),ISNUMBER(SEARCH("fertilizer",E684))),"Lawn Fertilizer",
OR(ISNUMBER(SEARCH("patch",E684)),ISNUMBER(SEARCH("repair",E684)),ISNUMBER(SEARCH("thick'r",E684)),ISNUMBER(SEARCH("thick'r lawn",E684)),ISNUMBER(SEARCH("rapid grass",E684))),"Lawn Repair",
OR(ISNUMBER(SEARCH("weed",E684)),ISNUMBER(SEARCH("crabgrass",E684))),"Weed Control",
OR(ISNUMBER(SEARCH("fungicide",E684)),ISNUMBER(SEARCH("moss",E684))),"Disease &amp; Moss Control",
OR(ISNUMBER(SEARCH("plant food",E684)),ISNUMBER(SEARCH("miracid",E684))),"Plant Nutrition",
OR(ISNUMBER(SEARCH("perlite",E684))),"Soil Amendment",
OR(ISNUMBER(SEARCH("spreader",E684)),ISNUMBER(SEARCH("sprayer",E684)),ISNUMBER(SEARCH("mower",E684)),ISNUMBER(SEARCH("sweeper",E684)),ISNUMBER(SEARCH("pruner",E684)),ISNUMBER(SEARCH("trimmer",E684)),ISNUMBER(SEARCH("pole saw",E684))),"Garden Equipment",
TRUE,"Other"
)</f>
        <v>Flying Insect Control</v>
      </c>
      <c r="I684" s="7" t="str" cm="1">
        <f t="array" ref="I684">_xlfn.IFS(
OR(ISNUMBER(SEARCH("glue trap",E684)),ISNUMBER(SEARCH("glue board",E684))),"Glue Traps",
OR(ISNUMBER(SEARCH("snap trap",E684)),ISNUMBER(SEARCH("power-kill",E684)),ISNUMBER(SEARCH("wide pedal",E684)),ISNUMBER(SEARCH("metal pedal",E684))),"Snap Traps",
OR(ISNUMBER(SEARCH("electronic",E684)),ISNUMBER(SEARCH("zapper",E684))),"Electronic Traps",
OR(ISNUMBER(SEARCH("live catch",E684)),ISNUMBER(SEARCH("multi-catch",E684)),ISNUMBER(SEARCH("catch &amp; hold",E684)),ISNUMBER(SEARCH("tin cat",E684))),"Live Catch Traps",
OR(ISNUMBER(SEARCH("bait",E684)),ISNUMBER(SEARCH("poison",E684))),"Bait &amp; Poison",
ISNUMBER(SEARCH("repellent",E684)),"Repellents",
OR(ISNUMBER(SEARCH("fly trap",E684)),ISNUMBER(SEARCH("fly ribbon",E684)),ISNUMBER(SEARCH("fly stick",E684)),ISNUMBER(SEARCH("window fly",E684)),ISNUMBER(SEARCH("fly magnet",E684))),"Fly Traps",
OR(ISNUMBER(SEARCH("uv",E684)),ISNUMBER(SEARCH("fly light",E684)),ISNUMBER(SEARCH("plug-in",E684))),"UV Fly Traps",
ISNUMBER(SEARCH("roach",E684)),"Roach Traps",
ISNUMBER(SEARCH("ant",E684)),"Ant Traps",
ISNUMBER(SEARCH("spider",E684)),"Spider Traps",
ISNUMBER(SEARCH("mosquito",E684)),"Mosquito Traps",
ISNUMBER(SEARCH("beetle",E684)),"Beetle Traps",
ISNUMBER(SEARCH("lantern",E684)),"Lanternfly Control",
OR(ISNUMBER(SEARCH("tree shield",E684)),ISNUMBER(SEARCH("tree banding",E684)),ISNUMBER(SEARCH("insect barrier",E684))),"Tree Barriers",
OR(ISNUMBER(SEARCH("sun &amp; shade",E684)),ISNUMBER(SEARCH("sun and shade",E684))),"Sun &amp; Shade Mix",
ISNUMBER(SEARCH("tall fescue",E684)),"Tall Fescue",
ISNUMBER(SEARCH("bermudagrass",E684)),"Bermudagrass",
ISNUMBER(SEARCH("kentucky",E684)),"Kentucky Bluegrass",
ISNUMBER(SEARCH("zoysia",E684)),"Zoysia",
ISNUMBER(SEARCH("ryegrass",E684)),"Perennial Ryegrass",
ISNUMBER(SEARCH("centipede",E684)),"Centipede Grass",
ISNUMBER(SEARCH("dense shade",E684)),"Dense Shade Mix",
ISNUMBER(SEARCH("southern gold",E684)),"Southern Gold Mix",
ISNUMBER(SEARCH("heat-tolerant blue",E684)),"Heat-Tolerant Blue Mix",
ISNUMBER(SEARCH("high traffic",E684)),"High Traffic Mix",
ISNUMBER(SEARCH("quick fix",E684)),"Quick Fix Mix",
ISNUMBER(SEARCH("starter",E684)),"Starter Fertilizer",
ISNUMBER(SEARCH("weed &amp; feed",E684)),"Weed &amp; Feed",
ISNUMBER(SEARCH("lawn food",E684)),"Lawn Food",
ISNUMBER(SEARCH("triple action",E684)),"Triple Action Fertilizer",
ISNUMBER(SEARCH("green max",E684)),"Green Max Lawn Food",
ISNUMBER(SEARCH("patchmaster",E684)),"PatchMaster Repair",
ISNUMBER(SEARCH("ez seed",E684)),"EZ Seed Repair",
ISNUMBER(SEARCH("rapid grass",E684)),"Rapid Grass",
ISNUMBER(SEARCH("thick'r lawn",E684)),"Thick'R Lawn",
ISNUMBER(SEARCH("fungicide",E684)),"Fungicide",
ISNUMBER(SEARCH("moss",E684)),"Moss Control",
ISNUMBER(SEARCH("perlite",E684)),"Perlite",
ISNUMBER(SEARCH("plant food",E684)),"Plant Food",
ISNUMBER(SEARCH("spreader",E684)),"Spreader",
ISNUMBER(SEARCH("sprayer",E684)),"Sprayer",
ISNUMBER(SEARCH("mower",E684)),"Lawn Mower",
ISNUMBER(SEARCH("sweeper",E684)),"Lawn Sweeper",
OR(ISNUMBER(SEARCH("pruner",E684)),ISNUMBER(SEARCH("trimmer",E684)),ISNUMBER(SEARCH("pole saw",E684))),"Pruning Tools",
TRUE,"Other"
)</f>
        <v>Other</v>
      </c>
      <c r="J684" s="7" t="str">
        <f t="shared" si="191"/>
        <v>Flying Insect Control - Other</v>
      </c>
      <c r="K684" s="4">
        <v>100</v>
      </c>
      <c r="L684" s="4">
        <v>4.7</v>
      </c>
      <c r="M684" s="4">
        <v>73</v>
      </c>
      <c r="N684" s="4" t="s">
        <v>3251</v>
      </c>
      <c r="O684" s="4">
        <f>VLOOKUP(A684,[13]Sheet1!$A:$M,2,0)</f>
        <v>0</v>
      </c>
      <c r="P684" s="4">
        <f>VLOOKUP(A684,[13]Sheet1!$A:$M,3,0)</f>
        <v>0</v>
      </c>
      <c r="Q684" s="4">
        <f>VLOOKUP(A684,[13]Sheet1!$A:$M,4,0)</f>
        <v>50</v>
      </c>
      <c r="R684" s="4">
        <f>VLOOKUP(A684,[13]Sheet1!$A:$M,5,0)</f>
        <v>100</v>
      </c>
      <c r="S684" s="4">
        <f>VLOOKUP(A684,[13]Sheet1!$A:$M,6,0)</f>
        <v>100</v>
      </c>
      <c r="T684" s="4">
        <f>VLOOKUP(A684,[13]Sheet1!$A:$M,7,0)</f>
        <v>300</v>
      </c>
      <c r="U684" s="4">
        <f>VLOOKUP(A684,[13]Sheet1!$A:$M,8,0)</f>
        <v>300</v>
      </c>
      <c r="V684" s="4">
        <f>VLOOKUP(A684,[13]Sheet1!$A:$M,9,0)</f>
        <v>100</v>
      </c>
      <c r="W684" s="4">
        <f>VLOOKUP(A684,[13]Sheet1!$A:$M,10,0)</f>
        <v>100</v>
      </c>
      <c r="X684" s="4">
        <f>VLOOKUP(A684,[13]Sheet1!$A:$M,11,0)</f>
        <v>50</v>
      </c>
      <c r="Y684" s="4">
        <f>VLOOKUP(A684,[13]Sheet1!$A:$M,12,0)</f>
        <v>0</v>
      </c>
      <c r="Z684" s="4">
        <f>VLOOKUP(A684,[13]Sheet1!$A:$M,13,0)</f>
        <v>0</v>
      </c>
      <c r="AA684" s="4">
        <f t="shared" si="192"/>
        <v>1100</v>
      </c>
      <c r="AB684" s="7">
        <f t="shared" si="193"/>
        <v>92</v>
      </c>
      <c r="AC684" s="15">
        <f t="shared" si="194"/>
        <v>91.666666666666671</v>
      </c>
      <c r="AD684" s="16">
        <f t="shared" si="195"/>
        <v>25289</v>
      </c>
      <c r="AE684" s="16">
        <f t="shared" si="196"/>
        <v>2107.4166666666665</v>
      </c>
      <c r="AF684" s="21">
        <v>5.22</v>
      </c>
      <c r="AG684" s="21">
        <v>22.99</v>
      </c>
      <c r="AH684" s="15">
        <f t="shared" si="205"/>
        <v>0.19839999999999994</v>
      </c>
      <c r="AI684" s="15">
        <f t="shared" si="206"/>
        <v>0.69439999999999968</v>
      </c>
      <c r="AJ684" s="10">
        <v>0.5</v>
      </c>
      <c r="AK684" s="10">
        <v>0.5</v>
      </c>
      <c r="AL684" s="21">
        <v>5.22</v>
      </c>
      <c r="AM684" s="9">
        <f t="shared" si="197"/>
        <v>3.4484999999999997</v>
      </c>
      <c r="AN684" s="9">
        <f t="shared" si="198"/>
        <v>0.68969999999999998</v>
      </c>
      <c r="AO684" s="9">
        <f t="shared" si="199"/>
        <v>4.5979999999999999</v>
      </c>
      <c r="AP684" s="9">
        <f t="shared" si="200"/>
        <v>0.45979999999999999</v>
      </c>
      <c r="AQ684" s="9">
        <f t="shared" si="201"/>
        <v>4.5979999999999999</v>
      </c>
      <c r="AR684" s="9">
        <f t="shared" si="202"/>
        <v>5.7474999999999996</v>
      </c>
      <c r="AS684" s="11">
        <f t="shared" si="203"/>
        <v>1.9839999999999993</v>
      </c>
      <c r="AT684" s="12">
        <f t="shared" si="204"/>
        <v>1.2176666666666662</v>
      </c>
    </row>
    <row r="685" spans="1:46" ht="16.5" x14ac:dyDescent="0.4">
      <c r="A685" s="4" t="s">
        <v>2675</v>
      </c>
      <c r="B685" s="4" t="s">
        <v>2710</v>
      </c>
      <c r="C685" s="4" t="s">
        <v>2712</v>
      </c>
      <c r="D685" s="4" t="s">
        <v>2854</v>
      </c>
      <c r="E685" s="4" t="s">
        <v>3013</v>
      </c>
      <c r="F685" s="4" t="s">
        <v>3172</v>
      </c>
      <c r="G685" s="7" t="str">
        <f>VLOOKUP(A685,[1]done!$A:$I,9,0)</f>
        <v>Other crawling insects</v>
      </c>
      <c r="H685" s="7" t="str" cm="1">
        <f t="array" ref="H685">_xlfn.IFS(
OR(ISNUMBER(SEARCH("mouse",E685)),ISNUMBER(SEARCH("rat",E685)),ISNUMBER(SEARCH("mice",E685)),ISNUMBER(SEARCH("rodent",E685))),"Rodent Control",
OR(ISNUMBER(SEARCH("fly",E685)),ISNUMBER(SEARCH("gnat",E685)),ISNUMBER(SEARCH("insect",E685)),ISNUMBER(SEARCH("mosquito",E685))),"Flying Insect Control",
OR(ISNUMBER(SEARCH("roach",E685)),ISNUMBER(SEARCH("ant",E685)),ISNUMBER(SEARCH("spider",E685)),ISNUMBER(SEARCH("cricket",E685)),ISNUMBER(SEARCH("scorpion",E685)),ISNUMBER(SEARCH("centipede",E685)),ISNUMBER(SEARCH("beetle",E685))),"Crawling Insect Control",
OR(ISNUMBER(SEARCH("tree",E685)),ISNUMBER(SEARCH("lantern",E685)),ISNUMBER(SEARCH("garden",E685)),ISNUMBER(SEARCH("plant",E685))),"Garden Pest Control",
OR(ISNUMBER(SEARCH("grass seed",E685)),ISNUMBER(SEARCH("seed mix",E685))),"Grass Seed",
OR(ISNUMBER(SEARCH("lawn food",E685)),ISNUMBER(SEARCH("fertilizer",E685))),"Lawn Fertilizer",
OR(ISNUMBER(SEARCH("patch",E685)),ISNUMBER(SEARCH("repair",E685)),ISNUMBER(SEARCH("thick'r",E685)),ISNUMBER(SEARCH("thick'r lawn",E685)),ISNUMBER(SEARCH("rapid grass",E685))),"Lawn Repair",
OR(ISNUMBER(SEARCH("weed",E685)),ISNUMBER(SEARCH("crabgrass",E685))),"Weed Control",
OR(ISNUMBER(SEARCH("fungicide",E685)),ISNUMBER(SEARCH("moss",E685))),"Disease &amp; Moss Control",
OR(ISNUMBER(SEARCH("plant food",E685)),ISNUMBER(SEARCH("miracid",E685))),"Plant Nutrition",
OR(ISNUMBER(SEARCH("perlite",E685))),"Soil Amendment",
OR(ISNUMBER(SEARCH("spreader",E685)),ISNUMBER(SEARCH("sprayer",E685)),ISNUMBER(SEARCH("mower",E685)),ISNUMBER(SEARCH("sweeper",E685)),ISNUMBER(SEARCH("pruner",E685)),ISNUMBER(SEARCH("trimmer",E685)),ISNUMBER(SEARCH("pole saw",E685))),"Garden Equipment",
TRUE,"Other"
)</f>
        <v>Crawling Insect Control</v>
      </c>
      <c r="I685" s="7" t="str" cm="1">
        <f t="array" ref="I685">_xlfn.IFS(
OR(ISNUMBER(SEARCH("glue trap",E685)),ISNUMBER(SEARCH("glue board",E685))),"Glue Traps",
OR(ISNUMBER(SEARCH("snap trap",E685)),ISNUMBER(SEARCH("power-kill",E685)),ISNUMBER(SEARCH("wide pedal",E685)),ISNUMBER(SEARCH("metal pedal",E685))),"Snap Traps",
OR(ISNUMBER(SEARCH("electronic",E685)),ISNUMBER(SEARCH("zapper",E685))),"Electronic Traps",
OR(ISNUMBER(SEARCH("live catch",E685)),ISNUMBER(SEARCH("multi-catch",E685)),ISNUMBER(SEARCH("catch &amp; hold",E685)),ISNUMBER(SEARCH("tin cat",E685))),"Live Catch Traps",
OR(ISNUMBER(SEARCH("bait",E685)),ISNUMBER(SEARCH("poison",E685))),"Bait &amp; Poison",
ISNUMBER(SEARCH("repellent",E685)),"Repellents",
OR(ISNUMBER(SEARCH("fly trap",E685)),ISNUMBER(SEARCH("fly ribbon",E685)),ISNUMBER(SEARCH("fly stick",E685)),ISNUMBER(SEARCH("window fly",E685)),ISNUMBER(SEARCH("fly magnet",E685))),"Fly Traps",
OR(ISNUMBER(SEARCH("uv",E685)),ISNUMBER(SEARCH("fly light",E685)),ISNUMBER(SEARCH("plug-in",E685))),"UV Fly Traps",
ISNUMBER(SEARCH("roach",E685)),"Roach Traps",
ISNUMBER(SEARCH("ant",E685)),"Ant Traps",
ISNUMBER(SEARCH("spider",E685)),"Spider Traps",
ISNUMBER(SEARCH("mosquito",E685)),"Mosquito Traps",
ISNUMBER(SEARCH("beetle",E685)),"Beetle Traps",
ISNUMBER(SEARCH("lantern",E685)),"Lanternfly Control",
OR(ISNUMBER(SEARCH("tree shield",E685)),ISNUMBER(SEARCH("tree banding",E685)),ISNUMBER(SEARCH("insect barrier",E685))),"Tree Barriers",
OR(ISNUMBER(SEARCH("sun &amp; shade",E685)),ISNUMBER(SEARCH("sun and shade",E685))),"Sun &amp; Shade Mix",
ISNUMBER(SEARCH("tall fescue",E685)),"Tall Fescue",
ISNUMBER(SEARCH("bermudagrass",E685)),"Bermudagrass",
ISNUMBER(SEARCH("kentucky",E685)),"Kentucky Bluegrass",
ISNUMBER(SEARCH("zoysia",E685)),"Zoysia",
ISNUMBER(SEARCH("ryegrass",E685)),"Perennial Ryegrass",
ISNUMBER(SEARCH("centipede",E685)),"Centipede Grass",
ISNUMBER(SEARCH("dense shade",E685)),"Dense Shade Mix",
ISNUMBER(SEARCH("southern gold",E685)),"Southern Gold Mix",
ISNUMBER(SEARCH("heat-tolerant blue",E685)),"Heat-Tolerant Blue Mix",
ISNUMBER(SEARCH("high traffic",E685)),"High Traffic Mix",
ISNUMBER(SEARCH("quick fix",E685)),"Quick Fix Mix",
ISNUMBER(SEARCH("starter",E685)),"Starter Fertilizer",
ISNUMBER(SEARCH("weed &amp; feed",E685)),"Weed &amp; Feed",
ISNUMBER(SEARCH("lawn food",E685)),"Lawn Food",
ISNUMBER(SEARCH("triple action",E685)),"Triple Action Fertilizer",
ISNUMBER(SEARCH("green max",E685)),"Green Max Lawn Food",
ISNUMBER(SEARCH("patchmaster",E685)),"PatchMaster Repair",
ISNUMBER(SEARCH("ez seed",E685)),"EZ Seed Repair",
ISNUMBER(SEARCH("rapid grass",E685)),"Rapid Grass",
ISNUMBER(SEARCH("thick'r lawn",E685)),"Thick'R Lawn",
ISNUMBER(SEARCH("fungicide",E685)),"Fungicide",
ISNUMBER(SEARCH("moss",E685)),"Moss Control",
ISNUMBER(SEARCH("perlite",E685)),"Perlite",
ISNUMBER(SEARCH("plant food",E685)),"Plant Food",
ISNUMBER(SEARCH("spreader",E685)),"Spreader",
ISNUMBER(SEARCH("sprayer",E685)),"Sprayer",
ISNUMBER(SEARCH("mower",E685)),"Lawn Mower",
ISNUMBER(SEARCH("sweeper",E685)),"Lawn Sweeper",
OR(ISNUMBER(SEARCH("pruner",E685)),ISNUMBER(SEARCH("trimmer",E685)),ISNUMBER(SEARCH("pole saw",E685))),"Pruning Tools",
TRUE,"Other"
)</f>
        <v>Ant Traps</v>
      </c>
      <c r="J685" s="7" t="str">
        <f t="shared" si="191"/>
        <v>Crawling Insect Control - Ant Traps</v>
      </c>
      <c r="K685" s="4">
        <v>100</v>
      </c>
      <c r="L685" s="4">
        <v>4.5</v>
      </c>
      <c r="M685" s="4">
        <v>239</v>
      </c>
      <c r="N685" s="4" t="s">
        <v>2014</v>
      </c>
      <c r="O685" s="4">
        <f>VLOOKUP(A685,[13]Sheet1!$A:$M,2,0)</f>
        <v>50</v>
      </c>
      <c r="P685" s="4">
        <f>VLOOKUP(A685,[13]Sheet1!$A:$M,3,0)</f>
        <v>50</v>
      </c>
      <c r="Q685" s="4">
        <f>VLOOKUP(A685,[13]Sheet1!$A:$M,4,0)</f>
        <v>50</v>
      </c>
      <c r="R685" s="4">
        <f>VLOOKUP(A685,[13]Sheet1!$A:$M,5,0)</f>
        <v>100</v>
      </c>
      <c r="S685" s="4">
        <f>VLOOKUP(A685,[13]Sheet1!$A:$M,6,0)</f>
        <v>100</v>
      </c>
      <c r="T685" s="4">
        <f>VLOOKUP(A685,[13]Sheet1!$A:$M,7,0)</f>
        <v>100</v>
      </c>
      <c r="U685" s="4">
        <f>VLOOKUP(A685,[13]Sheet1!$A:$M,8,0)</f>
        <v>50</v>
      </c>
      <c r="V685" s="4">
        <f>VLOOKUP(A685,[13]Sheet1!$A:$M,9,0)</f>
        <v>50</v>
      </c>
      <c r="W685" s="4">
        <f>VLOOKUP(A685,[13]Sheet1!$A:$M,10,0)</f>
        <v>100</v>
      </c>
      <c r="X685" s="4">
        <f>VLOOKUP(A685,[13]Sheet1!$A:$M,11,0)</f>
        <v>50</v>
      </c>
      <c r="Y685" s="4">
        <f>VLOOKUP(A685,[13]Sheet1!$A:$M,12,0)</f>
        <v>50</v>
      </c>
      <c r="Z685" s="4">
        <f>VLOOKUP(A685,[13]Sheet1!$A:$M,13,0)</f>
        <v>0</v>
      </c>
      <c r="AA685" s="4">
        <f t="shared" si="192"/>
        <v>750</v>
      </c>
      <c r="AB685" s="7">
        <f t="shared" si="193"/>
        <v>63</v>
      </c>
      <c r="AC685" s="15">
        <f t="shared" si="194"/>
        <v>62.5</v>
      </c>
      <c r="AD685" s="16">
        <f t="shared" si="195"/>
        <v>9832.5</v>
      </c>
      <c r="AE685" s="16">
        <f t="shared" si="196"/>
        <v>819.375</v>
      </c>
      <c r="AF685" s="21">
        <v>5.84</v>
      </c>
      <c r="AG685" s="21">
        <v>13.11</v>
      </c>
      <c r="AH685" s="15">
        <f t="shared" si="205"/>
        <v>-0.10640000000000001</v>
      </c>
      <c r="AI685" s="15">
        <f t="shared" si="206"/>
        <v>-0.37240000000000001</v>
      </c>
      <c r="AJ685" s="10">
        <v>0.5</v>
      </c>
      <c r="AK685" s="10">
        <v>0.5</v>
      </c>
      <c r="AL685" s="21">
        <v>5.84</v>
      </c>
      <c r="AM685" s="9">
        <f t="shared" si="197"/>
        <v>1.9664999999999999</v>
      </c>
      <c r="AN685" s="9">
        <f t="shared" si="198"/>
        <v>0.39329999999999998</v>
      </c>
      <c r="AO685" s="9">
        <f t="shared" si="199"/>
        <v>2.6219999999999999</v>
      </c>
      <c r="AP685" s="9">
        <f t="shared" si="200"/>
        <v>0.26219999999999999</v>
      </c>
      <c r="AQ685" s="9">
        <f t="shared" si="201"/>
        <v>2.6219999999999999</v>
      </c>
      <c r="AR685" s="9">
        <f t="shared" si="202"/>
        <v>3.2774999999999999</v>
      </c>
      <c r="AS685" s="11">
        <f t="shared" si="203"/>
        <v>-1.0640000000000001</v>
      </c>
      <c r="AT685" s="12">
        <f t="shared" si="204"/>
        <v>-1.5010000000000001</v>
      </c>
    </row>
    <row r="686" spans="1:46" ht="16.5" x14ac:dyDescent="0.4">
      <c r="A686" s="4" t="s">
        <v>2676</v>
      </c>
      <c r="B686" s="4" t="s">
        <v>2710</v>
      </c>
      <c r="C686" s="4" t="s">
        <v>2726</v>
      </c>
      <c r="D686" s="4" t="s">
        <v>2855</v>
      </c>
      <c r="E686" s="4" t="s">
        <v>3014</v>
      </c>
      <c r="F686" s="4" t="s">
        <v>3173</v>
      </c>
      <c r="G686" s="7" t="str">
        <f>VLOOKUP(A686,[1]done!$A:$I,9,0)</f>
        <v>Insecticide/Fungicide</v>
      </c>
      <c r="H686" s="7" t="str" cm="1">
        <f t="array" ref="H686">_xlfn.IFS(
OR(ISNUMBER(SEARCH("mouse",E686)),ISNUMBER(SEARCH("rat",E686)),ISNUMBER(SEARCH("mice",E686)),ISNUMBER(SEARCH("rodent",E686))),"Rodent Control",
OR(ISNUMBER(SEARCH("fly",E686)),ISNUMBER(SEARCH("gnat",E686)),ISNUMBER(SEARCH("insect",E686)),ISNUMBER(SEARCH("mosquito",E686))),"Flying Insect Control",
OR(ISNUMBER(SEARCH("roach",E686)),ISNUMBER(SEARCH("ant",E686)),ISNUMBER(SEARCH("spider",E686)),ISNUMBER(SEARCH("cricket",E686)),ISNUMBER(SEARCH("scorpion",E686)),ISNUMBER(SEARCH("centipede",E686)),ISNUMBER(SEARCH("beetle",E686))),"Crawling Insect Control",
OR(ISNUMBER(SEARCH("tree",E686)),ISNUMBER(SEARCH("lantern",E686)),ISNUMBER(SEARCH("garden",E686)),ISNUMBER(SEARCH("plant",E686))),"Garden Pest Control",
OR(ISNUMBER(SEARCH("grass seed",E686)),ISNUMBER(SEARCH("seed mix",E686))),"Grass Seed",
OR(ISNUMBER(SEARCH("lawn food",E686)),ISNUMBER(SEARCH("fertilizer",E686))),"Lawn Fertilizer",
OR(ISNUMBER(SEARCH("patch",E686)),ISNUMBER(SEARCH("repair",E686)),ISNUMBER(SEARCH("thick'r",E686)),ISNUMBER(SEARCH("thick'r lawn",E686)),ISNUMBER(SEARCH("rapid grass",E686))),"Lawn Repair",
OR(ISNUMBER(SEARCH("weed",E686)),ISNUMBER(SEARCH("crabgrass",E686))),"Weed Control",
OR(ISNUMBER(SEARCH("fungicide",E686)),ISNUMBER(SEARCH("moss",E686))),"Disease &amp; Moss Control",
OR(ISNUMBER(SEARCH("plant food",E686)),ISNUMBER(SEARCH("miracid",E686))),"Plant Nutrition",
OR(ISNUMBER(SEARCH("perlite",E686))),"Soil Amendment",
OR(ISNUMBER(SEARCH("spreader",E686)),ISNUMBER(SEARCH("sprayer",E686)),ISNUMBER(SEARCH("mower",E686)),ISNUMBER(SEARCH("sweeper",E686)),ISNUMBER(SEARCH("pruner",E686)),ISNUMBER(SEARCH("trimmer",E686)),ISNUMBER(SEARCH("pole saw",E686))),"Garden Equipment",
TRUE,"Other"
)</f>
        <v>Disease &amp; Moss Control</v>
      </c>
      <c r="I686" s="7" t="str" cm="1">
        <f t="array" ref="I686">_xlfn.IFS(
OR(ISNUMBER(SEARCH("glue trap",E686)),ISNUMBER(SEARCH("glue board",E686))),"Glue Traps",
OR(ISNUMBER(SEARCH("snap trap",E686)),ISNUMBER(SEARCH("power-kill",E686)),ISNUMBER(SEARCH("wide pedal",E686)),ISNUMBER(SEARCH("metal pedal",E686))),"Snap Traps",
OR(ISNUMBER(SEARCH("electronic",E686)),ISNUMBER(SEARCH("zapper",E686))),"Electronic Traps",
OR(ISNUMBER(SEARCH("live catch",E686)),ISNUMBER(SEARCH("multi-catch",E686)),ISNUMBER(SEARCH("catch &amp; hold",E686)),ISNUMBER(SEARCH("tin cat",E686))),"Live Catch Traps",
OR(ISNUMBER(SEARCH("bait",E686)),ISNUMBER(SEARCH("poison",E686))),"Bait &amp; Poison",
ISNUMBER(SEARCH("repellent",E686)),"Repellents",
OR(ISNUMBER(SEARCH("fly trap",E686)),ISNUMBER(SEARCH("fly ribbon",E686)),ISNUMBER(SEARCH("fly stick",E686)),ISNUMBER(SEARCH("window fly",E686)),ISNUMBER(SEARCH("fly magnet",E686))),"Fly Traps",
OR(ISNUMBER(SEARCH("uv",E686)),ISNUMBER(SEARCH("fly light",E686)),ISNUMBER(SEARCH("plug-in",E686))),"UV Fly Traps",
ISNUMBER(SEARCH("roach",E686)),"Roach Traps",
ISNUMBER(SEARCH("ant",E686)),"Ant Traps",
ISNUMBER(SEARCH("spider",E686)),"Spider Traps",
ISNUMBER(SEARCH("mosquito",E686)),"Mosquito Traps",
ISNUMBER(SEARCH("beetle",E686)),"Beetle Traps",
ISNUMBER(SEARCH("lantern",E686)),"Lanternfly Control",
OR(ISNUMBER(SEARCH("tree shield",E686)),ISNUMBER(SEARCH("tree banding",E686)),ISNUMBER(SEARCH("insect barrier",E686))),"Tree Barriers",
OR(ISNUMBER(SEARCH("sun &amp; shade",E686)),ISNUMBER(SEARCH("sun and shade",E686))),"Sun &amp; Shade Mix",
ISNUMBER(SEARCH("tall fescue",E686)),"Tall Fescue",
ISNUMBER(SEARCH("bermudagrass",E686)),"Bermudagrass",
ISNUMBER(SEARCH("kentucky",E686)),"Kentucky Bluegrass",
ISNUMBER(SEARCH("zoysia",E686)),"Zoysia",
ISNUMBER(SEARCH("ryegrass",E686)),"Perennial Ryegrass",
ISNUMBER(SEARCH("centipede",E686)),"Centipede Grass",
ISNUMBER(SEARCH("dense shade",E686)),"Dense Shade Mix",
ISNUMBER(SEARCH("southern gold",E686)),"Southern Gold Mix",
ISNUMBER(SEARCH("heat-tolerant blue",E686)),"Heat-Tolerant Blue Mix",
ISNUMBER(SEARCH("high traffic",E686)),"High Traffic Mix",
ISNUMBER(SEARCH("quick fix",E686)),"Quick Fix Mix",
ISNUMBER(SEARCH("starter",E686)),"Starter Fertilizer",
ISNUMBER(SEARCH("weed &amp; feed",E686)),"Weed &amp; Feed",
ISNUMBER(SEARCH("lawn food",E686)),"Lawn Food",
ISNUMBER(SEARCH("triple action",E686)),"Triple Action Fertilizer",
ISNUMBER(SEARCH("green max",E686)),"Green Max Lawn Food",
ISNUMBER(SEARCH("patchmaster",E686)),"PatchMaster Repair",
ISNUMBER(SEARCH("ez seed",E686)),"EZ Seed Repair",
ISNUMBER(SEARCH("rapid grass",E686)),"Rapid Grass",
ISNUMBER(SEARCH("thick'r lawn",E686)),"Thick'R Lawn",
ISNUMBER(SEARCH("fungicide",E686)),"Fungicide",
ISNUMBER(SEARCH("moss",E686)),"Moss Control",
ISNUMBER(SEARCH("perlite",E686)),"Perlite",
ISNUMBER(SEARCH("plant food",E686)),"Plant Food",
ISNUMBER(SEARCH("spreader",E686)),"Spreader",
ISNUMBER(SEARCH("sprayer",E686)),"Sprayer",
ISNUMBER(SEARCH("mower",E686)),"Lawn Mower",
ISNUMBER(SEARCH("sweeper",E686)),"Lawn Sweeper",
OR(ISNUMBER(SEARCH("pruner",E686)),ISNUMBER(SEARCH("trimmer",E686)),ISNUMBER(SEARCH("pole saw",E686))),"Pruning Tools",
TRUE,"Other"
)</f>
        <v>Fungicide</v>
      </c>
      <c r="J686" s="7" t="str">
        <f t="shared" ref="J686:J749" si="207">H686&amp;" - "&amp;I686</f>
        <v>Disease &amp; Moss Control - Fungicide</v>
      </c>
      <c r="K686" s="4">
        <v>50</v>
      </c>
      <c r="L686" s="4">
        <v>4.5</v>
      </c>
      <c r="M686" s="4">
        <v>8465</v>
      </c>
      <c r="N686" s="4" t="s">
        <v>3252</v>
      </c>
      <c r="O686" s="4">
        <f>VLOOKUP(A686,[13]Sheet1!$A:$M,2,0)</f>
        <v>0</v>
      </c>
      <c r="P686" s="4">
        <f>VLOOKUP(A686,[13]Sheet1!$A:$M,3,0)</f>
        <v>0</v>
      </c>
      <c r="Q686" s="4">
        <f>VLOOKUP(A686,[13]Sheet1!$A:$M,4,0)</f>
        <v>0</v>
      </c>
      <c r="R686" s="4">
        <f>VLOOKUP(A686,[13]Sheet1!$A:$M,5,0)</f>
        <v>0</v>
      </c>
      <c r="S686" s="4">
        <f>VLOOKUP(A686,[13]Sheet1!$A:$M,6,0)</f>
        <v>0</v>
      </c>
      <c r="T686" s="4">
        <f>VLOOKUP(A686,[13]Sheet1!$A:$M,7,0)</f>
        <v>0</v>
      </c>
      <c r="U686" s="4">
        <f>VLOOKUP(A686,[13]Sheet1!$A:$M,8,0)</f>
        <v>0</v>
      </c>
      <c r="V686" s="4">
        <f>VLOOKUP(A686,[13]Sheet1!$A:$M,9,0)</f>
        <v>0</v>
      </c>
      <c r="W686" s="4">
        <f>VLOOKUP(A686,[13]Sheet1!$A:$M,10,0)</f>
        <v>50</v>
      </c>
      <c r="X686" s="4">
        <f>VLOOKUP(A686,[13]Sheet1!$A:$M,11,0)</f>
        <v>0</v>
      </c>
      <c r="Y686" s="4">
        <f>VLOOKUP(A686,[13]Sheet1!$A:$M,12,0)</f>
        <v>0</v>
      </c>
      <c r="Z686" s="4">
        <f>VLOOKUP(A686,[13]Sheet1!$A:$M,13,0)</f>
        <v>0</v>
      </c>
      <c r="AA686" s="4">
        <f t="shared" si="192"/>
        <v>50</v>
      </c>
      <c r="AB686" s="7">
        <f t="shared" si="193"/>
        <v>4</v>
      </c>
      <c r="AC686" s="15">
        <f t="shared" si="194"/>
        <v>4.166666666666667</v>
      </c>
      <c r="AD686" s="16">
        <f t="shared" si="195"/>
        <v>1861</v>
      </c>
      <c r="AE686" s="16">
        <f t="shared" si="196"/>
        <v>155.08333333333334</v>
      </c>
      <c r="AF686" s="21">
        <v>8.6199999999999992</v>
      </c>
      <c r="AG686" s="21">
        <v>37.22</v>
      </c>
      <c r="AH686" s="15">
        <f t="shared" si="205"/>
        <v>0.3511999999999999</v>
      </c>
      <c r="AI686" s="15">
        <f t="shared" si="206"/>
        <v>1.2291999999999994</v>
      </c>
      <c r="AJ686" s="10">
        <v>0.5</v>
      </c>
      <c r="AK686" s="10">
        <v>0.5</v>
      </c>
      <c r="AL686" s="21">
        <v>8.6199999999999992</v>
      </c>
      <c r="AM686" s="9">
        <f t="shared" si="197"/>
        <v>5.5829999999999993</v>
      </c>
      <c r="AN686" s="9">
        <f t="shared" si="198"/>
        <v>1.1165999999999998</v>
      </c>
      <c r="AO686" s="9">
        <f t="shared" si="199"/>
        <v>7.444</v>
      </c>
      <c r="AP686" s="9">
        <f t="shared" si="200"/>
        <v>0.74439999999999995</v>
      </c>
      <c r="AQ686" s="9">
        <f t="shared" si="201"/>
        <v>7.444</v>
      </c>
      <c r="AR686" s="9">
        <f t="shared" si="202"/>
        <v>9.3049999999999997</v>
      </c>
      <c r="AS686" s="11">
        <f t="shared" si="203"/>
        <v>3.5119999999999987</v>
      </c>
      <c r="AT686" s="12">
        <f t="shared" si="204"/>
        <v>2.2713333333333323</v>
      </c>
    </row>
    <row r="687" spans="1:46" ht="16.5" x14ac:dyDescent="0.4">
      <c r="A687" s="4" t="s">
        <v>2677</v>
      </c>
      <c r="B687" s="4" t="s">
        <v>2710</v>
      </c>
      <c r="C687" s="4" t="s">
        <v>2710</v>
      </c>
      <c r="D687" s="4" t="s">
        <v>2856</v>
      </c>
      <c r="E687" s="4" t="s">
        <v>3015</v>
      </c>
      <c r="F687" s="4" t="s">
        <v>3174</v>
      </c>
      <c r="G687" s="7" t="str">
        <f>VLOOKUP(A687,[1]done!$A:$I,9,0)</f>
        <v>Insecticide/Fungicide</v>
      </c>
      <c r="H687" s="7" t="str" cm="1">
        <f t="array" ref="H687">_xlfn.IFS(
OR(ISNUMBER(SEARCH("mouse",E687)),ISNUMBER(SEARCH("rat",E687)),ISNUMBER(SEARCH("mice",E687)),ISNUMBER(SEARCH("rodent",E687))),"Rodent Control",
OR(ISNUMBER(SEARCH("fly",E687)),ISNUMBER(SEARCH("gnat",E687)),ISNUMBER(SEARCH("insect",E687)),ISNUMBER(SEARCH("mosquito",E687))),"Flying Insect Control",
OR(ISNUMBER(SEARCH("roach",E687)),ISNUMBER(SEARCH("ant",E687)),ISNUMBER(SEARCH("spider",E687)),ISNUMBER(SEARCH("cricket",E687)),ISNUMBER(SEARCH("scorpion",E687)),ISNUMBER(SEARCH("centipede",E687)),ISNUMBER(SEARCH("beetle",E687))),"Crawling Insect Control",
OR(ISNUMBER(SEARCH("tree",E687)),ISNUMBER(SEARCH("lantern",E687)),ISNUMBER(SEARCH("garden",E687)),ISNUMBER(SEARCH("plant",E687))),"Garden Pest Control",
OR(ISNUMBER(SEARCH("grass seed",E687)),ISNUMBER(SEARCH("seed mix",E687))),"Grass Seed",
OR(ISNUMBER(SEARCH("lawn food",E687)),ISNUMBER(SEARCH("fertilizer",E687))),"Lawn Fertilizer",
OR(ISNUMBER(SEARCH("patch",E687)),ISNUMBER(SEARCH("repair",E687)),ISNUMBER(SEARCH("thick'r",E687)),ISNUMBER(SEARCH("thick'r lawn",E687)),ISNUMBER(SEARCH("rapid grass",E687))),"Lawn Repair",
OR(ISNUMBER(SEARCH("weed",E687)),ISNUMBER(SEARCH("crabgrass",E687))),"Weed Control",
OR(ISNUMBER(SEARCH("fungicide",E687)),ISNUMBER(SEARCH("moss",E687))),"Disease &amp; Moss Control",
OR(ISNUMBER(SEARCH("plant food",E687)),ISNUMBER(SEARCH("miracid",E687))),"Plant Nutrition",
OR(ISNUMBER(SEARCH("perlite",E687))),"Soil Amendment",
OR(ISNUMBER(SEARCH("spreader",E687)),ISNUMBER(SEARCH("sprayer",E687)),ISNUMBER(SEARCH("mower",E687)),ISNUMBER(SEARCH("sweeper",E687)),ISNUMBER(SEARCH("pruner",E687)),ISNUMBER(SEARCH("trimmer",E687)),ISNUMBER(SEARCH("pole saw",E687))),"Garden Equipment",
TRUE,"Other"
)</f>
        <v>Rodent Control</v>
      </c>
      <c r="I687" s="7" t="str" cm="1">
        <f t="array" ref="I687">_xlfn.IFS(
OR(ISNUMBER(SEARCH("glue trap",E687)),ISNUMBER(SEARCH("glue board",E687))),"Glue Traps",
OR(ISNUMBER(SEARCH("snap trap",E687)),ISNUMBER(SEARCH("power-kill",E687)),ISNUMBER(SEARCH("wide pedal",E687)),ISNUMBER(SEARCH("metal pedal",E687))),"Snap Traps",
OR(ISNUMBER(SEARCH("electronic",E687)),ISNUMBER(SEARCH("zapper",E687))),"Electronic Traps",
OR(ISNUMBER(SEARCH("live catch",E687)),ISNUMBER(SEARCH("multi-catch",E687)),ISNUMBER(SEARCH("catch &amp; hold",E687)),ISNUMBER(SEARCH("tin cat",E687))),"Live Catch Traps",
OR(ISNUMBER(SEARCH("bait",E687)),ISNUMBER(SEARCH("poison",E687))),"Bait &amp; Poison",
ISNUMBER(SEARCH("repellent",E687)),"Repellents",
OR(ISNUMBER(SEARCH("fly trap",E687)),ISNUMBER(SEARCH("fly ribbon",E687)),ISNUMBER(SEARCH("fly stick",E687)),ISNUMBER(SEARCH("window fly",E687)),ISNUMBER(SEARCH("fly magnet",E687))),"Fly Traps",
OR(ISNUMBER(SEARCH("uv",E687)),ISNUMBER(SEARCH("fly light",E687)),ISNUMBER(SEARCH("plug-in",E687))),"UV Fly Traps",
ISNUMBER(SEARCH("roach",E687)),"Roach Traps",
ISNUMBER(SEARCH("ant",E687)),"Ant Traps",
ISNUMBER(SEARCH("spider",E687)),"Spider Traps",
ISNUMBER(SEARCH("mosquito",E687)),"Mosquito Traps",
ISNUMBER(SEARCH("beetle",E687)),"Beetle Traps",
ISNUMBER(SEARCH("lantern",E687)),"Lanternfly Control",
OR(ISNUMBER(SEARCH("tree shield",E687)),ISNUMBER(SEARCH("tree banding",E687)),ISNUMBER(SEARCH("insect barrier",E687))),"Tree Barriers",
OR(ISNUMBER(SEARCH("sun &amp; shade",E687)),ISNUMBER(SEARCH("sun and shade",E687))),"Sun &amp; Shade Mix",
ISNUMBER(SEARCH("tall fescue",E687)),"Tall Fescue",
ISNUMBER(SEARCH("bermudagrass",E687)),"Bermudagrass",
ISNUMBER(SEARCH("kentucky",E687)),"Kentucky Bluegrass",
ISNUMBER(SEARCH("zoysia",E687)),"Zoysia",
ISNUMBER(SEARCH("ryegrass",E687)),"Perennial Ryegrass",
ISNUMBER(SEARCH("centipede",E687)),"Centipede Grass",
ISNUMBER(SEARCH("dense shade",E687)),"Dense Shade Mix",
ISNUMBER(SEARCH("southern gold",E687)),"Southern Gold Mix",
ISNUMBER(SEARCH("heat-tolerant blue",E687)),"Heat-Tolerant Blue Mix",
ISNUMBER(SEARCH("high traffic",E687)),"High Traffic Mix",
ISNUMBER(SEARCH("quick fix",E687)),"Quick Fix Mix",
ISNUMBER(SEARCH("starter",E687)),"Starter Fertilizer",
ISNUMBER(SEARCH("weed &amp; feed",E687)),"Weed &amp; Feed",
ISNUMBER(SEARCH("lawn food",E687)),"Lawn Food",
ISNUMBER(SEARCH("triple action",E687)),"Triple Action Fertilizer",
ISNUMBER(SEARCH("green max",E687)),"Green Max Lawn Food",
ISNUMBER(SEARCH("patchmaster",E687)),"PatchMaster Repair",
ISNUMBER(SEARCH("ez seed",E687)),"EZ Seed Repair",
ISNUMBER(SEARCH("rapid grass",E687)),"Rapid Grass",
ISNUMBER(SEARCH("thick'r lawn",E687)),"Thick'R Lawn",
ISNUMBER(SEARCH("fungicide",E687)),"Fungicide",
ISNUMBER(SEARCH("moss",E687)),"Moss Control",
ISNUMBER(SEARCH("perlite",E687)),"Perlite",
ISNUMBER(SEARCH("plant food",E687)),"Plant Food",
ISNUMBER(SEARCH("spreader",E687)),"Spreader",
ISNUMBER(SEARCH("sprayer",E687)),"Sprayer",
ISNUMBER(SEARCH("mower",E687)),"Lawn Mower",
ISNUMBER(SEARCH("sweeper",E687)),"Lawn Sweeper",
OR(ISNUMBER(SEARCH("pruner",E687)),ISNUMBER(SEARCH("trimmer",E687)),ISNUMBER(SEARCH("pole saw",E687))),"Pruning Tools",
TRUE,"Other"
)</f>
        <v>Other</v>
      </c>
      <c r="J687" s="7" t="str">
        <f t="shared" si="207"/>
        <v>Rodent Control - Other</v>
      </c>
      <c r="K687" s="4">
        <v>50</v>
      </c>
      <c r="L687" s="4">
        <v>4.5999999999999996</v>
      </c>
      <c r="M687" s="4">
        <v>1327</v>
      </c>
      <c r="N687" s="4" t="s">
        <v>3217</v>
      </c>
      <c r="O687" s="4">
        <f>VLOOKUP(A687,[13]Sheet1!$A:$M,2,0)</f>
        <v>0</v>
      </c>
      <c r="P687" s="4">
        <f>VLOOKUP(A687,[13]Sheet1!$A:$M,3,0)</f>
        <v>0</v>
      </c>
      <c r="Q687" s="4">
        <f>VLOOKUP(A687,[13]Sheet1!$A:$M,4,0)</f>
        <v>50</v>
      </c>
      <c r="R687" s="4">
        <f>VLOOKUP(A687,[13]Sheet1!$A:$M,5,0)</f>
        <v>100</v>
      </c>
      <c r="S687" s="4">
        <f>VLOOKUP(A687,[13]Sheet1!$A:$M,6,0)</f>
        <v>100</v>
      </c>
      <c r="T687" s="4">
        <f>VLOOKUP(A687,[13]Sheet1!$A:$M,7,0)</f>
        <v>200</v>
      </c>
      <c r="U687" s="4">
        <f>VLOOKUP(A687,[13]Sheet1!$A:$M,8,0)</f>
        <v>300</v>
      </c>
      <c r="V687" s="4">
        <f>VLOOKUP(A687,[13]Sheet1!$A:$M,9,0)</f>
        <v>50</v>
      </c>
      <c r="W687" s="4">
        <f>VLOOKUP(A687,[13]Sheet1!$A:$M,10,0)</f>
        <v>50</v>
      </c>
      <c r="X687" s="4">
        <f>VLOOKUP(A687,[13]Sheet1!$A:$M,11,0)</f>
        <v>0</v>
      </c>
      <c r="Y687" s="4">
        <f>VLOOKUP(A687,[13]Sheet1!$A:$M,12,0)</f>
        <v>0</v>
      </c>
      <c r="Z687" s="4">
        <f>VLOOKUP(A687,[13]Sheet1!$A:$M,13,0)</f>
        <v>0</v>
      </c>
      <c r="AA687" s="4">
        <f t="shared" si="192"/>
        <v>850</v>
      </c>
      <c r="AB687" s="7">
        <f t="shared" si="193"/>
        <v>71</v>
      </c>
      <c r="AC687" s="15">
        <f t="shared" si="194"/>
        <v>70.833333333333329</v>
      </c>
      <c r="AD687" s="16">
        <f t="shared" si="195"/>
        <v>11041.5</v>
      </c>
      <c r="AE687" s="16">
        <f t="shared" si="196"/>
        <v>920.125</v>
      </c>
      <c r="AF687" s="21">
        <v>5.22</v>
      </c>
      <c r="AG687" s="21">
        <v>12.99</v>
      </c>
      <c r="AH687" s="15">
        <f t="shared" si="205"/>
        <v>-6.8266666666666698E-2</v>
      </c>
      <c r="AI687" s="15">
        <f t="shared" si="206"/>
        <v>-0.23893333333333341</v>
      </c>
      <c r="AJ687" s="10">
        <v>0.5</v>
      </c>
      <c r="AK687" s="10">
        <v>0.5</v>
      </c>
      <c r="AL687" s="21">
        <v>5.22</v>
      </c>
      <c r="AM687" s="9">
        <f t="shared" si="197"/>
        <v>1.9484999999999999</v>
      </c>
      <c r="AN687" s="9">
        <f t="shared" si="198"/>
        <v>0.38969999999999999</v>
      </c>
      <c r="AO687" s="9">
        <f t="shared" si="199"/>
        <v>2.5980000000000003</v>
      </c>
      <c r="AP687" s="9">
        <f t="shared" si="200"/>
        <v>0.25980000000000003</v>
      </c>
      <c r="AQ687" s="9">
        <f t="shared" si="201"/>
        <v>2.5980000000000003</v>
      </c>
      <c r="AR687" s="9">
        <f t="shared" si="202"/>
        <v>3.2475000000000001</v>
      </c>
      <c r="AS687" s="11">
        <f t="shared" si="203"/>
        <v>-0.68266666666666698</v>
      </c>
      <c r="AT687" s="12">
        <f t="shared" si="204"/>
        <v>-1.1156666666666668</v>
      </c>
    </row>
    <row r="688" spans="1:46" ht="16.5" x14ac:dyDescent="0.4">
      <c r="A688" s="4" t="s">
        <v>2678</v>
      </c>
      <c r="B688" s="4" t="s">
        <v>2710</v>
      </c>
      <c r="C688" s="4" t="s">
        <v>2712</v>
      </c>
      <c r="D688" s="4" t="s">
        <v>2857</v>
      </c>
      <c r="E688" s="4" t="s">
        <v>3016</v>
      </c>
      <c r="F688" s="4" t="s">
        <v>3175</v>
      </c>
      <c r="G688" s="7" t="str">
        <f>VLOOKUP(A688,[1]done!$A:$I,9,0)</f>
        <v>Weed Control</v>
      </c>
      <c r="H688" s="7" t="str" cm="1">
        <f t="array" ref="H688">_xlfn.IFS(
OR(ISNUMBER(SEARCH("mouse",E688)),ISNUMBER(SEARCH("rat",E688)),ISNUMBER(SEARCH("mice",E688)),ISNUMBER(SEARCH("rodent",E688))),"Rodent Control",
OR(ISNUMBER(SEARCH("fly",E688)),ISNUMBER(SEARCH("gnat",E688)),ISNUMBER(SEARCH("insect",E688)),ISNUMBER(SEARCH("mosquito",E688))),"Flying Insect Control",
OR(ISNUMBER(SEARCH("roach",E688)),ISNUMBER(SEARCH("ant",E688)),ISNUMBER(SEARCH("spider",E688)),ISNUMBER(SEARCH("cricket",E688)),ISNUMBER(SEARCH("scorpion",E688)),ISNUMBER(SEARCH("centipede",E688)),ISNUMBER(SEARCH("beetle",E688))),"Crawling Insect Control",
OR(ISNUMBER(SEARCH("tree",E688)),ISNUMBER(SEARCH("lantern",E688)),ISNUMBER(SEARCH("garden",E688)),ISNUMBER(SEARCH("plant",E688))),"Garden Pest Control",
OR(ISNUMBER(SEARCH("grass seed",E688)),ISNUMBER(SEARCH("seed mix",E688))),"Grass Seed",
OR(ISNUMBER(SEARCH("lawn food",E688)),ISNUMBER(SEARCH("fertilizer",E688))),"Lawn Fertilizer",
OR(ISNUMBER(SEARCH("patch",E688)),ISNUMBER(SEARCH("repair",E688)),ISNUMBER(SEARCH("thick'r",E688)),ISNUMBER(SEARCH("thick'r lawn",E688)),ISNUMBER(SEARCH("rapid grass",E688))),"Lawn Repair",
OR(ISNUMBER(SEARCH("weed",E688)),ISNUMBER(SEARCH("crabgrass",E688))),"Weed Control",
OR(ISNUMBER(SEARCH("fungicide",E688)),ISNUMBER(SEARCH("moss",E688))),"Disease &amp; Moss Control",
OR(ISNUMBER(SEARCH("plant food",E688)),ISNUMBER(SEARCH("miracid",E688))),"Plant Nutrition",
OR(ISNUMBER(SEARCH("perlite",E688))),"Soil Amendment",
OR(ISNUMBER(SEARCH("spreader",E688)),ISNUMBER(SEARCH("sprayer",E688)),ISNUMBER(SEARCH("mower",E688)),ISNUMBER(SEARCH("sweeper",E688)),ISNUMBER(SEARCH("pruner",E688)),ISNUMBER(SEARCH("trimmer",E688)),ISNUMBER(SEARCH("pole saw",E688))),"Garden Equipment",
TRUE,"Other"
)</f>
        <v>Weed Control</v>
      </c>
      <c r="I688" s="7" t="str" cm="1">
        <f t="array" ref="I688">_xlfn.IFS(
OR(ISNUMBER(SEARCH("glue trap",E688)),ISNUMBER(SEARCH("glue board",E688))),"Glue Traps",
OR(ISNUMBER(SEARCH("snap trap",E688)),ISNUMBER(SEARCH("power-kill",E688)),ISNUMBER(SEARCH("wide pedal",E688)),ISNUMBER(SEARCH("metal pedal",E688))),"Snap Traps",
OR(ISNUMBER(SEARCH("electronic",E688)),ISNUMBER(SEARCH("zapper",E688))),"Electronic Traps",
OR(ISNUMBER(SEARCH("live catch",E688)),ISNUMBER(SEARCH("multi-catch",E688)),ISNUMBER(SEARCH("catch &amp; hold",E688)),ISNUMBER(SEARCH("tin cat",E688))),"Live Catch Traps",
OR(ISNUMBER(SEARCH("bait",E688)),ISNUMBER(SEARCH("poison",E688))),"Bait &amp; Poison",
ISNUMBER(SEARCH("repellent",E688)),"Repellents",
OR(ISNUMBER(SEARCH("fly trap",E688)),ISNUMBER(SEARCH("fly ribbon",E688)),ISNUMBER(SEARCH("fly stick",E688)),ISNUMBER(SEARCH("window fly",E688)),ISNUMBER(SEARCH("fly magnet",E688))),"Fly Traps",
OR(ISNUMBER(SEARCH("uv",E688)),ISNUMBER(SEARCH("fly light",E688)),ISNUMBER(SEARCH("plug-in",E688))),"UV Fly Traps",
ISNUMBER(SEARCH("roach",E688)),"Roach Traps",
ISNUMBER(SEARCH("ant",E688)),"Ant Traps",
ISNUMBER(SEARCH("spider",E688)),"Spider Traps",
ISNUMBER(SEARCH("mosquito",E688)),"Mosquito Traps",
ISNUMBER(SEARCH("beetle",E688)),"Beetle Traps",
ISNUMBER(SEARCH("lantern",E688)),"Lanternfly Control",
OR(ISNUMBER(SEARCH("tree shield",E688)),ISNUMBER(SEARCH("tree banding",E688)),ISNUMBER(SEARCH("insect barrier",E688))),"Tree Barriers",
OR(ISNUMBER(SEARCH("sun &amp; shade",E688)),ISNUMBER(SEARCH("sun and shade",E688))),"Sun &amp; Shade Mix",
ISNUMBER(SEARCH("tall fescue",E688)),"Tall Fescue",
ISNUMBER(SEARCH("bermudagrass",E688)),"Bermudagrass",
ISNUMBER(SEARCH("kentucky",E688)),"Kentucky Bluegrass",
ISNUMBER(SEARCH("zoysia",E688)),"Zoysia",
ISNUMBER(SEARCH("ryegrass",E688)),"Perennial Ryegrass",
ISNUMBER(SEARCH("centipede",E688)),"Centipede Grass",
ISNUMBER(SEARCH("dense shade",E688)),"Dense Shade Mix",
ISNUMBER(SEARCH("southern gold",E688)),"Southern Gold Mix",
ISNUMBER(SEARCH("heat-tolerant blue",E688)),"Heat-Tolerant Blue Mix",
ISNUMBER(SEARCH("high traffic",E688)),"High Traffic Mix",
ISNUMBER(SEARCH("quick fix",E688)),"Quick Fix Mix",
ISNUMBER(SEARCH("starter",E688)),"Starter Fertilizer",
ISNUMBER(SEARCH("weed &amp; feed",E688)),"Weed &amp; Feed",
ISNUMBER(SEARCH("lawn food",E688)),"Lawn Food",
ISNUMBER(SEARCH("triple action",E688)),"Triple Action Fertilizer",
ISNUMBER(SEARCH("green max",E688)),"Green Max Lawn Food",
ISNUMBER(SEARCH("patchmaster",E688)),"PatchMaster Repair",
ISNUMBER(SEARCH("ez seed",E688)),"EZ Seed Repair",
ISNUMBER(SEARCH("rapid grass",E688)),"Rapid Grass",
ISNUMBER(SEARCH("thick'r lawn",E688)),"Thick'R Lawn",
ISNUMBER(SEARCH("fungicide",E688)),"Fungicide",
ISNUMBER(SEARCH("moss",E688)),"Moss Control",
ISNUMBER(SEARCH("perlite",E688)),"Perlite",
ISNUMBER(SEARCH("plant food",E688)),"Plant Food",
ISNUMBER(SEARCH("spreader",E688)),"Spreader",
ISNUMBER(SEARCH("sprayer",E688)),"Sprayer",
ISNUMBER(SEARCH("mower",E688)),"Lawn Mower",
ISNUMBER(SEARCH("sweeper",E688)),"Lawn Sweeper",
OR(ISNUMBER(SEARCH("pruner",E688)),ISNUMBER(SEARCH("trimmer",E688)),ISNUMBER(SEARCH("pole saw",E688))),"Pruning Tools",
TRUE,"Other"
)</f>
        <v>Other</v>
      </c>
      <c r="J688" s="7" t="str">
        <f t="shared" si="207"/>
        <v>Weed Control - Other</v>
      </c>
      <c r="K688" s="4">
        <v>50</v>
      </c>
      <c r="L688" s="4">
        <v>3.6</v>
      </c>
      <c r="M688" s="4">
        <v>31</v>
      </c>
      <c r="N688" s="4" t="s">
        <v>3223</v>
      </c>
      <c r="O688" s="4">
        <f>VLOOKUP(A688,[13]Sheet1!$A:$M,2,0)</f>
        <v>0</v>
      </c>
      <c r="P688" s="4">
        <f>VLOOKUP(A688,[13]Sheet1!$A:$M,3,0)</f>
        <v>0</v>
      </c>
      <c r="Q688" s="4">
        <f>VLOOKUP(A688,[13]Sheet1!$A:$M,4,0)</f>
        <v>0</v>
      </c>
      <c r="R688" s="4">
        <f>VLOOKUP(A688,[13]Sheet1!$A:$M,5,0)</f>
        <v>0</v>
      </c>
      <c r="S688" s="4">
        <f>VLOOKUP(A688,[13]Sheet1!$A:$M,6,0)</f>
        <v>50</v>
      </c>
      <c r="T688" s="4">
        <f>VLOOKUP(A688,[13]Sheet1!$A:$M,7,0)</f>
        <v>50</v>
      </c>
      <c r="U688" s="4">
        <f>VLOOKUP(A688,[13]Sheet1!$A:$M,8,0)</f>
        <v>50</v>
      </c>
      <c r="V688" s="4">
        <f>VLOOKUP(A688,[13]Sheet1!$A:$M,9,0)</f>
        <v>0</v>
      </c>
      <c r="W688" s="4">
        <f>VLOOKUP(A688,[13]Sheet1!$A:$M,10,0)</f>
        <v>50</v>
      </c>
      <c r="X688" s="4">
        <f>VLOOKUP(A688,[13]Sheet1!$A:$M,11,0)</f>
        <v>0</v>
      </c>
      <c r="Y688" s="4">
        <f>VLOOKUP(A688,[13]Sheet1!$A:$M,12,0)</f>
        <v>0</v>
      </c>
      <c r="Z688" s="4">
        <f>VLOOKUP(A688,[13]Sheet1!$A:$M,13,0)</f>
        <v>0</v>
      </c>
      <c r="AA688" s="4">
        <f t="shared" si="192"/>
        <v>200</v>
      </c>
      <c r="AB688" s="7">
        <f t="shared" si="193"/>
        <v>17</v>
      </c>
      <c r="AC688" s="15">
        <f t="shared" si="194"/>
        <v>16.666666666666668</v>
      </c>
      <c r="AD688" s="16">
        <f t="shared" si="195"/>
        <v>5598</v>
      </c>
      <c r="AE688" s="16">
        <f t="shared" si="196"/>
        <v>466.5</v>
      </c>
      <c r="AF688" s="21">
        <v>9.3699999999999992</v>
      </c>
      <c r="AG688" s="21">
        <v>27.99</v>
      </c>
      <c r="AH688" s="15">
        <f t="shared" si="205"/>
        <v>5.5066666666666521E-2</v>
      </c>
      <c r="AI688" s="15">
        <f t="shared" si="206"/>
        <v>0.19273333333333281</v>
      </c>
      <c r="AJ688" s="10">
        <v>0.5</v>
      </c>
      <c r="AK688" s="10">
        <v>0.5</v>
      </c>
      <c r="AL688" s="21">
        <v>9.3699999999999992</v>
      </c>
      <c r="AM688" s="9">
        <f t="shared" si="197"/>
        <v>4.1984999999999992</v>
      </c>
      <c r="AN688" s="9">
        <f t="shared" si="198"/>
        <v>0.83969999999999989</v>
      </c>
      <c r="AO688" s="9">
        <f t="shared" si="199"/>
        <v>5.5979999999999999</v>
      </c>
      <c r="AP688" s="9">
        <f t="shared" si="200"/>
        <v>0.55979999999999996</v>
      </c>
      <c r="AQ688" s="9">
        <f t="shared" si="201"/>
        <v>5.5979999999999999</v>
      </c>
      <c r="AR688" s="9">
        <f t="shared" si="202"/>
        <v>6.9974999999999996</v>
      </c>
      <c r="AS688" s="11">
        <f t="shared" si="203"/>
        <v>0.55066666666666519</v>
      </c>
      <c r="AT688" s="12">
        <f t="shared" si="204"/>
        <v>-0.38233333333333458</v>
      </c>
    </row>
    <row r="689" spans="1:46" ht="16.5" x14ac:dyDescent="0.4">
      <c r="A689" s="4" t="s">
        <v>2679</v>
      </c>
      <c r="B689" s="4" t="s">
        <v>2710</v>
      </c>
      <c r="C689" s="4" t="s">
        <v>2712</v>
      </c>
      <c r="D689" s="4" t="s">
        <v>2858</v>
      </c>
      <c r="E689" s="4" t="s">
        <v>3017</v>
      </c>
      <c r="F689" s="4" t="s">
        <v>3176</v>
      </c>
      <c r="G689" s="7" t="str">
        <f>VLOOKUP(A689,[1]done!$A:$I,9,0)</f>
        <v>Weed Control</v>
      </c>
      <c r="H689" s="7" t="str" cm="1">
        <f t="array" ref="H689">_xlfn.IFS(
OR(ISNUMBER(SEARCH("mouse",E689)),ISNUMBER(SEARCH("rat",E689)),ISNUMBER(SEARCH("mice",E689)),ISNUMBER(SEARCH("rodent",E689))),"Rodent Control",
OR(ISNUMBER(SEARCH("fly",E689)),ISNUMBER(SEARCH("gnat",E689)),ISNUMBER(SEARCH("insect",E689)),ISNUMBER(SEARCH("mosquito",E689))),"Flying Insect Control",
OR(ISNUMBER(SEARCH("roach",E689)),ISNUMBER(SEARCH("ant",E689)),ISNUMBER(SEARCH("spider",E689)),ISNUMBER(SEARCH("cricket",E689)),ISNUMBER(SEARCH("scorpion",E689)),ISNUMBER(SEARCH("centipede",E689)),ISNUMBER(SEARCH("beetle",E689))),"Crawling Insect Control",
OR(ISNUMBER(SEARCH("tree",E689)),ISNUMBER(SEARCH("lantern",E689)),ISNUMBER(SEARCH("garden",E689)),ISNUMBER(SEARCH("plant",E689))),"Garden Pest Control",
OR(ISNUMBER(SEARCH("grass seed",E689)),ISNUMBER(SEARCH("seed mix",E689))),"Grass Seed",
OR(ISNUMBER(SEARCH("lawn food",E689)),ISNUMBER(SEARCH("fertilizer",E689))),"Lawn Fertilizer",
OR(ISNUMBER(SEARCH("patch",E689)),ISNUMBER(SEARCH("repair",E689)),ISNUMBER(SEARCH("thick'r",E689)),ISNUMBER(SEARCH("thick'r lawn",E689)),ISNUMBER(SEARCH("rapid grass",E689))),"Lawn Repair",
OR(ISNUMBER(SEARCH("weed",E689)),ISNUMBER(SEARCH("crabgrass",E689))),"Weed Control",
OR(ISNUMBER(SEARCH("fungicide",E689)),ISNUMBER(SEARCH("moss",E689))),"Disease &amp; Moss Control",
OR(ISNUMBER(SEARCH("plant food",E689)),ISNUMBER(SEARCH("miracid",E689))),"Plant Nutrition",
OR(ISNUMBER(SEARCH("perlite",E689))),"Soil Amendment",
OR(ISNUMBER(SEARCH("spreader",E689)),ISNUMBER(SEARCH("sprayer",E689)),ISNUMBER(SEARCH("mower",E689)),ISNUMBER(SEARCH("sweeper",E689)),ISNUMBER(SEARCH("pruner",E689)),ISNUMBER(SEARCH("trimmer",E689)),ISNUMBER(SEARCH("pole saw",E689))),"Garden Equipment",
TRUE,"Other"
)</f>
        <v>Garden Pest Control</v>
      </c>
      <c r="I689" s="7" t="str" cm="1">
        <f t="array" ref="I689">_xlfn.IFS(
OR(ISNUMBER(SEARCH("glue trap",E689)),ISNUMBER(SEARCH("glue board",E689))),"Glue Traps",
OR(ISNUMBER(SEARCH("snap trap",E689)),ISNUMBER(SEARCH("power-kill",E689)),ISNUMBER(SEARCH("wide pedal",E689)),ISNUMBER(SEARCH("metal pedal",E689))),"Snap Traps",
OR(ISNUMBER(SEARCH("electronic",E689)),ISNUMBER(SEARCH("zapper",E689))),"Electronic Traps",
OR(ISNUMBER(SEARCH("live catch",E689)),ISNUMBER(SEARCH("multi-catch",E689)),ISNUMBER(SEARCH("catch &amp; hold",E689)),ISNUMBER(SEARCH("tin cat",E689))),"Live Catch Traps",
OR(ISNUMBER(SEARCH("bait",E689)),ISNUMBER(SEARCH("poison",E689))),"Bait &amp; Poison",
ISNUMBER(SEARCH("repellent",E689)),"Repellents",
OR(ISNUMBER(SEARCH("fly trap",E689)),ISNUMBER(SEARCH("fly ribbon",E689)),ISNUMBER(SEARCH("fly stick",E689)),ISNUMBER(SEARCH("window fly",E689)),ISNUMBER(SEARCH("fly magnet",E689))),"Fly Traps",
OR(ISNUMBER(SEARCH("uv",E689)),ISNUMBER(SEARCH("fly light",E689)),ISNUMBER(SEARCH("plug-in",E689))),"UV Fly Traps",
ISNUMBER(SEARCH("roach",E689)),"Roach Traps",
ISNUMBER(SEARCH("ant",E689)),"Ant Traps",
ISNUMBER(SEARCH("spider",E689)),"Spider Traps",
ISNUMBER(SEARCH("mosquito",E689)),"Mosquito Traps",
ISNUMBER(SEARCH("beetle",E689)),"Beetle Traps",
ISNUMBER(SEARCH("lantern",E689)),"Lanternfly Control",
OR(ISNUMBER(SEARCH("tree shield",E689)),ISNUMBER(SEARCH("tree banding",E689)),ISNUMBER(SEARCH("insect barrier",E689))),"Tree Barriers",
OR(ISNUMBER(SEARCH("sun &amp; shade",E689)),ISNUMBER(SEARCH("sun and shade",E689))),"Sun &amp; Shade Mix",
ISNUMBER(SEARCH("tall fescue",E689)),"Tall Fescue",
ISNUMBER(SEARCH("bermudagrass",E689)),"Bermudagrass",
ISNUMBER(SEARCH("kentucky",E689)),"Kentucky Bluegrass",
ISNUMBER(SEARCH("zoysia",E689)),"Zoysia",
ISNUMBER(SEARCH("ryegrass",E689)),"Perennial Ryegrass",
ISNUMBER(SEARCH("centipede",E689)),"Centipede Grass",
ISNUMBER(SEARCH("dense shade",E689)),"Dense Shade Mix",
ISNUMBER(SEARCH("southern gold",E689)),"Southern Gold Mix",
ISNUMBER(SEARCH("heat-tolerant blue",E689)),"Heat-Tolerant Blue Mix",
ISNUMBER(SEARCH("high traffic",E689)),"High Traffic Mix",
ISNUMBER(SEARCH("quick fix",E689)),"Quick Fix Mix",
ISNUMBER(SEARCH("starter",E689)),"Starter Fertilizer",
ISNUMBER(SEARCH("weed &amp; feed",E689)),"Weed &amp; Feed",
ISNUMBER(SEARCH("lawn food",E689)),"Lawn Food",
ISNUMBER(SEARCH("triple action",E689)),"Triple Action Fertilizer",
ISNUMBER(SEARCH("green max",E689)),"Green Max Lawn Food",
ISNUMBER(SEARCH("patchmaster",E689)),"PatchMaster Repair",
ISNUMBER(SEARCH("ez seed",E689)),"EZ Seed Repair",
ISNUMBER(SEARCH("rapid grass",E689)),"Rapid Grass",
ISNUMBER(SEARCH("thick'r lawn",E689)),"Thick'R Lawn",
ISNUMBER(SEARCH("fungicide",E689)),"Fungicide",
ISNUMBER(SEARCH("moss",E689)),"Moss Control",
ISNUMBER(SEARCH("perlite",E689)),"Perlite",
ISNUMBER(SEARCH("plant food",E689)),"Plant Food",
ISNUMBER(SEARCH("spreader",E689)),"Spreader",
ISNUMBER(SEARCH("sprayer",E689)),"Sprayer",
ISNUMBER(SEARCH("mower",E689)),"Lawn Mower",
ISNUMBER(SEARCH("sweeper",E689)),"Lawn Sweeper",
OR(ISNUMBER(SEARCH("pruner",E689)),ISNUMBER(SEARCH("trimmer",E689)),ISNUMBER(SEARCH("pole saw",E689))),"Pruning Tools",
TRUE,"Other"
)</f>
        <v>Other</v>
      </c>
      <c r="J689" s="7" t="str">
        <f t="shared" si="207"/>
        <v>Garden Pest Control - Other</v>
      </c>
      <c r="K689" s="4">
        <v>50</v>
      </c>
      <c r="L689" s="4">
        <v>4</v>
      </c>
      <c r="M689" s="4">
        <v>337</v>
      </c>
      <c r="N689" s="4" t="s">
        <v>3223</v>
      </c>
      <c r="O689" s="4">
        <f>VLOOKUP(A689,[13]Sheet1!$A:$M,2,0)</f>
        <v>0</v>
      </c>
      <c r="P689" s="4">
        <f>VLOOKUP(A689,[13]Sheet1!$A:$M,3,0)</f>
        <v>0</v>
      </c>
      <c r="Q689" s="4">
        <f>VLOOKUP(A689,[13]Sheet1!$A:$M,4,0)</f>
        <v>0</v>
      </c>
      <c r="R689" s="4">
        <f>VLOOKUP(A689,[13]Sheet1!$A:$M,5,0)</f>
        <v>50</v>
      </c>
      <c r="S689" s="4">
        <f>VLOOKUP(A689,[13]Sheet1!$A:$M,6,0)</f>
        <v>50</v>
      </c>
      <c r="T689" s="4">
        <f>VLOOKUP(A689,[13]Sheet1!$A:$M,7,0)</f>
        <v>50</v>
      </c>
      <c r="U689" s="4">
        <f>VLOOKUP(A689,[13]Sheet1!$A:$M,8,0)</f>
        <v>50</v>
      </c>
      <c r="V689" s="4">
        <f>VLOOKUP(A689,[13]Sheet1!$A:$M,9,0)</f>
        <v>50</v>
      </c>
      <c r="W689" s="4">
        <f>VLOOKUP(A689,[13]Sheet1!$A:$M,10,0)</f>
        <v>50</v>
      </c>
      <c r="X689" s="4">
        <f>VLOOKUP(A689,[13]Sheet1!$A:$M,11,0)</f>
        <v>0</v>
      </c>
      <c r="Y689" s="4">
        <f>VLOOKUP(A689,[13]Sheet1!$A:$M,12,0)</f>
        <v>0</v>
      </c>
      <c r="Z689" s="4">
        <f>VLOOKUP(A689,[13]Sheet1!$A:$M,13,0)</f>
        <v>0</v>
      </c>
      <c r="AA689" s="4">
        <f t="shared" ref="AA689:AA719" si="208">SUM(O689:Z689)</f>
        <v>300</v>
      </c>
      <c r="AB689" s="7">
        <f t="shared" ref="AB689:AB719" si="209">ROUND(AA689/12,0)</f>
        <v>25</v>
      </c>
      <c r="AC689" s="15">
        <f t="shared" ref="AC689:AC719" si="210">AVERAGE(O689:Z689)</f>
        <v>25</v>
      </c>
      <c r="AD689" s="16">
        <f t="shared" ref="AD689:AD719" si="211">AG689*AA689</f>
        <v>7992</v>
      </c>
      <c r="AE689" s="16">
        <f t="shared" ref="AE689:AE719" si="212">AG689*AC689</f>
        <v>666</v>
      </c>
      <c r="AF689" s="21">
        <v>9.1999999999999993</v>
      </c>
      <c r="AG689" s="21">
        <v>26.64</v>
      </c>
      <c r="AH689" s="15">
        <f t="shared" si="205"/>
        <v>3.0400000000000028E-2</v>
      </c>
      <c r="AI689" s="15">
        <f t="shared" si="206"/>
        <v>0.10640000000000009</v>
      </c>
      <c r="AJ689" s="10">
        <v>0.5</v>
      </c>
      <c r="AK689" s="10">
        <v>0.5</v>
      </c>
      <c r="AL689" s="21">
        <v>9.1999999999999993</v>
      </c>
      <c r="AM689" s="9">
        <f t="shared" si="197"/>
        <v>3.996</v>
      </c>
      <c r="AN689" s="9">
        <f t="shared" si="198"/>
        <v>0.79920000000000002</v>
      </c>
      <c r="AO689" s="9">
        <f t="shared" si="199"/>
        <v>5.3280000000000003</v>
      </c>
      <c r="AP689" s="9">
        <f t="shared" si="200"/>
        <v>0.53280000000000005</v>
      </c>
      <c r="AQ689" s="9">
        <f t="shared" si="201"/>
        <v>5.3280000000000003</v>
      </c>
      <c r="AR689" s="9">
        <f t="shared" si="202"/>
        <v>6.66</v>
      </c>
      <c r="AS689" s="11">
        <f t="shared" si="203"/>
        <v>0.30400000000000027</v>
      </c>
      <c r="AT689" s="12">
        <f t="shared" si="204"/>
        <v>-0.58399999999999963</v>
      </c>
    </row>
    <row r="690" spans="1:46" ht="16.5" x14ac:dyDescent="0.4">
      <c r="A690" s="4" t="s">
        <v>2680</v>
      </c>
      <c r="B690" s="4" t="s">
        <v>2710</v>
      </c>
      <c r="C690" s="4" t="s">
        <v>2710</v>
      </c>
      <c r="D690" s="4" t="s">
        <v>2859</v>
      </c>
      <c r="E690" s="4" t="s">
        <v>3018</v>
      </c>
      <c r="F690" s="4" t="s">
        <v>3177</v>
      </c>
      <c r="G690" s="7" t="str">
        <f>VLOOKUP(A690,[1]done!$A:$I,9,0)</f>
        <v>Insecticide/Fungicide</v>
      </c>
      <c r="H690" s="7" t="str" cm="1">
        <f t="array" ref="H690">_xlfn.IFS(
OR(ISNUMBER(SEARCH("mouse",E690)),ISNUMBER(SEARCH("rat",E690)),ISNUMBER(SEARCH("mice",E690)),ISNUMBER(SEARCH("rodent",E690))),"Rodent Control",
OR(ISNUMBER(SEARCH("fly",E690)),ISNUMBER(SEARCH("gnat",E690)),ISNUMBER(SEARCH("insect",E690)),ISNUMBER(SEARCH("mosquito",E690))),"Flying Insect Control",
OR(ISNUMBER(SEARCH("roach",E690)),ISNUMBER(SEARCH("ant",E690)),ISNUMBER(SEARCH("spider",E690)),ISNUMBER(SEARCH("cricket",E690)),ISNUMBER(SEARCH("scorpion",E690)),ISNUMBER(SEARCH("centipede",E690)),ISNUMBER(SEARCH("beetle",E690))),"Crawling Insect Control",
OR(ISNUMBER(SEARCH("tree",E690)),ISNUMBER(SEARCH("lantern",E690)),ISNUMBER(SEARCH("garden",E690)),ISNUMBER(SEARCH("plant",E690))),"Garden Pest Control",
OR(ISNUMBER(SEARCH("grass seed",E690)),ISNUMBER(SEARCH("seed mix",E690))),"Grass Seed",
OR(ISNUMBER(SEARCH("lawn food",E690)),ISNUMBER(SEARCH("fertilizer",E690))),"Lawn Fertilizer",
OR(ISNUMBER(SEARCH("patch",E690)),ISNUMBER(SEARCH("repair",E690)),ISNUMBER(SEARCH("thick'r",E690)),ISNUMBER(SEARCH("thick'r lawn",E690)),ISNUMBER(SEARCH("rapid grass",E690))),"Lawn Repair",
OR(ISNUMBER(SEARCH("weed",E690)),ISNUMBER(SEARCH("crabgrass",E690))),"Weed Control",
OR(ISNUMBER(SEARCH("fungicide",E690)),ISNUMBER(SEARCH("moss",E690))),"Disease &amp; Moss Control",
OR(ISNUMBER(SEARCH("plant food",E690)),ISNUMBER(SEARCH("miracid",E690))),"Plant Nutrition",
OR(ISNUMBER(SEARCH("perlite",E690))),"Soil Amendment",
OR(ISNUMBER(SEARCH("spreader",E690)),ISNUMBER(SEARCH("sprayer",E690)),ISNUMBER(SEARCH("mower",E690)),ISNUMBER(SEARCH("sweeper",E690)),ISNUMBER(SEARCH("pruner",E690)),ISNUMBER(SEARCH("trimmer",E690)),ISNUMBER(SEARCH("pole saw",E690))),"Garden Equipment",
TRUE,"Other"
)</f>
        <v>Other</v>
      </c>
      <c r="I690" s="7" t="str" cm="1">
        <f t="array" ref="I690">_xlfn.IFS(
OR(ISNUMBER(SEARCH("glue trap",E690)),ISNUMBER(SEARCH("glue board",E690))),"Glue Traps",
OR(ISNUMBER(SEARCH("snap trap",E690)),ISNUMBER(SEARCH("power-kill",E690)),ISNUMBER(SEARCH("wide pedal",E690)),ISNUMBER(SEARCH("metal pedal",E690))),"Snap Traps",
OR(ISNUMBER(SEARCH("electronic",E690)),ISNUMBER(SEARCH("zapper",E690))),"Electronic Traps",
OR(ISNUMBER(SEARCH("live catch",E690)),ISNUMBER(SEARCH("multi-catch",E690)),ISNUMBER(SEARCH("catch &amp; hold",E690)),ISNUMBER(SEARCH("tin cat",E690))),"Live Catch Traps",
OR(ISNUMBER(SEARCH("bait",E690)),ISNUMBER(SEARCH("poison",E690))),"Bait &amp; Poison",
ISNUMBER(SEARCH("repellent",E690)),"Repellents",
OR(ISNUMBER(SEARCH("fly trap",E690)),ISNUMBER(SEARCH("fly ribbon",E690)),ISNUMBER(SEARCH("fly stick",E690)),ISNUMBER(SEARCH("window fly",E690)),ISNUMBER(SEARCH("fly magnet",E690))),"Fly Traps",
OR(ISNUMBER(SEARCH("uv",E690)),ISNUMBER(SEARCH("fly light",E690)),ISNUMBER(SEARCH("plug-in",E690))),"UV Fly Traps",
ISNUMBER(SEARCH("roach",E690)),"Roach Traps",
ISNUMBER(SEARCH("ant",E690)),"Ant Traps",
ISNUMBER(SEARCH("spider",E690)),"Spider Traps",
ISNUMBER(SEARCH("mosquito",E690)),"Mosquito Traps",
ISNUMBER(SEARCH("beetle",E690)),"Beetle Traps",
ISNUMBER(SEARCH("lantern",E690)),"Lanternfly Control",
OR(ISNUMBER(SEARCH("tree shield",E690)),ISNUMBER(SEARCH("tree banding",E690)),ISNUMBER(SEARCH("insect barrier",E690))),"Tree Barriers",
OR(ISNUMBER(SEARCH("sun &amp; shade",E690)),ISNUMBER(SEARCH("sun and shade",E690))),"Sun &amp; Shade Mix",
ISNUMBER(SEARCH("tall fescue",E690)),"Tall Fescue",
ISNUMBER(SEARCH("bermudagrass",E690)),"Bermudagrass",
ISNUMBER(SEARCH("kentucky",E690)),"Kentucky Bluegrass",
ISNUMBER(SEARCH("zoysia",E690)),"Zoysia",
ISNUMBER(SEARCH("ryegrass",E690)),"Perennial Ryegrass",
ISNUMBER(SEARCH("centipede",E690)),"Centipede Grass",
ISNUMBER(SEARCH("dense shade",E690)),"Dense Shade Mix",
ISNUMBER(SEARCH("southern gold",E690)),"Southern Gold Mix",
ISNUMBER(SEARCH("heat-tolerant blue",E690)),"Heat-Tolerant Blue Mix",
ISNUMBER(SEARCH("high traffic",E690)),"High Traffic Mix",
ISNUMBER(SEARCH("quick fix",E690)),"Quick Fix Mix",
ISNUMBER(SEARCH("starter",E690)),"Starter Fertilizer",
ISNUMBER(SEARCH("weed &amp; feed",E690)),"Weed &amp; Feed",
ISNUMBER(SEARCH("lawn food",E690)),"Lawn Food",
ISNUMBER(SEARCH("triple action",E690)),"Triple Action Fertilizer",
ISNUMBER(SEARCH("green max",E690)),"Green Max Lawn Food",
ISNUMBER(SEARCH("patchmaster",E690)),"PatchMaster Repair",
ISNUMBER(SEARCH("ez seed",E690)),"EZ Seed Repair",
ISNUMBER(SEARCH("rapid grass",E690)),"Rapid Grass",
ISNUMBER(SEARCH("thick'r lawn",E690)),"Thick'R Lawn",
ISNUMBER(SEARCH("fungicide",E690)),"Fungicide",
ISNUMBER(SEARCH("moss",E690)),"Moss Control",
ISNUMBER(SEARCH("perlite",E690)),"Perlite",
ISNUMBER(SEARCH("plant food",E690)),"Plant Food",
ISNUMBER(SEARCH("spreader",E690)),"Spreader",
ISNUMBER(SEARCH("sprayer",E690)),"Sprayer",
ISNUMBER(SEARCH("mower",E690)),"Lawn Mower",
ISNUMBER(SEARCH("sweeper",E690)),"Lawn Sweeper",
OR(ISNUMBER(SEARCH("pruner",E690)),ISNUMBER(SEARCH("trimmer",E690)),ISNUMBER(SEARCH("pole saw",E690))),"Pruning Tools",
TRUE,"Other"
)</f>
        <v>Other</v>
      </c>
      <c r="J690" s="7" t="str">
        <f t="shared" si="207"/>
        <v>Other - Other</v>
      </c>
      <c r="K690" s="4">
        <v>50</v>
      </c>
      <c r="L690" s="4">
        <v>4.2</v>
      </c>
      <c r="M690" s="4">
        <v>287</v>
      </c>
      <c r="N690" s="4" t="s">
        <v>3209</v>
      </c>
      <c r="O690" s="4">
        <f>VLOOKUP(A690,[13]Sheet1!$A:$M,2,0)</f>
        <v>0</v>
      </c>
      <c r="P690" s="4">
        <f>VLOOKUP(A690,[13]Sheet1!$A:$M,3,0)</f>
        <v>0</v>
      </c>
      <c r="Q690" s="4">
        <f>VLOOKUP(A690,[13]Sheet1!$A:$M,4,0)</f>
        <v>100</v>
      </c>
      <c r="R690" s="4">
        <f>VLOOKUP(A690,[13]Sheet1!$A:$M,5,0)</f>
        <v>300</v>
      </c>
      <c r="S690" s="4">
        <f>VLOOKUP(A690,[13]Sheet1!$A:$M,6,0)</f>
        <v>400</v>
      </c>
      <c r="T690" s="4">
        <f>VLOOKUP(A690,[13]Sheet1!$A:$M,7,0)</f>
        <v>400</v>
      </c>
      <c r="U690" s="4">
        <f>VLOOKUP(A690,[13]Sheet1!$A:$M,8,0)</f>
        <v>200</v>
      </c>
      <c r="V690" s="4">
        <f>VLOOKUP(A690,[13]Sheet1!$A:$M,9,0)</f>
        <v>100</v>
      </c>
      <c r="W690" s="4">
        <f>VLOOKUP(A690,[13]Sheet1!$A:$M,10,0)</f>
        <v>50</v>
      </c>
      <c r="X690" s="4">
        <f>VLOOKUP(A690,[13]Sheet1!$A:$M,11,0)</f>
        <v>0</v>
      </c>
      <c r="Y690" s="4">
        <f>VLOOKUP(A690,[13]Sheet1!$A:$M,12,0)</f>
        <v>0</v>
      </c>
      <c r="Z690" s="4">
        <f>VLOOKUP(A690,[13]Sheet1!$A:$M,13,0)</f>
        <v>0</v>
      </c>
      <c r="AA690" s="4">
        <f t="shared" si="208"/>
        <v>1550</v>
      </c>
      <c r="AB690" s="7">
        <f t="shared" si="209"/>
        <v>129</v>
      </c>
      <c r="AC690" s="15">
        <f t="shared" si="210"/>
        <v>129.16666666666666</v>
      </c>
      <c r="AD690" s="16">
        <f t="shared" si="211"/>
        <v>44934.5</v>
      </c>
      <c r="AE690" s="16">
        <f t="shared" si="212"/>
        <v>3744.5416666666661</v>
      </c>
      <c r="AF690" s="21">
        <v>6.79</v>
      </c>
      <c r="AG690" s="21">
        <v>28.99</v>
      </c>
      <c r="AH690" s="15">
        <f t="shared" si="205"/>
        <v>0.25373333333333331</v>
      </c>
      <c r="AI690" s="15">
        <f t="shared" si="206"/>
        <v>0.88806666666666645</v>
      </c>
      <c r="AJ690" s="10">
        <v>0.5</v>
      </c>
      <c r="AK690" s="10">
        <v>0.5</v>
      </c>
      <c r="AL690" s="21">
        <v>6.79</v>
      </c>
      <c r="AM690" s="9">
        <f t="shared" si="197"/>
        <v>4.3484999999999996</v>
      </c>
      <c r="AN690" s="9">
        <f t="shared" si="198"/>
        <v>0.86969999999999992</v>
      </c>
      <c r="AO690" s="9">
        <f t="shared" si="199"/>
        <v>5.798</v>
      </c>
      <c r="AP690" s="9">
        <f t="shared" si="200"/>
        <v>0.57979999999999998</v>
      </c>
      <c r="AQ690" s="9">
        <f t="shared" si="201"/>
        <v>5.798</v>
      </c>
      <c r="AR690" s="9">
        <f t="shared" si="202"/>
        <v>7.2474999999999996</v>
      </c>
      <c r="AS690" s="11">
        <f t="shared" si="203"/>
        <v>2.5373333333333328</v>
      </c>
      <c r="AT690" s="12">
        <f t="shared" si="204"/>
        <v>1.5709999999999997</v>
      </c>
    </row>
    <row r="691" spans="1:46" ht="16.5" x14ac:dyDescent="0.4">
      <c r="A691" s="4" t="s">
        <v>2681</v>
      </c>
      <c r="B691" s="4" t="s">
        <v>2710</v>
      </c>
      <c r="C691" s="4" t="s">
        <v>2714</v>
      </c>
      <c r="D691" s="4" t="s">
        <v>2860</v>
      </c>
      <c r="E691" s="4" t="s">
        <v>3019</v>
      </c>
      <c r="F691" s="4" t="s">
        <v>3178</v>
      </c>
      <c r="G691" s="7" t="str">
        <f>VLOOKUP(A691,[1]done!$A:$I,9,0)</f>
        <v>Mole Repellent</v>
      </c>
      <c r="H691" s="7" t="str" cm="1">
        <f t="array" ref="H691">_xlfn.IFS(
OR(ISNUMBER(SEARCH("mouse",E691)),ISNUMBER(SEARCH("rat",E691)),ISNUMBER(SEARCH("mice",E691)),ISNUMBER(SEARCH("rodent",E691))),"Rodent Control",
OR(ISNUMBER(SEARCH("fly",E691)),ISNUMBER(SEARCH("gnat",E691)),ISNUMBER(SEARCH("insect",E691)),ISNUMBER(SEARCH("mosquito",E691))),"Flying Insect Control",
OR(ISNUMBER(SEARCH("roach",E691)),ISNUMBER(SEARCH("ant",E691)),ISNUMBER(SEARCH("spider",E691)),ISNUMBER(SEARCH("cricket",E691)),ISNUMBER(SEARCH("scorpion",E691)),ISNUMBER(SEARCH("centipede",E691)),ISNUMBER(SEARCH("beetle",E691))),"Crawling Insect Control",
OR(ISNUMBER(SEARCH("tree",E691)),ISNUMBER(SEARCH("lantern",E691)),ISNUMBER(SEARCH("garden",E691)),ISNUMBER(SEARCH("plant",E691))),"Garden Pest Control",
OR(ISNUMBER(SEARCH("grass seed",E691)),ISNUMBER(SEARCH("seed mix",E691))),"Grass Seed",
OR(ISNUMBER(SEARCH("lawn food",E691)),ISNUMBER(SEARCH("fertilizer",E691))),"Lawn Fertilizer",
OR(ISNUMBER(SEARCH("patch",E691)),ISNUMBER(SEARCH("repair",E691)),ISNUMBER(SEARCH("thick'r",E691)),ISNUMBER(SEARCH("thick'r lawn",E691)),ISNUMBER(SEARCH("rapid grass",E691))),"Lawn Repair",
OR(ISNUMBER(SEARCH("weed",E691)),ISNUMBER(SEARCH("crabgrass",E691))),"Weed Control",
OR(ISNUMBER(SEARCH("fungicide",E691)),ISNUMBER(SEARCH("moss",E691))),"Disease &amp; Moss Control",
OR(ISNUMBER(SEARCH("plant food",E691)),ISNUMBER(SEARCH("miracid",E691))),"Plant Nutrition",
OR(ISNUMBER(SEARCH("perlite",E691))),"Soil Amendment",
OR(ISNUMBER(SEARCH("spreader",E691)),ISNUMBER(SEARCH("sprayer",E691)),ISNUMBER(SEARCH("mower",E691)),ISNUMBER(SEARCH("sweeper",E691)),ISNUMBER(SEARCH("pruner",E691)),ISNUMBER(SEARCH("trimmer",E691)),ISNUMBER(SEARCH("pole saw",E691))),"Garden Equipment",
TRUE,"Other"
)</f>
        <v>Other</v>
      </c>
      <c r="I691" s="7" t="str" cm="1">
        <f t="array" ref="I691">_xlfn.IFS(
OR(ISNUMBER(SEARCH("glue trap",E691)),ISNUMBER(SEARCH("glue board",E691))),"Glue Traps",
OR(ISNUMBER(SEARCH("snap trap",E691)),ISNUMBER(SEARCH("power-kill",E691)),ISNUMBER(SEARCH("wide pedal",E691)),ISNUMBER(SEARCH("metal pedal",E691))),"Snap Traps",
OR(ISNUMBER(SEARCH("electronic",E691)),ISNUMBER(SEARCH("zapper",E691))),"Electronic Traps",
OR(ISNUMBER(SEARCH("live catch",E691)),ISNUMBER(SEARCH("multi-catch",E691)),ISNUMBER(SEARCH("catch &amp; hold",E691)),ISNUMBER(SEARCH("tin cat",E691))),"Live Catch Traps",
OR(ISNUMBER(SEARCH("bait",E691)),ISNUMBER(SEARCH("poison",E691))),"Bait &amp; Poison",
ISNUMBER(SEARCH("repellent",E691)),"Repellents",
OR(ISNUMBER(SEARCH("fly trap",E691)),ISNUMBER(SEARCH("fly ribbon",E691)),ISNUMBER(SEARCH("fly stick",E691)),ISNUMBER(SEARCH("window fly",E691)),ISNUMBER(SEARCH("fly magnet",E691))),"Fly Traps",
OR(ISNUMBER(SEARCH("uv",E691)),ISNUMBER(SEARCH("fly light",E691)),ISNUMBER(SEARCH("plug-in",E691))),"UV Fly Traps",
ISNUMBER(SEARCH("roach",E691)),"Roach Traps",
ISNUMBER(SEARCH("ant",E691)),"Ant Traps",
ISNUMBER(SEARCH("spider",E691)),"Spider Traps",
ISNUMBER(SEARCH("mosquito",E691)),"Mosquito Traps",
ISNUMBER(SEARCH("beetle",E691)),"Beetle Traps",
ISNUMBER(SEARCH("lantern",E691)),"Lanternfly Control",
OR(ISNUMBER(SEARCH("tree shield",E691)),ISNUMBER(SEARCH("tree banding",E691)),ISNUMBER(SEARCH("insect barrier",E691))),"Tree Barriers",
OR(ISNUMBER(SEARCH("sun &amp; shade",E691)),ISNUMBER(SEARCH("sun and shade",E691))),"Sun &amp; Shade Mix",
ISNUMBER(SEARCH("tall fescue",E691)),"Tall Fescue",
ISNUMBER(SEARCH("bermudagrass",E691)),"Bermudagrass",
ISNUMBER(SEARCH("kentucky",E691)),"Kentucky Bluegrass",
ISNUMBER(SEARCH("zoysia",E691)),"Zoysia",
ISNUMBER(SEARCH("ryegrass",E691)),"Perennial Ryegrass",
ISNUMBER(SEARCH("centipede",E691)),"Centipede Grass",
ISNUMBER(SEARCH("dense shade",E691)),"Dense Shade Mix",
ISNUMBER(SEARCH("southern gold",E691)),"Southern Gold Mix",
ISNUMBER(SEARCH("heat-tolerant blue",E691)),"Heat-Tolerant Blue Mix",
ISNUMBER(SEARCH("high traffic",E691)),"High Traffic Mix",
ISNUMBER(SEARCH("quick fix",E691)),"Quick Fix Mix",
ISNUMBER(SEARCH("starter",E691)),"Starter Fertilizer",
ISNUMBER(SEARCH("weed &amp; feed",E691)),"Weed &amp; Feed",
ISNUMBER(SEARCH("lawn food",E691)),"Lawn Food",
ISNUMBER(SEARCH("triple action",E691)),"Triple Action Fertilizer",
ISNUMBER(SEARCH("green max",E691)),"Green Max Lawn Food",
ISNUMBER(SEARCH("patchmaster",E691)),"PatchMaster Repair",
ISNUMBER(SEARCH("ez seed",E691)),"EZ Seed Repair",
ISNUMBER(SEARCH("rapid grass",E691)),"Rapid Grass",
ISNUMBER(SEARCH("thick'r lawn",E691)),"Thick'R Lawn",
ISNUMBER(SEARCH("fungicide",E691)),"Fungicide",
ISNUMBER(SEARCH("moss",E691)),"Moss Control",
ISNUMBER(SEARCH("perlite",E691)),"Perlite",
ISNUMBER(SEARCH("plant food",E691)),"Plant Food",
ISNUMBER(SEARCH("spreader",E691)),"Spreader",
ISNUMBER(SEARCH("sprayer",E691)),"Sprayer",
ISNUMBER(SEARCH("mower",E691)),"Lawn Mower",
ISNUMBER(SEARCH("sweeper",E691)),"Lawn Sweeper",
OR(ISNUMBER(SEARCH("pruner",E691)),ISNUMBER(SEARCH("trimmer",E691)),ISNUMBER(SEARCH("pole saw",E691))),"Pruning Tools",
TRUE,"Other"
)</f>
        <v>Other</v>
      </c>
      <c r="J691" s="7" t="str">
        <f t="shared" si="207"/>
        <v>Other - Other</v>
      </c>
      <c r="K691" s="4">
        <v>50</v>
      </c>
      <c r="L691" s="4">
        <v>3.4</v>
      </c>
      <c r="M691" s="4">
        <v>299</v>
      </c>
      <c r="N691" s="4" t="s">
        <v>3253</v>
      </c>
      <c r="O691" s="4">
        <f>VLOOKUP(A691,[13]Sheet1!$A:$M,2,0)</f>
        <v>0</v>
      </c>
      <c r="P691" s="4">
        <f>VLOOKUP(A691,[13]Sheet1!$A:$M,3,0)</f>
        <v>0</v>
      </c>
      <c r="Q691" s="4">
        <f>VLOOKUP(A691,[13]Sheet1!$A:$M,4,0)</f>
        <v>50</v>
      </c>
      <c r="R691" s="4">
        <f>VLOOKUP(A691,[13]Sheet1!$A:$M,5,0)</f>
        <v>100</v>
      </c>
      <c r="S691" s="4">
        <f>VLOOKUP(A691,[13]Sheet1!$A:$M,6,0)</f>
        <v>50</v>
      </c>
      <c r="T691" s="4">
        <f>VLOOKUP(A691,[13]Sheet1!$A:$M,7,0)</f>
        <v>100</v>
      </c>
      <c r="U691" s="4">
        <f>VLOOKUP(A691,[13]Sheet1!$A:$M,8,0)</f>
        <v>100</v>
      </c>
      <c r="V691" s="4">
        <f>VLOOKUP(A691,[13]Sheet1!$A:$M,9,0)</f>
        <v>50</v>
      </c>
      <c r="W691" s="4">
        <f>VLOOKUP(A691,[13]Sheet1!$A:$M,10,0)</f>
        <v>50</v>
      </c>
      <c r="X691" s="4">
        <f>VLOOKUP(A691,[13]Sheet1!$A:$M,11,0)</f>
        <v>100</v>
      </c>
      <c r="Y691" s="4">
        <f>VLOOKUP(A691,[13]Sheet1!$A:$M,12,0)</f>
        <v>50</v>
      </c>
      <c r="Z691" s="4">
        <f>VLOOKUP(A691,[13]Sheet1!$A:$M,13,0)</f>
        <v>50</v>
      </c>
      <c r="AA691" s="4">
        <f t="shared" si="208"/>
        <v>700</v>
      </c>
      <c r="AB691" s="7">
        <f t="shared" si="209"/>
        <v>58</v>
      </c>
      <c r="AC691" s="15">
        <f t="shared" si="210"/>
        <v>58.333333333333336</v>
      </c>
      <c r="AD691" s="16">
        <f t="shared" si="211"/>
        <v>11879</v>
      </c>
      <c r="AE691" s="16">
        <f t="shared" si="212"/>
        <v>989.91666666666663</v>
      </c>
      <c r="AF691" s="21">
        <v>4.3499999999999996</v>
      </c>
      <c r="AG691" s="21">
        <v>16.97</v>
      </c>
      <c r="AH691" s="15">
        <f t="shared" si="205"/>
        <v>9.58666666666666E-2</v>
      </c>
      <c r="AI691" s="15">
        <f t="shared" si="206"/>
        <v>0.33553333333333302</v>
      </c>
      <c r="AJ691" s="10">
        <v>0.5</v>
      </c>
      <c r="AK691" s="10">
        <v>0.5</v>
      </c>
      <c r="AL691" s="21">
        <v>4.3499999999999996</v>
      </c>
      <c r="AM691" s="9">
        <f t="shared" si="197"/>
        <v>2.5454999999999997</v>
      </c>
      <c r="AN691" s="9">
        <f t="shared" si="198"/>
        <v>0.5091</v>
      </c>
      <c r="AO691" s="9">
        <f t="shared" si="199"/>
        <v>3.3940000000000001</v>
      </c>
      <c r="AP691" s="9">
        <f t="shared" si="200"/>
        <v>0.33939999999999998</v>
      </c>
      <c r="AQ691" s="9">
        <f t="shared" si="201"/>
        <v>3.3940000000000001</v>
      </c>
      <c r="AR691" s="9">
        <f t="shared" si="202"/>
        <v>4.2424999999999997</v>
      </c>
      <c r="AS691" s="11">
        <f t="shared" si="203"/>
        <v>0.95866666666666589</v>
      </c>
      <c r="AT691" s="12">
        <f t="shared" si="204"/>
        <v>0.39299999999999952</v>
      </c>
    </row>
    <row r="692" spans="1:46" ht="16.5" x14ac:dyDescent="0.4">
      <c r="A692" s="4" t="s">
        <v>2682</v>
      </c>
      <c r="B692" s="4" t="s">
        <v>2710</v>
      </c>
      <c r="C692" s="4" t="s">
        <v>2710</v>
      </c>
      <c r="D692" s="4" t="s">
        <v>2861</v>
      </c>
      <c r="E692" s="4" t="s">
        <v>3020</v>
      </c>
      <c r="F692" s="4" t="s">
        <v>3179</v>
      </c>
      <c r="G692" s="7" t="str">
        <f>VLOOKUP(A692,[1]done!$A:$I,9,0)</f>
        <v>Mole Repellent</v>
      </c>
      <c r="H692" s="7" t="str" cm="1">
        <f t="array" ref="H692">_xlfn.IFS(
OR(ISNUMBER(SEARCH("mouse",E692)),ISNUMBER(SEARCH("rat",E692)),ISNUMBER(SEARCH("mice",E692)),ISNUMBER(SEARCH("rodent",E692))),"Rodent Control",
OR(ISNUMBER(SEARCH("fly",E692)),ISNUMBER(SEARCH("gnat",E692)),ISNUMBER(SEARCH("insect",E692)),ISNUMBER(SEARCH("mosquito",E692))),"Flying Insect Control",
OR(ISNUMBER(SEARCH("roach",E692)),ISNUMBER(SEARCH("ant",E692)),ISNUMBER(SEARCH("spider",E692)),ISNUMBER(SEARCH("cricket",E692)),ISNUMBER(SEARCH("scorpion",E692)),ISNUMBER(SEARCH("centipede",E692)),ISNUMBER(SEARCH("beetle",E692))),"Crawling Insect Control",
OR(ISNUMBER(SEARCH("tree",E692)),ISNUMBER(SEARCH("lantern",E692)),ISNUMBER(SEARCH("garden",E692)),ISNUMBER(SEARCH("plant",E692))),"Garden Pest Control",
OR(ISNUMBER(SEARCH("grass seed",E692)),ISNUMBER(SEARCH("seed mix",E692))),"Grass Seed",
OR(ISNUMBER(SEARCH("lawn food",E692)),ISNUMBER(SEARCH("fertilizer",E692))),"Lawn Fertilizer",
OR(ISNUMBER(SEARCH("patch",E692)),ISNUMBER(SEARCH("repair",E692)),ISNUMBER(SEARCH("thick'r",E692)),ISNUMBER(SEARCH("thick'r lawn",E692)),ISNUMBER(SEARCH("rapid grass",E692))),"Lawn Repair",
OR(ISNUMBER(SEARCH("weed",E692)),ISNUMBER(SEARCH("crabgrass",E692))),"Weed Control",
OR(ISNUMBER(SEARCH("fungicide",E692)),ISNUMBER(SEARCH("moss",E692))),"Disease &amp; Moss Control",
OR(ISNUMBER(SEARCH("plant food",E692)),ISNUMBER(SEARCH("miracid",E692))),"Plant Nutrition",
OR(ISNUMBER(SEARCH("perlite",E692))),"Soil Amendment",
OR(ISNUMBER(SEARCH("spreader",E692)),ISNUMBER(SEARCH("sprayer",E692)),ISNUMBER(SEARCH("mower",E692)),ISNUMBER(SEARCH("sweeper",E692)),ISNUMBER(SEARCH("pruner",E692)),ISNUMBER(SEARCH("trimmer",E692)),ISNUMBER(SEARCH("pole saw",E692))),"Garden Equipment",
TRUE,"Other"
)</f>
        <v>Other</v>
      </c>
      <c r="I692" s="7" t="str" cm="1">
        <f t="array" ref="I692">_xlfn.IFS(
OR(ISNUMBER(SEARCH("glue trap",E692)),ISNUMBER(SEARCH("glue board",E692))),"Glue Traps",
OR(ISNUMBER(SEARCH("snap trap",E692)),ISNUMBER(SEARCH("power-kill",E692)),ISNUMBER(SEARCH("wide pedal",E692)),ISNUMBER(SEARCH("metal pedal",E692))),"Snap Traps",
OR(ISNUMBER(SEARCH("electronic",E692)),ISNUMBER(SEARCH("zapper",E692))),"Electronic Traps",
OR(ISNUMBER(SEARCH("live catch",E692)),ISNUMBER(SEARCH("multi-catch",E692)),ISNUMBER(SEARCH("catch &amp; hold",E692)),ISNUMBER(SEARCH("tin cat",E692))),"Live Catch Traps",
OR(ISNUMBER(SEARCH("bait",E692)),ISNUMBER(SEARCH("poison",E692))),"Bait &amp; Poison",
ISNUMBER(SEARCH("repellent",E692)),"Repellents",
OR(ISNUMBER(SEARCH("fly trap",E692)),ISNUMBER(SEARCH("fly ribbon",E692)),ISNUMBER(SEARCH("fly stick",E692)),ISNUMBER(SEARCH("window fly",E692)),ISNUMBER(SEARCH("fly magnet",E692))),"Fly Traps",
OR(ISNUMBER(SEARCH("uv",E692)),ISNUMBER(SEARCH("fly light",E692)),ISNUMBER(SEARCH("plug-in",E692))),"UV Fly Traps",
ISNUMBER(SEARCH("roach",E692)),"Roach Traps",
ISNUMBER(SEARCH("ant",E692)),"Ant Traps",
ISNUMBER(SEARCH("spider",E692)),"Spider Traps",
ISNUMBER(SEARCH("mosquito",E692)),"Mosquito Traps",
ISNUMBER(SEARCH("beetle",E692)),"Beetle Traps",
ISNUMBER(SEARCH("lantern",E692)),"Lanternfly Control",
OR(ISNUMBER(SEARCH("tree shield",E692)),ISNUMBER(SEARCH("tree banding",E692)),ISNUMBER(SEARCH("insect barrier",E692))),"Tree Barriers",
OR(ISNUMBER(SEARCH("sun &amp; shade",E692)),ISNUMBER(SEARCH("sun and shade",E692))),"Sun &amp; Shade Mix",
ISNUMBER(SEARCH("tall fescue",E692)),"Tall Fescue",
ISNUMBER(SEARCH("bermudagrass",E692)),"Bermudagrass",
ISNUMBER(SEARCH("kentucky",E692)),"Kentucky Bluegrass",
ISNUMBER(SEARCH("zoysia",E692)),"Zoysia",
ISNUMBER(SEARCH("ryegrass",E692)),"Perennial Ryegrass",
ISNUMBER(SEARCH("centipede",E692)),"Centipede Grass",
ISNUMBER(SEARCH("dense shade",E692)),"Dense Shade Mix",
ISNUMBER(SEARCH("southern gold",E692)),"Southern Gold Mix",
ISNUMBER(SEARCH("heat-tolerant blue",E692)),"Heat-Tolerant Blue Mix",
ISNUMBER(SEARCH("high traffic",E692)),"High Traffic Mix",
ISNUMBER(SEARCH("quick fix",E692)),"Quick Fix Mix",
ISNUMBER(SEARCH("starter",E692)),"Starter Fertilizer",
ISNUMBER(SEARCH("weed &amp; feed",E692)),"Weed &amp; Feed",
ISNUMBER(SEARCH("lawn food",E692)),"Lawn Food",
ISNUMBER(SEARCH("triple action",E692)),"Triple Action Fertilizer",
ISNUMBER(SEARCH("green max",E692)),"Green Max Lawn Food",
ISNUMBER(SEARCH("patchmaster",E692)),"PatchMaster Repair",
ISNUMBER(SEARCH("ez seed",E692)),"EZ Seed Repair",
ISNUMBER(SEARCH("rapid grass",E692)),"Rapid Grass",
ISNUMBER(SEARCH("thick'r lawn",E692)),"Thick'R Lawn",
ISNUMBER(SEARCH("fungicide",E692)),"Fungicide",
ISNUMBER(SEARCH("moss",E692)),"Moss Control",
ISNUMBER(SEARCH("perlite",E692)),"Perlite",
ISNUMBER(SEARCH("plant food",E692)),"Plant Food",
ISNUMBER(SEARCH("spreader",E692)),"Spreader",
ISNUMBER(SEARCH("sprayer",E692)),"Sprayer",
ISNUMBER(SEARCH("mower",E692)),"Lawn Mower",
ISNUMBER(SEARCH("sweeper",E692)),"Lawn Sweeper",
OR(ISNUMBER(SEARCH("pruner",E692)),ISNUMBER(SEARCH("trimmer",E692)),ISNUMBER(SEARCH("pole saw",E692))),"Pruning Tools",
TRUE,"Other"
)</f>
        <v>Other</v>
      </c>
      <c r="J692" s="7" t="str">
        <f t="shared" si="207"/>
        <v>Other - Other</v>
      </c>
      <c r="K692" s="4">
        <v>50</v>
      </c>
      <c r="L692" s="4">
        <v>3.4</v>
      </c>
      <c r="M692" s="4">
        <v>300</v>
      </c>
      <c r="N692" s="4" t="s">
        <v>3253</v>
      </c>
      <c r="O692" s="4">
        <f>VLOOKUP(A692,[13]Sheet1!$A:$M,2,0)</f>
        <v>0</v>
      </c>
      <c r="P692" s="4">
        <f>VLOOKUP(A692,[13]Sheet1!$A:$M,3,0)</f>
        <v>0</v>
      </c>
      <c r="Q692" s="4">
        <f>VLOOKUP(A692,[13]Sheet1!$A:$M,4,0)</f>
        <v>50</v>
      </c>
      <c r="R692" s="4">
        <f>VLOOKUP(A692,[13]Sheet1!$A:$M,5,0)</f>
        <v>50</v>
      </c>
      <c r="S692" s="4">
        <f>VLOOKUP(A692,[13]Sheet1!$A:$M,6,0)</f>
        <v>50</v>
      </c>
      <c r="T692" s="4">
        <f>VLOOKUP(A692,[13]Sheet1!$A:$M,7,0)</f>
        <v>100</v>
      </c>
      <c r="U692" s="4">
        <f>VLOOKUP(A692,[13]Sheet1!$A:$M,8,0)</f>
        <v>50</v>
      </c>
      <c r="V692" s="4">
        <f>VLOOKUP(A692,[13]Sheet1!$A:$M,9,0)</f>
        <v>50</v>
      </c>
      <c r="W692" s="4">
        <f>VLOOKUP(A692,[13]Sheet1!$A:$M,10,0)</f>
        <v>50</v>
      </c>
      <c r="X692" s="4">
        <f>VLOOKUP(A692,[13]Sheet1!$A:$M,11,0)</f>
        <v>50</v>
      </c>
      <c r="Y692" s="4">
        <f>VLOOKUP(A692,[13]Sheet1!$A:$M,12,0)</f>
        <v>50</v>
      </c>
      <c r="Z692" s="4">
        <f>VLOOKUP(A692,[13]Sheet1!$A:$M,13,0)</f>
        <v>0</v>
      </c>
      <c r="AA692" s="4">
        <f t="shared" si="208"/>
        <v>500</v>
      </c>
      <c r="AB692" s="7">
        <f t="shared" si="209"/>
        <v>42</v>
      </c>
      <c r="AC692" s="15">
        <f t="shared" si="210"/>
        <v>41.666666666666664</v>
      </c>
      <c r="AD692" s="16">
        <f t="shared" si="211"/>
        <v>9795</v>
      </c>
      <c r="AE692" s="16">
        <f t="shared" si="212"/>
        <v>816.25</v>
      </c>
      <c r="AF692" s="21">
        <v>4.3499999999999996</v>
      </c>
      <c r="AG692" s="21">
        <v>19.59</v>
      </c>
      <c r="AH692" s="15">
        <f t="shared" si="205"/>
        <v>0.16573333333333332</v>
      </c>
      <c r="AI692" s="15">
        <f t="shared" si="206"/>
        <v>0.58006666666666651</v>
      </c>
      <c r="AJ692" s="10">
        <v>0.5</v>
      </c>
      <c r="AK692" s="10">
        <v>0.5</v>
      </c>
      <c r="AL692" s="21">
        <v>4.3499999999999996</v>
      </c>
      <c r="AM692" s="9">
        <f t="shared" si="197"/>
        <v>2.9384999999999999</v>
      </c>
      <c r="AN692" s="9">
        <f t="shared" si="198"/>
        <v>0.5877</v>
      </c>
      <c r="AO692" s="9">
        <f t="shared" si="199"/>
        <v>3.9180000000000001</v>
      </c>
      <c r="AP692" s="9">
        <f t="shared" si="200"/>
        <v>0.39179999999999998</v>
      </c>
      <c r="AQ692" s="9">
        <f t="shared" si="201"/>
        <v>3.9180000000000001</v>
      </c>
      <c r="AR692" s="9">
        <f t="shared" si="202"/>
        <v>4.8975</v>
      </c>
      <c r="AS692" s="11">
        <f t="shared" si="203"/>
        <v>1.6573333333333331</v>
      </c>
      <c r="AT692" s="12">
        <f t="shared" si="204"/>
        <v>1.0043333333333333</v>
      </c>
    </row>
    <row r="693" spans="1:46" ht="16.5" x14ac:dyDescent="0.4">
      <c r="A693" s="4" t="s">
        <v>2683</v>
      </c>
      <c r="B693" s="4" t="s">
        <v>2710</v>
      </c>
      <c r="C693" s="4" t="s">
        <v>2710</v>
      </c>
      <c r="D693" s="4" t="s">
        <v>2862</v>
      </c>
      <c r="E693" s="4" t="s">
        <v>3021</v>
      </c>
      <c r="F693" s="4" t="s">
        <v>3180</v>
      </c>
      <c r="G693" s="7" t="str">
        <f>VLOOKUP(A693,[1]done!$A:$I,9,0)</f>
        <v>Mosquito/Fly</v>
      </c>
      <c r="H693" s="7" t="str" cm="1">
        <f t="array" ref="H693">_xlfn.IFS(
OR(ISNUMBER(SEARCH("mouse",E693)),ISNUMBER(SEARCH("rat",E693)),ISNUMBER(SEARCH("mice",E693)),ISNUMBER(SEARCH("rodent",E693))),"Rodent Control",
OR(ISNUMBER(SEARCH("fly",E693)),ISNUMBER(SEARCH("gnat",E693)),ISNUMBER(SEARCH("insect",E693)),ISNUMBER(SEARCH("mosquito",E693))),"Flying Insect Control",
OR(ISNUMBER(SEARCH("roach",E693)),ISNUMBER(SEARCH("ant",E693)),ISNUMBER(SEARCH("spider",E693)),ISNUMBER(SEARCH("cricket",E693)),ISNUMBER(SEARCH("scorpion",E693)),ISNUMBER(SEARCH("centipede",E693)),ISNUMBER(SEARCH("beetle",E693))),"Crawling Insect Control",
OR(ISNUMBER(SEARCH("tree",E693)),ISNUMBER(SEARCH("lantern",E693)),ISNUMBER(SEARCH("garden",E693)),ISNUMBER(SEARCH("plant",E693))),"Garden Pest Control",
OR(ISNUMBER(SEARCH("grass seed",E693)),ISNUMBER(SEARCH("seed mix",E693))),"Grass Seed",
OR(ISNUMBER(SEARCH("lawn food",E693)),ISNUMBER(SEARCH("fertilizer",E693))),"Lawn Fertilizer",
OR(ISNUMBER(SEARCH("patch",E693)),ISNUMBER(SEARCH("repair",E693)),ISNUMBER(SEARCH("thick'r",E693)),ISNUMBER(SEARCH("thick'r lawn",E693)),ISNUMBER(SEARCH("rapid grass",E693))),"Lawn Repair",
OR(ISNUMBER(SEARCH("weed",E693)),ISNUMBER(SEARCH("crabgrass",E693))),"Weed Control",
OR(ISNUMBER(SEARCH("fungicide",E693)),ISNUMBER(SEARCH("moss",E693))),"Disease &amp; Moss Control",
OR(ISNUMBER(SEARCH("plant food",E693)),ISNUMBER(SEARCH("miracid",E693))),"Plant Nutrition",
OR(ISNUMBER(SEARCH("perlite",E693))),"Soil Amendment",
OR(ISNUMBER(SEARCH("spreader",E693)),ISNUMBER(SEARCH("sprayer",E693)),ISNUMBER(SEARCH("mower",E693)),ISNUMBER(SEARCH("sweeper",E693)),ISNUMBER(SEARCH("pruner",E693)),ISNUMBER(SEARCH("trimmer",E693)),ISNUMBER(SEARCH("pole saw",E693))),"Garden Equipment",
TRUE,"Other"
)</f>
        <v>Rodent Control</v>
      </c>
      <c r="I693" s="7" t="str" cm="1">
        <f t="array" ref="I693">_xlfn.IFS(
OR(ISNUMBER(SEARCH("glue trap",E693)),ISNUMBER(SEARCH("glue board",E693))),"Glue Traps",
OR(ISNUMBER(SEARCH("snap trap",E693)),ISNUMBER(SEARCH("power-kill",E693)),ISNUMBER(SEARCH("wide pedal",E693)),ISNUMBER(SEARCH("metal pedal",E693))),"Snap Traps",
OR(ISNUMBER(SEARCH("electronic",E693)),ISNUMBER(SEARCH("zapper",E693))),"Electronic Traps",
OR(ISNUMBER(SEARCH("live catch",E693)),ISNUMBER(SEARCH("multi-catch",E693)),ISNUMBER(SEARCH("catch &amp; hold",E693)),ISNUMBER(SEARCH("tin cat",E693))),"Live Catch Traps",
OR(ISNUMBER(SEARCH("bait",E693)),ISNUMBER(SEARCH("poison",E693))),"Bait &amp; Poison",
ISNUMBER(SEARCH("repellent",E693)),"Repellents",
OR(ISNUMBER(SEARCH("fly trap",E693)),ISNUMBER(SEARCH("fly ribbon",E693)),ISNUMBER(SEARCH("fly stick",E693)),ISNUMBER(SEARCH("window fly",E693)),ISNUMBER(SEARCH("fly magnet",E693))),"Fly Traps",
OR(ISNUMBER(SEARCH("uv",E693)),ISNUMBER(SEARCH("fly light",E693)),ISNUMBER(SEARCH("plug-in",E693))),"UV Fly Traps",
ISNUMBER(SEARCH("roach",E693)),"Roach Traps",
ISNUMBER(SEARCH("ant",E693)),"Ant Traps",
ISNUMBER(SEARCH("spider",E693)),"Spider Traps",
ISNUMBER(SEARCH("mosquito",E693)),"Mosquito Traps",
ISNUMBER(SEARCH("beetle",E693)),"Beetle Traps",
ISNUMBER(SEARCH("lantern",E693)),"Lanternfly Control",
OR(ISNUMBER(SEARCH("tree shield",E693)),ISNUMBER(SEARCH("tree banding",E693)),ISNUMBER(SEARCH("insect barrier",E693))),"Tree Barriers",
OR(ISNUMBER(SEARCH("sun &amp; shade",E693)),ISNUMBER(SEARCH("sun and shade",E693))),"Sun &amp; Shade Mix",
ISNUMBER(SEARCH("tall fescue",E693)),"Tall Fescue",
ISNUMBER(SEARCH("bermudagrass",E693)),"Bermudagrass",
ISNUMBER(SEARCH("kentucky",E693)),"Kentucky Bluegrass",
ISNUMBER(SEARCH("zoysia",E693)),"Zoysia",
ISNUMBER(SEARCH("ryegrass",E693)),"Perennial Ryegrass",
ISNUMBER(SEARCH("centipede",E693)),"Centipede Grass",
ISNUMBER(SEARCH("dense shade",E693)),"Dense Shade Mix",
ISNUMBER(SEARCH("southern gold",E693)),"Southern Gold Mix",
ISNUMBER(SEARCH("heat-tolerant blue",E693)),"Heat-Tolerant Blue Mix",
ISNUMBER(SEARCH("high traffic",E693)),"High Traffic Mix",
ISNUMBER(SEARCH("quick fix",E693)),"Quick Fix Mix",
ISNUMBER(SEARCH("starter",E693)),"Starter Fertilizer",
ISNUMBER(SEARCH("weed &amp; feed",E693)),"Weed &amp; Feed",
ISNUMBER(SEARCH("lawn food",E693)),"Lawn Food",
ISNUMBER(SEARCH("triple action",E693)),"Triple Action Fertilizer",
ISNUMBER(SEARCH("green max",E693)),"Green Max Lawn Food",
ISNUMBER(SEARCH("patchmaster",E693)),"PatchMaster Repair",
ISNUMBER(SEARCH("ez seed",E693)),"EZ Seed Repair",
ISNUMBER(SEARCH("rapid grass",E693)),"Rapid Grass",
ISNUMBER(SEARCH("thick'r lawn",E693)),"Thick'R Lawn",
ISNUMBER(SEARCH("fungicide",E693)),"Fungicide",
ISNUMBER(SEARCH("moss",E693)),"Moss Control",
ISNUMBER(SEARCH("perlite",E693)),"Perlite",
ISNUMBER(SEARCH("plant food",E693)),"Plant Food",
ISNUMBER(SEARCH("spreader",E693)),"Spreader",
ISNUMBER(SEARCH("sprayer",E693)),"Sprayer",
ISNUMBER(SEARCH("mower",E693)),"Lawn Mower",
ISNUMBER(SEARCH("sweeper",E693)),"Lawn Sweeper",
OR(ISNUMBER(SEARCH("pruner",E693)),ISNUMBER(SEARCH("trimmer",E693)),ISNUMBER(SEARCH("pole saw",E693))),"Pruning Tools",
TRUE,"Other"
)</f>
        <v>Mosquito Traps</v>
      </c>
      <c r="J693" s="7" t="str">
        <f t="shared" si="207"/>
        <v>Rodent Control - Mosquito Traps</v>
      </c>
      <c r="K693" s="4">
        <v>50</v>
      </c>
      <c r="L693" s="4">
        <v>4.2</v>
      </c>
      <c r="M693" s="4">
        <v>1039</v>
      </c>
      <c r="N693" s="4" t="s">
        <v>3207</v>
      </c>
      <c r="O693" s="4">
        <f>VLOOKUP(A693,[13]Sheet1!$A:$M,2,0)</f>
        <v>0</v>
      </c>
      <c r="P693" s="4">
        <f>VLOOKUP(A693,[13]Sheet1!$A:$M,3,0)</f>
        <v>0</v>
      </c>
      <c r="Q693" s="4">
        <f>VLOOKUP(A693,[13]Sheet1!$A:$M,4,0)</f>
        <v>0</v>
      </c>
      <c r="R693" s="4">
        <f>VLOOKUP(A693,[13]Sheet1!$A:$M,5,0)</f>
        <v>0</v>
      </c>
      <c r="S693" s="4">
        <f>VLOOKUP(A693,[13]Sheet1!$A:$M,6,0)</f>
        <v>0</v>
      </c>
      <c r="T693" s="4">
        <f>VLOOKUP(A693,[13]Sheet1!$A:$M,7,0)</f>
        <v>100</v>
      </c>
      <c r="U693" s="4">
        <f>VLOOKUP(A693,[13]Sheet1!$A:$M,8,0)</f>
        <v>50</v>
      </c>
      <c r="V693" s="4">
        <f>VLOOKUP(A693,[13]Sheet1!$A:$M,9,0)</f>
        <v>0</v>
      </c>
      <c r="W693" s="4">
        <f>VLOOKUP(A693,[13]Sheet1!$A:$M,10,0)</f>
        <v>50</v>
      </c>
      <c r="X693" s="4">
        <f>VLOOKUP(A693,[13]Sheet1!$A:$M,11,0)</f>
        <v>0</v>
      </c>
      <c r="Y693" s="4">
        <f>VLOOKUP(A693,[13]Sheet1!$A:$M,12,0)</f>
        <v>0</v>
      </c>
      <c r="Z693" s="4">
        <f>VLOOKUP(A693,[13]Sheet1!$A:$M,13,0)</f>
        <v>0</v>
      </c>
      <c r="AA693" s="4">
        <f t="shared" si="208"/>
        <v>200</v>
      </c>
      <c r="AB693" s="7">
        <f t="shared" si="209"/>
        <v>17</v>
      </c>
      <c r="AC693" s="15">
        <f t="shared" si="210"/>
        <v>16.666666666666668</v>
      </c>
      <c r="AD693" s="16">
        <f t="shared" si="211"/>
        <v>4786</v>
      </c>
      <c r="AE693" s="16">
        <f t="shared" si="212"/>
        <v>398.83333333333337</v>
      </c>
      <c r="AF693" s="21">
        <v>6.13</v>
      </c>
      <c r="AG693" s="21">
        <v>23.93</v>
      </c>
      <c r="AH693" s="15">
        <f t="shared" si="205"/>
        <v>0.16279999999999992</v>
      </c>
      <c r="AI693" s="15">
        <f t="shared" si="206"/>
        <v>0.56979999999999964</v>
      </c>
      <c r="AJ693" s="10">
        <v>0.5</v>
      </c>
      <c r="AK693" s="10">
        <v>0.5</v>
      </c>
      <c r="AL693" s="21">
        <v>6.13</v>
      </c>
      <c r="AM693" s="9">
        <f t="shared" si="197"/>
        <v>3.5894999999999997</v>
      </c>
      <c r="AN693" s="9">
        <f t="shared" si="198"/>
        <v>0.71789999999999998</v>
      </c>
      <c r="AO693" s="9">
        <f t="shared" si="199"/>
        <v>4.7860000000000005</v>
      </c>
      <c r="AP693" s="9">
        <f t="shared" si="200"/>
        <v>0.47860000000000003</v>
      </c>
      <c r="AQ693" s="9">
        <f t="shared" si="201"/>
        <v>4.7860000000000005</v>
      </c>
      <c r="AR693" s="9">
        <f t="shared" si="202"/>
        <v>5.9824999999999999</v>
      </c>
      <c r="AS693" s="11">
        <f t="shared" si="203"/>
        <v>1.627999999999999</v>
      </c>
      <c r="AT693" s="12">
        <f t="shared" si="204"/>
        <v>0.83033333333333259</v>
      </c>
    </row>
    <row r="694" spans="1:46" ht="16.5" x14ac:dyDescent="0.4">
      <c r="A694" s="4" t="s">
        <v>2684</v>
      </c>
      <c r="B694" s="4" t="s">
        <v>2710</v>
      </c>
      <c r="C694" s="4" t="s">
        <v>2710</v>
      </c>
      <c r="D694" s="4" t="s">
        <v>2863</v>
      </c>
      <c r="E694" s="4" t="s">
        <v>3022</v>
      </c>
      <c r="F694" s="4" t="s">
        <v>3181</v>
      </c>
      <c r="G694" s="7" t="str">
        <f>VLOOKUP(A694,[1]done!$A:$I,9,0)</f>
        <v>Mosquito/Fly</v>
      </c>
      <c r="H694" s="7" t="str" cm="1">
        <f t="array" ref="H694">_xlfn.IFS(
OR(ISNUMBER(SEARCH("mouse",E694)),ISNUMBER(SEARCH("rat",E694)),ISNUMBER(SEARCH("mice",E694)),ISNUMBER(SEARCH("rodent",E694))),"Rodent Control",
OR(ISNUMBER(SEARCH("fly",E694)),ISNUMBER(SEARCH("gnat",E694)),ISNUMBER(SEARCH("insect",E694)),ISNUMBER(SEARCH("mosquito",E694))),"Flying Insect Control",
OR(ISNUMBER(SEARCH("roach",E694)),ISNUMBER(SEARCH("ant",E694)),ISNUMBER(SEARCH("spider",E694)),ISNUMBER(SEARCH("cricket",E694)),ISNUMBER(SEARCH("scorpion",E694)),ISNUMBER(SEARCH("centipede",E694)),ISNUMBER(SEARCH("beetle",E694))),"Crawling Insect Control",
OR(ISNUMBER(SEARCH("tree",E694)),ISNUMBER(SEARCH("lantern",E694)),ISNUMBER(SEARCH("garden",E694)),ISNUMBER(SEARCH("plant",E694))),"Garden Pest Control",
OR(ISNUMBER(SEARCH("grass seed",E694)),ISNUMBER(SEARCH("seed mix",E694))),"Grass Seed",
OR(ISNUMBER(SEARCH("lawn food",E694)),ISNUMBER(SEARCH("fertilizer",E694))),"Lawn Fertilizer",
OR(ISNUMBER(SEARCH("patch",E694)),ISNUMBER(SEARCH("repair",E694)),ISNUMBER(SEARCH("thick'r",E694)),ISNUMBER(SEARCH("thick'r lawn",E694)),ISNUMBER(SEARCH("rapid grass",E694))),"Lawn Repair",
OR(ISNUMBER(SEARCH("weed",E694)),ISNUMBER(SEARCH("crabgrass",E694))),"Weed Control",
OR(ISNUMBER(SEARCH("fungicide",E694)),ISNUMBER(SEARCH("moss",E694))),"Disease &amp; Moss Control",
OR(ISNUMBER(SEARCH("plant food",E694)),ISNUMBER(SEARCH("miracid",E694))),"Plant Nutrition",
OR(ISNUMBER(SEARCH("perlite",E694))),"Soil Amendment",
OR(ISNUMBER(SEARCH("spreader",E694)),ISNUMBER(SEARCH("sprayer",E694)),ISNUMBER(SEARCH("mower",E694)),ISNUMBER(SEARCH("sweeper",E694)),ISNUMBER(SEARCH("pruner",E694)),ISNUMBER(SEARCH("trimmer",E694)),ISNUMBER(SEARCH("pole saw",E694))),"Garden Equipment",
TRUE,"Other"
)</f>
        <v>Flying Insect Control</v>
      </c>
      <c r="I694" s="7" t="str" cm="1">
        <f t="array" ref="I694">_xlfn.IFS(
OR(ISNUMBER(SEARCH("glue trap",E694)),ISNUMBER(SEARCH("glue board",E694))),"Glue Traps",
OR(ISNUMBER(SEARCH("snap trap",E694)),ISNUMBER(SEARCH("power-kill",E694)),ISNUMBER(SEARCH("wide pedal",E694)),ISNUMBER(SEARCH("metal pedal",E694))),"Snap Traps",
OR(ISNUMBER(SEARCH("electronic",E694)),ISNUMBER(SEARCH("zapper",E694))),"Electronic Traps",
OR(ISNUMBER(SEARCH("live catch",E694)),ISNUMBER(SEARCH("multi-catch",E694)),ISNUMBER(SEARCH("catch &amp; hold",E694)),ISNUMBER(SEARCH("tin cat",E694))),"Live Catch Traps",
OR(ISNUMBER(SEARCH("bait",E694)),ISNUMBER(SEARCH("poison",E694))),"Bait &amp; Poison",
ISNUMBER(SEARCH("repellent",E694)),"Repellents",
OR(ISNUMBER(SEARCH("fly trap",E694)),ISNUMBER(SEARCH("fly ribbon",E694)),ISNUMBER(SEARCH("fly stick",E694)),ISNUMBER(SEARCH("window fly",E694)),ISNUMBER(SEARCH("fly magnet",E694))),"Fly Traps",
OR(ISNUMBER(SEARCH("uv",E694)),ISNUMBER(SEARCH("fly light",E694)),ISNUMBER(SEARCH("plug-in",E694))),"UV Fly Traps",
ISNUMBER(SEARCH("roach",E694)),"Roach Traps",
ISNUMBER(SEARCH("ant",E694)),"Ant Traps",
ISNUMBER(SEARCH("spider",E694)),"Spider Traps",
ISNUMBER(SEARCH("mosquito",E694)),"Mosquito Traps",
ISNUMBER(SEARCH("beetle",E694)),"Beetle Traps",
ISNUMBER(SEARCH("lantern",E694)),"Lanternfly Control",
OR(ISNUMBER(SEARCH("tree shield",E694)),ISNUMBER(SEARCH("tree banding",E694)),ISNUMBER(SEARCH("insect barrier",E694))),"Tree Barriers",
OR(ISNUMBER(SEARCH("sun &amp; shade",E694)),ISNUMBER(SEARCH("sun and shade",E694))),"Sun &amp; Shade Mix",
ISNUMBER(SEARCH("tall fescue",E694)),"Tall Fescue",
ISNUMBER(SEARCH("bermudagrass",E694)),"Bermudagrass",
ISNUMBER(SEARCH("kentucky",E694)),"Kentucky Bluegrass",
ISNUMBER(SEARCH("zoysia",E694)),"Zoysia",
ISNUMBER(SEARCH("ryegrass",E694)),"Perennial Ryegrass",
ISNUMBER(SEARCH("centipede",E694)),"Centipede Grass",
ISNUMBER(SEARCH("dense shade",E694)),"Dense Shade Mix",
ISNUMBER(SEARCH("southern gold",E694)),"Southern Gold Mix",
ISNUMBER(SEARCH("heat-tolerant blue",E694)),"Heat-Tolerant Blue Mix",
ISNUMBER(SEARCH("high traffic",E694)),"High Traffic Mix",
ISNUMBER(SEARCH("quick fix",E694)),"Quick Fix Mix",
ISNUMBER(SEARCH("starter",E694)),"Starter Fertilizer",
ISNUMBER(SEARCH("weed &amp; feed",E694)),"Weed &amp; Feed",
ISNUMBER(SEARCH("lawn food",E694)),"Lawn Food",
ISNUMBER(SEARCH("triple action",E694)),"Triple Action Fertilizer",
ISNUMBER(SEARCH("green max",E694)),"Green Max Lawn Food",
ISNUMBER(SEARCH("patchmaster",E694)),"PatchMaster Repair",
ISNUMBER(SEARCH("ez seed",E694)),"EZ Seed Repair",
ISNUMBER(SEARCH("rapid grass",E694)),"Rapid Grass",
ISNUMBER(SEARCH("thick'r lawn",E694)),"Thick'R Lawn",
ISNUMBER(SEARCH("fungicide",E694)),"Fungicide",
ISNUMBER(SEARCH("moss",E694)),"Moss Control",
ISNUMBER(SEARCH("perlite",E694)),"Perlite",
ISNUMBER(SEARCH("plant food",E694)),"Plant Food",
ISNUMBER(SEARCH("spreader",E694)),"Spreader",
ISNUMBER(SEARCH("sprayer",E694)),"Sprayer",
ISNUMBER(SEARCH("mower",E694)),"Lawn Mower",
ISNUMBER(SEARCH("sweeper",E694)),"Lawn Sweeper",
OR(ISNUMBER(SEARCH("pruner",E694)),ISNUMBER(SEARCH("trimmer",E694)),ISNUMBER(SEARCH("pole saw",E694))),"Pruning Tools",
TRUE,"Other"
)</f>
        <v>Mosquito Traps</v>
      </c>
      <c r="J694" s="7" t="str">
        <f t="shared" si="207"/>
        <v>Flying Insect Control - Mosquito Traps</v>
      </c>
      <c r="K694" s="4">
        <v>50</v>
      </c>
      <c r="L694" s="4">
        <v>4.2</v>
      </c>
      <c r="M694" s="4">
        <v>1039</v>
      </c>
      <c r="N694" s="4" t="s">
        <v>3219</v>
      </c>
      <c r="O694" s="4">
        <f>VLOOKUP(A694,[13]Sheet1!$A:$M,2,0)</f>
        <v>0</v>
      </c>
      <c r="P694" s="4">
        <f>VLOOKUP(A694,[13]Sheet1!$A:$M,3,0)</f>
        <v>0</v>
      </c>
      <c r="Q694" s="4">
        <f>VLOOKUP(A694,[13]Sheet1!$A:$M,4,0)</f>
        <v>0</v>
      </c>
      <c r="R694" s="4">
        <f>VLOOKUP(A694,[13]Sheet1!$A:$M,5,0)</f>
        <v>0</v>
      </c>
      <c r="S694" s="4">
        <f>VLOOKUP(A694,[13]Sheet1!$A:$M,6,0)</f>
        <v>0</v>
      </c>
      <c r="T694" s="4">
        <f>VLOOKUP(A694,[13]Sheet1!$A:$M,7,0)</f>
        <v>100</v>
      </c>
      <c r="U694" s="4">
        <f>VLOOKUP(A694,[13]Sheet1!$A:$M,8,0)</f>
        <v>100</v>
      </c>
      <c r="V694" s="4">
        <f>VLOOKUP(A694,[13]Sheet1!$A:$M,9,0)</f>
        <v>50</v>
      </c>
      <c r="W694" s="4">
        <f>VLOOKUP(A694,[13]Sheet1!$A:$M,10,0)</f>
        <v>50</v>
      </c>
      <c r="X694" s="4">
        <f>VLOOKUP(A694,[13]Sheet1!$A:$M,11,0)</f>
        <v>0</v>
      </c>
      <c r="Y694" s="4">
        <f>VLOOKUP(A694,[13]Sheet1!$A:$M,12,0)</f>
        <v>0</v>
      </c>
      <c r="Z694" s="4">
        <f>VLOOKUP(A694,[13]Sheet1!$A:$M,13,0)</f>
        <v>0</v>
      </c>
      <c r="AA694" s="4">
        <f t="shared" si="208"/>
        <v>300</v>
      </c>
      <c r="AB694" s="7">
        <f t="shared" si="209"/>
        <v>25</v>
      </c>
      <c r="AC694" s="15">
        <f t="shared" si="210"/>
        <v>25</v>
      </c>
      <c r="AD694" s="16">
        <f t="shared" si="211"/>
        <v>18225</v>
      </c>
      <c r="AE694" s="16">
        <f t="shared" si="212"/>
        <v>1518.75</v>
      </c>
      <c r="AF694" s="21">
        <v>8.9700000000000006</v>
      </c>
      <c r="AG694" s="21">
        <v>60.75</v>
      </c>
      <c r="AH694" s="15">
        <f t="shared" si="205"/>
        <v>0.95533333333333315</v>
      </c>
      <c r="AI694" s="15">
        <f t="shared" si="206"/>
        <v>3.3436666666666657</v>
      </c>
      <c r="AJ694" s="10">
        <v>0.5</v>
      </c>
      <c r="AK694" s="10">
        <v>0.5</v>
      </c>
      <c r="AL694" s="21">
        <v>8.9700000000000006</v>
      </c>
      <c r="AM694" s="9">
        <f t="shared" si="197"/>
        <v>9.1124999999999989</v>
      </c>
      <c r="AN694" s="9">
        <f t="shared" si="198"/>
        <v>1.8225</v>
      </c>
      <c r="AO694" s="9">
        <f t="shared" si="199"/>
        <v>12.15</v>
      </c>
      <c r="AP694" s="9">
        <f t="shared" si="200"/>
        <v>1.2150000000000001</v>
      </c>
      <c r="AQ694" s="9">
        <f t="shared" si="201"/>
        <v>12.15</v>
      </c>
      <c r="AR694" s="9">
        <f t="shared" si="202"/>
        <v>15.1875</v>
      </c>
      <c r="AS694" s="11">
        <f t="shared" si="203"/>
        <v>9.553333333333331</v>
      </c>
      <c r="AT694" s="12">
        <f t="shared" si="204"/>
        <v>7.5283333333333315</v>
      </c>
    </row>
    <row r="695" spans="1:46" ht="16.5" x14ac:dyDescent="0.4">
      <c r="A695" s="4" t="s">
        <v>2685</v>
      </c>
      <c r="B695" s="4" t="s">
        <v>2710</v>
      </c>
      <c r="C695" s="4" t="s">
        <v>2717</v>
      </c>
      <c r="D695" s="4" t="s">
        <v>2864</v>
      </c>
      <c r="E695" s="4" t="s">
        <v>3023</v>
      </c>
      <c r="F695" s="4" t="s">
        <v>3182</v>
      </c>
      <c r="G695" s="7" t="str">
        <f>VLOOKUP(A695,[1]done!$A:$I,9,0)</f>
        <v>Other crawling insects</v>
      </c>
      <c r="H695" s="7" t="str" cm="1">
        <f t="array" ref="H695">_xlfn.IFS(
OR(ISNUMBER(SEARCH("mouse",E695)),ISNUMBER(SEARCH("rat",E695)),ISNUMBER(SEARCH("mice",E695)),ISNUMBER(SEARCH("rodent",E695))),"Rodent Control",
OR(ISNUMBER(SEARCH("fly",E695)),ISNUMBER(SEARCH("gnat",E695)),ISNUMBER(SEARCH("insect",E695)),ISNUMBER(SEARCH("mosquito",E695))),"Flying Insect Control",
OR(ISNUMBER(SEARCH("roach",E695)),ISNUMBER(SEARCH("ant",E695)),ISNUMBER(SEARCH("spider",E695)),ISNUMBER(SEARCH("cricket",E695)),ISNUMBER(SEARCH("scorpion",E695)),ISNUMBER(SEARCH("centipede",E695)),ISNUMBER(SEARCH("beetle",E695))),"Crawling Insect Control",
OR(ISNUMBER(SEARCH("tree",E695)),ISNUMBER(SEARCH("lantern",E695)),ISNUMBER(SEARCH("garden",E695)),ISNUMBER(SEARCH("plant",E695))),"Garden Pest Control",
OR(ISNUMBER(SEARCH("grass seed",E695)),ISNUMBER(SEARCH("seed mix",E695))),"Grass Seed",
OR(ISNUMBER(SEARCH("lawn food",E695)),ISNUMBER(SEARCH("fertilizer",E695))),"Lawn Fertilizer",
OR(ISNUMBER(SEARCH("patch",E695)),ISNUMBER(SEARCH("repair",E695)),ISNUMBER(SEARCH("thick'r",E695)),ISNUMBER(SEARCH("thick'r lawn",E695)),ISNUMBER(SEARCH("rapid grass",E695))),"Lawn Repair",
OR(ISNUMBER(SEARCH("weed",E695)),ISNUMBER(SEARCH("crabgrass",E695))),"Weed Control",
OR(ISNUMBER(SEARCH("fungicide",E695)),ISNUMBER(SEARCH("moss",E695))),"Disease &amp; Moss Control",
OR(ISNUMBER(SEARCH("plant food",E695)),ISNUMBER(SEARCH("miracid",E695))),"Plant Nutrition",
OR(ISNUMBER(SEARCH("perlite",E695))),"Soil Amendment",
OR(ISNUMBER(SEARCH("spreader",E695)),ISNUMBER(SEARCH("sprayer",E695)),ISNUMBER(SEARCH("mower",E695)),ISNUMBER(SEARCH("sweeper",E695)),ISNUMBER(SEARCH("pruner",E695)),ISNUMBER(SEARCH("trimmer",E695)),ISNUMBER(SEARCH("pole saw",E695))),"Garden Equipment",
TRUE,"Other"
)</f>
        <v>Crawling Insect Control</v>
      </c>
      <c r="I695" s="7" t="str" cm="1">
        <f t="array" ref="I695">_xlfn.IFS(
OR(ISNUMBER(SEARCH("glue trap",E695)),ISNUMBER(SEARCH("glue board",E695))),"Glue Traps",
OR(ISNUMBER(SEARCH("snap trap",E695)),ISNUMBER(SEARCH("power-kill",E695)),ISNUMBER(SEARCH("wide pedal",E695)),ISNUMBER(SEARCH("metal pedal",E695))),"Snap Traps",
OR(ISNUMBER(SEARCH("electronic",E695)),ISNUMBER(SEARCH("zapper",E695))),"Electronic Traps",
OR(ISNUMBER(SEARCH("live catch",E695)),ISNUMBER(SEARCH("multi-catch",E695)),ISNUMBER(SEARCH("catch &amp; hold",E695)),ISNUMBER(SEARCH("tin cat",E695))),"Live Catch Traps",
OR(ISNUMBER(SEARCH("bait",E695)),ISNUMBER(SEARCH("poison",E695))),"Bait &amp; Poison",
ISNUMBER(SEARCH("repellent",E695)),"Repellents",
OR(ISNUMBER(SEARCH("fly trap",E695)),ISNUMBER(SEARCH("fly ribbon",E695)),ISNUMBER(SEARCH("fly stick",E695)),ISNUMBER(SEARCH("window fly",E695)),ISNUMBER(SEARCH("fly magnet",E695))),"Fly Traps",
OR(ISNUMBER(SEARCH("uv",E695)),ISNUMBER(SEARCH("fly light",E695)),ISNUMBER(SEARCH("plug-in",E695))),"UV Fly Traps",
ISNUMBER(SEARCH("roach",E695)),"Roach Traps",
ISNUMBER(SEARCH("ant",E695)),"Ant Traps",
ISNUMBER(SEARCH("spider",E695)),"Spider Traps",
ISNUMBER(SEARCH("mosquito",E695)),"Mosquito Traps",
ISNUMBER(SEARCH("beetle",E695)),"Beetle Traps",
ISNUMBER(SEARCH("lantern",E695)),"Lanternfly Control",
OR(ISNUMBER(SEARCH("tree shield",E695)),ISNUMBER(SEARCH("tree banding",E695)),ISNUMBER(SEARCH("insect barrier",E695))),"Tree Barriers",
OR(ISNUMBER(SEARCH("sun &amp; shade",E695)),ISNUMBER(SEARCH("sun and shade",E695))),"Sun &amp; Shade Mix",
ISNUMBER(SEARCH("tall fescue",E695)),"Tall Fescue",
ISNUMBER(SEARCH("bermudagrass",E695)),"Bermudagrass",
ISNUMBER(SEARCH("kentucky",E695)),"Kentucky Bluegrass",
ISNUMBER(SEARCH("zoysia",E695)),"Zoysia",
ISNUMBER(SEARCH("ryegrass",E695)),"Perennial Ryegrass",
ISNUMBER(SEARCH("centipede",E695)),"Centipede Grass",
ISNUMBER(SEARCH("dense shade",E695)),"Dense Shade Mix",
ISNUMBER(SEARCH("southern gold",E695)),"Southern Gold Mix",
ISNUMBER(SEARCH("heat-tolerant blue",E695)),"Heat-Tolerant Blue Mix",
ISNUMBER(SEARCH("high traffic",E695)),"High Traffic Mix",
ISNUMBER(SEARCH("quick fix",E695)),"Quick Fix Mix",
ISNUMBER(SEARCH("starter",E695)),"Starter Fertilizer",
ISNUMBER(SEARCH("weed &amp; feed",E695)),"Weed &amp; Feed",
ISNUMBER(SEARCH("lawn food",E695)),"Lawn Food",
ISNUMBER(SEARCH("triple action",E695)),"Triple Action Fertilizer",
ISNUMBER(SEARCH("green max",E695)),"Green Max Lawn Food",
ISNUMBER(SEARCH("patchmaster",E695)),"PatchMaster Repair",
ISNUMBER(SEARCH("ez seed",E695)),"EZ Seed Repair",
ISNUMBER(SEARCH("rapid grass",E695)),"Rapid Grass",
ISNUMBER(SEARCH("thick'r lawn",E695)),"Thick'R Lawn",
ISNUMBER(SEARCH("fungicide",E695)),"Fungicide",
ISNUMBER(SEARCH("moss",E695)),"Moss Control",
ISNUMBER(SEARCH("perlite",E695)),"Perlite",
ISNUMBER(SEARCH("plant food",E695)),"Plant Food",
ISNUMBER(SEARCH("spreader",E695)),"Spreader",
ISNUMBER(SEARCH("sprayer",E695)),"Sprayer",
ISNUMBER(SEARCH("mower",E695)),"Lawn Mower",
ISNUMBER(SEARCH("sweeper",E695)),"Lawn Sweeper",
OR(ISNUMBER(SEARCH("pruner",E695)),ISNUMBER(SEARCH("trimmer",E695)),ISNUMBER(SEARCH("pole saw",E695))),"Pruning Tools",
TRUE,"Other"
)</f>
        <v>Ant Traps</v>
      </c>
      <c r="J695" s="7" t="str">
        <f t="shared" si="207"/>
        <v>Crawling Insect Control - Ant Traps</v>
      </c>
      <c r="K695" s="4">
        <v>50</v>
      </c>
      <c r="L695" s="4">
        <v>4.4000000000000004</v>
      </c>
      <c r="M695" s="4">
        <v>1706</v>
      </c>
      <c r="N695" s="4" t="s">
        <v>3240</v>
      </c>
      <c r="O695" s="4">
        <f>VLOOKUP(A695,[13]Sheet1!$A:$M,2,0)</f>
        <v>50</v>
      </c>
      <c r="P695" s="4">
        <f>VLOOKUP(A695,[13]Sheet1!$A:$M,3,0)</f>
        <v>0</v>
      </c>
      <c r="Q695" s="4">
        <f>VLOOKUP(A695,[13]Sheet1!$A:$M,4,0)</f>
        <v>400</v>
      </c>
      <c r="R695" s="4">
        <f>VLOOKUP(A695,[13]Sheet1!$A:$M,5,0)</f>
        <v>400</v>
      </c>
      <c r="S695" s="4">
        <f>VLOOKUP(A695,[13]Sheet1!$A:$M,6,0)</f>
        <v>300</v>
      </c>
      <c r="T695" s="4">
        <f>VLOOKUP(A695,[13]Sheet1!$A:$M,7,0)</f>
        <v>50</v>
      </c>
      <c r="U695" s="4">
        <f>VLOOKUP(A695,[13]Sheet1!$A:$M,8,0)</f>
        <v>50</v>
      </c>
      <c r="V695" s="4">
        <f>VLOOKUP(A695,[13]Sheet1!$A:$M,9,0)</f>
        <v>50</v>
      </c>
      <c r="W695" s="4">
        <f>VLOOKUP(A695,[13]Sheet1!$A:$M,10,0)</f>
        <v>100</v>
      </c>
      <c r="X695" s="4">
        <f>VLOOKUP(A695,[13]Sheet1!$A:$M,11,0)</f>
        <v>700</v>
      </c>
      <c r="Y695" s="4">
        <f>VLOOKUP(A695,[13]Sheet1!$A:$M,12,0)</f>
        <v>900</v>
      </c>
      <c r="Z695" s="4">
        <f>VLOOKUP(A695,[13]Sheet1!$A:$M,13,0)</f>
        <v>50</v>
      </c>
      <c r="AA695" s="4">
        <f t="shared" si="208"/>
        <v>3050</v>
      </c>
      <c r="AB695" s="7">
        <f t="shared" si="209"/>
        <v>254</v>
      </c>
      <c r="AC695" s="15">
        <f t="shared" si="210"/>
        <v>254.16666666666666</v>
      </c>
      <c r="AD695" s="16">
        <f t="shared" si="211"/>
        <v>21014.5</v>
      </c>
      <c r="AE695" s="16">
        <f t="shared" si="212"/>
        <v>1751.2083333333333</v>
      </c>
      <c r="AF695" s="21">
        <v>4.99</v>
      </c>
      <c r="AG695" s="21">
        <v>6.89</v>
      </c>
      <c r="AH695" s="15">
        <f t="shared" si="205"/>
        <v>-0.21560000000000007</v>
      </c>
      <c r="AI695" s="15">
        <f t="shared" si="206"/>
        <v>-0.75460000000000016</v>
      </c>
      <c r="AJ695" s="10">
        <v>0.5</v>
      </c>
      <c r="AK695" s="10">
        <v>0.5</v>
      </c>
      <c r="AL695" s="21">
        <v>4.99</v>
      </c>
      <c r="AM695" s="9">
        <f t="shared" si="197"/>
        <v>1.0334999999999999</v>
      </c>
      <c r="AN695" s="9">
        <f t="shared" si="198"/>
        <v>0.20669999999999999</v>
      </c>
      <c r="AO695" s="9">
        <f t="shared" si="199"/>
        <v>1.3780000000000001</v>
      </c>
      <c r="AP695" s="9">
        <f t="shared" si="200"/>
        <v>0.13780000000000001</v>
      </c>
      <c r="AQ695" s="9">
        <f t="shared" si="201"/>
        <v>1.3780000000000001</v>
      </c>
      <c r="AR695" s="9">
        <f t="shared" si="202"/>
        <v>1.7224999999999999</v>
      </c>
      <c r="AS695" s="11">
        <f t="shared" si="203"/>
        <v>-2.1560000000000006</v>
      </c>
      <c r="AT695" s="12">
        <f t="shared" si="204"/>
        <v>-2.3856666666666673</v>
      </c>
    </row>
    <row r="696" spans="1:46" ht="16.5" x14ac:dyDescent="0.4">
      <c r="A696" s="4" t="s">
        <v>2686</v>
      </c>
      <c r="B696" s="4" t="s">
        <v>2710</v>
      </c>
      <c r="C696" s="4" t="s">
        <v>2712</v>
      </c>
      <c r="D696" s="4" t="s">
        <v>2865</v>
      </c>
      <c r="E696" s="4" t="s">
        <v>3024</v>
      </c>
      <c r="F696" s="4" t="s">
        <v>3183</v>
      </c>
      <c r="G696" s="7" t="str">
        <f>VLOOKUP(A696,[1]done!$A:$I,9,0)</f>
        <v>Other crawling insects</v>
      </c>
      <c r="H696" s="7" t="str" cm="1">
        <f t="array" ref="H696">_xlfn.IFS(
OR(ISNUMBER(SEARCH("mouse",E696)),ISNUMBER(SEARCH("rat",E696)),ISNUMBER(SEARCH("mice",E696)),ISNUMBER(SEARCH("rodent",E696))),"Rodent Control",
OR(ISNUMBER(SEARCH("fly",E696)),ISNUMBER(SEARCH("gnat",E696)),ISNUMBER(SEARCH("insect",E696)),ISNUMBER(SEARCH("mosquito",E696))),"Flying Insect Control",
OR(ISNUMBER(SEARCH("roach",E696)),ISNUMBER(SEARCH("ant",E696)),ISNUMBER(SEARCH("spider",E696)),ISNUMBER(SEARCH("cricket",E696)),ISNUMBER(SEARCH("scorpion",E696)),ISNUMBER(SEARCH("centipede",E696)),ISNUMBER(SEARCH("beetle",E696))),"Crawling Insect Control",
OR(ISNUMBER(SEARCH("tree",E696)),ISNUMBER(SEARCH("lantern",E696)),ISNUMBER(SEARCH("garden",E696)),ISNUMBER(SEARCH("plant",E696))),"Garden Pest Control",
OR(ISNUMBER(SEARCH("grass seed",E696)),ISNUMBER(SEARCH("seed mix",E696))),"Grass Seed",
OR(ISNUMBER(SEARCH("lawn food",E696)),ISNUMBER(SEARCH("fertilizer",E696))),"Lawn Fertilizer",
OR(ISNUMBER(SEARCH("patch",E696)),ISNUMBER(SEARCH("repair",E696)),ISNUMBER(SEARCH("thick'r",E696)),ISNUMBER(SEARCH("thick'r lawn",E696)),ISNUMBER(SEARCH("rapid grass",E696))),"Lawn Repair",
OR(ISNUMBER(SEARCH("weed",E696)),ISNUMBER(SEARCH("crabgrass",E696))),"Weed Control",
OR(ISNUMBER(SEARCH("fungicide",E696)),ISNUMBER(SEARCH("moss",E696))),"Disease &amp; Moss Control",
OR(ISNUMBER(SEARCH("plant food",E696)),ISNUMBER(SEARCH("miracid",E696))),"Plant Nutrition",
OR(ISNUMBER(SEARCH("perlite",E696))),"Soil Amendment",
OR(ISNUMBER(SEARCH("spreader",E696)),ISNUMBER(SEARCH("sprayer",E696)),ISNUMBER(SEARCH("mower",E696)),ISNUMBER(SEARCH("sweeper",E696)),ISNUMBER(SEARCH("pruner",E696)),ISNUMBER(SEARCH("trimmer",E696)),ISNUMBER(SEARCH("pole saw",E696))),"Garden Equipment",
TRUE,"Other"
)</f>
        <v>Crawling Insect Control</v>
      </c>
      <c r="I696" s="7" t="str" cm="1">
        <f t="array" ref="I696">_xlfn.IFS(
OR(ISNUMBER(SEARCH("glue trap",E696)),ISNUMBER(SEARCH("glue board",E696))),"Glue Traps",
OR(ISNUMBER(SEARCH("snap trap",E696)),ISNUMBER(SEARCH("power-kill",E696)),ISNUMBER(SEARCH("wide pedal",E696)),ISNUMBER(SEARCH("metal pedal",E696))),"Snap Traps",
OR(ISNUMBER(SEARCH("electronic",E696)),ISNUMBER(SEARCH("zapper",E696))),"Electronic Traps",
OR(ISNUMBER(SEARCH("live catch",E696)),ISNUMBER(SEARCH("multi-catch",E696)),ISNUMBER(SEARCH("catch &amp; hold",E696)),ISNUMBER(SEARCH("tin cat",E696))),"Live Catch Traps",
OR(ISNUMBER(SEARCH("bait",E696)),ISNUMBER(SEARCH("poison",E696))),"Bait &amp; Poison",
ISNUMBER(SEARCH("repellent",E696)),"Repellents",
OR(ISNUMBER(SEARCH("fly trap",E696)),ISNUMBER(SEARCH("fly ribbon",E696)),ISNUMBER(SEARCH("fly stick",E696)),ISNUMBER(SEARCH("window fly",E696)),ISNUMBER(SEARCH("fly magnet",E696))),"Fly Traps",
OR(ISNUMBER(SEARCH("uv",E696)),ISNUMBER(SEARCH("fly light",E696)),ISNUMBER(SEARCH("plug-in",E696))),"UV Fly Traps",
ISNUMBER(SEARCH("roach",E696)),"Roach Traps",
ISNUMBER(SEARCH("ant",E696)),"Ant Traps",
ISNUMBER(SEARCH("spider",E696)),"Spider Traps",
ISNUMBER(SEARCH("mosquito",E696)),"Mosquito Traps",
ISNUMBER(SEARCH("beetle",E696)),"Beetle Traps",
ISNUMBER(SEARCH("lantern",E696)),"Lanternfly Control",
OR(ISNUMBER(SEARCH("tree shield",E696)),ISNUMBER(SEARCH("tree banding",E696)),ISNUMBER(SEARCH("insect barrier",E696))),"Tree Barriers",
OR(ISNUMBER(SEARCH("sun &amp; shade",E696)),ISNUMBER(SEARCH("sun and shade",E696))),"Sun &amp; Shade Mix",
ISNUMBER(SEARCH("tall fescue",E696)),"Tall Fescue",
ISNUMBER(SEARCH("bermudagrass",E696)),"Bermudagrass",
ISNUMBER(SEARCH("kentucky",E696)),"Kentucky Bluegrass",
ISNUMBER(SEARCH("zoysia",E696)),"Zoysia",
ISNUMBER(SEARCH("ryegrass",E696)),"Perennial Ryegrass",
ISNUMBER(SEARCH("centipede",E696)),"Centipede Grass",
ISNUMBER(SEARCH("dense shade",E696)),"Dense Shade Mix",
ISNUMBER(SEARCH("southern gold",E696)),"Southern Gold Mix",
ISNUMBER(SEARCH("heat-tolerant blue",E696)),"Heat-Tolerant Blue Mix",
ISNUMBER(SEARCH("high traffic",E696)),"High Traffic Mix",
ISNUMBER(SEARCH("quick fix",E696)),"Quick Fix Mix",
ISNUMBER(SEARCH("starter",E696)),"Starter Fertilizer",
ISNUMBER(SEARCH("weed &amp; feed",E696)),"Weed &amp; Feed",
ISNUMBER(SEARCH("lawn food",E696)),"Lawn Food",
ISNUMBER(SEARCH("triple action",E696)),"Triple Action Fertilizer",
ISNUMBER(SEARCH("green max",E696)),"Green Max Lawn Food",
ISNUMBER(SEARCH("patchmaster",E696)),"PatchMaster Repair",
ISNUMBER(SEARCH("ez seed",E696)),"EZ Seed Repair",
ISNUMBER(SEARCH("rapid grass",E696)),"Rapid Grass",
ISNUMBER(SEARCH("thick'r lawn",E696)),"Thick'R Lawn",
ISNUMBER(SEARCH("fungicide",E696)),"Fungicide",
ISNUMBER(SEARCH("moss",E696)),"Moss Control",
ISNUMBER(SEARCH("perlite",E696)),"Perlite",
ISNUMBER(SEARCH("plant food",E696)),"Plant Food",
ISNUMBER(SEARCH("spreader",E696)),"Spreader",
ISNUMBER(SEARCH("sprayer",E696)),"Sprayer",
ISNUMBER(SEARCH("mower",E696)),"Lawn Mower",
ISNUMBER(SEARCH("sweeper",E696)),"Lawn Sweeper",
OR(ISNUMBER(SEARCH("pruner",E696)),ISNUMBER(SEARCH("trimmer",E696)),ISNUMBER(SEARCH("pole saw",E696))),"Pruning Tools",
TRUE,"Other"
)</f>
        <v>Beetle Traps</v>
      </c>
      <c r="J696" s="7" t="str">
        <f t="shared" si="207"/>
        <v>Crawling Insect Control - Beetle Traps</v>
      </c>
      <c r="K696" s="4">
        <v>50</v>
      </c>
      <c r="L696" s="4">
        <v>4.0999999999999996</v>
      </c>
      <c r="M696" s="4">
        <v>823</v>
      </c>
      <c r="N696" s="4" t="s">
        <v>1094</v>
      </c>
      <c r="O696" s="4">
        <f>VLOOKUP(A696,[13]Sheet1!$A:$M,2,0)</f>
        <v>50</v>
      </c>
      <c r="P696" s="4">
        <f>VLOOKUP(A696,[13]Sheet1!$A:$M,3,0)</f>
        <v>50</v>
      </c>
      <c r="Q696" s="4">
        <f>VLOOKUP(A696,[13]Sheet1!$A:$M,4,0)</f>
        <v>400</v>
      </c>
      <c r="R696" s="4">
        <f>VLOOKUP(A696,[13]Sheet1!$A:$M,5,0)</f>
        <v>300</v>
      </c>
      <c r="S696" s="4">
        <f>VLOOKUP(A696,[13]Sheet1!$A:$M,6,0)</f>
        <v>200</v>
      </c>
      <c r="T696" s="4">
        <f>VLOOKUP(A696,[13]Sheet1!$A:$M,7,0)</f>
        <v>1000</v>
      </c>
      <c r="U696" s="4">
        <f>VLOOKUP(A696,[13]Sheet1!$A:$M,8,0)</f>
        <v>3000</v>
      </c>
      <c r="V696" s="4">
        <f>VLOOKUP(A696,[13]Sheet1!$A:$M,9,0)</f>
        <v>1000</v>
      </c>
      <c r="W696" s="4">
        <f>VLOOKUP(A696,[13]Sheet1!$A:$M,10,0)</f>
        <v>50</v>
      </c>
      <c r="X696" s="4">
        <f>VLOOKUP(A696,[13]Sheet1!$A:$M,11,0)</f>
        <v>50</v>
      </c>
      <c r="Y696" s="4">
        <f>VLOOKUP(A696,[13]Sheet1!$A:$M,12,0)</f>
        <v>200</v>
      </c>
      <c r="Z696" s="4">
        <f>VLOOKUP(A696,[13]Sheet1!$A:$M,13,0)</f>
        <v>50</v>
      </c>
      <c r="AA696" s="4">
        <f t="shared" si="208"/>
        <v>6350</v>
      </c>
      <c r="AB696" s="7">
        <f t="shared" si="209"/>
        <v>529</v>
      </c>
      <c r="AC696" s="15">
        <f t="shared" si="210"/>
        <v>529.16666666666663</v>
      </c>
      <c r="AD696" s="16">
        <f t="shared" si="211"/>
        <v>82486.5</v>
      </c>
      <c r="AE696" s="16">
        <f t="shared" si="212"/>
        <v>6873.875</v>
      </c>
      <c r="AF696" s="21">
        <v>6.31</v>
      </c>
      <c r="AG696" s="21">
        <v>12.99</v>
      </c>
      <c r="AH696" s="15">
        <f t="shared" si="205"/>
        <v>-0.14093333333333335</v>
      </c>
      <c r="AI696" s="15">
        <f t="shared" si="206"/>
        <v>-0.49326666666666669</v>
      </c>
      <c r="AJ696" s="10">
        <v>0.5</v>
      </c>
      <c r="AK696" s="10">
        <v>0.5</v>
      </c>
      <c r="AL696" s="21">
        <v>6.31</v>
      </c>
      <c r="AM696" s="9">
        <f t="shared" si="197"/>
        <v>1.9484999999999999</v>
      </c>
      <c r="AN696" s="9">
        <f t="shared" si="198"/>
        <v>0.38969999999999999</v>
      </c>
      <c r="AO696" s="9">
        <f t="shared" si="199"/>
        <v>2.5980000000000003</v>
      </c>
      <c r="AP696" s="9">
        <f t="shared" si="200"/>
        <v>0.25980000000000003</v>
      </c>
      <c r="AQ696" s="9">
        <f t="shared" si="201"/>
        <v>2.5980000000000003</v>
      </c>
      <c r="AR696" s="9">
        <f t="shared" si="202"/>
        <v>3.2475000000000001</v>
      </c>
      <c r="AS696" s="11">
        <f t="shared" si="203"/>
        <v>-1.4093333333333335</v>
      </c>
      <c r="AT696" s="12">
        <f t="shared" si="204"/>
        <v>-1.8423333333333334</v>
      </c>
    </row>
    <row r="697" spans="1:46" ht="16.5" x14ac:dyDescent="0.4">
      <c r="A697" s="4" t="s">
        <v>2687</v>
      </c>
      <c r="B697" s="4" t="s">
        <v>2710</v>
      </c>
      <c r="C697" s="4" t="s">
        <v>2714</v>
      </c>
      <c r="D697" s="4" t="s">
        <v>2866</v>
      </c>
      <c r="E697" s="4" t="s">
        <v>3025</v>
      </c>
      <c r="F697" s="4" t="s">
        <v>3184</v>
      </c>
      <c r="G697" s="7" t="str">
        <f>VLOOKUP(A697,[1]done!$A:$I,9,0)</f>
        <v>Weed Control</v>
      </c>
      <c r="H697" s="7" t="str" cm="1">
        <f t="array" ref="H697">_xlfn.IFS(
OR(ISNUMBER(SEARCH("mouse",E697)),ISNUMBER(SEARCH("rat",E697)),ISNUMBER(SEARCH("mice",E697)),ISNUMBER(SEARCH("rodent",E697))),"Rodent Control",
OR(ISNUMBER(SEARCH("fly",E697)),ISNUMBER(SEARCH("gnat",E697)),ISNUMBER(SEARCH("insect",E697)),ISNUMBER(SEARCH("mosquito",E697))),"Flying Insect Control",
OR(ISNUMBER(SEARCH("roach",E697)),ISNUMBER(SEARCH("ant",E697)),ISNUMBER(SEARCH("spider",E697)),ISNUMBER(SEARCH("cricket",E697)),ISNUMBER(SEARCH("scorpion",E697)),ISNUMBER(SEARCH("centipede",E697)),ISNUMBER(SEARCH("beetle",E697))),"Crawling Insect Control",
OR(ISNUMBER(SEARCH("tree",E697)),ISNUMBER(SEARCH("lantern",E697)),ISNUMBER(SEARCH("garden",E697)),ISNUMBER(SEARCH("plant",E697))),"Garden Pest Control",
OR(ISNUMBER(SEARCH("grass seed",E697)),ISNUMBER(SEARCH("seed mix",E697))),"Grass Seed",
OR(ISNUMBER(SEARCH("lawn food",E697)),ISNUMBER(SEARCH("fertilizer",E697))),"Lawn Fertilizer",
OR(ISNUMBER(SEARCH("patch",E697)),ISNUMBER(SEARCH("repair",E697)),ISNUMBER(SEARCH("thick'r",E697)),ISNUMBER(SEARCH("thick'r lawn",E697)),ISNUMBER(SEARCH("rapid grass",E697))),"Lawn Repair",
OR(ISNUMBER(SEARCH("weed",E697)),ISNUMBER(SEARCH("crabgrass",E697))),"Weed Control",
OR(ISNUMBER(SEARCH("fungicide",E697)),ISNUMBER(SEARCH("moss",E697))),"Disease &amp; Moss Control",
OR(ISNUMBER(SEARCH("plant food",E697)),ISNUMBER(SEARCH("miracid",E697))),"Plant Nutrition",
OR(ISNUMBER(SEARCH("perlite",E697))),"Soil Amendment",
OR(ISNUMBER(SEARCH("spreader",E697)),ISNUMBER(SEARCH("sprayer",E697)),ISNUMBER(SEARCH("mower",E697)),ISNUMBER(SEARCH("sweeper",E697)),ISNUMBER(SEARCH("pruner",E697)),ISNUMBER(SEARCH("trimmer",E697)),ISNUMBER(SEARCH("pole saw",E697))),"Garden Equipment",
TRUE,"Other"
)</f>
        <v>Rodent Control</v>
      </c>
      <c r="I697" s="7" t="str" cm="1">
        <f t="array" ref="I697">_xlfn.IFS(
OR(ISNUMBER(SEARCH("glue trap",E697)),ISNUMBER(SEARCH("glue board",E697))),"Glue Traps",
OR(ISNUMBER(SEARCH("snap trap",E697)),ISNUMBER(SEARCH("power-kill",E697)),ISNUMBER(SEARCH("wide pedal",E697)),ISNUMBER(SEARCH("metal pedal",E697))),"Snap Traps",
OR(ISNUMBER(SEARCH("electronic",E697)),ISNUMBER(SEARCH("zapper",E697))),"Electronic Traps",
OR(ISNUMBER(SEARCH("live catch",E697)),ISNUMBER(SEARCH("multi-catch",E697)),ISNUMBER(SEARCH("catch &amp; hold",E697)),ISNUMBER(SEARCH("tin cat",E697))),"Live Catch Traps",
OR(ISNUMBER(SEARCH("bait",E697)),ISNUMBER(SEARCH("poison",E697))),"Bait &amp; Poison",
ISNUMBER(SEARCH("repellent",E697)),"Repellents",
OR(ISNUMBER(SEARCH("fly trap",E697)),ISNUMBER(SEARCH("fly ribbon",E697)),ISNUMBER(SEARCH("fly stick",E697)),ISNUMBER(SEARCH("window fly",E697)),ISNUMBER(SEARCH("fly magnet",E697))),"Fly Traps",
OR(ISNUMBER(SEARCH("uv",E697)),ISNUMBER(SEARCH("fly light",E697)),ISNUMBER(SEARCH("plug-in",E697))),"UV Fly Traps",
ISNUMBER(SEARCH("roach",E697)),"Roach Traps",
ISNUMBER(SEARCH("ant",E697)),"Ant Traps",
ISNUMBER(SEARCH("spider",E697)),"Spider Traps",
ISNUMBER(SEARCH("mosquito",E697)),"Mosquito Traps",
ISNUMBER(SEARCH("beetle",E697)),"Beetle Traps",
ISNUMBER(SEARCH("lantern",E697)),"Lanternfly Control",
OR(ISNUMBER(SEARCH("tree shield",E697)),ISNUMBER(SEARCH("tree banding",E697)),ISNUMBER(SEARCH("insect barrier",E697))),"Tree Barriers",
OR(ISNUMBER(SEARCH("sun &amp; shade",E697)),ISNUMBER(SEARCH("sun and shade",E697))),"Sun &amp; Shade Mix",
ISNUMBER(SEARCH("tall fescue",E697)),"Tall Fescue",
ISNUMBER(SEARCH("bermudagrass",E697)),"Bermudagrass",
ISNUMBER(SEARCH("kentucky",E697)),"Kentucky Bluegrass",
ISNUMBER(SEARCH("zoysia",E697)),"Zoysia",
ISNUMBER(SEARCH("ryegrass",E697)),"Perennial Ryegrass",
ISNUMBER(SEARCH("centipede",E697)),"Centipede Grass",
ISNUMBER(SEARCH("dense shade",E697)),"Dense Shade Mix",
ISNUMBER(SEARCH("southern gold",E697)),"Southern Gold Mix",
ISNUMBER(SEARCH("heat-tolerant blue",E697)),"Heat-Tolerant Blue Mix",
ISNUMBER(SEARCH("high traffic",E697)),"High Traffic Mix",
ISNUMBER(SEARCH("quick fix",E697)),"Quick Fix Mix",
ISNUMBER(SEARCH("starter",E697)),"Starter Fertilizer",
ISNUMBER(SEARCH("weed &amp; feed",E697)),"Weed &amp; Feed",
ISNUMBER(SEARCH("lawn food",E697)),"Lawn Food",
ISNUMBER(SEARCH("triple action",E697)),"Triple Action Fertilizer",
ISNUMBER(SEARCH("green max",E697)),"Green Max Lawn Food",
ISNUMBER(SEARCH("patchmaster",E697)),"PatchMaster Repair",
ISNUMBER(SEARCH("ez seed",E697)),"EZ Seed Repair",
ISNUMBER(SEARCH("rapid grass",E697)),"Rapid Grass",
ISNUMBER(SEARCH("thick'r lawn",E697)),"Thick'R Lawn",
ISNUMBER(SEARCH("fungicide",E697)),"Fungicide",
ISNUMBER(SEARCH("moss",E697)),"Moss Control",
ISNUMBER(SEARCH("perlite",E697)),"Perlite",
ISNUMBER(SEARCH("plant food",E697)),"Plant Food",
ISNUMBER(SEARCH("spreader",E697)),"Spreader",
ISNUMBER(SEARCH("sprayer",E697)),"Sprayer",
ISNUMBER(SEARCH("mower",E697)),"Lawn Mower",
ISNUMBER(SEARCH("sweeper",E697)),"Lawn Sweeper",
OR(ISNUMBER(SEARCH("pruner",E697)),ISNUMBER(SEARCH("trimmer",E697)),ISNUMBER(SEARCH("pole saw",E697))),"Pruning Tools",
TRUE,"Other"
)</f>
        <v>Other</v>
      </c>
      <c r="J697" s="7" t="str">
        <f t="shared" si="207"/>
        <v>Rodent Control - Other</v>
      </c>
      <c r="K697" s="4">
        <v>50</v>
      </c>
      <c r="L697" s="4">
        <v>4.5</v>
      </c>
      <c r="M697" s="4">
        <v>649</v>
      </c>
      <c r="N697" s="4" t="s">
        <v>3217</v>
      </c>
      <c r="O697" s="4">
        <f>VLOOKUP(A697,[13]Sheet1!$A:$M,2,0)</f>
        <v>0</v>
      </c>
      <c r="P697" s="4">
        <f>VLOOKUP(A697,[13]Sheet1!$A:$M,3,0)</f>
        <v>0</v>
      </c>
      <c r="Q697" s="4">
        <f>VLOOKUP(A697,[13]Sheet1!$A:$M,4,0)</f>
        <v>0</v>
      </c>
      <c r="R697" s="4">
        <f>VLOOKUP(A697,[13]Sheet1!$A:$M,5,0)</f>
        <v>0</v>
      </c>
      <c r="S697" s="4">
        <f>VLOOKUP(A697,[13]Sheet1!$A:$M,6,0)</f>
        <v>50</v>
      </c>
      <c r="T697" s="4">
        <f>VLOOKUP(A697,[13]Sheet1!$A:$M,7,0)</f>
        <v>0</v>
      </c>
      <c r="U697" s="4">
        <f>VLOOKUP(A697,[13]Sheet1!$A:$M,8,0)</f>
        <v>0</v>
      </c>
      <c r="V697" s="4">
        <f>VLOOKUP(A697,[13]Sheet1!$A:$M,9,0)</f>
        <v>0</v>
      </c>
      <c r="W697" s="4">
        <f>VLOOKUP(A697,[13]Sheet1!$A:$M,10,0)</f>
        <v>50</v>
      </c>
      <c r="X697" s="4">
        <f>VLOOKUP(A697,[13]Sheet1!$A:$M,11,0)</f>
        <v>0</v>
      </c>
      <c r="Y697" s="4">
        <f>VLOOKUP(A697,[13]Sheet1!$A:$M,12,0)</f>
        <v>0</v>
      </c>
      <c r="Z697" s="4">
        <f>VLOOKUP(A697,[13]Sheet1!$A:$M,13,0)</f>
        <v>0</v>
      </c>
      <c r="AA697" s="4">
        <f t="shared" si="208"/>
        <v>100</v>
      </c>
      <c r="AB697" s="7">
        <f t="shared" si="209"/>
        <v>8</v>
      </c>
      <c r="AC697" s="15">
        <f t="shared" si="210"/>
        <v>8.3333333333333339</v>
      </c>
      <c r="AD697" s="16">
        <f t="shared" si="211"/>
        <v>2899</v>
      </c>
      <c r="AE697" s="16">
        <f t="shared" si="212"/>
        <v>241.58333333333334</v>
      </c>
      <c r="AF697" s="21">
        <v>5.61</v>
      </c>
      <c r="AG697" s="21">
        <v>28.99</v>
      </c>
      <c r="AH697" s="15">
        <f t="shared" si="205"/>
        <v>0.33239999999999997</v>
      </c>
      <c r="AI697" s="15">
        <f t="shared" si="206"/>
        <v>1.1633999999999998</v>
      </c>
      <c r="AJ697" s="10">
        <v>0.5</v>
      </c>
      <c r="AK697" s="10">
        <v>0.5</v>
      </c>
      <c r="AL697" s="21">
        <v>5.61</v>
      </c>
      <c r="AM697" s="9">
        <f t="shared" si="197"/>
        <v>4.3484999999999996</v>
      </c>
      <c r="AN697" s="9">
        <f t="shared" si="198"/>
        <v>0.86969999999999992</v>
      </c>
      <c r="AO697" s="9">
        <f t="shared" si="199"/>
        <v>5.798</v>
      </c>
      <c r="AP697" s="9">
        <f t="shared" si="200"/>
        <v>0.57979999999999998</v>
      </c>
      <c r="AQ697" s="9">
        <f t="shared" si="201"/>
        <v>5.798</v>
      </c>
      <c r="AR697" s="9">
        <f t="shared" si="202"/>
        <v>7.2474999999999996</v>
      </c>
      <c r="AS697" s="11">
        <f t="shared" si="203"/>
        <v>3.3239999999999994</v>
      </c>
      <c r="AT697" s="12">
        <f t="shared" si="204"/>
        <v>2.3576666666666664</v>
      </c>
    </row>
    <row r="698" spans="1:46" ht="16.5" x14ac:dyDescent="0.4">
      <c r="A698" s="4" t="s">
        <v>2688</v>
      </c>
      <c r="B698" s="4" t="s">
        <v>2710</v>
      </c>
      <c r="C698" s="4" t="s">
        <v>2712</v>
      </c>
      <c r="D698" s="4" t="s">
        <v>2867</v>
      </c>
      <c r="E698" s="4" t="s">
        <v>3026</v>
      </c>
      <c r="F698" s="4" t="s">
        <v>3185</v>
      </c>
      <c r="G698" s="7" t="str">
        <f>VLOOKUP(A698,[1]done!$A:$I,9,0)</f>
        <v>Rodent</v>
      </c>
      <c r="H698" s="7" t="str" cm="1">
        <f t="array" ref="H698">_xlfn.IFS(
OR(ISNUMBER(SEARCH("mouse",E698)),ISNUMBER(SEARCH("rat",E698)),ISNUMBER(SEARCH("mice",E698)),ISNUMBER(SEARCH("rodent",E698))),"Rodent Control",
OR(ISNUMBER(SEARCH("fly",E698)),ISNUMBER(SEARCH("gnat",E698)),ISNUMBER(SEARCH("insect",E698)),ISNUMBER(SEARCH("mosquito",E698))),"Flying Insect Control",
OR(ISNUMBER(SEARCH("roach",E698)),ISNUMBER(SEARCH("ant",E698)),ISNUMBER(SEARCH("spider",E698)),ISNUMBER(SEARCH("cricket",E698)),ISNUMBER(SEARCH("scorpion",E698)),ISNUMBER(SEARCH("centipede",E698)),ISNUMBER(SEARCH("beetle",E698))),"Crawling Insect Control",
OR(ISNUMBER(SEARCH("tree",E698)),ISNUMBER(SEARCH("lantern",E698)),ISNUMBER(SEARCH("garden",E698)),ISNUMBER(SEARCH("plant",E698))),"Garden Pest Control",
OR(ISNUMBER(SEARCH("grass seed",E698)),ISNUMBER(SEARCH("seed mix",E698))),"Grass Seed",
OR(ISNUMBER(SEARCH("lawn food",E698)),ISNUMBER(SEARCH("fertilizer",E698))),"Lawn Fertilizer",
OR(ISNUMBER(SEARCH("patch",E698)),ISNUMBER(SEARCH("repair",E698)),ISNUMBER(SEARCH("thick'r",E698)),ISNUMBER(SEARCH("thick'r lawn",E698)),ISNUMBER(SEARCH("rapid grass",E698))),"Lawn Repair",
OR(ISNUMBER(SEARCH("weed",E698)),ISNUMBER(SEARCH("crabgrass",E698))),"Weed Control",
OR(ISNUMBER(SEARCH("fungicide",E698)),ISNUMBER(SEARCH("moss",E698))),"Disease &amp; Moss Control",
OR(ISNUMBER(SEARCH("plant food",E698)),ISNUMBER(SEARCH("miracid",E698))),"Plant Nutrition",
OR(ISNUMBER(SEARCH("perlite",E698))),"Soil Amendment",
OR(ISNUMBER(SEARCH("spreader",E698)),ISNUMBER(SEARCH("sprayer",E698)),ISNUMBER(SEARCH("mower",E698)),ISNUMBER(SEARCH("sweeper",E698)),ISNUMBER(SEARCH("pruner",E698)),ISNUMBER(SEARCH("trimmer",E698)),ISNUMBER(SEARCH("pole saw",E698))),"Garden Equipment",
TRUE,"Other"
)</f>
        <v>Rodent Control</v>
      </c>
      <c r="I698" s="7" t="str" cm="1">
        <f t="array" ref="I698">_xlfn.IFS(
OR(ISNUMBER(SEARCH("glue trap",E698)),ISNUMBER(SEARCH("glue board",E698))),"Glue Traps",
OR(ISNUMBER(SEARCH("snap trap",E698)),ISNUMBER(SEARCH("power-kill",E698)),ISNUMBER(SEARCH("wide pedal",E698)),ISNUMBER(SEARCH("metal pedal",E698))),"Snap Traps",
OR(ISNUMBER(SEARCH("electronic",E698)),ISNUMBER(SEARCH("zapper",E698))),"Electronic Traps",
OR(ISNUMBER(SEARCH("live catch",E698)),ISNUMBER(SEARCH("multi-catch",E698)),ISNUMBER(SEARCH("catch &amp; hold",E698)),ISNUMBER(SEARCH("tin cat",E698))),"Live Catch Traps",
OR(ISNUMBER(SEARCH("bait",E698)),ISNUMBER(SEARCH("poison",E698))),"Bait &amp; Poison",
ISNUMBER(SEARCH("repellent",E698)),"Repellents",
OR(ISNUMBER(SEARCH("fly trap",E698)),ISNUMBER(SEARCH("fly ribbon",E698)),ISNUMBER(SEARCH("fly stick",E698)),ISNUMBER(SEARCH("window fly",E698)),ISNUMBER(SEARCH("fly magnet",E698))),"Fly Traps",
OR(ISNUMBER(SEARCH("uv",E698)),ISNUMBER(SEARCH("fly light",E698)),ISNUMBER(SEARCH("plug-in",E698))),"UV Fly Traps",
ISNUMBER(SEARCH("roach",E698)),"Roach Traps",
ISNUMBER(SEARCH("ant",E698)),"Ant Traps",
ISNUMBER(SEARCH("spider",E698)),"Spider Traps",
ISNUMBER(SEARCH("mosquito",E698)),"Mosquito Traps",
ISNUMBER(SEARCH("beetle",E698)),"Beetle Traps",
ISNUMBER(SEARCH("lantern",E698)),"Lanternfly Control",
OR(ISNUMBER(SEARCH("tree shield",E698)),ISNUMBER(SEARCH("tree banding",E698)),ISNUMBER(SEARCH("insect barrier",E698))),"Tree Barriers",
OR(ISNUMBER(SEARCH("sun &amp; shade",E698)),ISNUMBER(SEARCH("sun and shade",E698))),"Sun &amp; Shade Mix",
ISNUMBER(SEARCH("tall fescue",E698)),"Tall Fescue",
ISNUMBER(SEARCH("bermudagrass",E698)),"Bermudagrass",
ISNUMBER(SEARCH("kentucky",E698)),"Kentucky Bluegrass",
ISNUMBER(SEARCH("zoysia",E698)),"Zoysia",
ISNUMBER(SEARCH("ryegrass",E698)),"Perennial Ryegrass",
ISNUMBER(SEARCH("centipede",E698)),"Centipede Grass",
ISNUMBER(SEARCH("dense shade",E698)),"Dense Shade Mix",
ISNUMBER(SEARCH("southern gold",E698)),"Southern Gold Mix",
ISNUMBER(SEARCH("heat-tolerant blue",E698)),"Heat-Tolerant Blue Mix",
ISNUMBER(SEARCH("high traffic",E698)),"High Traffic Mix",
ISNUMBER(SEARCH("quick fix",E698)),"Quick Fix Mix",
ISNUMBER(SEARCH("starter",E698)),"Starter Fertilizer",
ISNUMBER(SEARCH("weed &amp; feed",E698)),"Weed &amp; Feed",
ISNUMBER(SEARCH("lawn food",E698)),"Lawn Food",
ISNUMBER(SEARCH("triple action",E698)),"Triple Action Fertilizer",
ISNUMBER(SEARCH("green max",E698)),"Green Max Lawn Food",
ISNUMBER(SEARCH("patchmaster",E698)),"PatchMaster Repair",
ISNUMBER(SEARCH("ez seed",E698)),"EZ Seed Repair",
ISNUMBER(SEARCH("rapid grass",E698)),"Rapid Grass",
ISNUMBER(SEARCH("thick'r lawn",E698)),"Thick'R Lawn",
ISNUMBER(SEARCH("fungicide",E698)),"Fungicide",
ISNUMBER(SEARCH("moss",E698)),"Moss Control",
ISNUMBER(SEARCH("perlite",E698)),"Perlite",
ISNUMBER(SEARCH("plant food",E698)),"Plant Food",
ISNUMBER(SEARCH("spreader",E698)),"Spreader",
ISNUMBER(SEARCH("sprayer",E698)),"Sprayer",
ISNUMBER(SEARCH("mower",E698)),"Lawn Mower",
ISNUMBER(SEARCH("sweeper",E698)),"Lawn Sweeper",
OR(ISNUMBER(SEARCH("pruner",E698)),ISNUMBER(SEARCH("trimmer",E698)),ISNUMBER(SEARCH("pole saw",E698))),"Pruning Tools",
TRUE,"Other"
)</f>
        <v>Repellents</v>
      </c>
      <c r="J698" s="7" t="str">
        <f t="shared" si="207"/>
        <v>Rodent Control - Repellents</v>
      </c>
      <c r="K698" s="4">
        <v>50</v>
      </c>
      <c r="L698" s="4">
        <v>3.2</v>
      </c>
      <c r="M698" s="4">
        <v>256</v>
      </c>
      <c r="N698" s="4" t="s">
        <v>3233</v>
      </c>
      <c r="O698" s="4">
        <f>VLOOKUP(A698,[13]Sheet1!$A:$M,2,0)</f>
        <v>0</v>
      </c>
      <c r="P698" s="4">
        <f>VLOOKUP(A698,[13]Sheet1!$A:$M,3,0)</f>
        <v>0</v>
      </c>
      <c r="Q698" s="4">
        <f>VLOOKUP(A698,[13]Sheet1!$A:$M,4,0)</f>
        <v>0</v>
      </c>
      <c r="R698" s="4">
        <f>VLOOKUP(A698,[13]Sheet1!$A:$M,5,0)</f>
        <v>50</v>
      </c>
      <c r="S698" s="4">
        <f>VLOOKUP(A698,[13]Sheet1!$A:$M,6,0)</f>
        <v>100</v>
      </c>
      <c r="T698" s="4">
        <f>VLOOKUP(A698,[13]Sheet1!$A:$M,7,0)</f>
        <v>200</v>
      </c>
      <c r="U698" s="4">
        <f>VLOOKUP(A698,[13]Sheet1!$A:$M,8,0)</f>
        <v>100</v>
      </c>
      <c r="V698" s="4">
        <f>VLOOKUP(A698,[13]Sheet1!$A:$M,9,0)</f>
        <v>100</v>
      </c>
      <c r="W698" s="4">
        <f>VLOOKUP(A698,[13]Sheet1!$A:$M,10,0)</f>
        <v>50</v>
      </c>
      <c r="X698" s="4">
        <f>VLOOKUP(A698,[13]Sheet1!$A:$M,11,0)</f>
        <v>50</v>
      </c>
      <c r="Y698" s="4">
        <f>VLOOKUP(A698,[13]Sheet1!$A:$M,12,0)</f>
        <v>50</v>
      </c>
      <c r="Z698" s="4">
        <f>VLOOKUP(A698,[13]Sheet1!$A:$M,13,0)</f>
        <v>0</v>
      </c>
      <c r="AA698" s="4">
        <f t="shared" si="208"/>
        <v>700</v>
      </c>
      <c r="AB698" s="7">
        <f t="shared" si="209"/>
        <v>58</v>
      </c>
      <c r="AC698" s="15">
        <f t="shared" si="210"/>
        <v>58.333333333333336</v>
      </c>
      <c r="AD698" s="16">
        <f t="shared" si="211"/>
        <v>18116</v>
      </c>
      <c r="AE698" s="16">
        <f t="shared" si="212"/>
        <v>1509.6666666666667</v>
      </c>
      <c r="AF698" s="21">
        <v>6.31</v>
      </c>
      <c r="AG698" s="21">
        <v>25.88</v>
      </c>
      <c r="AH698" s="15">
        <f t="shared" si="205"/>
        <v>0.20280000000000001</v>
      </c>
      <c r="AI698" s="15">
        <f t="shared" si="206"/>
        <v>0.70979999999999999</v>
      </c>
      <c r="AJ698" s="10">
        <v>0.5</v>
      </c>
      <c r="AK698" s="10">
        <v>0.5</v>
      </c>
      <c r="AL698" s="21">
        <v>6.31</v>
      </c>
      <c r="AM698" s="9">
        <f t="shared" si="197"/>
        <v>3.8819999999999997</v>
      </c>
      <c r="AN698" s="9">
        <f t="shared" si="198"/>
        <v>0.77639999999999998</v>
      </c>
      <c r="AO698" s="9">
        <f t="shared" si="199"/>
        <v>5.1760000000000002</v>
      </c>
      <c r="AP698" s="9">
        <f t="shared" si="200"/>
        <v>0.51759999999999995</v>
      </c>
      <c r="AQ698" s="9">
        <f t="shared" si="201"/>
        <v>5.1760000000000002</v>
      </c>
      <c r="AR698" s="9">
        <f t="shared" si="202"/>
        <v>6.47</v>
      </c>
      <c r="AS698" s="11">
        <f t="shared" si="203"/>
        <v>2.028</v>
      </c>
      <c r="AT698" s="12">
        <f t="shared" si="204"/>
        <v>1.1653333333333336</v>
      </c>
    </row>
    <row r="699" spans="1:46" ht="16.5" x14ac:dyDescent="0.4">
      <c r="A699" s="4" t="s">
        <v>2689</v>
      </c>
      <c r="B699" s="4" t="s">
        <v>2710</v>
      </c>
      <c r="C699" s="4" t="s">
        <v>2726</v>
      </c>
      <c r="D699" s="4" t="s">
        <v>2868</v>
      </c>
      <c r="E699" s="4" t="s">
        <v>3027</v>
      </c>
      <c r="F699" s="4" t="s">
        <v>3186</v>
      </c>
      <c r="G699" s="7" t="str">
        <f>VLOOKUP(A699,[1]done!$A:$I,9,0)</f>
        <v>Insecticide/Fungicide</v>
      </c>
      <c r="H699" s="7" t="str" cm="1">
        <f t="array" ref="H699">_xlfn.IFS(
OR(ISNUMBER(SEARCH("mouse",E699)),ISNUMBER(SEARCH("rat",E699)),ISNUMBER(SEARCH("mice",E699)),ISNUMBER(SEARCH("rodent",E699))),"Rodent Control",
OR(ISNUMBER(SEARCH("fly",E699)),ISNUMBER(SEARCH("gnat",E699)),ISNUMBER(SEARCH("insect",E699)),ISNUMBER(SEARCH("mosquito",E699))),"Flying Insect Control",
OR(ISNUMBER(SEARCH("roach",E699)),ISNUMBER(SEARCH("ant",E699)),ISNUMBER(SEARCH("spider",E699)),ISNUMBER(SEARCH("cricket",E699)),ISNUMBER(SEARCH("scorpion",E699)),ISNUMBER(SEARCH("centipede",E699)),ISNUMBER(SEARCH("beetle",E699))),"Crawling Insect Control",
OR(ISNUMBER(SEARCH("tree",E699)),ISNUMBER(SEARCH("lantern",E699)),ISNUMBER(SEARCH("garden",E699)),ISNUMBER(SEARCH("plant",E699))),"Garden Pest Control",
OR(ISNUMBER(SEARCH("grass seed",E699)),ISNUMBER(SEARCH("seed mix",E699))),"Grass Seed",
OR(ISNUMBER(SEARCH("lawn food",E699)),ISNUMBER(SEARCH("fertilizer",E699))),"Lawn Fertilizer",
OR(ISNUMBER(SEARCH("patch",E699)),ISNUMBER(SEARCH("repair",E699)),ISNUMBER(SEARCH("thick'r",E699)),ISNUMBER(SEARCH("thick'r lawn",E699)),ISNUMBER(SEARCH("rapid grass",E699))),"Lawn Repair",
OR(ISNUMBER(SEARCH("weed",E699)),ISNUMBER(SEARCH("crabgrass",E699))),"Weed Control",
OR(ISNUMBER(SEARCH("fungicide",E699)),ISNUMBER(SEARCH("moss",E699))),"Disease &amp; Moss Control",
OR(ISNUMBER(SEARCH("plant food",E699)),ISNUMBER(SEARCH("miracid",E699))),"Plant Nutrition",
OR(ISNUMBER(SEARCH("perlite",E699))),"Soil Amendment",
OR(ISNUMBER(SEARCH("spreader",E699)),ISNUMBER(SEARCH("sprayer",E699)),ISNUMBER(SEARCH("mower",E699)),ISNUMBER(SEARCH("sweeper",E699)),ISNUMBER(SEARCH("pruner",E699)),ISNUMBER(SEARCH("trimmer",E699)),ISNUMBER(SEARCH("pole saw",E699))),"Garden Equipment",
TRUE,"Other"
)</f>
        <v>Other</v>
      </c>
      <c r="I699" s="7" t="str" cm="1">
        <f t="array" ref="I699">_xlfn.IFS(
OR(ISNUMBER(SEARCH("glue trap",E699)),ISNUMBER(SEARCH("glue board",E699))),"Glue Traps",
OR(ISNUMBER(SEARCH("snap trap",E699)),ISNUMBER(SEARCH("power-kill",E699)),ISNUMBER(SEARCH("wide pedal",E699)),ISNUMBER(SEARCH("metal pedal",E699))),"Snap Traps",
OR(ISNUMBER(SEARCH("electronic",E699)),ISNUMBER(SEARCH("zapper",E699))),"Electronic Traps",
OR(ISNUMBER(SEARCH("live catch",E699)),ISNUMBER(SEARCH("multi-catch",E699)),ISNUMBER(SEARCH("catch &amp; hold",E699)),ISNUMBER(SEARCH("tin cat",E699))),"Live Catch Traps",
OR(ISNUMBER(SEARCH("bait",E699)),ISNUMBER(SEARCH("poison",E699))),"Bait &amp; Poison",
ISNUMBER(SEARCH("repellent",E699)),"Repellents",
OR(ISNUMBER(SEARCH("fly trap",E699)),ISNUMBER(SEARCH("fly ribbon",E699)),ISNUMBER(SEARCH("fly stick",E699)),ISNUMBER(SEARCH("window fly",E699)),ISNUMBER(SEARCH("fly magnet",E699))),"Fly Traps",
OR(ISNUMBER(SEARCH("uv",E699)),ISNUMBER(SEARCH("fly light",E699)),ISNUMBER(SEARCH("plug-in",E699))),"UV Fly Traps",
ISNUMBER(SEARCH("roach",E699)),"Roach Traps",
ISNUMBER(SEARCH("ant",E699)),"Ant Traps",
ISNUMBER(SEARCH("spider",E699)),"Spider Traps",
ISNUMBER(SEARCH("mosquito",E699)),"Mosquito Traps",
ISNUMBER(SEARCH("beetle",E699)),"Beetle Traps",
ISNUMBER(SEARCH("lantern",E699)),"Lanternfly Control",
OR(ISNUMBER(SEARCH("tree shield",E699)),ISNUMBER(SEARCH("tree banding",E699)),ISNUMBER(SEARCH("insect barrier",E699))),"Tree Barriers",
OR(ISNUMBER(SEARCH("sun &amp; shade",E699)),ISNUMBER(SEARCH("sun and shade",E699))),"Sun &amp; Shade Mix",
ISNUMBER(SEARCH("tall fescue",E699)),"Tall Fescue",
ISNUMBER(SEARCH("bermudagrass",E699)),"Bermudagrass",
ISNUMBER(SEARCH("kentucky",E699)),"Kentucky Bluegrass",
ISNUMBER(SEARCH("zoysia",E699)),"Zoysia",
ISNUMBER(SEARCH("ryegrass",E699)),"Perennial Ryegrass",
ISNUMBER(SEARCH("centipede",E699)),"Centipede Grass",
ISNUMBER(SEARCH("dense shade",E699)),"Dense Shade Mix",
ISNUMBER(SEARCH("southern gold",E699)),"Southern Gold Mix",
ISNUMBER(SEARCH("heat-tolerant blue",E699)),"Heat-Tolerant Blue Mix",
ISNUMBER(SEARCH("high traffic",E699)),"High Traffic Mix",
ISNUMBER(SEARCH("quick fix",E699)),"Quick Fix Mix",
ISNUMBER(SEARCH("starter",E699)),"Starter Fertilizer",
ISNUMBER(SEARCH("weed &amp; feed",E699)),"Weed &amp; Feed",
ISNUMBER(SEARCH("lawn food",E699)),"Lawn Food",
ISNUMBER(SEARCH("triple action",E699)),"Triple Action Fertilizer",
ISNUMBER(SEARCH("green max",E699)),"Green Max Lawn Food",
ISNUMBER(SEARCH("patchmaster",E699)),"PatchMaster Repair",
ISNUMBER(SEARCH("ez seed",E699)),"EZ Seed Repair",
ISNUMBER(SEARCH("rapid grass",E699)),"Rapid Grass",
ISNUMBER(SEARCH("thick'r lawn",E699)),"Thick'R Lawn",
ISNUMBER(SEARCH("fungicide",E699)),"Fungicide",
ISNUMBER(SEARCH("moss",E699)),"Moss Control",
ISNUMBER(SEARCH("perlite",E699)),"Perlite",
ISNUMBER(SEARCH("plant food",E699)),"Plant Food",
ISNUMBER(SEARCH("spreader",E699)),"Spreader",
ISNUMBER(SEARCH("sprayer",E699)),"Sprayer",
ISNUMBER(SEARCH("mower",E699)),"Lawn Mower",
ISNUMBER(SEARCH("sweeper",E699)),"Lawn Sweeper",
OR(ISNUMBER(SEARCH("pruner",E699)),ISNUMBER(SEARCH("trimmer",E699)),ISNUMBER(SEARCH("pole saw",E699))),"Pruning Tools",
TRUE,"Other"
)</f>
        <v>Repellents</v>
      </c>
      <c r="J699" s="7" t="str">
        <f t="shared" si="207"/>
        <v>Other - Repellents</v>
      </c>
      <c r="K699" s="4">
        <v>50</v>
      </c>
      <c r="L699" s="4">
        <v>3.5</v>
      </c>
      <c r="M699" s="4">
        <v>166</v>
      </c>
      <c r="N699" s="4" t="s">
        <v>1094</v>
      </c>
      <c r="O699" s="4">
        <f>VLOOKUP(A699,[13]Sheet1!$A:$M,2,0)</f>
        <v>0</v>
      </c>
      <c r="P699" s="4">
        <f>VLOOKUP(A699,[13]Sheet1!$A:$M,3,0)</f>
        <v>0</v>
      </c>
      <c r="Q699" s="4">
        <f>VLOOKUP(A699,[13]Sheet1!$A:$M,4,0)</f>
        <v>0</v>
      </c>
      <c r="R699" s="4">
        <f>VLOOKUP(A699,[13]Sheet1!$A:$M,5,0)</f>
        <v>50</v>
      </c>
      <c r="S699" s="4">
        <f>VLOOKUP(A699,[13]Sheet1!$A:$M,6,0)</f>
        <v>50</v>
      </c>
      <c r="T699" s="4">
        <f>VLOOKUP(A699,[13]Sheet1!$A:$M,7,0)</f>
        <v>100</v>
      </c>
      <c r="U699" s="4">
        <f>VLOOKUP(A699,[13]Sheet1!$A:$M,8,0)</f>
        <v>100</v>
      </c>
      <c r="V699" s="4">
        <f>VLOOKUP(A699,[13]Sheet1!$A:$M,9,0)</f>
        <v>100</v>
      </c>
      <c r="W699" s="4">
        <f>VLOOKUP(A699,[13]Sheet1!$A:$M,10,0)</f>
        <v>50</v>
      </c>
      <c r="X699" s="4">
        <f>VLOOKUP(A699,[13]Sheet1!$A:$M,11,0)</f>
        <v>50</v>
      </c>
      <c r="Y699" s="4">
        <f>VLOOKUP(A699,[13]Sheet1!$A:$M,12,0)</f>
        <v>0</v>
      </c>
      <c r="Z699" s="4">
        <f>VLOOKUP(A699,[13]Sheet1!$A:$M,13,0)</f>
        <v>0</v>
      </c>
      <c r="AA699" s="4">
        <f t="shared" si="208"/>
        <v>500</v>
      </c>
      <c r="AB699" s="7">
        <f t="shared" si="209"/>
        <v>42</v>
      </c>
      <c r="AC699" s="15">
        <f t="shared" si="210"/>
        <v>41.666666666666664</v>
      </c>
      <c r="AD699" s="16">
        <f t="shared" si="211"/>
        <v>9375</v>
      </c>
      <c r="AE699" s="16">
        <f t="shared" si="212"/>
        <v>781.25</v>
      </c>
      <c r="AF699" s="21">
        <v>6.31</v>
      </c>
      <c r="AG699" s="21">
        <v>18.75</v>
      </c>
      <c r="AH699" s="15">
        <f t="shared" si="205"/>
        <v>1.2666666666666694E-2</v>
      </c>
      <c r="AI699" s="15">
        <f t="shared" si="206"/>
        <v>4.4333333333333419E-2</v>
      </c>
      <c r="AJ699" s="10">
        <v>0.5</v>
      </c>
      <c r="AK699" s="10">
        <v>0.5</v>
      </c>
      <c r="AL699" s="21">
        <v>6.31</v>
      </c>
      <c r="AM699" s="9">
        <f t="shared" si="197"/>
        <v>2.8125</v>
      </c>
      <c r="AN699" s="9">
        <f t="shared" si="198"/>
        <v>0.5625</v>
      </c>
      <c r="AO699" s="9">
        <f t="shared" si="199"/>
        <v>3.75</v>
      </c>
      <c r="AP699" s="9">
        <f t="shared" si="200"/>
        <v>0.375</v>
      </c>
      <c r="AQ699" s="9">
        <f t="shared" si="201"/>
        <v>3.75</v>
      </c>
      <c r="AR699" s="9">
        <f t="shared" si="202"/>
        <v>4.6875</v>
      </c>
      <c r="AS699" s="11">
        <f t="shared" si="203"/>
        <v>0.12666666666666693</v>
      </c>
      <c r="AT699" s="12">
        <f t="shared" si="204"/>
        <v>-0.49833333333333307</v>
      </c>
    </row>
    <row r="700" spans="1:46" ht="16.5" x14ac:dyDescent="0.4">
      <c r="A700" s="4" t="s">
        <v>2690</v>
      </c>
      <c r="B700" s="4" t="s">
        <v>2710</v>
      </c>
      <c r="C700" s="4" t="s">
        <v>2727</v>
      </c>
      <c r="D700" s="4" t="s">
        <v>2869</v>
      </c>
      <c r="E700" s="4" t="s">
        <v>3028</v>
      </c>
      <c r="F700" s="4" t="s">
        <v>3187</v>
      </c>
      <c r="G700" s="7" t="str">
        <f>VLOOKUP(A700,[1]done!$A:$I,9,0)</f>
        <v>Snake control</v>
      </c>
      <c r="H700" s="7" t="str" cm="1">
        <f t="array" ref="H700">_xlfn.IFS(
OR(ISNUMBER(SEARCH("mouse",E700)),ISNUMBER(SEARCH("rat",E700)),ISNUMBER(SEARCH("mice",E700)),ISNUMBER(SEARCH("rodent",E700))),"Rodent Control",
OR(ISNUMBER(SEARCH("fly",E700)),ISNUMBER(SEARCH("gnat",E700)),ISNUMBER(SEARCH("insect",E700)),ISNUMBER(SEARCH("mosquito",E700))),"Flying Insect Control",
OR(ISNUMBER(SEARCH("roach",E700)),ISNUMBER(SEARCH("ant",E700)),ISNUMBER(SEARCH("spider",E700)),ISNUMBER(SEARCH("cricket",E700)),ISNUMBER(SEARCH("scorpion",E700)),ISNUMBER(SEARCH("centipede",E700)),ISNUMBER(SEARCH("beetle",E700))),"Crawling Insect Control",
OR(ISNUMBER(SEARCH("tree",E700)),ISNUMBER(SEARCH("lantern",E700)),ISNUMBER(SEARCH("garden",E700)),ISNUMBER(SEARCH("plant",E700))),"Garden Pest Control",
OR(ISNUMBER(SEARCH("grass seed",E700)),ISNUMBER(SEARCH("seed mix",E700))),"Grass Seed",
OR(ISNUMBER(SEARCH("lawn food",E700)),ISNUMBER(SEARCH("fertilizer",E700))),"Lawn Fertilizer",
OR(ISNUMBER(SEARCH("patch",E700)),ISNUMBER(SEARCH("repair",E700)),ISNUMBER(SEARCH("thick'r",E700)),ISNUMBER(SEARCH("thick'r lawn",E700)),ISNUMBER(SEARCH("rapid grass",E700))),"Lawn Repair",
OR(ISNUMBER(SEARCH("weed",E700)),ISNUMBER(SEARCH("crabgrass",E700))),"Weed Control",
OR(ISNUMBER(SEARCH("fungicide",E700)),ISNUMBER(SEARCH("moss",E700))),"Disease &amp; Moss Control",
OR(ISNUMBER(SEARCH("plant food",E700)),ISNUMBER(SEARCH("miracid",E700))),"Plant Nutrition",
OR(ISNUMBER(SEARCH("perlite",E700))),"Soil Amendment",
OR(ISNUMBER(SEARCH("spreader",E700)),ISNUMBER(SEARCH("sprayer",E700)),ISNUMBER(SEARCH("mower",E700)),ISNUMBER(SEARCH("sweeper",E700)),ISNUMBER(SEARCH("pruner",E700)),ISNUMBER(SEARCH("trimmer",E700)),ISNUMBER(SEARCH("pole saw",E700))),"Garden Equipment",
TRUE,"Other"
)</f>
        <v>Other</v>
      </c>
      <c r="I700" s="7" t="str" cm="1">
        <f t="array" ref="I700">_xlfn.IFS(
OR(ISNUMBER(SEARCH("glue trap",E700)),ISNUMBER(SEARCH("glue board",E700))),"Glue Traps",
OR(ISNUMBER(SEARCH("snap trap",E700)),ISNUMBER(SEARCH("power-kill",E700)),ISNUMBER(SEARCH("wide pedal",E700)),ISNUMBER(SEARCH("metal pedal",E700))),"Snap Traps",
OR(ISNUMBER(SEARCH("electronic",E700)),ISNUMBER(SEARCH("zapper",E700))),"Electronic Traps",
OR(ISNUMBER(SEARCH("live catch",E700)),ISNUMBER(SEARCH("multi-catch",E700)),ISNUMBER(SEARCH("catch &amp; hold",E700)),ISNUMBER(SEARCH("tin cat",E700))),"Live Catch Traps",
OR(ISNUMBER(SEARCH("bait",E700)),ISNUMBER(SEARCH("poison",E700))),"Bait &amp; Poison",
ISNUMBER(SEARCH("repellent",E700)),"Repellents",
OR(ISNUMBER(SEARCH("fly trap",E700)),ISNUMBER(SEARCH("fly ribbon",E700)),ISNUMBER(SEARCH("fly stick",E700)),ISNUMBER(SEARCH("window fly",E700)),ISNUMBER(SEARCH("fly magnet",E700))),"Fly Traps",
OR(ISNUMBER(SEARCH("uv",E700)),ISNUMBER(SEARCH("fly light",E700)),ISNUMBER(SEARCH("plug-in",E700))),"UV Fly Traps",
ISNUMBER(SEARCH("roach",E700)),"Roach Traps",
ISNUMBER(SEARCH("ant",E700)),"Ant Traps",
ISNUMBER(SEARCH("spider",E700)),"Spider Traps",
ISNUMBER(SEARCH("mosquito",E700)),"Mosquito Traps",
ISNUMBER(SEARCH("beetle",E700)),"Beetle Traps",
ISNUMBER(SEARCH("lantern",E700)),"Lanternfly Control",
OR(ISNUMBER(SEARCH("tree shield",E700)),ISNUMBER(SEARCH("tree banding",E700)),ISNUMBER(SEARCH("insect barrier",E700))),"Tree Barriers",
OR(ISNUMBER(SEARCH("sun &amp; shade",E700)),ISNUMBER(SEARCH("sun and shade",E700))),"Sun &amp; Shade Mix",
ISNUMBER(SEARCH("tall fescue",E700)),"Tall Fescue",
ISNUMBER(SEARCH("bermudagrass",E700)),"Bermudagrass",
ISNUMBER(SEARCH("kentucky",E700)),"Kentucky Bluegrass",
ISNUMBER(SEARCH("zoysia",E700)),"Zoysia",
ISNUMBER(SEARCH("ryegrass",E700)),"Perennial Ryegrass",
ISNUMBER(SEARCH("centipede",E700)),"Centipede Grass",
ISNUMBER(SEARCH("dense shade",E700)),"Dense Shade Mix",
ISNUMBER(SEARCH("southern gold",E700)),"Southern Gold Mix",
ISNUMBER(SEARCH("heat-tolerant blue",E700)),"Heat-Tolerant Blue Mix",
ISNUMBER(SEARCH("high traffic",E700)),"High Traffic Mix",
ISNUMBER(SEARCH("quick fix",E700)),"Quick Fix Mix",
ISNUMBER(SEARCH("starter",E700)),"Starter Fertilizer",
ISNUMBER(SEARCH("weed &amp; feed",E700)),"Weed &amp; Feed",
ISNUMBER(SEARCH("lawn food",E700)),"Lawn Food",
ISNUMBER(SEARCH("triple action",E700)),"Triple Action Fertilizer",
ISNUMBER(SEARCH("green max",E700)),"Green Max Lawn Food",
ISNUMBER(SEARCH("patchmaster",E700)),"PatchMaster Repair",
ISNUMBER(SEARCH("ez seed",E700)),"EZ Seed Repair",
ISNUMBER(SEARCH("rapid grass",E700)),"Rapid Grass",
ISNUMBER(SEARCH("thick'r lawn",E700)),"Thick'R Lawn",
ISNUMBER(SEARCH("fungicide",E700)),"Fungicide",
ISNUMBER(SEARCH("moss",E700)),"Moss Control",
ISNUMBER(SEARCH("perlite",E700)),"Perlite",
ISNUMBER(SEARCH("plant food",E700)),"Plant Food",
ISNUMBER(SEARCH("spreader",E700)),"Spreader",
ISNUMBER(SEARCH("sprayer",E700)),"Sprayer",
ISNUMBER(SEARCH("mower",E700)),"Lawn Mower",
ISNUMBER(SEARCH("sweeper",E700)),"Lawn Sweeper",
OR(ISNUMBER(SEARCH("pruner",E700)),ISNUMBER(SEARCH("trimmer",E700)),ISNUMBER(SEARCH("pole saw",E700))),"Pruning Tools",
TRUE,"Other"
)</f>
        <v>Repellents</v>
      </c>
      <c r="J700" s="7" t="str">
        <f t="shared" si="207"/>
        <v>Other - Repellents</v>
      </c>
      <c r="K700" s="4">
        <v>50</v>
      </c>
      <c r="L700" s="4">
        <v>4</v>
      </c>
      <c r="M700" s="4">
        <v>2854</v>
      </c>
      <c r="N700" s="4" t="s">
        <v>3254</v>
      </c>
      <c r="O700" s="4">
        <f>VLOOKUP(A700,[13]Sheet1!$A:$M,2,0)</f>
        <v>0</v>
      </c>
      <c r="P700" s="4">
        <f>VLOOKUP(A700,[13]Sheet1!$A:$M,3,0)</f>
        <v>0</v>
      </c>
      <c r="Q700" s="4">
        <f>VLOOKUP(A700,[13]Sheet1!$A:$M,4,0)</f>
        <v>0</v>
      </c>
      <c r="R700" s="4">
        <f>VLOOKUP(A700,[13]Sheet1!$A:$M,5,0)</f>
        <v>0</v>
      </c>
      <c r="S700" s="4">
        <f>VLOOKUP(A700,[13]Sheet1!$A:$M,6,0)</f>
        <v>0</v>
      </c>
      <c r="T700" s="4">
        <f>VLOOKUP(A700,[13]Sheet1!$A:$M,7,0)</f>
        <v>0</v>
      </c>
      <c r="U700" s="4">
        <f>VLOOKUP(A700,[13]Sheet1!$A:$M,8,0)</f>
        <v>0</v>
      </c>
      <c r="V700" s="4">
        <f>VLOOKUP(A700,[13]Sheet1!$A:$M,9,0)</f>
        <v>0</v>
      </c>
      <c r="W700" s="4">
        <f>VLOOKUP(A700,[13]Sheet1!$A:$M,10,0)</f>
        <v>50</v>
      </c>
      <c r="X700" s="4">
        <f>VLOOKUP(A700,[13]Sheet1!$A:$M,11,0)</f>
        <v>0</v>
      </c>
      <c r="Y700" s="4">
        <f>VLOOKUP(A700,[13]Sheet1!$A:$M,12,0)</f>
        <v>0</v>
      </c>
      <c r="Z700" s="4">
        <f>VLOOKUP(A700,[13]Sheet1!$A:$M,13,0)</f>
        <v>0</v>
      </c>
      <c r="AA700" s="4">
        <f t="shared" si="208"/>
        <v>50</v>
      </c>
      <c r="AB700" s="7">
        <f t="shared" si="209"/>
        <v>4</v>
      </c>
      <c r="AC700" s="15">
        <f t="shared" si="210"/>
        <v>4.166666666666667</v>
      </c>
      <c r="AD700" s="16">
        <f t="shared" si="211"/>
        <v>889</v>
      </c>
      <c r="AE700" s="16">
        <f t="shared" si="212"/>
        <v>74.083333333333343</v>
      </c>
      <c r="AF700" s="21">
        <v>5.76</v>
      </c>
      <c r="AG700" s="21">
        <v>17.78</v>
      </c>
      <c r="AH700" s="15">
        <f t="shared" si="205"/>
        <v>2.3466666666666719E-2</v>
      </c>
      <c r="AI700" s="15">
        <f t="shared" si="206"/>
        <v>8.2133333333333503E-2</v>
      </c>
      <c r="AJ700" s="10">
        <v>0.5</v>
      </c>
      <c r="AK700" s="10">
        <v>0.5</v>
      </c>
      <c r="AL700" s="21">
        <v>5.76</v>
      </c>
      <c r="AM700" s="9">
        <f t="shared" si="197"/>
        <v>2.6670000000000003</v>
      </c>
      <c r="AN700" s="9">
        <f t="shared" si="198"/>
        <v>0.53339999999999999</v>
      </c>
      <c r="AO700" s="9">
        <f t="shared" si="199"/>
        <v>3.5560000000000005</v>
      </c>
      <c r="AP700" s="9">
        <f t="shared" si="200"/>
        <v>0.35560000000000003</v>
      </c>
      <c r="AQ700" s="9">
        <f t="shared" si="201"/>
        <v>3.5560000000000005</v>
      </c>
      <c r="AR700" s="9">
        <f t="shared" si="202"/>
        <v>4.4450000000000003</v>
      </c>
      <c r="AS700" s="11">
        <f t="shared" si="203"/>
        <v>0.23466666666666716</v>
      </c>
      <c r="AT700" s="12">
        <f t="shared" si="204"/>
        <v>-0.35799999999999937</v>
      </c>
    </row>
    <row r="701" spans="1:46" ht="16.5" x14ac:dyDescent="0.4">
      <c r="A701" s="4" t="s">
        <v>2691</v>
      </c>
      <c r="B701" s="4" t="s">
        <v>2710</v>
      </c>
      <c r="C701" s="4" t="s">
        <v>2715</v>
      </c>
      <c r="D701" s="4" t="s">
        <v>2870</v>
      </c>
      <c r="E701" s="4" t="s">
        <v>3029</v>
      </c>
      <c r="F701" s="4" t="s">
        <v>3188</v>
      </c>
      <c r="G701" s="7" t="str">
        <f>VLOOKUP(A701,[1]done!$A:$I,9,0)</f>
        <v>Insecticide/Fungicide</v>
      </c>
      <c r="H701" s="7" t="str" cm="1">
        <f t="array" ref="H701">_xlfn.IFS(
OR(ISNUMBER(SEARCH("mouse",E701)),ISNUMBER(SEARCH("rat",E701)),ISNUMBER(SEARCH("mice",E701)),ISNUMBER(SEARCH("rodent",E701))),"Rodent Control",
OR(ISNUMBER(SEARCH("fly",E701)),ISNUMBER(SEARCH("gnat",E701)),ISNUMBER(SEARCH("insect",E701)),ISNUMBER(SEARCH("mosquito",E701))),"Flying Insect Control",
OR(ISNUMBER(SEARCH("roach",E701)),ISNUMBER(SEARCH("ant",E701)),ISNUMBER(SEARCH("spider",E701)),ISNUMBER(SEARCH("cricket",E701)),ISNUMBER(SEARCH("scorpion",E701)),ISNUMBER(SEARCH("centipede",E701)),ISNUMBER(SEARCH("beetle",E701))),"Crawling Insect Control",
OR(ISNUMBER(SEARCH("tree",E701)),ISNUMBER(SEARCH("lantern",E701)),ISNUMBER(SEARCH("garden",E701)),ISNUMBER(SEARCH("plant",E701))),"Garden Pest Control",
OR(ISNUMBER(SEARCH("grass seed",E701)),ISNUMBER(SEARCH("seed mix",E701))),"Grass Seed",
OR(ISNUMBER(SEARCH("lawn food",E701)),ISNUMBER(SEARCH("fertilizer",E701))),"Lawn Fertilizer",
OR(ISNUMBER(SEARCH("patch",E701)),ISNUMBER(SEARCH("repair",E701)),ISNUMBER(SEARCH("thick'r",E701)),ISNUMBER(SEARCH("thick'r lawn",E701)),ISNUMBER(SEARCH("rapid grass",E701))),"Lawn Repair",
OR(ISNUMBER(SEARCH("weed",E701)),ISNUMBER(SEARCH("crabgrass",E701))),"Weed Control",
OR(ISNUMBER(SEARCH("fungicide",E701)),ISNUMBER(SEARCH("moss",E701))),"Disease &amp; Moss Control",
OR(ISNUMBER(SEARCH("plant food",E701)),ISNUMBER(SEARCH("miracid",E701))),"Plant Nutrition",
OR(ISNUMBER(SEARCH("perlite",E701))),"Soil Amendment",
OR(ISNUMBER(SEARCH("spreader",E701)),ISNUMBER(SEARCH("sprayer",E701)),ISNUMBER(SEARCH("mower",E701)),ISNUMBER(SEARCH("sweeper",E701)),ISNUMBER(SEARCH("pruner",E701)),ISNUMBER(SEARCH("trimmer",E701)),ISNUMBER(SEARCH("pole saw",E701))),"Garden Equipment",
TRUE,"Other"
)</f>
        <v>Garden Pest Control</v>
      </c>
      <c r="I701" s="7" t="str" cm="1">
        <f t="array" ref="I701">_xlfn.IFS(
OR(ISNUMBER(SEARCH("glue trap",E701)),ISNUMBER(SEARCH("glue board",E701))),"Glue Traps",
OR(ISNUMBER(SEARCH("snap trap",E701)),ISNUMBER(SEARCH("power-kill",E701)),ISNUMBER(SEARCH("wide pedal",E701)),ISNUMBER(SEARCH("metal pedal",E701))),"Snap Traps",
OR(ISNUMBER(SEARCH("electronic",E701)),ISNUMBER(SEARCH("zapper",E701))),"Electronic Traps",
OR(ISNUMBER(SEARCH("live catch",E701)),ISNUMBER(SEARCH("multi-catch",E701)),ISNUMBER(SEARCH("catch &amp; hold",E701)),ISNUMBER(SEARCH("tin cat",E701))),"Live Catch Traps",
OR(ISNUMBER(SEARCH("bait",E701)),ISNUMBER(SEARCH("poison",E701))),"Bait &amp; Poison",
ISNUMBER(SEARCH("repellent",E701)),"Repellents",
OR(ISNUMBER(SEARCH("fly trap",E701)),ISNUMBER(SEARCH("fly ribbon",E701)),ISNUMBER(SEARCH("fly stick",E701)),ISNUMBER(SEARCH("window fly",E701)),ISNUMBER(SEARCH("fly magnet",E701))),"Fly Traps",
OR(ISNUMBER(SEARCH("uv",E701)),ISNUMBER(SEARCH("fly light",E701)),ISNUMBER(SEARCH("plug-in",E701))),"UV Fly Traps",
ISNUMBER(SEARCH("roach",E701)),"Roach Traps",
ISNUMBER(SEARCH("ant",E701)),"Ant Traps",
ISNUMBER(SEARCH("spider",E701)),"Spider Traps",
ISNUMBER(SEARCH("mosquito",E701)),"Mosquito Traps",
ISNUMBER(SEARCH("beetle",E701)),"Beetle Traps",
ISNUMBER(SEARCH("lantern",E701)),"Lanternfly Control",
OR(ISNUMBER(SEARCH("tree shield",E701)),ISNUMBER(SEARCH("tree banding",E701)),ISNUMBER(SEARCH("insect barrier",E701))),"Tree Barriers",
OR(ISNUMBER(SEARCH("sun &amp; shade",E701)),ISNUMBER(SEARCH("sun and shade",E701))),"Sun &amp; Shade Mix",
ISNUMBER(SEARCH("tall fescue",E701)),"Tall Fescue",
ISNUMBER(SEARCH("bermudagrass",E701)),"Bermudagrass",
ISNUMBER(SEARCH("kentucky",E701)),"Kentucky Bluegrass",
ISNUMBER(SEARCH("zoysia",E701)),"Zoysia",
ISNUMBER(SEARCH("ryegrass",E701)),"Perennial Ryegrass",
ISNUMBER(SEARCH("centipede",E701)),"Centipede Grass",
ISNUMBER(SEARCH("dense shade",E701)),"Dense Shade Mix",
ISNUMBER(SEARCH("southern gold",E701)),"Southern Gold Mix",
ISNUMBER(SEARCH("heat-tolerant blue",E701)),"Heat-Tolerant Blue Mix",
ISNUMBER(SEARCH("high traffic",E701)),"High Traffic Mix",
ISNUMBER(SEARCH("quick fix",E701)),"Quick Fix Mix",
ISNUMBER(SEARCH("starter",E701)),"Starter Fertilizer",
ISNUMBER(SEARCH("weed &amp; feed",E701)),"Weed &amp; Feed",
ISNUMBER(SEARCH("lawn food",E701)),"Lawn Food",
ISNUMBER(SEARCH("triple action",E701)),"Triple Action Fertilizer",
ISNUMBER(SEARCH("green max",E701)),"Green Max Lawn Food",
ISNUMBER(SEARCH("patchmaster",E701)),"PatchMaster Repair",
ISNUMBER(SEARCH("ez seed",E701)),"EZ Seed Repair",
ISNUMBER(SEARCH("rapid grass",E701)),"Rapid Grass",
ISNUMBER(SEARCH("thick'r lawn",E701)),"Thick'R Lawn",
ISNUMBER(SEARCH("fungicide",E701)),"Fungicide",
ISNUMBER(SEARCH("moss",E701)),"Moss Control",
ISNUMBER(SEARCH("perlite",E701)),"Perlite",
ISNUMBER(SEARCH("plant food",E701)),"Plant Food",
ISNUMBER(SEARCH("spreader",E701)),"Spreader",
ISNUMBER(SEARCH("sprayer",E701)),"Sprayer",
ISNUMBER(SEARCH("mower",E701)),"Lawn Mower",
ISNUMBER(SEARCH("sweeper",E701)),"Lawn Sweeper",
OR(ISNUMBER(SEARCH("pruner",E701)),ISNUMBER(SEARCH("trimmer",E701)),ISNUMBER(SEARCH("pole saw",E701))),"Pruning Tools",
TRUE,"Other"
)</f>
        <v>Moss Control</v>
      </c>
      <c r="J701" s="7" t="str">
        <f t="shared" si="207"/>
        <v>Garden Pest Control - Moss Control</v>
      </c>
      <c r="K701" s="4">
        <v>50</v>
      </c>
      <c r="L701" s="4">
        <v>4</v>
      </c>
      <c r="M701" s="4">
        <v>194</v>
      </c>
      <c r="N701" s="4" t="s">
        <v>3207</v>
      </c>
      <c r="O701" s="4">
        <f>VLOOKUP(A701,[13]Sheet1!$A:$M,2,0)</f>
        <v>0</v>
      </c>
      <c r="P701" s="4">
        <f>VLOOKUP(A701,[13]Sheet1!$A:$M,3,0)</f>
        <v>0</v>
      </c>
      <c r="Q701" s="4">
        <f>VLOOKUP(A701,[13]Sheet1!$A:$M,4,0)</f>
        <v>50</v>
      </c>
      <c r="R701" s="4">
        <f>VLOOKUP(A701,[13]Sheet1!$A:$M,5,0)</f>
        <v>100</v>
      </c>
      <c r="S701" s="4">
        <f>VLOOKUP(A701,[13]Sheet1!$A:$M,6,0)</f>
        <v>50</v>
      </c>
      <c r="T701" s="4">
        <f>VLOOKUP(A701,[13]Sheet1!$A:$M,7,0)</f>
        <v>50</v>
      </c>
      <c r="U701" s="4">
        <f>VLOOKUP(A701,[13]Sheet1!$A:$M,8,0)</f>
        <v>50</v>
      </c>
      <c r="V701" s="4">
        <f>VLOOKUP(A701,[13]Sheet1!$A:$M,9,0)</f>
        <v>50</v>
      </c>
      <c r="W701" s="4">
        <f>VLOOKUP(A701,[13]Sheet1!$A:$M,10,0)</f>
        <v>50</v>
      </c>
      <c r="X701" s="4">
        <f>VLOOKUP(A701,[13]Sheet1!$A:$M,11,0)</f>
        <v>50</v>
      </c>
      <c r="Y701" s="4">
        <f>VLOOKUP(A701,[13]Sheet1!$A:$M,12,0)</f>
        <v>0</v>
      </c>
      <c r="Z701" s="4">
        <f>VLOOKUP(A701,[13]Sheet1!$A:$M,13,0)</f>
        <v>0</v>
      </c>
      <c r="AA701" s="4">
        <f t="shared" si="208"/>
        <v>450</v>
      </c>
      <c r="AB701" s="7">
        <f t="shared" si="209"/>
        <v>38</v>
      </c>
      <c r="AC701" s="15">
        <f t="shared" si="210"/>
        <v>37.5</v>
      </c>
      <c r="AD701" s="16">
        <f t="shared" si="211"/>
        <v>8982</v>
      </c>
      <c r="AE701" s="16">
        <f t="shared" si="212"/>
        <v>748.5</v>
      </c>
      <c r="AF701" s="21">
        <v>7.38</v>
      </c>
      <c r="AG701" s="21">
        <v>19.96</v>
      </c>
      <c r="AH701" s="15">
        <f t="shared" si="205"/>
        <v>-2.6399999999999965E-2</v>
      </c>
      <c r="AI701" s="15">
        <f t="shared" si="206"/>
        <v>-9.2399999999999857E-2</v>
      </c>
      <c r="AJ701" s="10">
        <v>0.5</v>
      </c>
      <c r="AK701" s="10">
        <v>0.5</v>
      </c>
      <c r="AL701" s="21">
        <v>7.38</v>
      </c>
      <c r="AM701" s="9">
        <f t="shared" si="197"/>
        <v>2.9940000000000002</v>
      </c>
      <c r="AN701" s="9">
        <f t="shared" si="198"/>
        <v>0.5988</v>
      </c>
      <c r="AO701" s="9">
        <f t="shared" si="199"/>
        <v>3.9920000000000004</v>
      </c>
      <c r="AP701" s="9">
        <f t="shared" si="200"/>
        <v>0.3992</v>
      </c>
      <c r="AQ701" s="9">
        <f t="shared" si="201"/>
        <v>3.9920000000000004</v>
      </c>
      <c r="AR701" s="9">
        <f t="shared" si="202"/>
        <v>4.99</v>
      </c>
      <c r="AS701" s="11">
        <f t="shared" si="203"/>
        <v>-0.26399999999999962</v>
      </c>
      <c r="AT701" s="12">
        <f t="shared" si="204"/>
        <v>-0.92933333333333279</v>
      </c>
    </row>
    <row r="702" spans="1:46" ht="16.5" x14ac:dyDescent="0.4">
      <c r="A702" s="4" t="s">
        <v>2692</v>
      </c>
      <c r="B702" s="4" t="s">
        <v>2710</v>
      </c>
      <c r="C702" s="4" t="s">
        <v>2714</v>
      </c>
      <c r="D702" s="4" t="s">
        <v>2871</v>
      </c>
      <c r="E702" s="4" t="s">
        <v>3030</v>
      </c>
      <c r="F702" s="4" t="s">
        <v>3189</v>
      </c>
      <c r="G702" s="7" t="str">
        <f>VLOOKUP(A702,[1]done!$A:$I,9,0)</f>
        <v>Insecticide/Fungicide</v>
      </c>
      <c r="H702" s="7" t="str" cm="1">
        <f t="array" ref="H702">_xlfn.IFS(
OR(ISNUMBER(SEARCH("mouse",E702)),ISNUMBER(SEARCH("rat",E702)),ISNUMBER(SEARCH("mice",E702)),ISNUMBER(SEARCH("rodent",E702))),"Rodent Control",
OR(ISNUMBER(SEARCH("fly",E702)),ISNUMBER(SEARCH("gnat",E702)),ISNUMBER(SEARCH("insect",E702)),ISNUMBER(SEARCH("mosquito",E702))),"Flying Insect Control",
OR(ISNUMBER(SEARCH("roach",E702)),ISNUMBER(SEARCH("ant",E702)),ISNUMBER(SEARCH("spider",E702)),ISNUMBER(SEARCH("cricket",E702)),ISNUMBER(SEARCH("scorpion",E702)),ISNUMBER(SEARCH("centipede",E702)),ISNUMBER(SEARCH("beetle",E702))),"Crawling Insect Control",
OR(ISNUMBER(SEARCH("tree",E702)),ISNUMBER(SEARCH("lantern",E702)),ISNUMBER(SEARCH("garden",E702)),ISNUMBER(SEARCH("plant",E702))),"Garden Pest Control",
OR(ISNUMBER(SEARCH("grass seed",E702)),ISNUMBER(SEARCH("seed mix",E702))),"Grass Seed",
OR(ISNUMBER(SEARCH("lawn food",E702)),ISNUMBER(SEARCH("fertilizer",E702))),"Lawn Fertilizer",
OR(ISNUMBER(SEARCH("patch",E702)),ISNUMBER(SEARCH("repair",E702)),ISNUMBER(SEARCH("thick'r",E702)),ISNUMBER(SEARCH("thick'r lawn",E702)),ISNUMBER(SEARCH("rapid grass",E702))),"Lawn Repair",
OR(ISNUMBER(SEARCH("weed",E702)),ISNUMBER(SEARCH("crabgrass",E702))),"Weed Control",
OR(ISNUMBER(SEARCH("fungicide",E702)),ISNUMBER(SEARCH("moss",E702))),"Disease &amp; Moss Control",
OR(ISNUMBER(SEARCH("plant food",E702)),ISNUMBER(SEARCH("miracid",E702))),"Plant Nutrition",
OR(ISNUMBER(SEARCH("perlite",E702))),"Soil Amendment",
OR(ISNUMBER(SEARCH("spreader",E702)),ISNUMBER(SEARCH("sprayer",E702)),ISNUMBER(SEARCH("mower",E702)),ISNUMBER(SEARCH("sweeper",E702)),ISNUMBER(SEARCH("pruner",E702)),ISNUMBER(SEARCH("trimmer",E702)),ISNUMBER(SEARCH("pole saw",E702))),"Garden Equipment",
TRUE,"Other"
)</f>
        <v>Other</v>
      </c>
      <c r="I702" s="7" t="str" cm="1">
        <f t="array" ref="I702">_xlfn.IFS(
OR(ISNUMBER(SEARCH("glue trap",E702)),ISNUMBER(SEARCH("glue board",E702))),"Glue Traps",
OR(ISNUMBER(SEARCH("snap trap",E702)),ISNUMBER(SEARCH("power-kill",E702)),ISNUMBER(SEARCH("wide pedal",E702)),ISNUMBER(SEARCH("metal pedal",E702))),"Snap Traps",
OR(ISNUMBER(SEARCH("electronic",E702)),ISNUMBER(SEARCH("zapper",E702))),"Electronic Traps",
OR(ISNUMBER(SEARCH("live catch",E702)),ISNUMBER(SEARCH("multi-catch",E702)),ISNUMBER(SEARCH("catch &amp; hold",E702)),ISNUMBER(SEARCH("tin cat",E702))),"Live Catch Traps",
OR(ISNUMBER(SEARCH("bait",E702)),ISNUMBER(SEARCH("poison",E702))),"Bait &amp; Poison",
ISNUMBER(SEARCH("repellent",E702)),"Repellents",
OR(ISNUMBER(SEARCH("fly trap",E702)),ISNUMBER(SEARCH("fly ribbon",E702)),ISNUMBER(SEARCH("fly stick",E702)),ISNUMBER(SEARCH("window fly",E702)),ISNUMBER(SEARCH("fly magnet",E702))),"Fly Traps",
OR(ISNUMBER(SEARCH("uv",E702)),ISNUMBER(SEARCH("fly light",E702)),ISNUMBER(SEARCH("plug-in",E702))),"UV Fly Traps",
ISNUMBER(SEARCH("roach",E702)),"Roach Traps",
ISNUMBER(SEARCH("ant",E702)),"Ant Traps",
ISNUMBER(SEARCH("spider",E702)),"Spider Traps",
ISNUMBER(SEARCH("mosquito",E702)),"Mosquito Traps",
ISNUMBER(SEARCH("beetle",E702)),"Beetle Traps",
ISNUMBER(SEARCH("lantern",E702)),"Lanternfly Control",
OR(ISNUMBER(SEARCH("tree shield",E702)),ISNUMBER(SEARCH("tree banding",E702)),ISNUMBER(SEARCH("insect barrier",E702))),"Tree Barriers",
OR(ISNUMBER(SEARCH("sun &amp; shade",E702)),ISNUMBER(SEARCH("sun and shade",E702))),"Sun &amp; Shade Mix",
ISNUMBER(SEARCH("tall fescue",E702)),"Tall Fescue",
ISNUMBER(SEARCH("bermudagrass",E702)),"Bermudagrass",
ISNUMBER(SEARCH("kentucky",E702)),"Kentucky Bluegrass",
ISNUMBER(SEARCH("zoysia",E702)),"Zoysia",
ISNUMBER(SEARCH("ryegrass",E702)),"Perennial Ryegrass",
ISNUMBER(SEARCH("centipede",E702)),"Centipede Grass",
ISNUMBER(SEARCH("dense shade",E702)),"Dense Shade Mix",
ISNUMBER(SEARCH("southern gold",E702)),"Southern Gold Mix",
ISNUMBER(SEARCH("heat-tolerant blue",E702)),"Heat-Tolerant Blue Mix",
ISNUMBER(SEARCH("high traffic",E702)),"High Traffic Mix",
ISNUMBER(SEARCH("quick fix",E702)),"Quick Fix Mix",
ISNUMBER(SEARCH("starter",E702)),"Starter Fertilizer",
ISNUMBER(SEARCH("weed &amp; feed",E702)),"Weed &amp; Feed",
ISNUMBER(SEARCH("lawn food",E702)),"Lawn Food",
ISNUMBER(SEARCH("triple action",E702)),"Triple Action Fertilizer",
ISNUMBER(SEARCH("green max",E702)),"Green Max Lawn Food",
ISNUMBER(SEARCH("patchmaster",E702)),"PatchMaster Repair",
ISNUMBER(SEARCH("ez seed",E702)),"EZ Seed Repair",
ISNUMBER(SEARCH("rapid grass",E702)),"Rapid Grass",
ISNUMBER(SEARCH("thick'r lawn",E702)),"Thick'R Lawn",
ISNUMBER(SEARCH("fungicide",E702)),"Fungicide",
ISNUMBER(SEARCH("moss",E702)),"Moss Control",
ISNUMBER(SEARCH("perlite",E702)),"Perlite",
ISNUMBER(SEARCH("plant food",E702)),"Plant Food",
ISNUMBER(SEARCH("spreader",E702)),"Spreader",
ISNUMBER(SEARCH("sprayer",E702)),"Sprayer",
ISNUMBER(SEARCH("mower",E702)),"Lawn Mower",
ISNUMBER(SEARCH("sweeper",E702)),"Lawn Sweeper",
OR(ISNUMBER(SEARCH("pruner",E702)),ISNUMBER(SEARCH("trimmer",E702)),ISNUMBER(SEARCH("pole saw",E702))),"Pruning Tools",
TRUE,"Other"
)</f>
        <v>Other</v>
      </c>
      <c r="J702" s="7" t="str">
        <f t="shared" si="207"/>
        <v>Other - Other</v>
      </c>
      <c r="K702" s="4">
        <v>50</v>
      </c>
      <c r="L702" s="4">
        <v>4.5</v>
      </c>
      <c r="M702" s="4">
        <v>681</v>
      </c>
      <c r="N702" s="4" t="s">
        <v>3209</v>
      </c>
      <c r="O702" s="4">
        <f>VLOOKUP(A702,[13]Sheet1!$A:$M,2,0)</f>
        <v>0</v>
      </c>
      <c r="P702" s="4">
        <f>VLOOKUP(A702,[13]Sheet1!$A:$M,3,0)</f>
        <v>50</v>
      </c>
      <c r="Q702" s="4">
        <f>VLOOKUP(A702,[13]Sheet1!$A:$M,4,0)</f>
        <v>100</v>
      </c>
      <c r="R702" s="4">
        <f>VLOOKUP(A702,[13]Sheet1!$A:$M,5,0)</f>
        <v>300</v>
      </c>
      <c r="S702" s="4">
        <f>VLOOKUP(A702,[13]Sheet1!$A:$M,6,0)</f>
        <v>300</v>
      </c>
      <c r="T702" s="4">
        <f>VLOOKUP(A702,[13]Sheet1!$A:$M,7,0)</f>
        <v>500</v>
      </c>
      <c r="U702" s="4">
        <f>VLOOKUP(A702,[13]Sheet1!$A:$M,8,0)</f>
        <v>200</v>
      </c>
      <c r="V702" s="4">
        <f>VLOOKUP(A702,[13]Sheet1!$A:$M,9,0)</f>
        <v>200</v>
      </c>
      <c r="W702" s="4">
        <f>VLOOKUP(A702,[13]Sheet1!$A:$M,10,0)</f>
        <v>50</v>
      </c>
      <c r="X702" s="4">
        <f>VLOOKUP(A702,[13]Sheet1!$A:$M,11,0)</f>
        <v>100</v>
      </c>
      <c r="Y702" s="4">
        <f>VLOOKUP(A702,[13]Sheet1!$A:$M,12,0)</f>
        <v>50</v>
      </c>
      <c r="Z702" s="4">
        <f>VLOOKUP(A702,[13]Sheet1!$A:$M,13,0)</f>
        <v>50</v>
      </c>
      <c r="AA702" s="4">
        <f t="shared" si="208"/>
        <v>1900</v>
      </c>
      <c r="AB702" s="7">
        <f t="shared" si="209"/>
        <v>158</v>
      </c>
      <c r="AC702" s="15">
        <f t="shared" si="210"/>
        <v>158.33333333333334</v>
      </c>
      <c r="AD702" s="16">
        <f t="shared" si="211"/>
        <v>47557</v>
      </c>
      <c r="AE702" s="16">
        <f t="shared" si="212"/>
        <v>3963.0833333333339</v>
      </c>
      <c r="AF702" s="21">
        <v>6.31</v>
      </c>
      <c r="AG702" s="21">
        <v>25.03</v>
      </c>
      <c r="AH702" s="15">
        <f t="shared" si="205"/>
        <v>0.1801333333333334</v>
      </c>
      <c r="AI702" s="15">
        <f t="shared" si="206"/>
        <v>0.63046666666666684</v>
      </c>
      <c r="AJ702" s="10">
        <v>0.5</v>
      </c>
      <c r="AK702" s="10">
        <v>0.5</v>
      </c>
      <c r="AL702" s="21">
        <v>6.31</v>
      </c>
      <c r="AM702" s="9">
        <f t="shared" si="197"/>
        <v>3.7545000000000002</v>
      </c>
      <c r="AN702" s="9">
        <f t="shared" si="198"/>
        <v>0.75090000000000001</v>
      </c>
      <c r="AO702" s="9">
        <f t="shared" si="199"/>
        <v>5.0060000000000002</v>
      </c>
      <c r="AP702" s="9">
        <f t="shared" si="200"/>
        <v>0.50060000000000004</v>
      </c>
      <c r="AQ702" s="9">
        <f t="shared" si="201"/>
        <v>5.0060000000000002</v>
      </c>
      <c r="AR702" s="9">
        <f t="shared" si="202"/>
        <v>6.2575000000000003</v>
      </c>
      <c r="AS702" s="11">
        <f t="shared" si="203"/>
        <v>1.8013333333333339</v>
      </c>
      <c r="AT702" s="12">
        <f t="shared" si="204"/>
        <v>0.96700000000000053</v>
      </c>
    </row>
    <row r="703" spans="1:46" ht="16.5" x14ac:dyDescent="0.4">
      <c r="A703" s="4" t="s">
        <v>2693</v>
      </c>
      <c r="B703" s="4" t="s">
        <v>2710</v>
      </c>
      <c r="C703" s="4" t="s">
        <v>2726</v>
      </c>
      <c r="D703" s="4" t="s">
        <v>2872</v>
      </c>
      <c r="E703" s="4" t="s">
        <v>3031</v>
      </c>
      <c r="F703" s="4" t="s">
        <v>3190</v>
      </c>
      <c r="G703" s="7" t="str">
        <f>VLOOKUP(A703,[1]done!$A:$I,9,0)</f>
        <v>Insecticide/Fungicide</v>
      </c>
      <c r="H703" s="7" t="str" cm="1">
        <f t="array" ref="H703">_xlfn.IFS(
OR(ISNUMBER(SEARCH("mouse",E703)),ISNUMBER(SEARCH("rat",E703)),ISNUMBER(SEARCH("mice",E703)),ISNUMBER(SEARCH("rodent",E703))),"Rodent Control",
OR(ISNUMBER(SEARCH("fly",E703)),ISNUMBER(SEARCH("gnat",E703)),ISNUMBER(SEARCH("insect",E703)),ISNUMBER(SEARCH("mosquito",E703))),"Flying Insect Control",
OR(ISNUMBER(SEARCH("roach",E703)),ISNUMBER(SEARCH("ant",E703)),ISNUMBER(SEARCH("spider",E703)),ISNUMBER(SEARCH("cricket",E703)),ISNUMBER(SEARCH("scorpion",E703)),ISNUMBER(SEARCH("centipede",E703)),ISNUMBER(SEARCH("beetle",E703))),"Crawling Insect Control",
OR(ISNUMBER(SEARCH("tree",E703)),ISNUMBER(SEARCH("lantern",E703)),ISNUMBER(SEARCH("garden",E703)),ISNUMBER(SEARCH("plant",E703))),"Garden Pest Control",
OR(ISNUMBER(SEARCH("grass seed",E703)),ISNUMBER(SEARCH("seed mix",E703))),"Grass Seed",
OR(ISNUMBER(SEARCH("lawn food",E703)),ISNUMBER(SEARCH("fertilizer",E703))),"Lawn Fertilizer",
OR(ISNUMBER(SEARCH("patch",E703)),ISNUMBER(SEARCH("repair",E703)),ISNUMBER(SEARCH("thick'r",E703)),ISNUMBER(SEARCH("thick'r lawn",E703)),ISNUMBER(SEARCH("rapid grass",E703))),"Lawn Repair",
OR(ISNUMBER(SEARCH("weed",E703)),ISNUMBER(SEARCH("crabgrass",E703))),"Weed Control",
OR(ISNUMBER(SEARCH("fungicide",E703)),ISNUMBER(SEARCH("moss",E703))),"Disease &amp; Moss Control",
OR(ISNUMBER(SEARCH("plant food",E703)),ISNUMBER(SEARCH("miracid",E703))),"Plant Nutrition",
OR(ISNUMBER(SEARCH("perlite",E703))),"Soil Amendment",
OR(ISNUMBER(SEARCH("spreader",E703)),ISNUMBER(SEARCH("sprayer",E703)),ISNUMBER(SEARCH("mower",E703)),ISNUMBER(SEARCH("sweeper",E703)),ISNUMBER(SEARCH("pruner",E703)),ISNUMBER(SEARCH("trimmer",E703)),ISNUMBER(SEARCH("pole saw",E703))),"Garden Equipment",
TRUE,"Other"
)</f>
        <v>Other</v>
      </c>
      <c r="I703" s="7" t="str" cm="1">
        <f t="array" ref="I703">_xlfn.IFS(
OR(ISNUMBER(SEARCH("glue trap",E703)),ISNUMBER(SEARCH("glue board",E703))),"Glue Traps",
OR(ISNUMBER(SEARCH("snap trap",E703)),ISNUMBER(SEARCH("power-kill",E703)),ISNUMBER(SEARCH("wide pedal",E703)),ISNUMBER(SEARCH("metal pedal",E703))),"Snap Traps",
OR(ISNUMBER(SEARCH("electronic",E703)),ISNUMBER(SEARCH("zapper",E703))),"Electronic Traps",
OR(ISNUMBER(SEARCH("live catch",E703)),ISNUMBER(SEARCH("multi-catch",E703)),ISNUMBER(SEARCH("catch &amp; hold",E703)),ISNUMBER(SEARCH("tin cat",E703))),"Live Catch Traps",
OR(ISNUMBER(SEARCH("bait",E703)),ISNUMBER(SEARCH("poison",E703))),"Bait &amp; Poison",
ISNUMBER(SEARCH("repellent",E703)),"Repellents",
OR(ISNUMBER(SEARCH("fly trap",E703)),ISNUMBER(SEARCH("fly ribbon",E703)),ISNUMBER(SEARCH("fly stick",E703)),ISNUMBER(SEARCH("window fly",E703)),ISNUMBER(SEARCH("fly magnet",E703))),"Fly Traps",
OR(ISNUMBER(SEARCH("uv",E703)),ISNUMBER(SEARCH("fly light",E703)),ISNUMBER(SEARCH("plug-in",E703))),"UV Fly Traps",
ISNUMBER(SEARCH("roach",E703)),"Roach Traps",
ISNUMBER(SEARCH("ant",E703)),"Ant Traps",
ISNUMBER(SEARCH("spider",E703)),"Spider Traps",
ISNUMBER(SEARCH("mosquito",E703)),"Mosquito Traps",
ISNUMBER(SEARCH("beetle",E703)),"Beetle Traps",
ISNUMBER(SEARCH("lantern",E703)),"Lanternfly Control",
OR(ISNUMBER(SEARCH("tree shield",E703)),ISNUMBER(SEARCH("tree banding",E703)),ISNUMBER(SEARCH("insect barrier",E703))),"Tree Barriers",
OR(ISNUMBER(SEARCH("sun &amp; shade",E703)),ISNUMBER(SEARCH("sun and shade",E703))),"Sun &amp; Shade Mix",
ISNUMBER(SEARCH("tall fescue",E703)),"Tall Fescue",
ISNUMBER(SEARCH("bermudagrass",E703)),"Bermudagrass",
ISNUMBER(SEARCH("kentucky",E703)),"Kentucky Bluegrass",
ISNUMBER(SEARCH("zoysia",E703)),"Zoysia",
ISNUMBER(SEARCH("ryegrass",E703)),"Perennial Ryegrass",
ISNUMBER(SEARCH("centipede",E703)),"Centipede Grass",
ISNUMBER(SEARCH("dense shade",E703)),"Dense Shade Mix",
ISNUMBER(SEARCH("southern gold",E703)),"Southern Gold Mix",
ISNUMBER(SEARCH("heat-tolerant blue",E703)),"Heat-Tolerant Blue Mix",
ISNUMBER(SEARCH("high traffic",E703)),"High Traffic Mix",
ISNUMBER(SEARCH("quick fix",E703)),"Quick Fix Mix",
ISNUMBER(SEARCH("starter",E703)),"Starter Fertilizer",
ISNUMBER(SEARCH("weed &amp; feed",E703)),"Weed &amp; Feed",
ISNUMBER(SEARCH("lawn food",E703)),"Lawn Food",
ISNUMBER(SEARCH("triple action",E703)),"Triple Action Fertilizer",
ISNUMBER(SEARCH("green max",E703)),"Green Max Lawn Food",
ISNUMBER(SEARCH("patchmaster",E703)),"PatchMaster Repair",
ISNUMBER(SEARCH("ez seed",E703)),"EZ Seed Repair",
ISNUMBER(SEARCH("rapid grass",E703)),"Rapid Grass",
ISNUMBER(SEARCH("thick'r lawn",E703)),"Thick'R Lawn",
ISNUMBER(SEARCH("fungicide",E703)),"Fungicide",
ISNUMBER(SEARCH("moss",E703)),"Moss Control",
ISNUMBER(SEARCH("perlite",E703)),"Perlite",
ISNUMBER(SEARCH("plant food",E703)),"Plant Food",
ISNUMBER(SEARCH("spreader",E703)),"Spreader",
ISNUMBER(SEARCH("sprayer",E703)),"Sprayer",
ISNUMBER(SEARCH("mower",E703)),"Lawn Mower",
ISNUMBER(SEARCH("sweeper",E703)),"Lawn Sweeper",
OR(ISNUMBER(SEARCH("pruner",E703)),ISNUMBER(SEARCH("trimmer",E703)),ISNUMBER(SEARCH("pole saw",E703))),"Pruning Tools",
TRUE,"Other"
)</f>
        <v>Other</v>
      </c>
      <c r="J703" s="7" t="str">
        <f t="shared" si="207"/>
        <v>Other - Other</v>
      </c>
      <c r="K703" s="4">
        <v>50</v>
      </c>
      <c r="L703" s="4">
        <v>4.3</v>
      </c>
      <c r="M703" s="4">
        <v>418</v>
      </c>
      <c r="N703" s="4" t="s">
        <v>1400</v>
      </c>
      <c r="O703" s="4">
        <f>VLOOKUP(A703,[13]Sheet1!$A:$M,2,0)</f>
        <v>0</v>
      </c>
      <c r="P703" s="4">
        <f>VLOOKUP(A703,[13]Sheet1!$A:$M,3,0)</f>
        <v>0</v>
      </c>
      <c r="Q703" s="4">
        <f>VLOOKUP(A703,[13]Sheet1!$A:$M,4,0)</f>
        <v>0</v>
      </c>
      <c r="R703" s="4">
        <f>VLOOKUP(A703,[13]Sheet1!$A:$M,5,0)</f>
        <v>50</v>
      </c>
      <c r="S703" s="4">
        <f>VLOOKUP(A703,[13]Sheet1!$A:$M,6,0)</f>
        <v>50</v>
      </c>
      <c r="T703" s="4">
        <f>VLOOKUP(A703,[13]Sheet1!$A:$M,7,0)</f>
        <v>200</v>
      </c>
      <c r="U703" s="4">
        <f>VLOOKUP(A703,[13]Sheet1!$A:$M,8,0)</f>
        <v>300</v>
      </c>
      <c r="V703" s="4">
        <f>VLOOKUP(A703,[13]Sheet1!$A:$M,9,0)</f>
        <v>300</v>
      </c>
      <c r="W703" s="4">
        <f>VLOOKUP(A703,[13]Sheet1!$A:$M,10,0)</f>
        <v>50</v>
      </c>
      <c r="X703" s="4">
        <f>VLOOKUP(A703,[13]Sheet1!$A:$M,11,0)</f>
        <v>0</v>
      </c>
      <c r="Y703" s="4">
        <f>VLOOKUP(A703,[13]Sheet1!$A:$M,12,0)</f>
        <v>0</v>
      </c>
      <c r="Z703" s="4">
        <f>VLOOKUP(A703,[13]Sheet1!$A:$M,13,0)</f>
        <v>0</v>
      </c>
      <c r="AA703" s="4">
        <f t="shared" si="208"/>
        <v>950</v>
      </c>
      <c r="AB703" s="7">
        <f t="shared" si="209"/>
        <v>79</v>
      </c>
      <c r="AC703" s="15">
        <f t="shared" si="210"/>
        <v>79.166666666666671</v>
      </c>
      <c r="AD703" s="16">
        <f t="shared" si="211"/>
        <v>8284</v>
      </c>
      <c r="AE703" s="16">
        <f t="shared" si="212"/>
        <v>690.33333333333337</v>
      </c>
      <c r="AF703" s="21">
        <v>3.5</v>
      </c>
      <c r="AG703" s="21">
        <v>8.7200000000000006</v>
      </c>
      <c r="AH703" s="15">
        <f t="shared" si="205"/>
        <v>-6.7466666666666661E-2</v>
      </c>
      <c r="AI703" s="15">
        <f t="shared" si="206"/>
        <v>-0.23613333333333331</v>
      </c>
      <c r="AJ703" s="10">
        <v>0.5</v>
      </c>
      <c r="AK703" s="10">
        <v>0.5</v>
      </c>
      <c r="AL703" s="21">
        <v>3.5</v>
      </c>
      <c r="AM703" s="9">
        <f t="shared" si="197"/>
        <v>1.3080000000000001</v>
      </c>
      <c r="AN703" s="9">
        <f t="shared" si="198"/>
        <v>0.2616</v>
      </c>
      <c r="AO703" s="9">
        <f t="shared" si="199"/>
        <v>1.7440000000000002</v>
      </c>
      <c r="AP703" s="9">
        <f t="shared" si="200"/>
        <v>0.17440000000000003</v>
      </c>
      <c r="AQ703" s="9">
        <f t="shared" si="201"/>
        <v>1.7440000000000002</v>
      </c>
      <c r="AR703" s="9">
        <f t="shared" si="202"/>
        <v>2.1800000000000002</v>
      </c>
      <c r="AS703" s="11">
        <f t="shared" si="203"/>
        <v>-0.67466666666666664</v>
      </c>
      <c r="AT703" s="12">
        <f t="shared" si="204"/>
        <v>-0.96533333333333327</v>
      </c>
    </row>
    <row r="704" spans="1:46" ht="16.5" x14ac:dyDescent="0.4">
      <c r="A704" s="4" t="s">
        <v>2694</v>
      </c>
      <c r="B704" s="4" t="s">
        <v>2710</v>
      </c>
      <c r="C704" s="4" t="s">
        <v>2712</v>
      </c>
      <c r="D704" s="4" t="s">
        <v>2873</v>
      </c>
      <c r="E704" s="4" t="s">
        <v>3032</v>
      </c>
      <c r="F704" s="4" t="s">
        <v>3191</v>
      </c>
      <c r="G704" s="7" t="str">
        <f>VLOOKUP(A704,[1]done!$A:$I,9,0)</f>
        <v>Weed Control</v>
      </c>
      <c r="H704" s="7" t="str" cm="1">
        <f t="array" ref="H704">_xlfn.IFS(
OR(ISNUMBER(SEARCH("mouse",E704)),ISNUMBER(SEARCH("rat",E704)),ISNUMBER(SEARCH("mice",E704)),ISNUMBER(SEARCH("rodent",E704))),"Rodent Control",
OR(ISNUMBER(SEARCH("fly",E704)),ISNUMBER(SEARCH("gnat",E704)),ISNUMBER(SEARCH("insect",E704)),ISNUMBER(SEARCH("mosquito",E704))),"Flying Insect Control",
OR(ISNUMBER(SEARCH("roach",E704)),ISNUMBER(SEARCH("ant",E704)),ISNUMBER(SEARCH("spider",E704)),ISNUMBER(SEARCH("cricket",E704)),ISNUMBER(SEARCH("scorpion",E704)),ISNUMBER(SEARCH("centipede",E704)),ISNUMBER(SEARCH("beetle",E704))),"Crawling Insect Control",
OR(ISNUMBER(SEARCH("tree",E704)),ISNUMBER(SEARCH("lantern",E704)),ISNUMBER(SEARCH("garden",E704)),ISNUMBER(SEARCH("plant",E704))),"Garden Pest Control",
OR(ISNUMBER(SEARCH("grass seed",E704)),ISNUMBER(SEARCH("seed mix",E704))),"Grass Seed",
OR(ISNUMBER(SEARCH("lawn food",E704)),ISNUMBER(SEARCH("fertilizer",E704))),"Lawn Fertilizer",
OR(ISNUMBER(SEARCH("patch",E704)),ISNUMBER(SEARCH("repair",E704)),ISNUMBER(SEARCH("thick'r",E704)),ISNUMBER(SEARCH("thick'r lawn",E704)),ISNUMBER(SEARCH("rapid grass",E704))),"Lawn Repair",
OR(ISNUMBER(SEARCH("weed",E704)),ISNUMBER(SEARCH("crabgrass",E704))),"Weed Control",
OR(ISNUMBER(SEARCH("fungicide",E704)),ISNUMBER(SEARCH("moss",E704))),"Disease &amp; Moss Control",
OR(ISNUMBER(SEARCH("plant food",E704)),ISNUMBER(SEARCH("miracid",E704))),"Plant Nutrition",
OR(ISNUMBER(SEARCH("perlite",E704))),"Soil Amendment",
OR(ISNUMBER(SEARCH("spreader",E704)),ISNUMBER(SEARCH("sprayer",E704)),ISNUMBER(SEARCH("mower",E704)),ISNUMBER(SEARCH("sweeper",E704)),ISNUMBER(SEARCH("pruner",E704)),ISNUMBER(SEARCH("trimmer",E704)),ISNUMBER(SEARCH("pole saw",E704))),"Garden Equipment",
TRUE,"Other"
)</f>
        <v>Rodent Control</v>
      </c>
      <c r="I704" s="7" t="str" cm="1">
        <f t="array" ref="I704">_xlfn.IFS(
OR(ISNUMBER(SEARCH("glue trap",E704)),ISNUMBER(SEARCH("glue board",E704))),"Glue Traps",
OR(ISNUMBER(SEARCH("snap trap",E704)),ISNUMBER(SEARCH("power-kill",E704)),ISNUMBER(SEARCH("wide pedal",E704)),ISNUMBER(SEARCH("metal pedal",E704))),"Snap Traps",
OR(ISNUMBER(SEARCH("electronic",E704)),ISNUMBER(SEARCH("zapper",E704))),"Electronic Traps",
OR(ISNUMBER(SEARCH("live catch",E704)),ISNUMBER(SEARCH("multi-catch",E704)),ISNUMBER(SEARCH("catch &amp; hold",E704)),ISNUMBER(SEARCH("tin cat",E704))),"Live Catch Traps",
OR(ISNUMBER(SEARCH("bait",E704)),ISNUMBER(SEARCH("poison",E704))),"Bait &amp; Poison",
ISNUMBER(SEARCH("repellent",E704)),"Repellents",
OR(ISNUMBER(SEARCH("fly trap",E704)),ISNUMBER(SEARCH("fly ribbon",E704)),ISNUMBER(SEARCH("fly stick",E704)),ISNUMBER(SEARCH("window fly",E704)),ISNUMBER(SEARCH("fly magnet",E704))),"Fly Traps",
OR(ISNUMBER(SEARCH("uv",E704)),ISNUMBER(SEARCH("fly light",E704)),ISNUMBER(SEARCH("plug-in",E704))),"UV Fly Traps",
ISNUMBER(SEARCH("roach",E704)),"Roach Traps",
ISNUMBER(SEARCH("ant",E704)),"Ant Traps",
ISNUMBER(SEARCH("spider",E704)),"Spider Traps",
ISNUMBER(SEARCH("mosquito",E704)),"Mosquito Traps",
ISNUMBER(SEARCH("beetle",E704)),"Beetle Traps",
ISNUMBER(SEARCH("lantern",E704)),"Lanternfly Control",
OR(ISNUMBER(SEARCH("tree shield",E704)),ISNUMBER(SEARCH("tree banding",E704)),ISNUMBER(SEARCH("insect barrier",E704))),"Tree Barriers",
OR(ISNUMBER(SEARCH("sun &amp; shade",E704)),ISNUMBER(SEARCH("sun and shade",E704))),"Sun &amp; Shade Mix",
ISNUMBER(SEARCH("tall fescue",E704)),"Tall Fescue",
ISNUMBER(SEARCH("bermudagrass",E704)),"Bermudagrass",
ISNUMBER(SEARCH("kentucky",E704)),"Kentucky Bluegrass",
ISNUMBER(SEARCH("zoysia",E704)),"Zoysia",
ISNUMBER(SEARCH("ryegrass",E704)),"Perennial Ryegrass",
ISNUMBER(SEARCH("centipede",E704)),"Centipede Grass",
ISNUMBER(SEARCH("dense shade",E704)),"Dense Shade Mix",
ISNUMBER(SEARCH("southern gold",E704)),"Southern Gold Mix",
ISNUMBER(SEARCH("heat-tolerant blue",E704)),"Heat-Tolerant Blue Mix",
ISNUMBER(SEARCH("high traffic",E704)),"High Traffic Mix",
ISNUMBER(SEARCH("quick fix",E704)),"Quick Fix Mix",
ISNUMBER(SEARCH("starter",E704)),"Starter Fertilizer",
ISNUMBER(SEARCH("weed &amp; feed",E704)),"Weed &amp; Feed",
ISNUMBER(SEARCH("lawn food",E704)),"Lawn Food",
ISNUMBER(SEARCH("triple action",E704)),"Triple Action Fertilizer",
ISNUMBER(SEARCH("green max",E704)),"Green Max Lawn Food",
ISNUMBER(SEARCH("patchmaster",E704)),"PatchMaster Repair",
ISNUMBER(SEARCH("ez seed",E704)),"EZ Seed Repair",
ISNUMBER(SEARCH("rapid grass",E704)),"Rapid Grass",
ISNUMBER(SEARCH("thick'r lawn",E704)),"Thick'R Lawn",
ISNUMBER(SEARCH("fungicide",E704)),"Fungicide",
ISNUMBER(SEARCH("moss",E704)),"Moss Control",
ISNUMBER(SEARCH("perlite",E704)),"Perlite",
ISNUMBER(SEARCH("plant food",E704)),"Plant Food",
ISNUMBER(SEARCH("spreader",E704)),"Spreader",
ISNUMBER(SEARCH("sprayer",E704)),"Sprayer",
ISNUMBER(SEARCH("mower",E704)),"Lawn Mower",
ISNUMBER(SEARCH("sweeper",E704)),"Lawn Sweeper",
OR(ISNUMBER(SEARCH("pruner",E704)),ISNUMBER(SEARCH("trimmer",E704)),ISNUMBER(SEARCH("pole saw",E704))),"Pruning Tools",
TRUE,"Other"
)</f>
        <v>Other</v>
      </c>
      <c r="J704" s="7" t="str">
        <f t="shared" si="207"/>
        <v>Rodent Control - Other</v>
      </c>
      <c r="K704" s="4">
        <v>50</v>
      </c>
      <c r="L704" s="4">
        <v>4.5</v>
      </c>
      <c r="M704" s="4">
        <v>244</v>
      </c>
      <c r="N704" s="4" t="s">
        <v>3223</v>
      </c>
      <c r="O704" s="4">
        <f>VLOOKUP(A704,[13]Sheet1!$A:$M,2,0)</f>
        <v>0</v>
      </c>
      <c r="P704" s="4">
        <f>VLOOKUP(A704,[13]Sheet1!$A:$M,3,0)</f>
        <v>0</v>
      </c>
      <c r="Q704" s="4">
        <f>VLOOKUP(A704,[13]Sheet1!$A:$M,4,0)</f>
        <v>0</v>
      </c>
      <c r="R704" s="4">
        <f>VLOOKUP(A704,[13]Sheet1!$A:$M,5,0)</f>
        <v>0</v>
      </c>
      <c r="S704" s="4">
        <f>VLOOKUP(A704,[13]Sheet1!$A:$M,6,0)</f>
        <v>50</v>
      </c>
      <c r="T704" s="4">
        <f>VLOOKUP(A704,[13]Sheet1!$A:$M,7,0)</f>
        <v>50</v>
      </c>
      <c r="U704" s="4">
        <f>VLOOKUP(A704,[13]Sheet1!$A:$M,8,0)</f>
        <v>50</v>
      </c>
      <c r="V704" s="4">
        <f>VLOOKUP(A704,[13]Sheet1!$A:$M,9,0)</f>
        <v>50</v>
      </c>
      <c r="W704" s="4">
        <f>VLOOKUP(A704,[13]Sheet1!$A:$M,10,0)</f>
        <v>50</v>
      </c>
      <c r="X704" s="4">
        <f>VLOOKUP(A704,[13]Sheet1!$A:$M,11,0)</f>
        <v>0</v>
      </c>
      <c r="Y704" s="4">
        <f>VLOOKUP(A704,[13]Sheet1!$A:$M,12,0)</f>
        <v>0</v>
      </c>
      <c r="Z704" s="4">
        <f>VLOOKUP(A704,[13]Sheet1!$A:$M,13,0)</f>
        <v>0</v>
      </c>
      <c r="AA704" s="4">
        <f t="shared" si="208"/>
        <v>250</v>
      </c>
      <c r="AB704" s="7">
        <f t="shared" si="209"/>
        <v>21</v>
      </c>
      <c r="AC704" s="15">
        <f t="shared" si="210"/>
        <v>20.833333333333332</v>
      </c>
      <c r="AD704" s="16">
        <f t="shared" si="211"/>
        <v>15215</v>
      </c>
      <c r="AE704" s="16">
        <f t="shared" si="212"/>
        <v>1267.9166666666665</v>
      </c>
      <c r="AF704" s="21">
        <v>9.5500000000000007</v>
      </c>
      <c r="AG704" s="21">
        <v>60.86</v>
      </c>
      <c r="AH704" s="15">
        <f t="shared" si="205"/>
        <v>0.91959999999999986</v>
      </c>
      <c r="AI704" s="15">
        <f t="shared" si="206"/>
        <v>3.218599999999999</v>
      </c>
      <c r="AJ704" s="10">
        <v>0.5</v>
      </c>
      <c r="AK704" s="10">
        <v>0.5</v>
      </c>
      <c r="AL704" s="21">
        <v>9.5500000000000007</v>
      </c>
      <c r="AM704" s="9">
        <f t="shared" si="197"/>
        <v>9.1289999999999996</v>
      </c>
      <c r="AN704" s="9">
        <f t="shared" si="198"/>
        <v>1.8257999999999999</v>
      </c>
      <c r="AO704" s="9">
        <f t="shared" si="199"/>
        <v>12.172000000000001</v>
      </c>
      <c r="AP704" s="9">
        <f t="shared" si="200"/>
        <v>1.2172000000000001</v>
      </c>
      <c r="AQ704" s="9">
        <f t="shared" si="201"/>
        <v>12.172000000000001</v>
      </c>
      <c r="AR704" s="9">
        <f t="shared" si="202"/>
        <v>15.215</v>
      </c>
      <c r="AS704" s="11">
        <f t="shared" si="203"/>
        <v>9.195999999999998</v>
      </c>
      <c r="AT704" s="12">
        <f t="shared" si="204"/>
        <v>7.1673333333333318</v>
      </c>
    </row>
    <row r="705" spans="1:46" ht="16.5" x14ac:dyDescent="0.4">
      <c r="A705" s="4" t="s">
        <v>2695</v>
      </c>
      <c r="B705" s="4" t="s">
        <v>2710</v>
      </c>
      <c r="C705" s="4" t="s">
        <v>2728</v>
      </c>
      <c r="D705" s="4" t="s">
        <v>2874</v>
      </c>
      <c r="E705" s="4" t="s">
        <v>3033</v>
      </c>
      <c r="F705" s="4" t="s">
        <v>3192</v>
      </c>
      <c r="G705" s="7" t="str">
        <f>VLOOKUP(A705,[1]done!$A:$I,9,0)</f>
        <v>Insecticide/Fungicide</v>
      </c>
      <c r="H705" s="7" t="str" cm="1">
        <f t="array" ref="H705">_xlfn.IFS(
OR(ISNUMBER(SEARCH("mouse",E705)),ISNUMBER(SEARCH("rat",E705)),ISNUMBER(SEARCH("mice",E705)),ISNUMBER(SEARCH("rodent",E705))),"Rodent Control",
OR(ISNUMBER(SEARCH("fly",E705)),ISNUMBER(SEARCH("gnat",E705)),ISNUMBER(SEARCH("insect",E705)),ISNUMBER(SEARCH("mosquito",E705))),"Flying Insect Control",
OR(ISNUMBER(SEARCH("roach",E705)),ISNUMBER(SEARCH("ant",E705)),ISNUMBER(SEARCH("spider",E705)),ISNUMBER(SEARCH("cricket",E705)),ISNUMBER(SEARCH("scorpion",E705)),ISNUMBER(SEARCH("centipede",E705)),ISNUMBER(SEARCH("beetle",E705))),"Crawling Insect Control",
OR(ISNUMBER(SEARCH("tree",E705)),ISNUMBER(SEARCH("lantern",E705)),ISNUMBER(SEARCH("garden",E705)),ISNUMBER(SEARCH("plant",E705))),"Garden Pest Control",
OR(ISNUMBER(SEARCH("grass seed",E705)),ISNUMBER(SEARCH("seed mix",E705))),"Grass Seed",
OR(ISNUMBER(SEARCH("lawn food",E705)),ISNUMBER(SEARCH("fertilizer",E705))),"Lawn Fertilizer",
OR(ISNUMBER(SEARCH("patch",E705)),ISNUMBER(SEARCH("repair",E705)),ISNUMBER(SEARCH("thick'r",E705)),ISNUMBER(SEARCH("thick'r lawn",E705)),ISNUMBER(SEARCH("rapid grass",E705))),"Lawn Repair",
OR(ISNUMBER(SEARCH("weed",E705)),ISNUMBER(SEARCH("crabgrass",E705))),"Weed Control",
OR(ISNUMBER(SEARCH("fungicide",E705)),ISNUMBER(SEARCH("moss",E705))),"Disease &amp; Moss Control",
OR(ISNUMBER(SEARCH("plant food",E705)),ISNUMBER(SEARCH("miracid",E705))),"Plant Nutrition",
OR(ISNUMBER(SEARCH("perlite",E705))),"Soil Amendment",
OR(ISNUMBER(SEARCH("spreader",E705)),ISNUMBER(SEARCH("sprayer",E705)),ISNUMBER(SEARCH("mower",E705)),ISNUMBER(SEARCH("sweeper",E705)),ISNUMBER(SEARCH("pruner",E705)),ISNUMBER(SEARCH("trimmer",E705)),ISNUMBER(SEARCH("pole saw",E705))),"Garden Equipment",
TRUE,"Other"
)</f>
        <v>Rodent Control</v>
      </c>
      <c r="I705" s="7" t="str" cm="1">
        <f t="array" ref="I705">_xlfn.IFS(
OR(ISNUMBER(SEARCH("glue trap",E705)),ISNUMBER(SEARCH("glue board",E705))),"Glue Traps",
OR(ISNUMBER(SEARCH("snap trap",E705)),ISNUMBER(SEARCH("power-kill",E705)),ISNUMBER(SEARCH("wide pedal",E705)),ISNUMBER(SEARCH("metal pedal",E705))),"Snap Traps",
OR(ISNUMBER(SEARCH("electronic",E705)),ISNUMBER(SEARCH("zapper",E705))),"Electronic Traps",
OR(ISNUMBER(SEARCH("live catch",E705)),ISNUMBER(SEARCH("multi-catch",E705)),ISNUMBER(SEARCH("catch &amp; hold",E705)),ISNUMBER(SEARCH("tin cat",E705))),"Live Catch Traps",
OR(ISNUMBER(SEARCH("bait",E705)),ISNUMBER(SEARCH("poison",E705))),"Bait &amp; Poison",
ISNUMBER(SEARCH("repellent",E705)),"Repellents",
OR(ISNUMBER(SEARCH("fly trap",E705)),ISNUMBER(SEARCH("fly ribbon",E705)),ISNUMBER(SEARCH("fly stick",E705)),ISNUMBER(SEARCH("window fly",E705)),ISNUMBER(SEARCH("fly magnet",E705))),"Fly Traps",
OR(ISNUMBER(SEARCH("uv",E705)),ISNUMBER(SEARCH("fly light",E705)),ISNUMBER(SEARCH("plug-in",E705))),"UV Fly Traps",
ISNUMBER(SEARCH("roach",E705)),"Roach Traps",
ISNUMBER(SEARCH("ant",E705)),"Ant Traps",
ISNUMBER(SEARCH("spider",E705)),"Spider Traps",
ISNUMBER(SEARCH("mosquito",E705)),"Mosquito Traps",
ISNUMBER(SEARCH("beetle",E705)),"Beetle Traps",
ISNUMBER(SEARCH("lantern",E705)),"Lanternfly Control",
OR(ISNUMBER(SEARCH("tree shield",E705)),ISNUMBER(SEARCH("tree banding",E705)),ISNUMBER(SEARCH("insect barrier",E705))),"Tree Barriers",
OR(ISNUMBER(SEARCH("sun &amp; shade",E705)),ISNUMBER(SEARCH("sun and shade",E705))),"Sun &amp; Shade Mix",
ISNUMBER(SEARCH("tall fescue",E705)),"Tall Fescue",
ISNUMBER(SEARCH("bermudagrass",E705)),"Bermudagrass",
ISNUMBER(SEARCH("kentucky",E705)),"Kentucky Bluegrass",
ISNUMBER(SEARCH("zoysia",E705)),"Zoysia",
ISNUMBER(SEARCH("ryegrass",E705)),"Perennial Ryegrass",
ISNUMBER(SEARCH("centipede",E705)),"Centipede Grass",
ISNUMBER(SEARCH("dense shade",E705)),"Dense Shade Mix",
ISNUMBER(SEARCH("southern gold",E705)),"Southern Gold Mix",
ISNUMBER(SEARCH("heat-tolerant blue",E705)),"Heat-Tolerant Blue Mix",
ISNUMBER(SEARCH("high traffic",E705)),"High Traffic Mix",
ISNUMBER(SEARCH("quick fix",E705)),"Quick Fix Mix",
ISNUMBER(SEARCH("starter",E705)),"Starter Fertilizer",
ISNUMBER(SEARCH("weed &amp; feed",E705)),"Weed &amp; Feed",
ISNUMBER(SEARCH("lawn food",E705)),"Lawn Food",
ISNUMBER(SEARCH("triple action",E705)),"Triple Action Fertilizer",
ISNUMBER(SEARCH("green max",E705)),"Green Max Lawn Food",
ISNUMBER(SEARCH("patchmaster",E705)),"PatchMaster Repair",
ISNUMBER(SEARCH("ez seed",E705)),"EZ Seed Repair",
ISNUMBER(SEARCH("rapid grass",E705)),"Rapid Grass",
ISNUMBER(SEARCH("thick'r lawn",E705)),"Thick'R Lawn",
ISNUMBER(SEARCH("fungicide",E705)),"Fungicide",
ISNUMBER(SEARCH("moss",E705)),"Moss Control",
ISNUMBER(SEARCH("perlite",E705)),"Perlite",
ISNUMBER(SEARCH("plant food",E705)),"Plant Food",
ISNUMBER(SEARCH("spreader",E705)),"Spreader",
ISNUMBER(SEARCH("sprayer",E705)),"Sprayer",
ISNUMBER(SEARCH("mower",E705)),"Lawn Mower",
ISNUMBER(SEARCH("sweeper",E705)),"Lawn Sweeper",
OR(ISNUMBER(SEARCH("pruner",E705)),ISNUMBER(SEARCH("trimmer",E705)),ISNUMBER(SEARCH("pole saw",E705))),"Pruning Tools",
TRUE,"Other"
)</f>
        <v>Other</v>
      </c>
      <c r="J705" s="7" t="str">
        <f t="shared" si="207"/>
        <v>Rodent Control - Other</v>
      </c>
      <c r="K705" s="4">
        <v>50</v>
      </c>
      <c r="L705" s="4">
        <v>4.5999999999999996</v>
      </c>
      <c r="M705" s="4">
        <v>508</v>
      </c>
      <c r="O705" s="4">
        <f>VLOOKUP(A705,[13]Sheet1!$A:$M,2,0)</f>
        <v>0</v>
      </c>
      <c r="P705" s="4">
        <f>VLOOKUP(A705,[13]Sheet1!$A:$M,3,0)</f>
        <v>0</v>
      </c>
      <c r="Q705" s="4">
        <f>VLOOKUP(A705,[13]Sheet1!$A:$M,4,0)</f>
        <v>0</v>
      </c>
      <c r="R705" s="4">
        <f>VLOOKUP(A705,[13]Sheet1!$A:$M,5,0)</f>
        <v>100</v>
      </c>
      <c r="S705" s="4">
        <f>VLOOKUP(A705,[13]Sheet1!$A:$M,6,0)</f>
        <v>100</v>
      </c>
      <c r="T705" s="4">
        <f>VLOOKUP(A705,[13]Sheet1!$A:$M,7,0)</f>
        <v>100</v>
      </c>
      <c r="U705" s="4">
        <f>VLOOKUP(A705,[13]Sheet1!$A:$M,8,0)</f>
        <v>100</v>
      </c>
      <c r="V705" s="4">
        <f>VLOOKUP(A705,[13]Sheet1!$A:$M,9,0)</f>
        <v>100</v>
      </c>
      <c r="W705" s="4">
        <f>VLOOKUP(A705,[13]Sheet1!$A:$M,10,0)</f>
        <v>50</v>
      </c>
      <c r="X705" s="4">
        <f>VLOOKUP(A705,[13]Sheet1!$A:$M,11,0)</f>
        <v>100</v>
      </c>
      <c r="Y705" s="4">
        <f>VLOOKUP(A705,[13]Sheet1!$A:$M,12,0)</f>
        <v>100</v>
      </c>
      <c r="Z705" s="4">
        <f>VLOOKUP(A705,[13]Sheet1!$A:$M,13,0)</f>
        <v>50</v>
      </c>
      <c r="AA705" s="4">
        <f t="shared" si="208"/>
        <v>800</v>
      </c>
      <c r="AB705" s="7">
        <f t="shared" si="209"/>
        <v>67</v>
      </c>
      <c r="AC705" s="15">
        <f t="shared" si="210"/>
        <v>66.666666666666671</v>
      </c>
      <c r="AD705" s="16">
        <f t="shared" si="211"/>
        <v>19400</v>
      </c>
      <c r="AE705" s="16">
        <f t="shared" si="212"/>
        <v>1616.6666666666667</v>
      </c>
      <c r="AF705" s="21">
        <v>5.22</v>
      </c>
      <c r="AG705" s="21">
        <v>24.25</v>
      </c>
      <c r="AH705" s="15">
        <f t="shared" si="205"/>
        <v>0.23199999999999987</v>
      </c>
      <c r="AI705" s="15">
        <f t="shared" si="206"/>
        <v>0.81199999999999939</v>
      </c>
      <c r="AJ705" s="10">
        <v>0.5</v>
      </c>
      <c r="AK705" s="10">
        <v>0.5</v>
      </c>
      <c r="AL705" s="21">
        <v>5.22</v>
      </c>
      <c r="AM705" s="9">
        <f t="shared" si="197"/>
        <v>3.6374999999999997</v>
      </c>
      <c r="AN705" s="9">
        <f t="shared" si="198"/>
        <v>0.72749999999999992</v>
      </c>
      <c r="AO705" s="9">
        <f t="shared" si="199"/>
        <v>4.8500000000000005</v>
      </c>
      <c r="AP705" s="9">
        <f t="shared" si="200"/>
        <v>0.48499999999999999</v>
      </c>
      <c r="AQ705" s="9">
        <f t="shared" si="201"/>
        <v>4.8500000000000005</v>
      </c>
      <c r="AR705" s="9">
        <f t="shared" si="202"/>
        <v>6.0625</v>
      </c>
      <c r="AS705" s="11">
        <f t="shared" si="203"/>
        <v>2.3199999999999985</v>
      </c>
      <c r="AT705" s="12">
        <f t="shared" si="204"/>
        <v>1.5116666666666656</v>
      </c>
    </row>
    <row r="706" spans="1:46" ht="16.5" x14ac:dyDescent="0.4">
      <c r="A706" s="4" t="s">
        <v>2696</v>
      </c>
      <c r="B706" s="4" t="s">
        <v>2710</v>
      </c>
      <c r="C706" s="4" t="s">
        <v>2710</v>
      </c>
      <c r="D706" s="4" t="s">
        <v>2875</v>
      </c>
      <c r="E706" s="4" t="s">
        <v>3034</v>
      </c>
      <c r="F706" s="4" t="s">
        <v>3193</v>
      </c>
      <c r="G706" s="7" t="str">
        <f>VLOOKUP(A706,[1]done!$A:$I,9,0)</f>
        <v>Insecticide/Fungicide</v>
      </c>
      <c r="H706" s="7" t="str" cm="1">
        <f t="array" ref="H706">_xlfn.IFS(
OR(ISNUMBER(SEARCH("mouse",E706)),ISNUMBER(SEARCH("rat",E706)),ISNUMBER(SEARCH("mice",E706)),ISNUMBER(SEARCH("rodent",E706))),"Rodent Control",
OR(ISNUMBER(SEARCH("fly",E706)),ISNUMBER(SEARCH("gnat",E706)),ISNUMBER(SEARCH("insect",E706)),ISNUMBER(SEARCH("mosquito",E706))),"Flying Insect Control",
OR(ISNUMBER(SEARCH("roach",E706)),ISNUMBER(SEARCH("ant",E706)),ISNUMBER(SEARCH("spider",E706)),ISNUMBER(SEARCH("cricket",E706)),ISNUMBER(SEARCH("scorpion",E706)),ISNUMBER(SEARCH("centipede",E706)),ISNUMBER(SEARCH("beetle",E706))),"Crawling Insect Control",
OR(ISNUMBER(SEARCH("tree",E706)),ISNUMBER(SEARCH("lantern",E706)),ISNUMBER(SEARCH("garden",E706)),ISNUMBER(SEARCH("plant",E706))),"Garden Pest Control",
OR(ISNUMBER(SEARCH("grass seed",E706)),ISNUMBER(SEARCH("seed mix",E706))),"Grass Seed",
OR(ISNUMBER(SEARCH("lawn food",E706)),ISNUMBER(SEARCH("fertilizer",E706))),"Lawn Fertilizer",
OR(ISNUMBER(SEARCH("patch",E706)),ISNUMBER(SEARCH("repair",E706)),ISNUMBER(SEARCH("thick'r",E706)),ISNUMBER(SEARCH("thick'r lawn",E706)),ISNUMBER(SEARCH("rapid grass",E706))),"Lawn Repair",
OR(ISNUMBER(SEARCH("weed",E706)),ISNUMBER(SEARCH("crabgrass",E706))),"Weed Control",
OR(ISNUMBER(SEARCH("fungicide",E706)),ISNUMBER(SEARCH("moss",E706))),"Disease &amp; Moss Control",
OR(ISNUMBER(SEARCH("plant food",E706)),ISNUMBER(SEARCH("miracid",E706))),"Plant Nutrition",
OR(ISNUMBER(SEARCH("perlite",E706))),"Soil Amendment",
OR(ISNUMBER(SEARCH("spreader",E706)),ISNUMBER(SEARCH("sprayer",E706)),ISNUMBER(SEARCH("mower",E706)),ISNUMBER(SEARCH("sweeper",E706)),ISNUMBER(SEARCH("pruner",E706)),ISNUMBER(SEARCH("trimmer",E706)),ISNUMBER(SEARCH("pole saw",E706))),"Garden Equipment",
TRUE,"Other"
)</f>
        <v>Garden Pest Control</v>
      </c>
      <c r="I706" s="7" t="str" cm="1">
        <f t="array" ref="I706">_xlfn.IFS(
OR(ISNUMBER(SEARCH("glue trap",E706)),ISNUMBER(SEARCH("glue board",E706))),"Glue Traps",
OR(ISNUMBER(SEARCH("snap trap",E706)),ISNUMBER(SEARCH("power-kill",E706)),ISNUMBER(SEARCH("wide pedal",E706)),ISNUMBER(SEARCH("metal pedal",E706))),"Snap Traps",
OR(ISNUMBER(SEARCH("electronic",E706)),ISNUMBER(SEARCH("zapper",E706))),"Electronic Traps",
OR(ISNUMBER(SEARCH("live catch",E706)),ISNUMBER(SEARCH("multi-catch",E706)),ISNUMBER(SEARCH("catch &amp; hold",E706)),ISNUMBER(SEARCH("tin cat",E706))),"Live Catch Traps",
OR(ISNUMBER(SEARCH("bait",E706)),ISNUMBER(SEARCH("poison",E706))),"Bait &amp; Poison",
ISNUMBER(SEARCH("repellent",E706)),"Repellents",
OR(ISNUMBER(SEARCH("fly trap",E706)),ISNUMBER(SEARCH("fly ribbon",E706)),ISNUMBER(SEARCH("fly stick",E706)),ISNUMBER(SEARCH("window fly",E706)),ISNUMBER(SEARCH("fly magnet",E706))),"Fly Traps",
OR(ISNUMBER(SEARCH("uv",E706)),ISNUMBER(SEARCH("fly light",E706)),ISNUMBER(SEARCH("plug-in",E706))),"UV Fly Traps",
ISNUMBER(SEARCH("roach",E706)),"Roach Traps",
ISNUMBER(SEARCH("ant",E706)),"Ant Traps",
ISNUMBER(SEARCH("spider",E706)),"Spider Traps",
ISNUMBER(SEARCH("mosquito",E706)),"Mosquito Traps",
ISNUMBER(SEARCH("beetle",E706)),"Beetle Traps",
ISNUMBER(SEARCH("lantern",E706)),"Lanternfly Control",
OR(ISNUMBER(SEARCH("tree shield",E706)),ISNUMBER(SEARCH("tree banding",E706)),ISNUMBER(SEARCH("insect barrier",E706))),"Tree Barriers",
OR(ISNUMBER(SEARCH("sun &amp; shade",E706)),ISNUMBER(SEARCH("sun and shade",E706))),"Sun &amp; Shade Mix",
ISNUMBER(SEARCH("tall fescue",E706)),"Tall Fescue",
ISNUMBER(SEARCH("bermudagrass",E706)),"Bermudagrass",
ISNUMBER(SEARCH("kentucky",E706)),"Kentucky Bluegrass",
ISNUMBER(SEARCH("zoysia",E706)),"Zoysia",
ISNUMBER(SEARCH("ryegrass",E706)),"Perennial Ryegrass",
ISNUMBER(SEARCH("centipede",E706)),"Centipede Grass",
ISNUMBER(SEARCH("dense shade",E706)),"Dense Shade Mix",
ISNUMBER(SEARCH("southern gold",E706)),"Southern Gold Mix",
ISNUMBER(SEARCH("heat-tolerant blue",E706)),"Heat-Tolerant Blue Mix",
ISNUMBER(SEARCH("high traffic",E706)),"High Traffic Mix",
ISNUMBER(SEARCH("quick fix",E706)),"Quick Fix Mix",
ISNUMBER(SEARCH("starter",E706)),"Starter Fertilizer",
ISNUMBER(SEARCH("weed &amp; feed",E706)),"Weed &amp; Feed",
ISNUMBER(SEARCH("lawn food",E706)),"Lawn Food",
ISNUMBER(SEARCH("triple action",E706)),"Triple Action Fertilizer",
ISNUMBER(SEARCH("green max",E706)),"Green Max Lawn Food",
ISNUMBER(SEARCH("patchmaster",E706)),"PatchMaster Repair",
ISNUMBER(SEARCH("ez seed",E706)),"EZ Seed Repair",
ISNUMBER(SEARCH("rapid grass",E706)),"Rapid Grass",
ISNUMBER(SEARCH("thick'r lawn",E706)),"Thick'R Lawn",
ISNUMBER(SEARCH("fungicide",E706)),"Fungicide",
ISNUMBER(SEARCH("moss",E706)),"Moss Control",
ISNUMBER(SEARCH("perlite",E706)),"Perlite",
ISNUMBER(SEARCH("plant food",E706)),"Plant Food",
ISNUMBER(SEARCH("spreader",E706)),"Spreader",
ISNUMBER(SEARCH("sprayer",E706)),"Sprayer",
ISNUMBER(SEARCH("mower",E706)),"Lawn Mower",
ISNUMBER(SEARCH("sweeper",E706)),"Lawn Sweeper",
OR(ISNUMBER(SEARCH("pruner",E706)),ISNUMBER(SEARCH("trimmer",E706)),ISNUMBER(SEARCH("pole saw",E706))),"Pruning Tools",
TRUE,"Other"
)</f>
        <v>Other</v>
      </c>
      <c r="J706" s="7" t="str">
        <f t="shared" si="207"/>
        <v>Garden Pest Control - Other</v>
      </c>
      <c r="K706" s="4">
        <v>50</v>
      </c>
      <c r="L706" s="4">
        <v>4.4000000000000004</v>
      </c>
      <c r="M706" s="4">
        <v>357</v>
      </c>
      <c r="N706" s="4" t="s">
        <v>3255</v>
      </c>
      <c r="O706" s="4">
        <f>VLOOKUP(A706,[13]Sheet1!$A:$M,2,0)</f>
        <v>0</v>
      </c>
      <c r="P706" s="4">
        <f>VLOOKUP(A706,[13]Sheet1!$A:$M,3,0)</f>
        <v>0</v>
      </c>
      <c r="Q706" s="4">
        <f>VLOOKUP(A706,[13]Sheet1!$A:$M,4,0)</f>
        <v>0</v>
      </c>
      <c r="R706" s="4">
        <f>VLOOKUP(A706,[13]Sheet1!$A:$M,5,0)</f>
        <v>100</v>
      </c>
      <c r="S706" s="4">
        <f>VLOOKUP(A706,[13]Sheet1!$A:$M,6,0)</f>
        <v>50</v>
      </c>
      <c r="T706" s="4">
        <f>VLOOKUP(A706,[13]Sheet1!$A:$M,7,0)</f>
        <v>100</v>
      </c>
      <c r="U706" s="4">
        <f>VLOOKUP(A706,[13]Sheet1!$A:$M,8,0)</f>
        <v>100</v>
      </c>
      <c r="V706" s="4">
        <f>VLOOKUP(A706,[13]Sheet1!$A:$M,9,0)</f>
        <v>100</v>
      </c>
      <c r="W706" s="4">
        <f>VLOOKUP(A706,[13]Sheet1!$A:$M,10,0)</f>
        <v>50</v>
      </c>
      <c r="X706" s="4">
        <f>VLOOKUP(A706,[13]Sheet1!$A:$M,11,0)</f>
        <v>0</v>
      </c>
      <c r="Y706" s="4">
        <f>VLOOKUP(A706,[13]Sheet1!$A:$M,12,0)</f>
        <v>0</v>
      </c>
      <c r="Z706" s="4">
        <f>VLOOKUP(A706,[13]Sheet1!$A:$M,13,0)</f>
        <v>0</v>
      </c>
      <c r="AA706" s="4">
        <f t="shared" si="208"/>
        <v>500</v>
      </c>
      <c r="AB706" s="7">
        <f t="shared" si="209"/>
        <v>42</v>
      </c>
      <c r="AC706" s="15">
        <f t="shared" si="210"/>
        <v>41.666666666666664</v>
      </c>
      <c r="AD706" s="16">
        <f t="shared" si="211"/>
        <v>3495</v>
      </c>
      <c r="AE706" s="16">
        <f t="shared" si="212"/>
        <v>291.25</v>
      </c>
      <c r="AF706" s="21">
        <v>3.01</v>
      </c>
      <c r="AG706" s="21">
        <v>6.99</v>
      </c>
      <c r="AH706" s="15">
        <f t="shared" si="205"/>
        <v>-8.0933333333333343E-2</v>
      </c>
      <c r="AI706" s="15">
        <f t="shared" si="206"/>
        <v>-0.28326666666666667</v>
      </c>
      <c r="AJ706" s="10">
        <v>0.5</v>
      </c>
      <c r="AK706" s="10">
        <v>0.5</v>
      </c>
      <c r="AL706" s="21">
        <v>3.01</v>
      </c>
      <c r="AM706" s="9">
        <f t="shared" si="197"/>
        <v>1.0485</v>
      </c>
      <c r="AN706" s="9">
        <f t="shared" si="198"/>
        <v>0.2097</v>
      </c>
      <c r="AO706" s="9">
        <f t="shared" si="199"/>
        <v>1.3980000000000001</v>
      </c>
      <c r="AP706" s="9">
        <f t="shared" si="200"/>
        <v>0.13980000000000001</v>
      </c>
      <c r="AQ706" s="9">
        <f t="shared" si="201"/>
        <v>1.3980000000000001</v>
      </c>
      <c r="AR706" s="9">
        <f t="shared" si="202"/>
        <v>1.7475000000000001</v>
      </c>
      <c r="AS706" s="11">
        <f t="shared" si="203"/>
        <v>-0.80933333333333335</v>
      </c>
      <c r="AT706" s="12">
        <f t="shared" si="204"/>
        <v>-1.0423333333333333</v>
      </c>
    </row>
    <row r="707" spans="1:46" ht="16.5" x14ac:dyDescent="0.4">
      <c r="A707" s="4" t="s">
        <v>2697</v>
      </c>
      <c r="B707" s="4" t="s">
        <v>2710</v>
      </c>
      <c r="C707" s="4" t="s">
        <v>2710</v>
      </c>
      <c r="D707" s="4" t="s">
        <v>2876</v>
      </c>
      <c r="E707" s="4" t="s">
        <v>3035</v>
      </c>
      <c r="F707" s="4" t="s">
        <v>3194</v>
      </c>
      <c r="G707" s="7" t="str">
        <f>VLOOKUP(A707,[1]done!$A:$I,9,0)</f>
        <v>Mosquito/Fly</v>
      </c>
      <c r="H707" s="7" t="str" cm="1">
        <f t="array" ref="H707">_xlfn.IFS(
OR(ISNUMBER(SEARCH("mouse",E707)),ISNUMBER(SEARCH("rat",E707)),ISNUMBER(SEARCH("mice",E707)),ISNUMBER(SEARCH("rodent",E707))),"Rodent Control",
OR(ISNUMBER(SEARCH("fly",E707)),ISNUMBER(SEARCH("gnat",E707)),ISNUMBER(SEARCH("insect",E707)),ISNUMBER(SEARCH("mosquito",E707))),"Flying Insect Control",
OR(ISNUMBER(SEARCH("roach",E707)),ISNUMBER(SEARCH("ant",E707)),ISNUMBER(SEARCH("spider",E707)),ISNUMBER(SEARCH("cricket",E707)),ISNUMBER(SEARCH("scorpion",E707)),ISNUMBER(SEARCH("centipede",E707)),ISNUMBER(SEARCH("beetle",E707))),"Crawling Insect Control",
OR(ISNUMBER(SEARCH("tree",E707)),ISNUMBER(SEARCH("lantern",E707)),ISNUMBER(SEARCH("garden",E707)),ISNUMBER(SEARCH("plant",E707))),"Garden Pest Control",
OR(ISNUMBER(SEARCH("grass seed",E707)),ISNUMBER(SEARCH("seed mix",E707))),"Grass Seed",
OR(ISNUMBER(SEARCH("lawn food",E707)),ISNUMBER(SEARCH("fertilizer",E707))),"Lawn Fertilizer",
OR(ISNUMBER(SEARCH("patch",E707)),ISNUMBER(SEARCH("repair",E707)),ISNUMBER(SEARCH("thick'r",E707)),ISNUMBER(SEARCH("thick'r lawn",E707)),ISNUMBER(SEARCH("rapid grass",E707))),"Lawn Repair",
OR(ISNUMBER(SEARCH("weed",E707)),ISNUMBER(SEARCH("crabgrass",E707))),"Weed Control",
OR(ISNUMBER(SEARCH("fungicide",E707)),ISNUMBER(SEARCH("moss",E707))),"Disease &amp; Moss Control",
OR(ISNUMBER(SEARCH("plant food",E707)),ISNUMBER(SEARCH("miracid",E707))),"Plant Nutrition",
OR(ISNUMBER(SEARCH("perlite",E707))),"Soil Amendment",
OR(ISNUMBER(SEARCH("spreader",E707)),ISNUMBER(SEARCH("sprayer",E707)),ISNUMBER(SEARCH("mower",E707)),ISNUMBER(SEARCH("sweeper",E707)),ISNUMBER(SEARCH("pruner",E707)),ISNUMBER(SEARCH("trimmer",E707)),ISNUMBER(SEARCH("pole saw",E707))),"Garden Equipment",
TRUE,"Other"
)</f>
        <v>Flying Insect Control</v>
      </c>
      <c r="I707" s="7" t="str" cm="1">
        <f t="array" ref="I707">_xlfn.IFS(
OR(ISNUMBER(SEARCH("glue trap",E707)),ISNUMBER(SEARCH("glue board",E707))),"Glue Traps",
OR(ISNUMBER(SEARCH("snap trap",E707)),ISNUMBER(SEARCH("power-kill",E707)),ISNUMBER(SEARCH("wide pedal",E707)),ISNUMBER(SEARCH("metal pedal",E707))),"Snap Traps",
OR(ISNUMBER(SEARCH("electronic",E707)),ISNUMBER(SEARCH("zapper",E707))),"Electronic Traps",
OR(ISNUMBER(SEARCH("live catch",E707)),ISNUMBER(SEARCH("multi-catch",E707)),ISNUMBER(SEARCH("catch &amp; hold",E707)),ISNUMBER(SEARCH("tin cat",E707))),"Live Catch Traps",
OR(ISNUMBER(SEARCH("bait",E707)),ISNUMBER(SEARCH("poison",E707))),"Bait &amp; Poison",
ISNUMBER(SEARCH("repellent",E707)),"Repellents",
OR(ISNUMBER(SEARCH("fly trap",E707)),ISNUMBER(SEARCH("fly ribbon",E707)),ISNUMBER(SEARCH("fly stick",E707)),ISNUMBER(SEARCH("window fly",E707)),ISNUMBER(SEARCH("fly magnet",E707))),"Fly Traps",
OR(ISNUMBER(SEARCH("uv",E707)),ISNUMBER(SEARCH("fly light",E707)),ISNUMBER(SEARCH("plug-in",E707))),"UV Fly Traps",
ISNUMBER(SEARCH("roach",E707)),"Roach Traps",
ISNUMBER(SEARCH("ant",E707)),"Ant Traps",
ISNUMBER(SEARCH("spider",E707)),"Spider Traps",
ISNUMBER(SEARCH("mosquito",E707)),"Mosquito Traps",
ISNUMBER(SEARCH("beetle",E707)),"Beetle Traps",
ISNUMBER(SEARCH("lantern",E707)),"Lanternfly Control",
OR(ISNUMBER(SEARCH("tree shield",E707)),ISNUMBER(SEARCH("tree banding",E707)),ISNUMBER(SEARCH("insect barrier",E707))),"Tree Barriers",
OR(ISNUMBER(SEARCH("sun &amp; shade",E707)),ISNUMBER(SEARCH("sun and shade",E707))),"Sun &amp; Shade Mix",
ISNUMBER(SEARCH("tall fescue",E707)),"Tall Fescue",
ISNUMBER(SEARCH("bermudagrass",E707)),"Bermudagrass",
ISNUMBER(SEARCH("kentucky",E707)),"Kentucky Bluegrass",
ISNUMBER(SEARCH("zoysia",E707)),"Zoysia",
ISNUMBER(SEARCH("ryegrass",E707)),"Perennial Ryegrass",
ISNUMBER(SEARCH("centipede",E707)),"Centipede Grass",
ISNUMBER(SEARCH("dense shade",E707)),"Dense Shade Mix",
ISNUMBER(SEARCH("southern gold",E707)),"Southern Gold Mix",
ISNUMBER(SEARCH("heat-tolerant blue",E707)),"Heat-Tolerant Blue Mix",
ISNUMBER(SEARCH("high traffic",E707)),"High Traffic Mix",
ISNUMBER(SEARCH("quick fix",E707)),"Quick Fix Mix",
ISNUMBER(SEARCH("starter",E707)),"Starter Fertilizer",
ISNUMBER(SEARCH("weed &amp; feed",E707)),"Weed &amp; Feed",
ISNUMBER(SEARCH("lawn food",E707)),"Lawn Food",
ISNUMBER(SEARCH("triple action",E707)),"Triple Action Fertilizer",
ISNUMBER(SEARCH("green max",E707)),"Green Max Lawn Food",
ISNUMBER(SEARCH("patchmaster",E707)),"PatchMaster Repair",
ISNUMBER(SEARCH("ez seed",E707)),"EZ Seed Repair",
ISNUMBER(SEARCH("rapid grass",E707)),"Rapid Grass",
ISNUMBER(SEARCH("thick'r lawn",E707)),"Thick'R Lawn",
ISNUMBER(SEARCH("fungicide",E707)),"Fungicide",
ISNUMBER(SEARCH("moss",E707)),"Moss Control",
ISNUMBER(SEARCH("perlite",E707)),"Perlite",
ISNUMBER(SEARCH("plant food",E707)),"Plant Food",
ISNUMBER(SEARCH("spreader",E707)),"Spreader",
ISNUMBER(SEARCH("sprayer",E707)),"Sprayer",
ISNUMBER(SEARCH("mower",E707)),"Lawn Mower",
ISNUMBER(SEARCH("sweeper",E707)),"Lawn Sweeper",
OR(ISNUMBER(SEARCH("pruner",E707)),ISNUMBER(SEARCH("trimmer",E707)),ISNUMBER(SEARCH("pole saw",E707))),"Pruning Tools",
TRUE,"Other"
)</f>
        <v>Mosquito Traps</v>
      </c>
      <c r="J707" s="7" t="str">
        <f t="shared" si="207"/>
        <v>Flying Insect Control - Mosquito Traps</v>
      </c>
      <c r="K707" s="4">
        <v>50</v>
      </c>
      <c r="L707" s="4">
        <v>4.5999999999999996</v>
      </c>
      <c r="M707" s="4">
        <v>71</v>
      </c>
      <c r="N707" s="4" t="s">
        <v>3256</v>
      </c>
      <c r="O707" s="4">
        <f>VLOOKUP(A707,[13]Sheet1!$A:$M,2,0)</f>
        <v>0</v>
      </c>
      <c r="P707" s="4">
        <f>VLOOKUP(A707,[13]Sheet1!$A:$M,3,0)</f>
        <v>0</v>
      </c>
      <c r="Q707" s="4">
        <f>VLOOKUP(A707,[13]Sheet1!$A:$M,4,0)</f>
        <v>0</v>
      </c>
      <c r="R707" s="4">
        <f>VLOOKUP(A707,[13]Sheet1!$A:$M,5,0)</f>
        <v>0</v>
      </c>
      <c r="S707" s="4">
        <f>VLOOKUP(A707,[13]Sheet1!$A:$M,6,0)</f>
        <v>300</v>
      </c>
      <c r="T707" s="4">
        <f>VLOOKUP(A707,[13]Sheet1!$A:$M,7,0)</f>
        <v>300</v>
      </c>
      <c r="U707" s="4">
        <f>VLOOKUP(A707,[13]Sheet1!$A:$M,8,0)</f>
        <v>300</v>
      </c>
      <c r="V707" s="4">
        <f>VLOOKUP(A707,[13]Sheet1!$A:$M,9,0)</f>
        <v>100</v>
      </c>
      <c r="W707" s="4">
        <f>VLOOKUP(A707,[13]Sheet1!$A:$M,10,0)</f>
        <v>50</v>
      </c>
      <c r="X707" s="4">
        <f>VLOOKUP(A707,[13]Sheet1!$A:$M,11,0)</f>
        <v>0</v>
      </c>
      <c r="Y707" s="4">
        <f>VLOOKUP(A707,[13]Sheet1!$A:$M,12,0)</f>
        <v>0</v>
      </c>
      <c r="Z707" s="4">
        <f>VLOOKUP(A707,[13]Sheet1!$A:$M,13,0)</f>
        <v>0</v>
      </c>
      <c r="AA707" s="4">
        <f t="shared" si="208"/>
        <v>1050</v>
      </c>
      <c r="AB707" s="7">
        <f t="shared" si="209"/>
        <v>88</v>
      </c>
      <c r="AC707" s="15">
        <f t="shared" si="210"/>
        <v>87.5</v>
      </c>
      <c r="AD707" s="16">
        <f t="shared" si="211"/>
        <v>24055.5</v>
      </c>
      <c r="AE707" s="16">
        <f t="shared" si="212"/>
        <v>2004.625</v>
      </c>
      <c r="AF707" s="21">
        <v>6.13</v>
      </c>
      <c r="AG707" s="21">
        <v>22.91</v>
      </c>
      <c r="AH707" s="15">
        <f t="shared" si="205"/>
        <v>0.13560000000000005</v>
      </c>
      <c r="AI707" s="15">
        <f t="shared" si="206"/>
        <v>0.47460000000000013</v>
      </c>
      <c r="AJ707" s="10">
        <v>0.5</v>
      </c>
      <c r="AK707" s="10">
        <v>0.5</v>
      </c>
      <c r="AL707" s="21">
        <v>6.13</v>
      </c>
      <c r="AM707" s="9">
        <f t="shared" ref="AM707:AM770" si="213">0.15*AG707</f>
        <v>3.4365000000000001</v>
      </c>
      <c r="AN707" s="9">
        <f t="shared" ref="AN707:AN770" si="214">0.03*AG707</f>
        <v>0.68730000000000002</v>
      </c>
      <c r="AO707" s="9">
        <f t="shared" ref="AO707:AO770" si="215">0.2*AG707</f>
        <v>4.5819999999999999</v>
      </c>
      <c r="AP707" s="9">
        <f t="shared" ref="AP707:AP770" si="216">0.02*AG707</f>
        <v>0.4582</v>
      </c>
      <c r="AQ707" s="9">
        <f t="shared" ref="AQ707:AQ770" si="217">0.2*AG707</f>
        <v>4.5819999999999999</v>
      </c>
      <c r="AR707" s="9">
        <f t="shared" ref="AR707:AR770" si="218">0.25*AG707</f>
        <v>5.7275</v>
      </c>
      <c r="AS707" s="11">
        <f t="shared" ref="AS707:AS770" si="219">(AG707*(1-(0.15+0.03+0.2+0.02))-AJ707-AK707-AL707-AQ707)/(1+0.1+0.4)</f>
        <v>1.3560000000000005</v>
      </c>
      <c r="AT707" s="12">
        <f t="shared" ref="AT707:AT770" si="220">(AG707*(1-(0.15+0.03+0.2+0.02))-AJ707-AK707-AL707-AR707)/(1+0.1+0.4)</f>
        <v>0.59233333333333371</v>
      </c>
    </row>
    <row r="708" spans="1:46" ht="16.5" x14ac:dyDescent="0.4">
      <c r="A708" s="4" t="s">
        <v>2698</v>
      </c>
      <c r="B708" s="4" t="s">
        <v>2710</v>
      </c>
      <c r="C708" s="4" t="s">
        <v>2712</v>
      </c>
      <c r="D708" s="4" t="s">
        <v>2877</v>
      </c>
      <c r="E708" s="4" t="s">
        <v>3036</v>
      </c>
      <c r="F708" s="4" t="s">
        <v>3195</v>
      </c>
      <c r="G708" s="7" t="str">
        <f>VLOOKUP(A708,[1]done!$A:$I,9,0)</f>
        <v>Mosquito/Fly</v>
      </c>
      <c r="H708" s="7" t="str" cm="1">
        <f t="array" ref="H708">_xlfn.IFS(
OR(ISNUMBER(SEARCH("mouse",E708)),ISNUMBER(SEARCH("rat",E708)),ISNUMBER(SEARCH("mice",E708)),ISNUMBER(SEARCH("rodent",E708))),"Rodent Control",
OR(ISNUMBER(SEARCH("fly",E708)),ISNUMBER(SEARCH("gnat",E708)),ISNUMBER(SEARCH("insect",E708)),ISNUMBER(SEARCH("mosquito",E708))),"Flying Insect Control",
OR(ISNUMBER(SEARCH("roach",E708)),ISNUMBER(SEARCH("ant",E708)),ISNUMBER(SEARCH("spider",E708)),ISNUMBER(SEARCH("cricket",E708)),ISNUMBER(SEARCH("scorpion",E708)),ISNUMBER(SEARCH("centipede",E708)),ISNUMBER(SEARCH("beetle",E708))),"Crawling Insect Control",
OR(ISNUMBER(SEARCH("tree",E708)),ISNUMBER(SEARCH("lantern",E708)),ISNUMBER(SEARCH("garden",E708)),ISNUMBER(SEARCH("plant",E708))),"Garden Pest Control",
OR(ISNUMBER(SEARCH("grass seed",E708)),ISNUMBER(SEARCH("seed mix",E708))),"Grass Seed",
OR(ISNUMBER(SEARCH("lawn food",E708)),ISNUMBER(SEARCH("fertilizer",E708))),"Lawn Fertilizer",
OR(ISNUMBER(SEARCH("patch",E708)),ISNUMBER(SEARCH("repair",E708)),ISNUMBER(SEARCH("thick'r",E708)),ISNUMBER(SEARCH("thick'r lawn",E708)),ISNUMBER(SEARCH("rapid grass",E708))),"Lawn Repair",
OR(ISNUMBER(SEARCH("weed",E708)),ISNUMBER(SEARCH("crabgrass",E708))),"Weed Control",
OR(ISNUMBER(SEARCH("fungicide",E708)),ISNUMBER(SEARCH("moss",E708))),"Disease &amp; Moss Control",
OR(ISNUMBER(SEARCH("plant food",E708)),ISNUMBER(SEARCH("miracid",E708))),"Plant Nutrition",
OR(ISNUMBER(SEARCH("perlite",E708))),"Soil Amendment",
OR(ISNUMBER(SEARCH("spreader",E708)),ISNUMBER(SEARCH("sprayer",E708)),ISNUMBER(SEARCH("mower",E708)),ISNUMBER(SEARCH("sweeper",E708)),ISNUMBER(SEARCH("pruner",E708)),ISNUMBER(SEARCH("trimmer",E708)),ISNUMBER(SEARCH("pole saw",E708))),"Garden Equipment",
TRUE,"Other"
)</f>
        <v>Rodent Control</v>
      </c>
      <c r="I708" s="7" t="str" cm="1">
        <f t="array" ref="I708">_xlfn.IFS(
OR(ISNUMBER(SEARCH("glue trap",E708)),ISNUMBER(SEARCH("glue board",E708))),"Glue Traps",
OR(ISNUMBER(SEARCH("snap trap",E708)),ISNUMBER(SEARCH("power-kill",E708)),ISNUMBER(SEARCH("wide pedal",E708)),ISNUMBER(SEARCH("metal pedal",E708))),"Snap Traps",
OR(ISNUMBER(SEARCH("electronic",E708)),ISNUMBER(SEARCH("zapper",E708))),"Electronic Traps",
OR(ISNUMBER(SEARCH("live catch",E708)),ISNUMBER(SEARCH("multi-catch",E708)),ISNUMBER(SEARCH("catch &amp; hold",E708)),ISNUMBER(SEARCH("tin cat",E708))),"Live Catch Traps",
OR(ISNUMBER(SEARCH("bait",E708)),ISNUMBER(SEARCH("poison",E708))),"Bait &amp; Poison",
ISNUMBER(SEARCH("repellent",E708)),"Repellents",
OR(ISNUMBER(SEARCH("fly trap",E708)),ISNUMBER(SEARCH("fly ribbon",E708)),ISNUMBER(SEARCH("fly stick",E708)),ISNUMBER(SEARCH("window fly",E708)),ISNUMBER(SEARCH("fly magnet",E708))),"Fly Traps",
OR(ISNUMBER(SEARCH("uv",E708)),ISNUMBER(SEARCH("fly light",E708)),ISNUMBER(SEARCH("plug-in",E708))),"UV Fly Traps",
ISNUMBER(SEARCH("roach",E708)),"Roach Traps",
ISNUMBER(SEARCH("ant",E708)),"Ant Traps",
ISNUMBER(SEARCH("spider",E708)),"Spider Traps",
ISNUMBER(SEARCH("mosquito",E708)),"Mosquito Traps",
ISNUMBER(SEARCH("beetle",E708)),"Beetle Traps",
ISNUMBER(SEARCH("lantern",E708)),"Lanternfly Control",
OR(ISNUMBER(SEARCH("tree shield",E708)),ISNUMBER(SEARCH("tree banding",E708)),ISNUMBER(SEARCH("insect barrier",E708))),"Tree Barriers",
OR(ISNUMBER(SEARCH("sun &amp; shade",E708)),ISNUMBER(SEARCH("sun and shade",E708))),"Sun &amp; Shade Mix",
ISNUMBER(SEARCH("tall fescue",E708)),"Tall Fescue",
ISNUMBER(SEARCH("bermudagrass",E708)),"Bermudagrass",
ISNUMBER(SEARCH("kentucky",E708)),"Kentucky Bluegrass",
ISNUMBER(SEARCH("zoysia",E708)),"Zoysia",
ISNUMBER(SEARCH("ryegrass",E708)),"Perennial Ryegrass",
ISNUMBER(SEARCH("centipede",E708)),"Centipede Grass",
ISNUMBER(SEARCH("dense shade",E708)),"Dense Shade Mix",
ISNUMBER(SEARCH("southern gold",E708)),"Southern Gold Mix",
ISNUMBER(SEARCH("heat-tolerant blue",E708)),"Heat-Tolerant Blue Mix",
ISNUMBER(SEARCH("high traffic",E708)),"High Traffic Mix",
ISNUMBER(SEARCH("quick fix",E708)),"Quick Fix Mix",
ISNUMBER(SEARCH("starter",E708)),"Starter Fertilizer",
ISNUMBER(SEARCH("weed &amp; feed",E708)),"Weed &amp; Feed",
ISNUMBER(SEARCH("lawn food",E708)),"Lawn Food",
ISNUMBER(SEARCH("triple action",E708)),"Triple Action Fertilizer",
ISNUMBER(SEARCH("green max",E708)),"Green Max Lawn Food",
ISNUMBER(SEARCH("patchmaster",E708)),"PatchMaster Repair",
ISNUMBER(SEARCH("ez seed",E708)),"EZ Seed Repair",
ISNUMBER(SEARCH("rapid grass",E708)),"Rapid Grass",
ISNUMBER(SEARCH("thick'r lawn",E708)),"Thick'R Lawn",
ISNUMBER(SEARCH("fungicide",E708)),"Fungicide",
ISNUMBER(SEARCH("moss",E708)),"Moss Control",
ISNUMBER(SEARCH("perlite",E708)),"Perlite",
ISNUMBER(SEARCH("plant food",E708)),"Plant Food",
ISNUMBER(SEARCH("spreader",E708)),"Spreader",
ISNUMBER(SEARCH("sprayer",E708)),"Sprayer",
ISNUMBER(SEARCH("mower",E708)),"Lawn Mower",
ISNUMBER(SEARCH("sweeper",E708)),"Lawn Sweeper",
OR(ISNUMBER(SEARCH("pruner",E708)),ISNUMBER(SEARCH("trimmer",E708)),ISNUMBER(SEARCH("pole saw",E708))),"Pruning Tools",
TRUE,"Other"
)</f>
        <v>Ant Traps</v>
      </c>
      <c r="J708" s="7" t="str">
        <f t="shared" si="207"/>
        <v>Rodent Control - Ant Traps</v>
      </c>
      <c r="K708" s="4">
        <v>50</v>
      </c>
      <c r="L708" s="4">
        <v>4</v>
      </c>
      <c r="M708" s="4">
        <v>28</v>
      </c>
      <c r="O708" s="4">
        <f>VLOOKUP(A708,[13]Sheet1!$A:$M,2,0)</f>
        <v>0</v>
      </c>
      <c r="P708" s="4">
        <f>VLOOKUP(A708,[13]Sheet1!$A:$M,3,0)</f>
        <v>0</v>
      </c>
      <c r="Q708" s="4">
        <f>VLOOKUP(A708,[13]Sheet1!$A:$M,4,0)</f>
        <v>0</v>
      </c>
      <c r="R708" s="4">
        <f>VLOOKUP(A708,[13]Sheet1!$A:$M,5,0)</f>
        <v>0</v>
      </c>
      <c r="S708" s="4">
        <f>VLOOKUP(A708,[13]Sheet1!$A:$M,6,0)</f>
        <v>0</v>
      </c>
      <c r="T708" s="4">
        <f>VLOOKUP(A708,[13]Sheet1!$A:$M,7,0)</f>
        <v>0</v>
      </c>
      <c r="U708" s="4">
        <f>VLOOKUP(A708,[13]Sheet1!$A:$M,8,0)</f>
        <v>0</v>
      </c>
      <c r="V708" s="4">
        <f>VLOOKUP(A708,[13]Sheet1!$A:$M,9,0)</f>
        <v>0</v>
      </c>
      <c r="W708" s="4">
        <f>VLOOKUP(A708,[13]Sheet1!$A:$M,10,0)</f>
        <v>50</v>
      </c>
      <c r="X708" s="4">
        <f>VLOOKUP(A708,[13]Sheet1!$A:$M,11,0)</f>
        <v>0</v>
      </c>
      <c r="Y708" s="4">
        <f>VLOOKUP(A708,[13]Sheet1!$A:$M,12,0)</f>
        <v>0</v>
      </c>
      <c r="Z708" s="4">
        <f>VLOOKUP(A708,[13]Sheet1!$A:$M,13,0)</f>
        <v>0</v>
      </c>
      <c r="AA708" s="4">
        <f t="shared" si="208"/>
        <v>50</v>
      </c>
      <c r="AB708" s="7">
        <f t="shared" si="209"/>
        <v>4</v>
      </c>
      <c r="AC708" s="15">
        <f t="shared" si="210"/>
        <v>4.166666666666667</v>
      </c>
      <c r="AD708" s="16">
        <f t="shared" si="211"/>
        <v>1499.5</v>
      </c>
      <c r="AE708" s="16">
        <f t="shared" si="212"/>
        <v>124.95833333333334</v>
      </c>
      <c r="AF708" s="21">
        <v>6.31</v>
      </c>
      <c r="AG708" s="21">
        <v>29.99</v>
      </c>
      <c r="AH708" s="15">
        <f t="shared" si="205"/>
        <v>0.31240000000000007</v>
      </c>
      <c r="AI708" s="15">
        <f t="shared" si="206"/>
        <v>1.0934000000000001</v>
      </c>
      <c r="AJ708" s="10">
        <v>0.5</v>
      </c>
      <c r="AK708" s="10">
        <v>0.5</v>
      </c>
      <c r="AL708" s="21">
        <v>6.31</v>
      </c>
      <c r="AM708" s="9">
        <f t="shared" si="213"/>
        <v>4.4984999999999999</v>
      </c>
      <c r="AN708" s="9">
        <f t="shared" si="214"/>
        <v>0.89969999999999994</v>
      </c>
      <c r="AO708" s="9">
        <f t="shared" si="215"/>
        <v>5.9980000000000002</v>
      </c>
      <c r="AP708" s="9">
        <f t="shared" si="216"/>
        <v>0.5998</v>
      </c>
      <c r="AQ708" s="9">
        <f t="shared" si="217"/>
        <v>5.9980000000000002</v>
      </c>
      <c r="AR708" s="9">
        <f t="shared" si="218"/>
        <v>7.4974999999999996</v>
      </c>
      <c r="AS708" s="11">
        <f t="shared" si="219"/>
        <v>3.1240000000000006</v>
      </c>
      <c r="AT708" s="12">
        <f t="shared" si="220"/>
        <v>2.1243333333333343</v>
      </c>
    </row>
    <row r="709" spans="1:46" ht="16.5" x14ac:dyDescent="0.4">
      <c r="A709" s="4" t="s">
        <v>2699</v>
      </c>
      <c r="B709" s="4" t="s">
        <v>2710</v>
      </c>
      <c r="C709" s="4" t="s">
        <v>1797</v>
      </c>
      <c r="D709" s="4" t="s">
        <v>2878</v>
      </c>
      <c r="E709" s="4" t="s">
        <v>3037</v>
      </c>
      <c r="F709" s="4" t="s">
        <v>3196</v>
      </c>
      <c r="G709" s="7" t="str">
        <f>VLOOKUP(A709,[1]done!$A:$I,9,0)</f>
        <v>Other crawling insects</v>
      </c>
      <c r="H709" s="7" t="str" cm="1">
        <f t="array" ref="H709">_xlfn.IFS(
OR(ISNUMBER(SEARCH("mouse",E709)),ISNUMBER(SEARCH("rat",E709)),ISNUMBER(SEARCH("mice",E709)),ISNUMBER(SEARCH("rodent",E709))),"Rodent Control",
OR(ISNUMBER(SEARCH("fly",E709)),ISNUMBER(SEARCH("gnat",E709)),ISNUMBER(SEARCH("insect",E709)),ISNUMBER(SEARCH("mosquito",E709))),"Flying Insect Control",
OR(ISNUMBER(SEARCH("roach",E709)),ISNUMBER(SEARCH("ant",E709)),ISNUMBER(SEARCH("spider",E709)),ISNUMBER(SEARCH("cricket",E709)),ISNUMBER(SEARCH("scorpion",E709)),ISNUMBER(SEARCH("centipede",E709)),ISNUMBER(SEARCH("beetle",E709))),"Crawling Insect Control",
OR(ISNUMBER(SEARCH("tree",E709)),ISNUMBER(SEARCH("lantern",E709)),ISNUMBER(SEARCH("garden",E709)),ISNUMBER(SEARCH("plant",E709))),"Garden Pest Control",
OR(ISNUMBER(SEARCH("grass seed",E709)),ISNUMBER(SEARCH("seed mix",E709))),"Grass Seed",
OR(ISNUMBER(SEARCH("lawn food",E709)),ISNUMBER(SEARCH("fertilizer",E709))),"Lawn Fertilizer",
OR(ISNUMBER(SEARCH("patch",E709)),ISNUMBER(SEARCH("repair",E709)),ISNUMBER(SEARCH("thick'r",E709)),ISNUMBER(SEARCH("thick'r lawn",E709)),ISNUMBER(SEARCH("rapid grass",E709))),"Lawn Repair",
OR(ISNUMBER(SEARCH("weed",E709)),ISNUMBER(SEARCH("crabgrass",E709))),"Weed Control",
OR(ISNUMBER(SEARCH("fungicide",E709)),ISNUMBER(SEARCH("moss",E709))),"Disease &amp; Moss Control",
OR(ISNUMBER(SEARCH("plant food",E709)),ISNUMBER(SEARCH("miracid",E709))),"Plant Nutrition",
OR(ISNUMBER(SEARCH("perlite",E709))),"Soil Amendment",
OR(ISNUMBER(SEARCH("spreader",E709)),ISNUMBER(SEARCH("sprayer",E709)),ISNUMBER(SEARCH("mower",E709)),ISNUMBER(SEARCH("sweeper",E709)),ISNUMBER(SEARCH("pruner",E709)),ISNUMBER(SEARCH("trimmer",E709)),ISNUMBER(SEARCH("pole saw",E709))),"Garden Equipment",
TRUE,"Other"
)</f>
        <v>Rodent Control</v>
      </c>
      <c r="I709" s="7" t="str" cm="1">
        <f t="array" ref="I709">_xlfn.IFS(
OR(ISNUMBER(SEARCH("glue trap",E709)),ISNUMBER(SEARCH("glue board",E709))),"Glue Traps",
OR(ISNUMBER(SEARCH("snap trap",E709)),ISNUMBER(SEARCH("power-kill",E709)),ISNUMBER(SEARCH("wide pedal",E709)),ISNUMBER(SEARCH("metal pedal",E709))),"Snap Traps",
OR(ISNUMBER(SEARCH("electronic",E709)),ISNUMBER(SEARCH("zapper",E709))),"Electronic Traps",
OR(ISNUMBER(SEARCH("live catch",E709)),ISNUMBER(SEARCH("multi-catch",E709)),ISNUMBER(SEARCH("catch &amp; hold",E709)),ISNUMBER(SEARCH("tin cat",E709))),"Live Catch Traps",
OR(ISNUMBER(SEARCH("bait",E709)),ISNUMBER(SEARCH("poison",E709))),"Bait &amp; Poison",
ISNUMBER(SEARCH("repellent",E709)),"Repellents",
OR(ISNUMBER(SEARCH("fly trap",E709)),ISNUMBER(SEARCH("fly ribbon",E709)),ISNUMBER(SEARCH("fly stick",E709)),ISNUMBER(SEARCH("window fly",E709)),ISNUMBER(SEARCH("fly magnet",E709))),"Fly Traps",
OR(ISNUMBER(SEARCH("uv",E709)),ISNUMBER(SEARCH("fly light",E709)),ISNUMBER(SEARCH("plug-in",E709))),"UV Fly Traps",
ISNUMBER(SEARCH("roach",E709)),"Roach Traps",
ISNUMBER(SEARCH("ant",E709)),"Ant Traps",
ISNUMBER(SEARCH("spider",E709)),"Spider Traps",
ISNUMBER(SEARCH("mosquito",E709)),"Mosquito Traps",
ISNUMBER(SEARCH("beetle",E709)),"Beetle Traps",
ISNUMBER(SEARCH("lantern",E709)),"Lanternfly Control",
OR(ISNUMBER(SEARCH("tree shield",E709)),ISNUMBER(SEARCH("tree banding",E709)),ISNUMBER(SEARCH("insect barrier",E709))),"Tree Barriers",
OR(ISNUMBER(SEARCH("sun &amp; shade",E709)),ISNUMBER(SEARCH("sun and shade",E709))),"Sun &amp; Shade Mix",
ISNUMBER(SEARCH("tall fescue",E709)),"Tall Fescue",
ISNUMBER(SEARCH("bermudagrass",E709)),"Bermudagrass",
ISNUMBER(SEARCH("kentucky",E709)),"Kentucky Bluegrass",
ISNUMBER(SEARCH("zoysia",E709)),"Zoysia",
ISNUMBER(SEARCH("ryegrass",E709)),"Perennial Ryegrass",
ISNUMBER(SEARCH("centipede",E709)),"Centipede Grass",
ISNUMBER(SEARCH("dense shade",E709)),"Dense Shade Mix",
ISNUMBER(SEARCH("southern gold",E709)),"Southern Gold Mix",
ISNUMBER(SEARCH("heat-tolerant blue",E709)),"Heat-Tolerant Blue Mix",
ISNUMBER(SEARCH("high traffic",E709)),"High Traffic Mix",
ISNUMBER(SEARCH("quick fix",E709)),"Quick Fix Mix",
ISNUMBER(SEARCH("starter",E709)),"Starter Fertilizer",
ISNUMBER(SEARCH("weed &amp; feed",E709)),"Weed &amp; Feed",
ISNUMBER(SEARCH("lawn food",E709)),"Lawn Food",
ISNUMBER(SEARCH("triple action",E709)),"Triple Action Fertilizer",
ISNUMBER(SEARCH("green max",E709)),"Green Max Lawn Food",
ISNUMBER(SEARCH("patchmaster",E709)),"PatchMaster Repair",
ISNUMBER(SEARCH("ez seed",E709)),"EZ Seed Repair",
ISNUMBER(SEARCH("rapid grass",E709)),"Rapid Grass",
ISNUMBER(SEARCH("thick'r lawn",E709)),"Thick'R Lawn",
ISNUMBER(SEARCH("fungicide",E709)),"Fungicide",
ISNUMBER(SEARCH("moss",E709)),"Moss Control",
ISNUMBER(SEARCH("perlite",E709)),"Perlite",
ISNUMBER(SEARCH("plant food",E709)),"Plant Food",
ISNUMBER(SEARCH("spreader",E709)),"Spreader",
ISNUMBER(SEARCH("sprayer",E709)),"Sprayer",
ISNUMBER(SEARCH("mower",E709)),"Lawn Mower",
ISNUMBER(SEARCH("sweeper",E709)),"Lawn Sweeper",
OR(ISNUMBER(SEARCH("pruner",E709)),ISNUMBER(SEARCH("trimmer",E709)),ISNUMBER(SEARCH("pole saw",E709))),"Pruning Tools",
TRUE,"Other"
)</f>
        <v>Spider Traps</v>
      </c>
      <c r="J709" s="7" t="str">
        <f t="shared" si="207"/>
        <v>Rodent Control - Spider Traps</v>
      </c>
      <c r="K709" s="4">
        <v>50</v>
      </c>
      <c r="L709" s="4">
        <v>4.5999999999999996</v>
      </c>
      <c r="M709" s="4">
        <v>173</v>
      </c>
      <c r="N709" s="4" t="s">
        <v>3217</v>
      </c>
      <c r="O709" s="4">
        <f>VLOOKUP(A709,[13]Sheet1!$A:$M,2,0)</f>
        <v>0</v>
      </c>
      <c r="P709" s="4">
        <f>VLOOKUP(A709,[13]Sheet1!$A:$M,3,0)</f>
        <v>0</v>
      </c>
      <c r="Q709" s="4">
        <f>VLOOKUP(A709,[13]Sheet1!$A:$M,4,0)</f>
        <v>0</v>
      </c>
      <c r="R709" s="4">
        <f>VLOOKUP(A709,[13]Sheet1!$A:$M,5,0)</f>
        <v>50</v>
      </c>
      <c r="S709" s="4">
        <f>VLOOKUP(A709,[13]Sheet1!$A:$M,6,0)</f>
        <v>50</v>
      </c>
      <c r="T709" s="4">
        <f>VLOOKUP(A709,[13]Sheet1!$A:$M,7,0)</f>
        <v>100</v>
      </c>
      <c r="U709" s="4">
        <f>VLOOKUP(A709,[13]Sheet1!$A:$M,8,0)</f>
        <v>100</v>
      </c>
      <c r="V709" s="4">
        <f>VLOOKUP(A709,[13]Sheet1!$A:$M,9,0)</f>
        <v>50</v>
      </c>
      <c r="W709" s="4">
        <f>VLOOKUP(A709,[13]Sheet1!$A:$M,10,0)</f>
        <v>50</v>
      </c>
      <c r="X709" s="4">
        <f>VLOOKUP(A709,[13]Sheet1!$A:$M,11,0)</f>
        <v>0</v>
      </c>
      <c r="Y709" s="4">
        <f>VLOOKUP(A709,[13]Sheet1!$A:$M,12,0)</f>
        <v>0</v>
      </c>
      <c r="Z709" s="4">
        <f>VLOOKUP(A709,[13]Sheet1!$A:$M,13,0)</f>
        <v>0</v>
      </c>
      <c r="AA709" s="4">
        <f t="shared" si="208"/>
        <v>400</v>
      </c>
      <c r="AB709" s="7">
        <f t="shared" si="209"/>
        <v>33</v>
      </c>
      <c r="AC709" s="15">
        <f t="shared" si="210"/>
        <v>33.333333333333336</v>
      </c>
      <c r="AD709" s="16">
        <f t="shared" si="211"/>
        <v>9300</v>
      </c>
      <c r="AE709" s="16">
        <f t="shared" si="212"/>
        <v>775</v>
      </c>
      <c r="AF709" s="21">
        <v>5.84</v>
      </c>
      <c r="AG709" s="21">
        <v>23.25</v>
      </c>
      <c r="AH709" s="15">
        <f t="shared" si="205"/>
        <v>0.16399999999999995</v>
      </c>
      <c r="AI709" s="15">
        <f t="shared" si="206"/>
        <v>0.57399999999999973</v>
      </c>
      <c r="AJ709" s="10">
        <v>0.5</v>
      </c>
      <c r="AK709" s="10">
        <v>0.5</v>
      </c>
      <c r="AL709" s="21">
        <v>5.84</v>
      </c>
      <c r="AM709" s="9">
        <f t="shared" si="213"/>
        <v>3.4874999999999998</v>
      </c>
      <c r="AN709" s="9">
        <f t="shared" si="214"/>
        <v>0.69750000000000001</v>
      </c>
      <c r="AO709" s="9">
        <f t="shared" si="215"/>
        <v>4.6500000000000004</v>
      </c>
      <c r="AP709" s="9">
        <f t="shared" si="216"/>
        <v>0.46500000000000002</v>
      </c>
      <c r="AQ709" s="9">
        <f t="shared" si="217"/>
        <v>4.6500000000000004</v>
      </c>
      <c r="AR709" s="9">
        <f t="shared" si="218"/>
        <v>5.8125</v>
      </c>
      <c r="AS709" s="11">
        <f t="shared" si="219"/>
        <v>1.6399999999999995</v>
      </c>
      <c r="AT709" s="12">
        <f t="shared" si="220"/>
        <v>0.86499999999999966</v>
      </c>
    </row>
    <row r="710" spans="1:46" ht="16.5" x14ac:dyDescent="0.4">
      <c r="A710" s="4" t="s">
        <v>2700</v>
      </c>
      <c r="B710" s="4" t="s">
        <v>2710</v>
      </c>
      <c r="C710" s="4" t="s">
        <v>2712</v>
      </c>
      <c r="D710" s="4" t="s">
        <v>2879</v>
      </c>
      <c r="E710" s="4" t="s">
        <v>3038</v>
      </c>
      <c r="F710" s="4" t="s">
        <v>3197</v>
      </c>
      <c r="G710" s="7" t="str">
        <f>VLOOKUP(A710,[1]done!$A:$I,9,0)</f>
        <v>Other crawling insects</v>
      </c>
      <c r="H710" s="7" t="str" cm="1">
        <f t="array" ref="H710">_xlfn.IFS(
OR(ISNUMBER(SEARCH("mouse",E710)),ISNUMBER(SEARCH("rat",E710)),ISNUMBER(SEARCH("mice",E710)),ISNUMBER(SEARCH("rodent",E710))),"Rodent Control",
OR(ISNUMBER(SEARCH("fly",E710)),ISNUMBER(SEARCH("gnat",E710)),ISNUMBER(SEARCH("insect",E710)),ISNUMBER(SEARCH("mosquito",E710))),"Flying Insect Control",
OR(ISNUMBER(SEARCH("roach",E710)),ISNUMBER(SEARCH("ant",E710)),ISNUMBER(SEARCH("spider",E710)),ISNUMBER(SEARCH("cricket",E710)),ISNUMBER(SEARCH("scorpion",E710)),ISNUMBER(SEARCH("centipede",E710)),ISNUMBER(SEARCH("beetle",E710))),"Crawling Insect Control",
OR(ISNUMBER(SEARCH("tree",E710)),ISNUMBER(SEARCH("lantern",E710)),ISNUMBER(SEARCH("garden",E710)),ISNUMBER(SEARCH("plant",E710))),"Garden Pest Control",
OR(ISNUMBER(SEARCH("grass seed",E710)),ISNUMBER(SEARCH("seed mix",E710))),"Grass Seed",
OR(ISNUMBER(SEARCH("lawn food",E710)),ISNUMBER(SEARCH("fertilizer",E710))),"Lawn Fertilizer",
OR(ISNUMBER(SEARCH("patch",E710)),ISNUMBER(SEARCH("repair",E710)),ISNUMBER(SEARCH("thick'r",E710)),ISNUMBER(SEARCH("thick'r lawn",E710)),ISNUMBER(SEARCH("rapid grass",E710))),"Lawn Repair",
OR(ISNUMBER(SEARCH("weed",E710)),ISNUMBER(SEARCH("crabgrass",E710))),"Weed Control",
OR(ISNUMBER(SEARCH("fungicide",E710)),ISNUMBER(SEARCH("moss",E710))),"Disease &amp; Moss Control",
OR(ISNUMBER(SEARCH("plant food",E710)),ISNUMBER(SEARCH("miracid",E710))),"Plant Nutrition",
OR(ISNUMBER(SEARCH("perlite",E710))),"Soil Amendment",
OR(ISNUMBER(SEARCH("spreader",E710)),ISNUMBER(SEARCH("sprayer",E710)),ISNUMBER(SEARCH("mower",E710)),ISNUMBER(SEARCH("sweeper",E710)),ISNUMBER(SEARCH("pruner",E710)),ISNUMBER(SEARCH("trimmer",E710)),ISNUMBER(SEARCH("pole saw",E710))),"Garden Equipment",
TRUE,"Other"
)</f>
        <v>Flying Insect Control</v>
      </c>
      <c r="I710" s="7" t="str" cm="1">
        <f t="array" ref="I710">_xlfn.IFS(
OR(ISNUMBER(SEARCH("glue trap",E710)),ISNUMBER(SEARCH("glue board",E710))),"Glue Traps",
OR(ISNUMBER(SEARCH("snap trap",E710)),ISNUMBER(SEARCH("power-kill",E710)),ISNUMBER(SEARCH("wide pedal",E710)),ISNUMBER(SEARCH("metal pedal",E710))),"Snap Traps",
OR(ISNUMBER(SEARCH("electronic",E710)),ISNUMBER(SEARCH("zapper",E710))),"Electronic Traps",
OR(ISNUMBER(SEARCH("live catch",E710)),ISNUMBER(SEARCH("multi-catch",E710)),ISNUMBER(SEARCH("catch &amp; hold",E710)),ISNUMBER(SEARCH("tin cat",E710))),"Live Catch Traps",
OR(ISNUMBER(SEARCH("bait",E710)),ISNUMBER(SEARCH("poison",E710))),"Bait &amp; Poison",
ISNUMBER(SEARCH("repellent",E710)),"Repellents",
OR(ISNUMBER(SEARCH("fly trap",E710)),ISNUMBER(SEARCH("fly ribbon",E710)),ISNUMBER(SEARCH("fly stick",E710)),ISNUMBER(SEARCH("window fly",E710)),ISNUMBER(SEARCH("fly magnet",E710))),"Fly Traps",
OR(ISNUMBER(SEARCH("uv",E710)),ISNUMBER(SEARCH("fly light",E710)),ISNUMBER(SEARCH("plug-in",E710))),"UV Fly Traps",
ISNUMBER(SEARCH("roach",E710)),"Roach Traps",
ISNUMBER(SEARCH("ant",E710)),"Ant Traps",
ISNUMBER(SEARCH("spider",E710)),"Spider Traps",
ISNUMBER(SEARCH("mosquito",E710)),"Mosquito Traps",
ISNUMBER(SEARCH("beetle",E710)),"Beetle Traps",
ISNUMBER(SEARCH("lantern",E710)),"Lanternfly Control",
OR(ISNUMBER(SEARCH("tree shield",E710)),ISNUMBER(SEARCH("tree banding",E710)),ISNUMBER(SEARCH("insect barrier",E710))),"Tree Barriers",
OR(ISNUMBER(SEARCH("sun &amp; shade",E710)),ISNUMBER(SEARCH("sun and shade",E710))),"Sun &amp; Shade Mix",
ISNUMBER(SEARCH("tall fescue",E710)),"Tall Fescue",
ISNUMBER(SEARCH("bermudagrass",E710)),"Bermudagrass",
ISNUMBER(SEARCH("kentucky",E710)),"Kentucky Bluegrass",
ISNUMBER(SEARCH("zoysia",E710)),"Zoysia",
ISNUMBER(SEARCH("ryegrass",E710)),"Perennial Ryegrass",
ISNUMBER(SEARCH("centipede",E710)),"Centipede Grass",
ISNUMBER(SEARCH("dense shade",E710)),"Dense Shade Mix",
ISNUMBER(SEARCH("southern gold",E710)),"Southern Gold Mix",
ISNUMBER(SEARCH("heat-tolerant blue",E710)),"Heat-Tolerant Blue Mix",
ISNUMBER(SEARCH("high traffic",E710)),"High Traffic Mix",
ISNUMBER(SEARCH("quick fix",E710)),"Quick Fix Mix",
ISNUMBER(SEARCH("starter",E710)),"Starter Fertilizer",
ISNUMBER(SEARCH("weed &amp; feed",E710)),"Weed &amp; Feed",
ISNUMBER(SEARCH("lawn food",E710)),"Lawn Food",
ISNUMBER(SEARCH("triple action",E710)),"Triple Action Fertilizer",
ISNUMBER(SEARCH("green max",E710)),"Green Max Lawn Food",
ISNUMBER(SEARCH("patchmaster",E710)),"PatchMaster Repair",
ISNUMBER(SEARCH("ez seed",E710)),"EZ Seed Repair",
ISNUMBER(SEARCH("rapid grass",E710)),"Rapid Grass",
ISNUMBER(SEARCH("thick'r lawn",E710)),"Thick'R Lawn",
ISNUMBER(SEARCH("fungicide",E710)),"Fungicide",
ISNUMBER(SEARCH("moss",E710)),"Moss Control",
ISNUMBER(SEARCH("perlite",E710)),"Perlite",
ISNUMBER(SEARCH("plant food",E710)),"Plant Food",
ISNUMBER(SEARCH("spreader",E710)),"Spreader",
ISNUMBER(SEARCH("sprayer",E710)),"Sprayer",
ISNUMBER(SEARCH("mower",E710)),"Lawn Mower",
ISNUMBER(SEARCH("sweeper",E710)),"Lawn Sweeper",
OR(ISNUMBER(SEARCH("pruner",E710)),ISNUMBER(SEARCH("trimmer",E710)),ISNUMBER(SEARCH("pole saw",E710))),"Pruning Tools",
TRUE,"Other"
)</f>
        <v>Other</v>
      </c>
      <c r="J710" s="7" t="str">
        <f t="shared" si="207"/>
        <v>Flying Insect Control - Other</v>
      </c>
      <c r="K710" s="4">
        <v>50</v>
      </c>
      <c r="L710" s="4">
        <v>4.2</v>
      </c>
      <c r="M710" s="4">
        <v>301</v>
      </c>
      <c r="N710" s="4" t="s">
        <v>3257</v>
      </c>
      <c r="O710" s="4">
        <f>VLOOKUP(A710,[13]Sheet1!$A:$M,2,0)</f>
        <v>0</v>
      </c>
      <c r="P710" s="4">
        <f>VLOOKUP(A710,[13]Sheet1!$A:$M,3,0)</f>
        <v>0</v>
      </c>
      <c r="Q710" s="4">
        <f>VLOOKUP(A710,[13]Sheet1!$A:$M,4,0)</f>
        <v>0</v>
      </c>
      <c r="R710" s="4">
        <f>VLOOKUP(A710,[13]Sheet1!$A:$M,5,0)</f>
        <v>50</v>
      </c>
      <c r="S710" s="4">
        <f>VLOOKUP(A710,[13]Sheet1!$A:$M,6,0)</f>
        <v>0</v>
      </c>
      <c r="T710" s="4">
        <f>VLOOKUP(A710,[13]Sheet1!$A:$M,7,0)</f>
        <v>0</v>
      </c>
      <c r="U710" s="4">
        <f>VLOOKUP(A710,[13]Sheet1!$A:$M,8,0)</f>
        <v>50</v>
      </c>
      <c r="V710" s="4">
        <f>VLOOKUP(A710,[13]Sheet1!$A:$M,9,0)</f>
        <v>0</v>
      </c>
      <c r="W710" s="4">
        <f>VLOOKUP(A710,[13]Sheet1!$A:$M,10,0)</f>
        <v>50</v>
      </c>
      <c r="X710" s="4">
        <f>VLOOKUP(A710,[13]Sheet1!$A:$M,11,0)</f>
        <v>0</v>
      </c>
      <c r="Y710" s="4">
        <f>VLOOKUP(A710,[13]Sheet1!$A:$M,12,0)</f>
        <v>0</v>
      </c>
      <c r="Z710" s="4">
        <f>VLOOKUP(A710,[13]Sheet1!$A:$M,13,0)</f>
        <v>0</v>
      </c>
      <c r="AA710" s="4">
        <f t="shared" si="208"/>
        <v>150</v>
      </c>
      <c r="AB710" s="7">
        <f t="shared" si="209"/>
        <v>13</v>
      </c>
      <c r="AC710" s="15">
        <f t="shared" si="210"/>
        <v>12.5</v>
      </c>
      <c r="AD710" s="16">
        <f t="shared" si="211"/>
        <v>3280.5</v>
      </c>
      <c r="AE710" s="16">
        <f t="shared" si="212"/>
        <v>273.375</v>
      </c>
      <c r="AF710" s="21">
        <v>6.13</v>
      </c>
      <c r="AG710" s="21">
        <v>21.87</v>
      </c>
      <c r="AH710" s="15">
        <f t="shared" si="205"/>
        <v>0.10786666666666662</v>
      </c>
      <c r="AI710" s="15">
        <f t="shared" si="206"/>
        <v>0.37753333333333317</v>
      </c>
      <c r="AJ710" s="10">
        <v>0.5</v>
      </c>
      <c r="AK710" s="10">
        <v>0.5</v>
      </c>
      <c r="AL710" s="21">
        <v>6.13</v>
      </c>
      <c r="AM710" s="9">
        <f t="shared" si="213"/>
        <v>3.2805</v>
      </c>
      <c r="AN710" s="9">
        <f t="shared" si="214"/>
        <v>0.65610000000000002</v>
      </c>
      <c r="AO710" s="9">
        <f t="shared" si="215"/>
        <v>4.3740000000000006</v>
      </c>
      <c r="AP710" s="9">
        <f t="shared" si="216"/>
        <v>0.43740000000000001</v>
      </c>
      <c r="AQ710" s="9">
        <f t="shared" si="217"/>
        <v>4.3740000000000006</v>
      </c>
      <c r="AR710" s="9">
        <f t="shared" si="218"/>
        <v>5.4675000000000002</v>
      </c>
      <c r="AS710" s="11">
        <f t="shared" si="219"/>
        <v>1.0786666666666662</v>
      </c>
      <c r="AT710" s="12">
        <f t="shared" si="220"/>
        <v>0.34966666666666651</v>
      </c>
    </row>
    <row r="711" spans="1:46" ht="16.5" x14ac:dyDescent="0.4">
      <c r="A711" s="4" t="s">
        <v>2701</v>
      </c>
      <c r="B711" s="4" t="s">
        <v>2710</v>
      </c>
      <c r="C711" s="4" t="s">
        <v>2727</v>
      </c>
      <c r="D711" s="4" t="s">
        <v>2880</v>
      </c>
      <c r="E711" s="4" t="s">
        <v>3039</v>
      </c>
      <c r="F711" s="4" t="s">
        <v>3198</v>
      </c>
      <c r="G711" s="7" t="str">
        <f>VLOOKUP(A711,[1]done!$A:$I,9,0)</f>
        <v>Insecticide/Fungicide</v>
      </c>
      <c r="H711" s="7" t="str" cm="1">
        <f t="array" ref="H711">_xlfn.IFS(
OR(ISNUMBER(SEARCH("mouse",E711)),ISNUMBER(SEARCH("rat",E711)),ISNUMBER(SEARCH("mice",E711)),ISNUMBER(SEARCH("rodent",E711))),"Rodent Control",
OR(ISNUMBER(SEARCH("fly",E711)),ISNUMBER(SEARCH("gnat",E711)),ISNUMBER(SEARCH("insect",E711)),ISNUMBER(SEARCH("mosquito",E711))),"Flying Insect Control",
OR(ISNUMBER(SEARCH("roach",E711)),ISNUMBER(SEARCH("ant",E711)),ISNUMBER(SEARCH("spider",E711)),ISNUMBER(SEARCH("cricket",E711)),ISNUMBER(SEARCH("scorpion",E711)),ISNUMBER(SEARCH("centipede",E711)),ISNUMBER(SEARCH("beetle",E711))),"Crawling Insect Control",
OR(ISNUMBER(SEARCH("tree",E711)),ISNUMBER(SEARCH("lantern",E711)),ISNUMBER(SEARCH("garden",E711)),ISNUMBER(SEARCH("plant",E711))),"Garden Pest Control",
OR(ISNUMBER(SEARCH("grass seed",E711)),ISNUMBER(SEARCH("seed mix",E711))),"Grass Seed",
OR(ISNUMBER(SEARCH("lawn food",E711)),ISNUMBER(SEARCH("fertilizer",E711))),"Lawn Fertilizer",
OR(ISNUMBER(SEARCH("patch",E711)),ISNUMBER(SEARCH("repair",E711)),ISNUMBER(SEARCH("thick'r",E711)),ISNUMBER(SEARCH("thick'r lawn",E711)),ISNUMBER(SEARCH("rapid grass",E711))),"Lawn Repair",
OR(ISNUMBER(SEARCH("weed",E711)),ISNUMBER(SEARCH("crabgrass",E711))),"Weed Control",
OR(ISNUMBER(SEARCH("fungicide",E711)),ISNUMBER(SEARCH("moss",E711))),"Disease &amp; Moss Control",
OR(ISNUMBER(SEARCH("plant food",E711)),ISNUMBER(SEARCH("miracid",E711))),"Plant Nutrition",
OR(ISNUMBER(SEARCH("perlite",E711))),"Soil Amendment",
OR(ISNUMBER(SEARCH("spreader",E711)),ISNUMBER(SEARCH("sprayer",E711)),ISNUMBER(SEARCH("mower",E711)),ISNUMBER(SEARCH("sweeper",E711)),ISNUMBER(SEARCH("pruner",E711)),ISNUMBER(SEARCH("trimmer",E711)),ISNUMBER(SEARCH("pole saw",E711))),"Garden Equipment",
TRUE,"Other"
)</f>
        <v>Other</v>
      </c>
      <c r="I711" s="7" t="str" cm="1">
        <f t="array" ref="I711">_xlfn.IFS(
OR(ISNUMBER(SEARCH("glue trap",E711)),ISNUMBER(SEARCH("glue board",E711))),"Glue Traps",
OR(ISNUMBER(SEARCH("snap trap",E711)),ISNUMBER(SEARCH("power-kill",E711)),ISNUMBER(SEARCH("wide pedal",E711)),ISNUMBER(SEARCH("metal pedal",E711))),"Snap Traps",
OR(ISNUMBER(SEARCH("electronic",E711)),ISNUMBER(SEARCH("zapper",E711))),"Electronic Traps",
OR(ISNUMBER(SEARCH("live catch",E711)),ISNUMBER(SEARCH("multi-catch",E711)),ISNUMBER(SEARCH("catch &amp; hold",E711)),ISNUMBER(SEARCH("tin cat",E711))),"Live Catch Traps",
OR(ISNUMBER(SEARCH("bait",E711)),ISNUMBER(SEARCH("poison",E711))),"Bait &amp; Poison",
ISNUMBER(SEARCH("repellent",E711)),"Repellents",
OR(ISNUMBER(SEARCH("fly trap",E711)),ISNUMBER(SEARCH("fly ribbon",E711)),ISNUMBER(SEARCH("fly stick",E711)),ISNUMBER(SEARCH("window fly",E711)),ISNUMBER(SEARCH("fly magnet",E711))),"Fly Traps",
OR(ISNUMBER(SEARCH("uv",E711)),ISNUMBER(SEARCH("fly light",E711)),ISNUMBER(SEARCH("plug-in",E711))),"UV Fly Traps",
ISNUMBER(SEARCH("roach",E711)),"Roach Traps",
ISNUMBER(SEARCH("ant",E711)),"Ant Traps",
ISNUMBER(SEARCH("spider",E711)),"Spider Traps",
ISNUMBER(SEARCH("mosquito",E711)),"Mosquito Traps",
ISNUMBER(SEARCH("beetle",E711)),"Beetle Traps",
ISNUMBER(SEARCH("lantern",E711)),"Lanternfly Control",
OR(ISNUMBER(SEARCH("tree shield",E711)),ISNUMBER(SEARCH("tree banding",E711)),ISNUMBER(SEARCH("insect barrier",E711))),"Tree Barriers",
OR(ISNUMBER(SEARCH("sun &amp; shade",E711)),ISNUMBER(SEARCH("sun and shade",E711))),"Sun &amp; Shade Mix",
ISNUMBER(SEARCH("tall fescue",E711)),"Tall Fescue",
ISNUMBER(SEARCH("bermudagrass",E711)),"Bermudagrass",
ISNUMBER(SEARCH("kentucky",E711)),"Kentucky Bluegrass",
ISNUMBER(SEARCH("zoysia",E711)),"Zoysia",
ISNUMBER(SEARCH("ryegrass",E711)),"Perennial Ryegrass",
ISNUMBER(SEARCH("centipede",E711)),"Centipede Grass",
ISNUMBER(SEARCH("dense shade",E711)),"Dense Shade Mix",
ISNUMBER(SEARCH("southern gold",E711)),"Southern Gold Mix",
ISNUMBER(SEARCH("heat-tolerant blue",E711)),"Heat-Tolerant Blue Mix",
ISNUMBER(SEARCH("high traffic",E711)),"High Traffic Mix",
ISNUMBER(SEARCH("quick fix",E711)),"Quick Fix Mix",
ISNUMBER(SEARCH("starter",E711)),"Starter Fertilizer",
ISNUMBER(SEARCH("weed &amp; feed",E711)),"Weed &amp; Feed",
ISNUMBER(SEARCH("lawn food",E711)),"Lawn Food",
ISNUMBER(SEARCH("triple action",E711)),"Triple Action Fertilizer",
ISNUMBER(SEARCH("green max",E711)),"Green Max Lawn Food",
ISNUMBER(SEARCH("patchmaster",E711)),"PatchMaster Repair",
ISNUMBER(SEARCH("ez seed",E711)),"EZ Seed Repair",
ISNUMBER(SEARCH("rapid grass",E711)),"Rapid Grass",
ISNUMBER(SEARCH("thick'r lawn",E711)),"Thick'R Lawn",
ISNUMBER(SEARCH("fungicide",E711)),"Fungicide",
ISNUMBER(SEARCH("moss",E711)),"Moss Control",
ISNUMBER(SEARCH("perlite",E711)),"Perlite",
ISNUMBER(SEARCH("plant food",E711)),"Plant Food",
ISNUMBER(SEARCH("spreader",E711)),"Spreader",
ISNUMBER(SEARCH("sprayer",E711)),"Sprayer",
ISNUMBER(SEARCH("mower",E711)),"Lawn Mower",
ISNUMBER(SEARCH("sweeper",E711)),"Lawn Sweeper",
OR(ISNUMBER(SEARCH("pruner",E711)),ISNUMBER(SEARCH("trimmer",E711)),ISNUMBER(SEARCH("pole saw",E711))),"Pruning Tools",
TRUE,"Other"
)</f>
        <v>Other</v>
      </c>
      <c r="J711" s="7" t="str">
        <f t="shared" si="207"/>
        <v>Other - Other</v>
      </c>
      <c r="K711" s="4">
        <v>50</v>
      </c>
      <c r="L711" s="4">
        <v>4.5</v>
      </c>
      <c r="M711" s="4">
        <v>912</v>
      </c>
      <c r="N711" s="4" t="s">
        <v>3258</v>
      </c>
      <c r="O711" s="4">
        <f>VLOOKUP(A711,[13]Sheet1!$A:$M,2,0)</f>
        <v>0</v>
      </c>
      <c r="P711" s="4">
        <f>VLOOKUP(A711,[13]Sheet1!$A:$M,3,0)</f>
        <v>0</v>
      </c>
      <c r="Q711" s="4">
        <f>VLOOKUP(A711,[13]Sheet1!$A:$M,4,0)</f>
        <v>50</v>
      </c>
      <c r="R711" s="4">
        <f>VLOOKUP(A711,[13]Sheet1!$A:$M,5,0)</f>
        <v>100</v>
      </c>
      <c r="S711" s="4">
        <f>VLOOKUP(A711,[13]Sheet1!$A:$M,6,0)</f>
        <v>200</v>
      </c>
      <c r="T711" s="4">
        <f>VLOOKUP(A711,[13]Sheet1!$A:$M,7,0)</f>
        <v>400</v>
      </c>
      <c r="U711" s="4">
        <f>VLOOKUP(A711,[13]Sheet1!$A:$M,8,0)</f>
        <v>200</v>
      </c>
      <c r="V711" s="4">
        <f>VLOOKUP(A711,[13]Sheet1!$A:$M,9,0)</f>
        <v>100</v>
      </c>
      <c r="W711" s="4">
        <f>VLOOKUP(A711,[13]Sheet1!$A:$M,10,0)</f>
        <v>50</v>
      </c>
      <c r="X711" s="4">
        <f>VLOOKUP(A711,[13]Sheet1!$A:$M,11,0)</f>
        <v>50</v>
      </c>
      <c r="Y711" s="4">
        <f>VLOOKUP(A711,[13]Sheet1!$A:$M,12,0)</f>
        <v>50</v>
      </c>
      <c r="Z711" s="4">
        <f>VLOOKUP(A711,[13]Sheet1!$A:$M,13,0)</f>
        <v>50</v>
      </c>
      <c r="AA711" s="4">
        <f t="shared" si="208"/>
        <v>1250</v>
      </c>
      <c r="AB711" s="7">
        <f t="shared" si="209"/>
        <v>104</v>
      </c>
      <c r="AC711" s="15">
        <f t="shared" si="210"/>
        <v>104.16666666666667</v>
      </c>
      <c r="AD711" s="16">
        <f t="shared" si="211"/>
        <v>37487.5</v>
      </c>
      <c r="AE711" s="16">
        <f t="shared" si="212"/>
        <v>3123.9583333333335</v>
      </c>
      <c r="AF711" s="21">
        <v>7.38</v>
      </c>
      <c r="AG711" s="21">
        <v>29.99</v>
      </c>
      <c r="AH711" s="15">
        <f t="shared" si="205"/>
        <v>0.24106666666666673</v>
      </c>
      <c r="AI711" s="15">
        <f t="shared" si="206"/>
        <v>0.84373333333333345</v>
      </c>
      <c r="AJ711" s="10">
        <v>0.5</v>
      </c>
      <c r="AK711" s="10">
        <v>0.5</v>
      </c>
      <c r="AL711" s="21">
        <v>7.38</v>
      </c>
      <c r="AM711" s="9">
        <f t="shared" si="213"/>
        <v>4.4984999999999999</v>
      </c>
      <c r="AN711" s="9">
        <f t="shared" si="214"/>
        <v>0.89969999999999994</v>
      </c>
      <c r="AO711" s="9">
        <f t="shared" si="215"/>
        <v>5.9980000000000002</v>
      </c>
      <c r="AP711" s="9">
        <f t="shared" si="216"/>
        <v>0.5998</v>
      </c>
      <c r="AQ711" s="9">
        <f t="shared" si="217"/>
        <v>5.9980000000000002</v>
      </c>
      <c r="AR711" s="9">
        <f t="shared" si="218"/>
        <v>7.4974999999999996</v>
      </c>
      <c r="AS711" s="11">
        <f t="shared" si="219"/>
        <v>2.4106666666666672</v>
      </c>
      <c r="AT711" s="12">
        <f t="shared" si="220"/>
        <v>1.4110000000000007</v>
      </c>
    </row>
    <row r="712" spans="1:46" ht="16.5" x14ac:dyDescent="0.4">
      <c r="A712" s="4" t="s">
        <v>2702</v>
      </c>
      <c r="B712" s="4" t="s">
        <v>2710</v>
      </c>
      <c r="C712" s="4" t="s">
        <v>2712</v>
      </c>
      <c r="D712" s="4" t="s">
        <v>2881</v>
      </c>
      <c r="E712" s="4" t="s">
        <v>3040</v>
      </c>
      <c r="F712" s="4" t="s">
        <v>3199</v>
      </c>
      <c r="G712" s="7" t="str">
        <f>VLOOKUP(A712,[1]done!$A:$I,9,0)</f>
        <v>Insecticide/Fungicide</v>
      </c>
      <c r="H712" s="7" t="str" cm="1">
        <f t="array" ref="H712">_xlfn.IFS(
OR(ISNUMBER(SEARCH("mouse",E712)),ISNUMBER(SEARCH("rat",E712)),ISNUMBER(SEARCH("mice",E712)),ISNUMBER(SEARCH("rodent",E712))),"Rodent Control",
OR(ISNUMBER(SEARCH("fly",E712)),ISNUMBER(SEARCH("gnat",E712)),ISNUMBER(SEARCH("insect",E712)),ISNUMBER(SEARCH("mosquito",E712))),"Flying Insect Control",
OR(ISNUMBER(SEARCH("roach",E712)),ISNUMBER(SEARCH("ant",E712)),ISNUMBER(SEARCH("spider",E712)),ISNUMBER(SEARCH("cricket",E712)),ISNUMBER(SEARCH("scorpion",E712)),ISNUMBER(SEARCH("centipede",E712)),ISNUMBER(SEARCH("beetle",E712))),"Crawling Insect Control",
OR(ISNUMBER(SEARCH("tree",E712)),ISNUMBER(SEARCH("lantern",E712)),ISNUMBER(SEARCH("garden",E712)),ISNUMBER(SEARCH("plant",E712))),"Garden Pest Control",
OR(ISNUMBER(SEARCH("grass seed",E712)),ISNUMBER(SEARCH("seed mix",E712))),"Grass Seed",
OR(ISNUMBER(SEARCH("lawn food",E712)),ISNUMBER(SEARCH("fertilizer",E712))),"Lawn Fertilizer",
OR(ISNUMBER(SEARCH("patch",E712)),ISNUMBER(SEARCH("repair",E712)),ISNUMBER(SEARCH("thick'r",E712)),ISNUMBER(SEARCH("thick'r lawn",E712)),ISNUMBER(SEARCH("rapid grass",E712))),"Lawn Repair",
OR(ISNUMBER(SEARCH("weed",E712)),ISNUMBER(SEARCH("crabgrass",E712))),"Weed Control",
OR(ISNUMBER(SEARCH("fungicide",E712)),ISNUMBER(SEARCH("moss",E712))),"Disease &amp; Moss Control",
OR(ISNUMBER(SEARCH("plant food",E712)),ISNUMBER(SEARCH("miracid",E712))),"Plant Nutrition",
OR(ISNUMBER(SEARCH("perlite",E712))),"Soil Amendment",
OR(ISNUMBER(SEARCH("spreader",E712)),ISNUMBER(SEARCH("sprayer",E712)),ISNUMBER(SEARCH("mower",E712)),ISNUMBER(SEARCH("sweeper",E712)),ISNUMBER(SEARCH("pruner",E712)),ISNUMBER(SEARCH("trimmer",E712)),ISNUMBER(SEARCH("pole saw",E712))),"Garden Equipment",
TRUE,"Other"
)</f>
        <v>Other</v>
      </c>
      <c r="I712" s="7" t="str" cm="1">
        <f t="array" ref="I712">_xlfn.IFS(
OR(ISNUMBER(SEARCH("glue trap",E712)),ISNUMBER(SEARCH("glue board",E712))),"Glue Traps",
OR(ISNUMBER(SEARCH("snap trap",E712)),ISNUMBER(SEARCH("power-kill",E712)),ISNUMBER(SEARCH("wide pedal",E712)),ISNUMBER(SEARCH("metal pedal",E712))),"Snap Traps",
OR(ISNUMBER(SEARCH("electronic",E712)),ISNUMBER(SEARCH("zapper",E712))),"Electronic Traps",
OR(ISNUMBER(SEARCH("live catch",E712)),ISNUMBER(SEARCH("multi-catch",E712)),ISNUMBER(SEARCH("catch &amp; hold",E712)),ISNUMBER(SEARCH("tin cat",E712))),"Live Catch Traps",
OR(ISNUMBER(SEARCH("bait",E712)),ISNUMBER(SEARCH("poison",E712))),"Bait &amp; Poison",
ISNUMBER(SEARCH("repellent",E712)),"Repellents",
OR(ISNUMBER(SEARCH("fly trap",E712)),ISNUMBER(SEARCH("fly ribbon",E712)),ISNUMBER(SEARCH("fly stick",E712)),ISNUMBER(SEARCH("window fly",E712)),ISNUMBER(SEARCH("fly magnet",E712))),"Fly Traps",
OR(ISNUMBER(SEARCH("uv",E712)),ISNUMBER(SEARCH("fly light",E712)),ISNUMBER(SEARCH("plug-in",E712))),"UV Fly Traps",
ISNUMBER(SEARCH("roach",E712)),"Roach Traps",
ISNUMBER(SEARCH("ant",E712)),"Ant Traps",
ISNUMBER(SEARCH("spider",E712)),"Spider Traps",
ISNUMBER(SEARCH("mosquito",E712)),"Mosquito Traps",
ISNUMBER(SEARCH("beetle",E712)),"Beetle Traps",
ISNUMBER(SEARCH("lantern",E712)),"Lanternfly Control",
OR(ISNUMBER(SEARCH("tree shield",E712)),ISNUMBER(SEARCH("tree banding",E712)),ISNUMBER(SEARCH("insect barrier",E712))),"Tree Barriers",
OR(ISNUMBER(SEARCH("sun &amp; shade",E712)),ISNUMBER(SEARCH("sun and shade",E712))),"Sun &amp; Shade Mix",
ISNUMBER(SEARCH("tall fescue",E712)),"Tall Fescue",
ISNUMBER(SEARCH("bermudagrass",E712)),"Bermudagrass",
ISNUMBER(SEARCH("kentucky",E712)),"Kentucky Bluegrass",
ISNUMBER(SEARCH("zoysia",E712)),"Zoysia",
ISNUMBER(SEARCH("ryegrass",E712)),"Perennial Ryegrass",
ISNUMBER(SEARCH("centipede",E712)),"Centipede Grass",
ISNUMBER(SEARCH("dense shade",E712)),"Dense Shade Mix",
ISNUMBER(SEARCH("southern gold",E712)),"Southern Gold Mix",
ISNUMBER(SEARCH("heat-tolerant blue",E712)),"Heat-Tolerant Blue Mix",
ISNUMBER(SEARCH("high traffic",E712)),"High Traffic Mix",
ISNUMBER(SEARCH("quick fix",E712)),"Quick Fix Mix",
ISNUMBER(SEARCH("starter",E712)),"Starter Fertilizer",
ISNUMBER(SEARCH("weed &amp; feed",E712)),"Weed &amp; Feed",
ISNUMBER(SEARCH("lawn food",E712)),"Lawn Food",
ISNUMBER(SEARCH("triple action",E712)),"Triple Action Fertilizer",
ISNUMBER(SEARCH("green max",E712)),"Green Max Lawn Food",
ISNUMBER(SEARCH("patchmaster",E712)),"PatchMaster Repair",
ISNUMBER(SEARCH("ez seed",E712)),"EZ Seed Repair",
ISNUMBER(SEARCH("rapid grass",E712)),"Rapid Grass",
ISNUMBER(SEARCH("thick'r lawn",E712)),"Thick'R Lawn",
ISNUMBER(SEARCH("fungicide",E712)),"Fungicide",
ISNUMBER(SEARCH("moss",E712)),"Moss Control",
ISNUMBER(SEARCH("perlite",E712)),"Perlite",
ISNUMBER(SEARCH("plant food",E712)),"Plant Food",
ISNUMBER(SEARCH("spreader",E712)),"Spreader",
ISNUMBER(SEARCH("sprayer",E712)),"Sprayer",
ISNUMBER(SEARCH("mower",E712)),"Lawn Mower",
ISNUMBER(SEARCH("sweeper",E712)),"Lawn Sweeper",
OR(ISNUMBER(SEARCH("pruner",E712)),ISNUMBER(SEARCH("trimmer",E712)),ISNUMBER(SEARCH("pole saw",E712))),"Pruning Tools",
TRUE,"Other"
)</f>
        <v>Other</v>
      </c>
      <c r="J712" s="7" t="str">
        <f t="shared" si="207"/>
        <v>Other - Other</v>
      </c>
      <c r="K712" s="4">
        <v>50</v>
      </c>
      <c r="L712" s="4">
        <v>4.5999999999999996</v>
      </c>
      <c r="M712" s="4">
        <v>147</v>
      </c>
      <c r="N712" s="4" t="s">
        <v>1400</v>
      </c>
      <c r="O712" s="4">
        <f>VLOOKUP(A712,[13]Sheet1!$A:$M,2,0)</f>
        <v>0</v>
      </c>
      <c r="P712" s="4">
        <f>VLOOKUP(A712,[13]Sheet1!$A:$M,3,0)</f>
        <v>0</v>
      </c>
      <c r="Q712" s="4">
        <f>VLOOKUP(A712,[13]Sheet1!$A:$M,4,0)</f>
        <v>50</v>
      </c>
      <c r="R712" s="4">
        <f>VLOOKUP(A712,[13]Sheet1!$A:$M,5,0)</f>
        <v>100</v>
      </c>
      <c r="S712" s="4">
        <f>VLOOKUP(A712,[13]Sheet1!$A:$M,6,0)</f>
        <v>200</v>
      </c>
      <c r="T712" s="4">
        <f>VLOOKUP(A712,[13]Sheet1!$A:$M,7,0)</f>
        <v>200</v>
      </c>
      <c r="U712" s="4">
        <f>VLOOKUP(A712,[13]Sheet1!$A:$M,8,0)</f>
        <v>200</v>
      </c>
      <c r="V712" s="4">
        <f>VLOOKUP(A712,[13]Sheet1!$A:$M,9,0)</f>
        <v>100</v>
      </c>
      <c r="W712" s="4">
        <f>VLOOKUP(A712,[13]Sheet1!$A:$M,10,0)</f>
        <v>50</v>
      </c>
      <c r="X712" s="4">
        <f>VLOOKUP(A712,[13]Sheet1!$A:$M,11,0)</f>
        <v>50</v>
      </c>
      <c r="Y712" s="4">
        <f>VLOOKUP(A712,[13]Sheet1!$A:$M,12,0)</f>
        <v>50</v>
      </c>
      <c r="Z712" s="4">
        <f>VLOOKUP(A712,[13]Sheet1!$A:$M,13,0)</f>
        <v>50</v>
      </c>
      <c r="AA712" s="4">
        <f t="shared" si="208"/>
        <v>1050</v>
      </c>
      <c r="AB712" s="7">
        <f t="shared" si="209"/>
        <v>88</v>
      </c>
      <c r="AC712" s="15">
        <f t="shared" si="210"/>
        <v>87.5</v>
      </c>
      <c r="AD712" s="16">
        <f t="shared" si="211"/>
        <v>17104.5</v>
      </c>
      <c r="AE712" s="16">
        <f t="shared" si="212"/>
        <v>1425.375</v>
      </c>
      <c r="AF712" s="21">
        <v>6.48</v>
      </c>
      <c r="AG712" s="21">
        <v>16.29</v>
      </c>
      <c r="AH712" s="15">
        <f t="shared" si="205"/>
        <v>-6.426666666666675E-2</v>
      </c>
      <c r="AI712" s="15">
        <f t="shared" si="206"/>
        <v>-0.2249333333333336</v>
      </c>
      <c r="AJ712" s="10">
        <v>0.5</v>
      </c>
      <c r="AK712" s="10">
        <v>0.5</v>
      </c>
      <c r="AL712" s="21">
        <v>6.48</v>
      </c>
      <c r="AM712" s="9">
        <f t="shared" si="213"/>
        <v>2.4434999999999998</v>
      </c>
      <c r="AN712" s="9">
        <f t="shared" si="214"/>
        <v>0.48869999999999997</v>
      </c>
      <c r="AO712" s="9">
        <f t="shared" si="215"/>
        <v>3.258</v>
      </c>
      <c r="AP712" s="9">
        <f t="shared" si="216"/>
        <v>0.32579999999999998</v>
      </c>
      <c r="AQ712" s="9">
        <f t="shared" si="217"/>
        <v>3.258</v>
      </c>
      <c r="AR712" s="9">
        <f t="shared" si="218"/>
        <v>4.0724999999999998</v>
      </c>
      <c r="AS712" s="11">
        <f t="shared" si="219"/>
        <v>-0.6426666666666675</v>
      </c>
      <c r="AT712" s="12">
        <f t="shared" si="220"/>
        <v>-1.1856666666666673</v>
      </c>
    </row>
    <row r="713" spans="1:46" ht="16.5" x14ac:dyDescent="0.4">
      <c r="A713" s="4" t="s">
        <v>2703</v>
      </c>
      <c r="B713" s="4" t="s">
        <v>2710</v>
      </c>
      <c r="C713" s="4" t="s">
        <v>2729</v>
      </c>
      <c r="D713" s="4" t="s">
        <v>2882</v>
      </c>
      <c r="E713" s="4" t="s">
        <v>3041</v>
      </c>
      <c r="F713" s="4" t="s">
        <v>3200</v>
      </c>
      <c r="G713" s="7" t="str">
        <f>VLOOKUP(A713,[1]done!$A:$I,9,0)</f>
        <v>Oil based pest repellent</v>
      </c>
      <c r="H713" s="7" t="str" cm="1">
        <f t="array" ref="H713">_xlfn.IFS(
OR(ISNUMBER(SEARCH("mouse",E713)),ISNUMBER(SEARCH("rat",E713)),ISNUMBER(SEARCH("mice",E713)),ISNUMBER(SEARCH("rodent",E713))),"Rodent Control",
OR(ISNUMBER(SEARCH("fly",E713)),ISNUMBER(SEARCH("gnat",E713)),ISNUMBER(SEARCH("insect",E713)),ISNUMBER(SEARCH("mosquito",E713))),"Flying Insect Control",
OR(ISNUMBER(SEARCH("roach",E713)),ISNUMBER(SEARCH("ant",E713)),ISNUMBER(SEARCH("spider",E713)),ISNUMBER(SEARCH("cricket",E713)),ISNUMBER(SEARCH("scorpion",E713)),ISNUMBER(SEARCH("centipede",E713)),ISNUMBER(SEARCH("beetle",E713))),"Crawling Insect Control",
OR(ISNUMBER(SEARCH("tree",E713)),ISNUMBER(SEARCH("lantern",E713)),ISNUMBER(SEARCH("garden",E713)),ISNUMBER(SEARCH("plant",E713))),"Garden Pest Control",
OR(ISNUMBER(SEARCH("grass seed",E713)),ISNUMBER(SEARCH("seed mix",E713))),"Grass Seed",
OR(ISNUMBER(SEARCH("lawn food",E713)),ISNUMBER(SEARCH("fertilizer",E713))),"Lawn Fertilizer",
OR(ISNUMBER(SEARCH("patch",E713)),ISNUMBER(SEARCH("repair",E713)),ISNUMBER(SEARCH("thick'r",E713)),ISNUMBER(SEARCH("thick'r lawn",E713)),ISNUMBER(SEARCH("rapid grass",E713))),"Lawn Repair",
OR(ISNUMBER(SEARCH("weed",E713)),ISNUMBER(SEARCH("crabgrass",E713))),"Weed Control",
OR(ISNUMBER(SEARCH("fungicide",E713)),ISNUMBER(SEARCH("moss",E713))),"Disease &amp; Moss Control",
OR(ISNUMBER(SEARCH("plant food",E713)),ISNUMBER(SEARCH("miracid",E713))),"Plant Nutrition",
OR(ISNUMBER(SEARCH("perlite",E713))),"Soil Amendment",
OR(ISNUMBER(SEARCH("spreader",E713)),ISNUMBER(SEARCH("sprayer",E713)),ISNUMBER(SEARCH("mower",E713)),ISNUMBER(SEARCH("sweeper",E713)),ISNUMBER(SEARCH("pruner",E713)),ISNUMBER(SEARCH("trimmer",E713)),ISNUMBER(SEARCH("pole saw",E713))),"Garden Equipment",
TRUE,"Other"
)</f>
        <v>Other</v>
      </c>
      <c r="I713" s="7" t="str" cm="1">
        <f t="array" ref="I713">_xlfn.IFS(
OR(ISNUMBER(SEARCH("glue trap",E713)),ISNUMBER(SEARCH("glue board",E713))),"Glue Traps",
OR(ISNUMBER(SEARCH("snap trap",E713)),ISNUMBER(SEARCH("power-kill",E713)),ISNUMBER(SEARCH("wide pedal",E713)),ISNUMBER(SEARCH("metal pedal",E713))),"Snap Traps",
OR(ISNUMBER(SEARCH("electronic",E713)),ISNUMBER(SEARCH("zapper",E713))),"Electronic Traps",
OR(ISNUMBER(SEARCH("live catch",E713)),ISNUMBER(SEARCH("multi-catch",E713)),ISNUMBER(SEARCH("catch &amp; hold",E713)),ISNUMBER(SEARCH("tin cat",E713))),"Live Catch Traps",
OR(ISNUMBER(SEARCH("bait",E713)),ISNUMBER(SEARCH("poison",E713))),"Bait &amp; Poison",
ISNUMBER(SEARCH("repellent",E713)),"Repellents",
OR(ISNUMBER(SEARCH("fly trap",E713)),ISNUMBER(SEARCH("fly ribbon",E713)),ISNUMBER(SEARCH("fly stick",E713)),ISNUMBER(SEARCH("window fly",E713)),ISNUMBER(SEARCH("fly magnet",E713))),"Fly Traps",
OR(ISNUMBER(SEARCH("uv",E713)),ISNUMBER(SEARCH("fly light",E713)),ISNUMBER(SEARCH("plug-in",E713))),"UV Fly Traps",
ISNUMBER(SEARCH("roach",E713)),"Roach Traps",
ISNUMBER(SEARCH("ant",E713)),"Ant Traps",
ISNUMBER(SEARCH("spider",E713)),"Spider Traps",
ISNUMBER(SEARCH("mosquito",E713)),"Mosquito Traps",
ISNUMBER(SEARCH("beetle",E713)),"Beetle Traps",
ISNUMBER(SEARCH("lantern",E713)),"Lanternfly Control",
OR(ISNUMBER(SEARCH("tree shield",E713)),ISNUMBER(SEARCH("tree banding",E713)),ISNUMBER(SEARCH("insect barrier",E713))),"Tree Barriers",
OR(ISNUMBER(SEARCH("sun &amp; shade",E713)),ISNUMBER(SEARCH("sun and shade",E713))),"Sun &amp; Shade Mix",
ISNUMBER(SEARCH("tall fescue",E713)),"Tall Fescue",
ISNUMBER(SEARCH("bermudagrass",E713)),"Bermudagrass",
ISNUMBER(SEARCH("kentucky",E713)),"Kentucky Bluegrass",
ISNUMBER(SEARCH("zoysia",E713)),"Zoysia",
ISNUMBER(SEARCH("ryegrass",E713)),"Perennial Ryegrass",
ISNUMBER(SEARCH("centipede",E713)),"Centipede Grass",
ISNUMBER(SEARCH("dense shade",E713)),"Dense Shade Mix",
ISNUMBER(SEARCH("southern gold",E713)),"Southern Gold Mix",
ISNUMBER(SEARCH("heat-tolerant blue",E713)),"Heat-Tolerant Blue Mix",
ISNUMBER(SEARCH("high traffic",E713)),"High Traffic Mix",
ISNUMBER(SEARCH("quick fix",E713)),"Quick Fix Mix",
ISNUMBER(SEARCH("starter",E713)),"Starter Fertilizer",
ISNUMBER(SEARCH("weed &amp; feed",E713)),"Weed &amp; Feed",
ISNUMBER(SEARCH("lawn food",E713)),"Lawn Food",
ISNUMBER(SEARCH("triple action",E713)),"Triple Action Fertilizer",
ISNUMBER(SEARCH("green max",E713)),"Green Max Lawn Food",
ISNUMBER(SEARCH("patchmaster",E713)),"PatchMaster Repair",
ISNUMBER(SEARCH("ez seed",E713)),"EZ Seed Repair",
ISNUMBER(SEARCH("rapid grass",E713)),"Rapid Grass",
ISNUMBER(SEARCH("thick'r lawn",E713)),"Thick'R Lawn",
ISNUMBER(SEARCH("fungicide",E713)),"Fungicide",
ISNUMBER(SEARCH("moss",E713)),"Moss Control",
ISNUMBER(SEARCH("perlite",E713)),"Perlite",
ISNUMBER(SEARCH("plant food",E713)),"Plant Food",
ISNUMBER(SEARCH("spreader",E713)),"Spreader",
ISNUMBER(SEARCH("sprayer",E713)),"Sprayer",
ISNUMBER(SEARCH("mower",E713)),"Lawn Mower",
ISNUMBER(SEARCH("sweeper",E713)),"Lawn Sweeper",
OR(ISNUMBER(SEARCH("pruner",E713)),ISNUMBER(SEARCH("trimmer",E713)),ISNUMBER(SEARCH("pole saw",E713))),"Pruning Tools",
TRUE,"Other"
)</f>
        <v>Other</v>
      </c>
      <c r="J713" s="7" t="str">
        <f t="shared" si="207"/>
        <v>Other - Other</v>
      </c>
      <c r="K713" s="4">
        <v>50</v>
      </c>
      <c r="L713" s="4">
        <v>4.4000000000000004</v>
      </c>
      <c r="M713" s="4">
        <v>161</v>
      </c>
      <c r="N713" s="4" t="s">
        <v>1550</v>
      </c>
      <c r="O713" s="4">
        <f>VLOOKUP(A713,[13]Sheet1!$A:$M,2,0)</f>
        <v>0</v>
      </c>
      <c r="P713" s="4">
        <f>VLOOKUP(A713,[13]Sheet1!$A:$M,3,0)</f>
        <v>0</v>
      </c>
      <c r="Q713" s="4">
        <f>VLOOKUP(A713,[13]Sheet1!$A:$M,4,0)</f>
        <v>0</v>
      </c>
      <c r="R713" s="4">
        <f>VLOOKUP(A713,[13]Sheet1!$A:$M,5,0)</f>
        <v>0</v>
      </c>
      <c r="S713" s="4">
        <f>VLOOKUP(A713,[13]Sheet1!$A:$M,6,0)</f>
        <v>0</v>
      </c>
      <c r="T713" s="4">
        <f>VLOOKUP(A713,[13]Sheet1!$A:$M,7,0)</f>
        <v>50</v>
      </c>
      <c r="U713" s="4">
        <f>VLOOKUP(A713,[13]Sheet1!$A:$M,8,0)</f>
        <v>50</v>
      </c>
      <c r="V713" s="4">
        <f>VLOOKUP(A713,[13]Sheet1!$A:$M,9,0)</f>
        <v>50</v>
      </c>
      <c r="W713" s="4">
        <f>VLOOKUP(A713,[13]Sheet1!$A:$M,10,0)</f>
        <v>50</v>
      </c>
      <c r="X713" s="4">
        <f>VLOOKUP(A713,[13]Sheet1!$A:$M,11,0)</f>
        <v>50</v>
      </c>
      <c r="Y713" s="4">
        <f>VLOOKUP(A713,[13]Sheet1!$A:$M,12,0)</f>
        <v>0</v>
      </c>
      <c r="Z713" s="4">
        <f>VLOOKUP(A713,[13]Sheet1!$A:$M,13,0)</f>
        <v>0</v>
      </c>
      <c r="AA713" s="4">
        <f t="shared" si="208"/>
        <v>250</v>
      </c>
      <c r="AB713" s="7">
        <f t="shared" si="209"/>
        <v>21</v>
      </c>
      <c r="AC713" s="15">
        <f t="shared" si="210"/>
        <v>20.833333333333332</v>
      </c>
      <c r="AD713" s="16">
        <f t="shared" si="211"/>
        <v>3880</v>
      </c>
      <c r="AE713" s="16">
        <f t="shared" si="212"/>
        <v>323.33333333333331</v>
      </c>
      <c r="AF713" s="21">
        <v>6.31</v>
      </c>
      <c r="AG713" s="21">
        <v>15.52</v>
      </c>
      <c r="AH713" s="15">
        <f t="shared" si="205"/>
        <v>-7.3466666666666694E-2</v>
      </c>
      <c r="AI713" s="15">
        <f t="shared" si="206"/>
        <v>-0.25713333333333338</v>
      </c>
      <c r="AJ713" s="10">
        <v>0.5</v>
      </c>
      <c r="AK713" s="10">
        <v>0.5</v>
      </c>
      <c r="AL713" s="21">
        <v>6.31</v>
      </c>
      <c r="AM713" s="9">
        <f t="shared" si="213"/>
        <v>2.3279999999999998</v>
      </c>
      <c r="AN713" s="9">
        <f t="shared" si="214"/>
        <v>0.46559999999999996</v>
      </c>
      <c r="AO713" s="9">
        <f t="shared" si="215"/>
        <v>3.1040000000000001</v>
      </c>
      <c r="AP713" s="9">
        <f t="shared" si="216"/>
        <v>0.31040000000000001</v>
      </c>
      <c r="AQ713" s="9">
        <f t="shared" si="217"/>
        <v>3.1040000000000001</v>
      </c>
      <c r="AR713" s="9">
        <f t="shared" si="218"/>
        <v>3.88</v>
      </c>
      <c r="AS713" s="11">
        <f t="shared" si="219"/>
        <v>-0.73466666666666691</v>
      </c>
      <c r="AT713" s="12">
        <f t="shared" si="220"/>
        <v>-1.252</v>
      </c>
    </row>
    <row r="714" spans="1:46" ht="16.5" x14ac:dyDescent="0.4">
      <c r="A714" s="4" t="s">
        <v>2704</v>
      </c>
      <c r="B714" s="4" t="s">
        <v>2710</v>
      </c>
      <c r="C714" s="4" t="s">
        <v>2710</v>
      </c>
      <c r="D714" s="4" t="s">
        <v>2883</v>
      </c>
      <c r="E714" s="4" t="s">
        <v>3042</v>
      </c>
      <c r="F714" s="4" t="s">
        <v>3201</v>
      </c>
      <c r="G714" s="7" t="str">
        <f>VLOOKUP(A714,[1]done!$A:$I,9,0)</f>
        <v>Other crawling insects</v>
      </c>
      <c r="H714" s="7" t="str" cm="1">
        <f t="array" ref="H714">_xlfn.IFS(
OR(ISNUMBER(SEARCH("mouse",E714)),ISNUMBER(SEARCH("rat",E714)),ISNUMBER(SEARCH("mice",E714)),ISNUMBER(SEARCH("rodent",E714))),"Rodent Control",
OR(ISNUMBER(SEARCH("fly",E714)),ISNUMBER(SEARCH("gnat",E714)),ISNUMBER(SEARCH("insect",E714)),ISNUMBER(SEARCH("mosquito",E714))),"Flying Insect Control",
OR(ISNUMBER(SEARCH("roach",E714)),ISNUMBER(SEARCH("ant",E714)),ISNUMBER(SEARCH("spider",E714)),ISNUMBER(SEARCH("cricket",E714)),ISNUMBER(SEARCH("scorpion",E714)),ISNUMBER(SEARCH("centipede",E714)),ISNUMBER(SEARCH("beetle",E714))),"Crawling Insect Control",
OR(ISNUMBER(SEARCH("tree",E714)),ISNUMBER(SEARCH("lantern",E714)),ISNUMBER(SEARCH("garden",E714)),ISNUMBER(SEARCH("plant",E714))),"Garden Pest Control",
OR(ISNUMBER(SEARCH("grass seed",E714)),ISNUMBER(SEARCH("seed mix",E714))),"Grass Seed",
OR(ISNUMBER(SEARCH("lawn food",E714)),ISNUMBER(SEARCH("fertilizer",E714))),"Lawn Fertilizer",
OR(ISNUMBER(SEARCH("patch",E714)),ISNUMBER(SEARCH("repair",E714)),ISNUMBER(SEARCH("thick'r",E714)),ISNUMBER(SEARCH("thick'r lawn",E714)),ISNUMBER(SEARCH("rapid grass",E714))),"Lawn Repair",
OR(ISNUMBER(SEARCH("weed",E714)),ISNUMBER(SEARCH("crabgrass",E714))),"Weed Control",
OR(ISNUMBER(SEARCH("fungicide",E714)),ISNUMBER(SEARCH("moss",E714))),"Disease &amp; Moss Control",
OR(ISNUMBER(SEARCH("plant food",E714)),ISNUMBER(SEARCH("miracid",E714))),"Plant Nutrition",
OR(ISNUMBER(SEARCH("perlite",E714))),"Soil Amendment",
OR(ISNUMBER(SEARCH("spreader",E714)),ISNUMBER(SEARCH("sprayer",E714)),ISNUMBER(SEARCH("mower",E714)),ISNUMBER(SEARCH("sweeper",E714)),ISNUMBER(SEARCH("pruner",E714)),ISNUMBER(SEARCH("trimmer",E714)),ISNUMBER(SEARCH("pole saw",E714))),"Garden Equipment",
TRUE,"Other"
)</f>
        <v>Rodent Control</v>
      </c>
      <c r="I714" s="7" t="str" cm="1">
        <f t="array" ref="I714">_xlfn.IFS(
OR(ISNUMBER(SEARCH("glue trap",E714)),ISNUMBER(SEARCH("glue board",E714))),"Glue Traps",
OR(ISNUMBER(SEARCH("snap trap",E714)),ISNUMBER(SEARCH("power-kill",E714)),ISNUMBER(SEARCH("wide pedal",E714)),ISNUMBER(SEARCH("metal pedal",E714))),"Snap Traps",
OR(ISNUMBER(SEARCH("electronic",E714)),ISNUMBER(SEARCH("zapper",E714))),"Electronic Traps",
OR(ISNUMBER(SEARCH("live catch",E714)),ISNUMBER(SEARCH("multi-catch",E714)),ISNUMBER(SEARCH("catch &amp; hold",E714)),ISNUMBER(SEARCH("tin cat",E714))),"Live Catch Traps",
OR(ISNUMBER(SEARCH("bait",E714)),ISNUMBER(SEARCH("poison",E714))),"Bait &amp; Poison",
ISNUMBER(SEARCH("repellent",E714)),"Repellents",
OR(ISNUMBER(SEARCH("fly trap",E714)),ISNUMBER(SEARCH("fly ribbon",E714)),ISNUMBER(SEARCH("fly stick",E714)),ISNUMBER(SEARCH("window fly",E714)),ISNUMBER(SEARCH("fly magnet",E714))),"Fly Traps",
OR(ISNUMBER(SEARCH("uv",E714)),ISNUMBER(SEARCH("fly light",E714)),ISNUMBER(SEARCH("plug-in",E714))),"UV Fly Traps",
ISNUMBER(SEARCH("roach",E714)),"Roach Traps",
ISNUMBER(SEARCH("ant",E714)),"Ant Traps",
ISNUMBER(SEARCH("spider",E714)),"Spider Traps",
ISNUMBER(SEARCH("mosquito",E714)),"Mosquito Traps",
ISNUMBER(SEARCH("beetle",E714)),"Beetle Traps",
ISNUMBER(SEARCH("lantern",E714)),"Lanternfly Control",
OR(ISNUMBER(SEARCH("tree shield",E714)),ISNUMBER(SEARCH("tree banding",E714)),ISNUMBER(SEARCH("insect barrier",E714))),"Tree Barriers",
OR(ISNUMBER(SEARCH("sun &amp; shade",E714)),ISNUMBER(SEARCH("sun and shade",E714))),"Sun &amp; Shade Mix",
ISNUMBER(SEARCH("tall fescue",E714)),"Tall Fescue",
ISNUMBER(SEARCH("bermudagrass",E714)),"Bermudagrass",
ISNUMBER(SEARCH("kentucky",E714)),"Kentucky Bluegrass",
ISNUMBER(SEARCH("zoysia",E714)),"Zoysia",
ISNUMBER(SEARCH("ryegrass",E714)),"Perennial Ryegrass",
ISNUMBER(SEARCH("centipede",E714)),"Centipede Grass",
ISNUMBER(SEARCH("dense shade",E714)),"Dense Shade Mix",
ISNUMBER(SEARCH("southern gold",E714)),"Southern Gold Mix",
ISNUMBER(SEARCH("heat-tolerant blue",E714)),"Heat-Tolerant Blue Mix",
ISNUMBER(SEARCH("high traffic",E714)),"High Traffic Mix",
ISNUMBER(SEARCH("quick fix",E714)),"Quick Fix Mix",
ISNUMBER(SEARCH("starter",E714)),"Starter Fertilizer",
ISNUMBER(SEARCH("weed &amp; feed",E714)),"Weed &amp; Feed",
ISNUMBER(SEARCH("lawn food",E714)),"Lawn Food",
ISNUMBER(SEARCH("triple action",E714)),"Triple Action Fertilizer",
ISNUMBER(SEARCH("green max",E714)),"Green Max Lawn Food",
ISNUMBER(SEARCH("patchmaster",E714)),"PatchMaster Repair",
ISNUMBER(SEARCH("ez seed",E714)),"EZ Seed Repair",
ISNUMBER(SEARCH("rapid grass",E714)),"Rapid Grass",
ISNUMBER(SEARCH("thick'r lawn",E714)),"Thick'R Lawn",
ISNUMBER(SEARCH("fungicide",E714)),"Fungicide",
ISNUMBER(SEARCH("moss",E714)),"Moss Control",
ISNUMBER(SEARCH("perlite",E714)),"Perlite",
ISNUMBER(SEARCH("plant food",E714)),"Plant Food",
ISNUMBER(SEARCH("spreader",E714)),"Spreader",
ISNUMBER(SEARCH("sprayer",E714)),"Sprayer",
ISNUMBER(SEARCH("mower",E714)),"Lawn Mower",
ISNUMBER(SEARCH("sweeper",E714)),"Lawn Sweeper",
OR(ISNUMBER(SEARCH("pruner",E714)),ISNUMBER(SEARCH("trimmer",E714)),ISNUMBER(SEARCH("pole saw",E714))),"Pruning Tools",
TRUE,"Other"
)</f>
        <v>Ant Traps</v>
      </c>
      <c r="J714" s="7" t="str">
        <f t="shared" si="207"/>
        <v>Rodent Control - Ant Traps</v>
      </c>
      <c r="K714" s="4">
        <v>50</v>
      </c>
      <c r="L714" s="4">
        <v>4.5</v>
      </c>
      <c r="M714" s="4">
        <v>145</v>
      </c>
      <c r="N714" s="4" t="s">
        <v>3209</v>
      </c>
      <c r="O714" s="4">
        <f>VLOOKUP(A714,[13]Sheet1!$A:$M,2,0)</f>
        <v>0</v>
      </c>
      <c r="P714" s="4">
        <f>VLOOKUP(A714,[13]Sheet1!$A:$M,3,0)</f>
        <v>50</v>
      </c>
      <c r="Q714" s="4">
        <f>VLOOKUP(A714,[13]Sheet1!$A:$M,4,0)</f>
        <v>50</v>
      </c>
      <c r="R714" s="4">
        <f>VLOOKUP(A714,[13]Sheet1!$A:$M,5,0)</f>
        <v>500</v>
      </c>
      <c r="S714" s="4">
        <f>VLOOKUP(A714,[13]Sheet1!$A:$M,6,0)</f>
        <v>500</v>
      </c>
      <c r="T714" s="4">
        <f>VLOOKUP(A714,[13]Sheet1!$A:$M,7,0)</f>
        <v>400</v>
      </c>
      <c r="U714" s="4">
        <f>VLOOKUP(A714,[13]Sheet1!$A:$M,8,0)</f>
        <v>100</v>
      </c>
      <c r="V714" s="4">
        <f>VLOOKUP(A714,[13]Sheet1!$A:$M,9,0)</f>
        <v>100</v>
      </c>
      <c r="W714" s="4">
        <f>VLOOKUP(A714,[13]Sheet1!$A:$M,10,0)</f>
        <v>50</v>
      </c>
      <c r="X714" s="4">
        <f>VLOOKUP(A714,[13]Sheet1!$A:$M,11,0)</f>
        <v>0</v>
      </c>
      <c r="Y714" s="4">
        <f>VLOOKUP(A714,[13]Sheet1!$A:$M,12,0)</f>
        <v>50</v>
      </c>
      <c r="Z714" s="4">
        <f>VLOOKUP(A714,[13]Sheet1!$A:$M,13,0)</f>
        <v>50</v>
      </c>
      <c r="AA714" s="4">
        <f t="shared" si="208"/>
        <v>1850</v>
      </c>
      <c r="AB714" s="7">
        <f t="shared" si="209"/>
        <v>154</v>
      </c>
      <c r="AC714" s="15">
        <f t="shared" si="210"/>
        <v>154.16666666666666</v>
      </c>
      <c r="AD714" s="16">
        <f t="shared" si="211"/>
        <v>125781.49999999999</v>
      </c>
      <c r="AE714" s="16">
        <f t="shared" si="212"/>
        <v>10481.791666666666</v>
      </c>
      <c r="AF714" s="21">
        <v>6.58</v>
      </c>
      <c r="AG714" s="21">
        <v>67.989999999999995</v>
      </c>
      <c r="AH714" s="15">
        <f t="shared" si="205"/>
        <v>1.3077333333333334</v>
      </c>
      <c r="AI714" s="15">
        <f t="shared" si="206"/>
        <v>4.5770666666666662</v>
      </c>
      <c r="AJ714" s="10">
        <v>0.5</v>
      </c>
      <c r="AK714" s="10">
        <v>0.5</v>
      </c>
      <c r="AL714" s="21">
        <v>6.58</v>
      </c>
      <c r="AM714" s="9">
        <f t="shared" si="213"/>
        <v>10.198499999999999</v>
      </c>
      <c r="AN714" s="9">
        <f t="shared" si="214"/>
        <v>2.0396999999999998</v>
      </c>
      <c r="AO714" s="9">
        <f t="shared" si="215"/>
        <v>13.597999999999999</v>
      </c>
      <c r="AP714" s="9">
        <f t="shared" si="216"/>
        <v>1.3597999999999999</v>
      </c>
      <c r="AQ714" s="9">
        <f t="shared" si="217"/>
        <v>13.597999999999999</v>
      </c>
      <c r="AR714" s="9">
        <f t="shared" si="218"/>
        <v>16.997499999999999</v>
      </c>
      <c r="AS714" s="11">
        <f t="shared" si="219"/>
        <v>13.077333333333334</v>
      </c>
      <c r="AT714" s="12">
        <f t="shared" si="220"/>
        <v>10.811</v>
      </c>
    </row>
    <row r="715" spans="1:46" ht="16.5" x14ac:dyDescent="0.4">
      <c r="A715" s="4" t="s">
        <v>2705</v>
      </c>
      <c r="B715" s="4" t="s">
        <v>2710</v>
      </c>
      <c r="C715" s="4" t="s">
        <v>2714</v>
      </c>
      <c r="D715" s="4" t="s">
        <v>2884</v>
      </c>
      <c r="E715" s="4" t="s">
        <v>3043</v>
      </c>
      <c r="F715" s="4" t="s">
        <v>3202</v>
      </c>
      <c r="G715" s="7" t="str">
        <f>VLOOKUP(A715,[1]done!$A:$I,9,0)</f>
        <v>Mosquito/Fly</v>
      </c>
      <c r="H715" s="7" t="str" cm="1">
        <f t="array" ref="H715">_xlfn.IFS(
OR(ISNUMBER(SEARCH("mouse",E715)),ISNUMBER(SEARCH("rat",E715)),ISNUMBER(SEARCH("mice",E715)),ISNUMBER(SEARCH("rodent",E715))),"Rodent Control",
OR(ISNUMBER(SEARCH("fly",E715)),ISNUMBER(SEARCH("gnat",E715)),ISNUMBER(SEARCH("insect",E715)),ISNUMBER(SEARCH("mosquito",E715))),"Flying Insect Control",
OR(ISNUMBER(SEARCH("roach",E715)),ISNUMBER(SEARCH("ant",E715)),ISNUMBER(SEARCH("spider",E715)),ISNUMBER(SEARCH("cricket",E715)),ISNUMBER(SEARCH("scorpion",E715)),ISNUMBER(SEARCH("centipede",E715)),ISNUMBER(SEARCH("beetle",E715))),"Crawling Insect Control",
OR(ISNUMBER(SEARCH("tree",E715)),ISNUMBER(SEARCH("lantern",E715)),ISNUMBER(SEARCH("garden",E715)),ISNUMBER(SEARCH("plant",E715))),"Garden Pest Control",
OR(ISNUMBER(SEARCH("grass seed",E715)),ISNUMBER(SEARCH("seed mix",E715))),"Grass Seed",
OR(ISNUMBER(SEARCH("lawn food",E715)),ISNUMBER(SEARCH("fertilizer",E715))),"Lawn Fertilizer",
OR(ISNUMBER(SEARCH("patch",E715)),ISNUMBER(SEARCH("repair",E715)),ISNUMBER(SEARCH("thick'r",E715)),ISNUMBER(SEARCH("thick'r lawn",E715)),ISNUMBER(SEARCH("rapid grass",E715))),"Lawn Repair",
OR(ISNUMBER(SEARCH("weed",E715)),ISNUMBER(SEARCH("crabgrass",E715))),"Weed Control",
OR(ISNUMBER(SEARCH("fungicide",E715)),ISNUMBER(SEARCH("moss",E715))),"Disease &amp; Moss Control",
OR(ISNUMBER(SEARCH("plant food",E715)),ISNUMBER(SEARCH("miracid",E715))),"Plant Nutrition",
OR(ISNUMBER(SEARCH("perlite",E715))),"Soil Amendment",
OR(ISNUMBER(SEARCH("spreader",E715)),ISNUMBER(SEARCH("sprayer",E715)),ISNUMBER(SEARCH("mower",E715)),ISNUMBER(SEARCH("sweeper",E715)),ISNUMBER(SEARCH("pruner",E715)),ISNUMBER(SEARCH("trimmer",E715)),ISNUMBER(SEARCH("pole saw",E715))),"Garden Equipment",
TRUE,"Other"
)</f>
        <v>Flying Insect Control</v>
      </c>
      <c r="I715" s="7" t="str" cm="1">
        <f t="array" ref="I715">_xlfn.IFS(
OR(ISNUMBER(SEARCH("glue trap",E715)),ISNUMBER(SEARCH("glue board",E715))),"Glue Traps",
OR(ISNUMBER(SEARCH("snap trap",E715)),ISNUMBER(SEARCH("power-kill",E715)),ISNUMBER(SEARCH("wide pedal",E715)),ISNUMBER(SEARCH("metal pedal",E715))),"Snap Traps",
OR(ISNUMBER(SEARCH("electronic",E715)),ISNUMBER(SEARCH("zapper",E715))),"Electronic Traps",
OR(ISNUMBER(SEARCH("live catch",E715)),ISNUMBER(SEARCH("multi-catch",E715)),ISNUMBER(SEARCH("catch &amp; hold",E715)),ISNUMBER(SEARCH("tin cat",E715))),"Live Catch Traps",
OR(ISNUMBER(SEARCH("bait",E715)),ISNUMBER(SEARCH("poison",E715))),"Bait &amp; Poison",
ISNUMBER(SEARCH("repellent",E715)),"Repellents",
OR(ISNUMBER(SEARCH("fly trap",E715)),ISNUMBER(SEARCH("fly ribbon",E715)),ISNUMBER(SEARCH("fly stick",E715)),ISNUMBER(SEARCH("window fly",E715)),ISNUMBER(SEARCH("fly magnet",E715))),"Fly Traps",
OR(ISNUMBER(SEARCH("uv",E715)),ISNUMBER(SEARCH("fly light",E715)),ISNUMBER(SEARCH("plug-in",E715))),"UV Fly Traps",
ISNUMBER(SEARCH("roach",E715)),"Roach Traps",
ISNUMBER(SEARCH("ant",E715)),"Ant Traps",
ISNUMBER(SEARCH("spider",E715)),"Spider Traps",
ISNUMBER(SEARCH("mosquito",E715)),"Mosquito Traps",
ISNUMBER(SEARCH("beetle",E715)),"Beetle Traps",
ISNUMBER(SEARCH("lantern",E715)),"Lanternfly Control",
OR(ISNUMBER(SEARCH("tree shield",E715)),ISNUMBER(SEARCH("tree banding",E715)),ISNUMBER(SEARCH("insect barrier",E715))),"Tree Barriers",
OR(ISNUMBER(SEARCH("sun &amp; shade",E715)),ISNUMBER(SEARCH("sun and shade",E715))),"Sun &amp; Shade Mix",
ISNUMBER(SEARCH("tall fescue",E715)),"Tall Fescue",
ISNUMBER(SEARCH("bermudagrass",E715)),"Bermudagrass",
ISNUMBER(SEARCH("kentucky",E715)),"Kentucky Bluegrass",
ISNUMBER(SEARCH("zoysia",E715)),"Zoysia",
ISNUMBER(SEARCH("ryegrass",E715)),"Perennial Ryegrass",
ISNUMBER(SEARCH("centipede",E715)),"Centipede Grass",
ISNUMBER(SEARCH("dense shade",E715)),"Dense Shade Mix",
ISNUMBER(SEARCH("southern gold",E715)),"Southern Gold Mix",
ISNUMBER(SEARCH("heat-tolerant blue",E715)),"Heat-Tolerant Blue Mix",
ISNUMBER(SEARCH("high traffic",E715)),"High Traffic Mix",
ISNUMBER(SEARCH("quick fix",E715)),"Quick Fix Mix",
ISNUMBER(SEARCH("starter",E715)),"Starter Fertilizer",
ISNUMBER(SEARCH("weed &amp; feed",E715)),"Weed &amp; Feed",
ISNUMBER(SEARCH("lawn food",E715)),"Lawn Food",
ISNUMBER(SEARCH("triple action",E715)),"Triple Action Fertilizer",
ISNUMBER(SEARCH("green max",E715)),"Green Max Lawn Food",
ISNUMBER(SEARCH("patchmaster",E715)),"PatchMaster Repair",
ISNUMBER(SEARCH("ez seed",E715)),"EZ Seed Repair",
ISNUMBER(SEARCH("rapid grass",E715)),"Rapid Grass",
ISNUMBER(SEARCH("thick'r lawn",E715)),"Thick'R Lawn",
ISNUMBER(SEARCH("fungicide",E715)),"Fungicide",
ISNUMBER(SEARCH("moss",E715)),"Moss Control",
ISNUMBER(SEARCH("perlite",E715)),"Perlite",
ISNUMBER(SEARCH("plant food",E715)),"Plant Food",
ISNUMBER(SEARCH("spreader",E715)),"Spreader",
ISNUMBER(SEARCH("sprayer",E715)),"Sprayer",
ISNUMBER(SEARCH("mower",E715)),"Lawn Mower",
ISNUMBER(SEARCH("sweeper",E715)),"Lawn Sweeper",
OR(ISNUMBER(SEARCH("pruner",E715)),ISNUMBER(SEARCH("trimmer",E715)),ISNUMBER(SEARCH("pole saw",E715))),"Pruning Tools",
TRUE,"Other"
)</f>
        <v>Repellents</v>
      </c>
      <c r="J715" s="7" t="str">
        <f t="shared" si="207"/>
        <v>Flying Insect Control - Repellents</v>
      </c>
      <c r="K715" s="4">
        <v>50</v>
      </c>
      <c r="L715" s="4">
        <v>4.2</v>
      </c>
      <c r="M715" s="4">
        <v>516</v>
      </c>
      <c r="N715" s="4" t="s">
        <v>3259</v>
      </c>
      <c r="O715" s="4">
        <f>VLOOKUP(A715,[13]Sheet1!$A:$M,2,0)</f>
        <v>0</v>
      </c>
      <c r="P715" s="4">
        <f>VLOOKUP(A715,[13]Sheet1!$A:$M,3,0)</f>
        <v>0</v>
      </c>
      <c r="Q715" s="4">
        <f>VLOOKUP(A715,[13]Sheet1!$A:$M,4,0)</f>
        <v>0</v>
      </c>
      <c r="R715" s="4">
        <f>VLOOKUP(A715,[13]Sheet1!$A:$M,5,0)</f>
        <v>0</v>
      </c>
      <c r="S715" s="4">
        <f>VLOOKUP(A715,[13]Sheet1!$A:$M,6,0)</f>
        <v>400</v>
      </c>
      <c r="T715" s="4">
        <f>VLOOKUP(A715,[13]Sheet1!$A:$M,7,0)</f>
        <v>500</v>
      </c>
      <c r="U715" s="4">
        <f>VLOOKUP(A715,[13]Sheet1!$A:$M,8,0)</f>
        <v>300</v>
      </c>
      <c r="V715" s="4">
        <f>VLOOKUP(A715,[13]Sheet1!$A:$M,9,0)</f>
        <v>200</v>
      </c>
      <c r="W715" s="4">
        <f>VLOOKUP(A715,[13]Sheet1!$A:$M,10,0)</f>
        <v>50</v>
      </c>
      <c r="X715" s="4">
        <f>VLOOKUP(A715,[13]Sheet1!$A:$M,11,0)</f>
        <v>0</v>
      </c>
      <c r="Y715" s="4">
        <f>VLOOKUP(A715,[13]Sheet1!$A:$M,12,0)</f>
        <v>0</v>
      </c>
      <c r="Z715" s="4">
        <f>VLOOKUP(A715,[13]Sheet1!$A:$M,13,0)</f>
        <v>0</v>
      </c>
      <c r="AA715" s="4">
        <f t="shared" si="208"/>
        <v>1450</v>
      </c>
      <c r="AB715" s="7">
        <f t="shared" si="209"/>
        <v>121</v>
      </c>
      <c r="AC715" s="15">
        <f t="shared" si="210"/>
        <v>120.83333333333333</v>
      </c>
      <c r="AD715" s="16">
        <f t="shared" si="211"/>
        <v>24171.500000000004</v>
      </c>
      <c r="AE715" s="16">
        <f t="shared" si="212"/>
        <v>2014.2916666666667</v>
      </c>
      <c r="AF715" s="21">
        <v>6.31</v>
      </c>
      <c r="AG715" s="21">
        <v>16.670000000000002</v>
      </c>
      <c r="AH715" s="15">
        <f t="shared" si="205"/>
        <v>-4.279999999999997E-2</v>
      </c>
      <c r="AI715" s="15">
        <f t="shared" si="206"/>
        <v>-0.14979999999999988</v>
      </c>
      <c r="AJ715" s="10">
        <v>0.5</v>
      </c>
      <c r="AK715" s="10">
        <v>0.5</v>
      </c>
      <c r="AL715" s="21">
        <v>6.31</v>
      </c>
      <c r="AM715" s="9">
        <f t="shared" si="213"/>
        <v>2.5005000000000002</v>
      </c>
      <c r="AN715" s="9">
        <f t="shared" si="214"/>
        <v>0.50009999999999999</v>
      </c>
      <c r="AO715" s="9">
        <f t="shared" si="215"/>
        <v>3.3340000000000005</v>
      </c>
      <c r="AP715" s="9">
        <f t="shared" si="216"/>
        <v>0.33340000000000003</v>
      </c>
      <c r="AQ715" s="9">
        <f t="shared" si="217"/>
        <v>3.3340000000000005</v>
      </c>
      <c r="AR715" s="9">
        <f t="shared" si="218"/>
        <v>4.1675000000000004</v>
      </c>
      <c r="AS715" s="11">
        <f t="shared" si="219"/>
        <v>-0.42799999999999966</v>
      </c>
      <c r="AT715" s="12">
        <f t="shared" si="220"/>
        <v>-0.98366666666666625</v>
      </c>
    </row>
    <row r="716" spans="1:46" ht="16.5" x14ac:dyDescent="0.4">
      <c r="A716" s="4" t="s">
        <v>2706</v>
      </c>
      <c r="B716" s="4" t="s">
        <v>2710</v>
      </c>
      <c r="C716" s="4" t="s">
        <v>2710</v>
      </c>
      <c r="D716" s="4" t="s">
        <v>2885</v>
      </c>
      <c r="E716" s="4" t="s">
        <v>3044</v>
      </c>
      <c r="F716" s="4" t="s">
        <v>3203</v>
      </c>
      <c r="G716" s="7" t="str">
        <f>VLOOKUP(A716,[1]done!$A:$I,9,0)</f>
        <v>Other crawling insects</v>
      </c>
      <c r="H716" s="7" t="str" cm="1">
        <f t="array" ref="H716">_xlfn.IFS(
OR(ISNUMBER(SEARCH("mouse",E716)),ISNUMBER(SEARCH("rat",E716)),ISNUMBER(SEARCH("mice",E716)),ISNUMBER(SEARCH("rodent",E716))),"Rodent Control",
OR(ISNUMBER(SEARCH("fly",E716)),ISNUMBER(SEARCH("gnat",E716)),ISNUMBER(SEARCH("insect",E716)),ISNUMBER(SEARCH("mosquito",E716))),"Flying Insect Control",
OR(ISNUMBER(SEARCH("roach",E716)),ISNUMBER(SEARCH("ant",E716)),ISNUMBER(SEARCH("spider",E716)),ISNUMBER(SEARCH("cricket",E716)),ISNUMBER(SEARCH("scorpion",E716)),ISNUMBER(SEARCH("centipede",E716)),ISNUMBER(SEARCH("beetle",E716))),"Crawling Insect Control",
OR(ISNUMBER(SEARCH("tree",E716)),ISNUMBER(SEARCH("lantern",E716)),ISNUMBER(SEARCH("garden",E716)),ISNUMBER(SEARCH("plant",E716))),"Garden Pest Control",
OR(ISNUMBER(SEARCH("grass seed",E716)),ISNUMBER(SEARCH("seed mix",E716))),"Grass Seed",
OR(ISNUMBER(SEARCH("lawn food",E716)),ISNUMBER(SEARCH("fertilizer",E716))),"Lawn Fertilizer",
OR(ISNUMBER(SEARCH("patch",E716)),ISNUMBER(SEARCH("repair",E716)),ISNUMBER(SEARCH("thick'r",E716)),ISNUMBER(SEARCH("thick'r lawn",E716)),ISNUMBER(SEARCH("rapid grass",E716))),"Lawn Repair",
OR(ISNUMBER(SEARCH("weed",E716)),ISNUMBER(SEARCH("crabgrass",E716))),"Weed Control",
OR(ISNUMBER(SEARCH("fungicide",E716)),ISNUMBER(SEARCH("moss",E716))),"Disease &amp; Moss Control",
OR(ISNUMBER(SEARCH("plant food",E716)),ISNUMBER(SEARCH("miracid",E716))),"Plant Nutrition",
OR(ISNUMBER(SEARCH("perlite",E716))),"Soil Amendment",
OR(ISNUMBER(SEARCH("spreader",E716)),ISNUMBER(SEARCH("sprayer",E716)),ISNUMBER(SEARCH("mower",E716)),ISNUMBER(SEARCH("sweeper",E716)),ISNUMBER(SEARCH("pruner",E716)),ISNUMBER(SEARCH("trimmer",E716)),ISNUMBER(SEARCH("pole saw",E716))),"Garden Equipment",
TRUE,"Other"
)</f>
        <v>Crawling Insect Control</v>
      </c>
      <c r="I716" s="7" t="str" cm="1">
        <f t="array" ref="I716">_xlfn.IFS(
OR(ISNUMBER(SEARCH("glue trap",E716)),ISNUMBER(SEARCH("glue board",E716))),"Glue Traps",
OR(ISNUMBER(SEARCH("snap trap",E716)),ISNUMBER(SEARCH("power-kill",E716)),ISNUMBER(SEARCH("wide pedal",E716)),ISNUMBER(SEARCH("metal pedal",E716))),"Snap Traps",
OR(ISNUMBER(SEARCH("electronic",E716)),ISNUMBER(SEARCH("zapper",E716))),"Electronic Traps",
OR(ISNUMBER(SEARCH("live catch",E716)),ISNUMBER(SEARCH("multi-catch",E716)),ISNUMBER(SEARCH("catch &amp; hold",E716)),ISNUMBER(SEARCH("tin cat",E716))),"Live Catch Traps",
OR(ISNUMBER(SEARCH("bait",E716)),ISNUMBER(SEARCH("poison",E716))),"Bait &amp; Poison",
ISNUMBER(SEARCH("repellent",E716)),"Repellents",
OR(ISNUMBER(SEARCH("fly trap",E716)),ISNUMBER(SEARCH("fly ribbon",E716)),ISNUMBER(SEARCH("fly stick",E716)),ISNUMBER(SEARCH("window fly",E716)),ISNUMBER(SEARCH("fly magnet",E716))),"Fly Traps",
OR(ISNUMBER(SEARCH("uv",E716)),ISNUMBER(SEARCH("fly light",E716)),ISNUMBER(SEARCH("plug-in",E716))),"UV Fly Traps",
ISNUMBER(SEARCH("roach",E716)),"Roach Traps",
ISNUMBER(SEARCH("ant",E716)),"Ant Traps",
ISNUMBER(SEARCH("spider",E716)),"Spider Traps",
ISNUMBER(SEARCH("mosquito",E716)),"Mosquito Traps",
ISNUMBER(SEARCH("beetle",E716)),"Beetle Traps",
ISNUMBER(SEARCH("lantern",E716)),"Lanternfly Control",
OR(ISNUMBER(SEARCH("tree shield",E716)),ISNUMBER(SEARCH("tree banding",E716)),ISNUMBER(SEARCH("insect barrier",E716))),"Tree Barriers",
OR(ISNUMBER(SEARCH("sun &amp; shade",E716)),ISNUMBER(SEARCH("sun and shade",E716))),"Sun &amp; Shade Mix",
ISNUMBER(SEARCH("tall fescue",E716)),"Tall Fescue",
ISNUMBER(SEARCH("bermudagrass",E716)),"Bermudagrass",
ISNUMBER(SEARCH("kentucky",E716)),"Kentucky Bluegrass",
ISNUMBER(SEARCH("zoysia",E716)),"Zoysia",
ISNUMBER(SEARCH("ryegrass",E716)),"Perennial Ryegrass",
ISNUMBER(SEARCH("centipede",E716)),"Centipede Grass",
ISNUMBER(SEARCH("dense shade",E716)),"Dense Shade Mix",
ISNUMBER(SEARCH("southern gold",E716)),"Southern Gold Mix",
ISNUMBER(SEARCH("heat-tolerant blue",E716)),"Heat-Tolerant Blue Mix",
ISNUMBER(SEARCH("high traffic",E716)),"High Traffic Mix",
ISNUMBER(SEARCH("quick fix",E716)),"Quick Fix Mix",
ISNUMBER(SEARCH("starter",E716)),"Starter Fertilizer",
ISNUMBER(SEARCH("weed &amp; feed",E716)),"Weed &amp; Feed",
ISNUMBER(SEARCH("lawn food",E716)),"Lawn Food",
ISNUMBER(SEARCH("triple action",E716)),"Triple Action Fertilizer",
ISNUMBER(SEARCH("green max",E716)),"Green Max Lawn Food",
ISNUMBER(SEARCH("patchmaster",E716)),"PatchMaster Repair",
ISNUMBER(SEARCH("ez seed",E716)),"EZ Seed Repair",
ISNUMBER(SEARCH("rapid grass",E716)),"Rapid Grass",
ISNUMBER(SEARCH("thick'r lawn",E716)),"Thick'R Lawn",
ISNUMBER(SEARCH("fungicide",E716)),"Fungicide",
ISNUMBER(SEARCH("moss",E716)),"Moss Control",
ISNUMBER(SEARCH("perlite",E716)),"Perlite",
ISNUMBER(SEARCH("plant food",E716)),"Plant Food",
ISNUMBER(SEARCH("spreader",E716)),"Spreader",
ISNUMBER(SEARCH("sprayer",E716)),"Sprayer",
ISNUMBER(SEARCH("mower",E716)),"Lawn Mower",
ISNUMBER(SEARCH("sweeper",E716)),"Lawn Sweeper",
OR(ISNUMBER(SEARCH("pruner",E716)),ISNUMBER(SEARCH("trimmer",E716)),ISNUMBER(SEARCH("pole saw",E716))),"Pruning Tools",
TRUE,"Other"
)</f>
        <v>Ant Traps</v>
      </c>
      <c r="J716" s="7" t="str">
        <f t="shared" si="207"/>
        <v>Crawling Insect Control - Ant Traps</v>
      </c>
      <c r="K716" s="4">
        <v>50</v>
      </c>
      <c r="L716" s="4">
        <v>4.4000000000000004</v>
      </c>
      <c r="M716" s="4">
        <v>83</v>
      </c>
      <c r="O716" s="4">
        <f>VLOOKUP(A716,[13]Sheet1!$A:$M,2,0)</f>
        <v>0</v>
      </c>
      <c r="P716" s="4">
        <f>VLOOKUP(A716,[13]Sheet1!$A:$M,3,0)</f>
        <v>50</v>
      </c>
      <c r="Q716" s="4">
        <f>VLOOKUP(A716,[13]Sheet1!$A:$M,4,0)</f>
        <v>50</v>
      </c>
      <c r="R716" s="4">
        <f>VLOOKUP(A716,[13]Sheet1!$A:$M,5,0)</f>
        <v>100</v>
      </c>
      <c r="S716" s="4">
        <f>VLOOKUP(A716,[13]Sheet1!$A:$M,6,0)</f>
        <v>100</v>
      </c>
      <c r="T716" s="4">
        <f>VLOOKUP(A716,[13]Sheet1!$A:$M,7,0)</f>
        <v>100</v>
      </c>
      <c r="U716" s="4">
        <f>VLOOKUP(A716,[13]Sheet1!$A:$M,8,0)</f>
        <v>100</v>
      </c>
      <c r="V716" s="4">
        <f>VLOOKUP(A716,[13]Sheet1!$A:$M,9,0)</f>
        <v>50</v>
      </c>
      <c r="W716" s="4">
        <f>VLOOKUP(A716,[13]Sheet1!$A:$M,10,0)</f>
        <v>50</v>
      </c>
      <c r="X716" s="4">
        <f>VLOOKUP(A716,[13]Sheet1!$A:$M,11,0)</f>
        <v>50</v>
      </c>
      <c r="Y716" s="4">
        <f>VLOOKUP(A716,[13]Sheet1!$A:$M,12,0)</f>
        <v>50</v>
      </c>
      <c r="Z716" s="4">
        <f>VLOOKUP(A716,[13]Sheet1!$A:$M,13,0)</f>
        <v>50</v>
      </c>
      <c r="AA716" s="4">
        <f t="shared" si="208"/>
        <v>750</v>
      </c>
      <c r="AB716" s="7">
        <f t="shared" si="209"/>
        <v>63</v>
      </c>
      <c r="AC716" s="15">
        <f t="shared" si="210"/>
        <v>62.5</v>
      </c>
      <c r="AD716" s="16">
        <f t="shared" si="211"/>
        <v>33742.5</v>
      </c>
      <c r="AE716" s="16">
        <f t="shared" si="212"/>
        <v>2811.875</v>
      </c>
      <c r="AF716" s="21">
        <v>8.9499999999999993</v>
      </c>
      <c r="AG716" s="21">
        <v>44.99</v>
      </c>
      <c r="AH716" s="15">
        <f t="shared" si="205"/>
        <v>0.53639999999999999</v>
      </c>
      <c r="AI716" s="15">
        <f t="shared" si="206"/>
        <v>1.8773999999999997</v>
      </c>
      <c r="AJ716" s="10">
        <v>0.5</v>
      </c>
      <c r="AK716" s="10">
        <v>0.5</v>
      </c>
      <c r="AL716" s="21">
        <v>8.9499999999999993</v>
      </c>
      <c r="AM716" s="9">
        <f t="shared" si="213"/>
        <v>6.7484999999999999</v>
      </c>
      <c r="AN716" s="9">
        <f t="shared" si="214"/>
        <v>1.3496999999999999</v>
      </c>
      <c r="AO716" s="9">
        <f t="shared" si="215"/>
        <v>8.9980000000000011</v>
      </c>
      <c r="AP716" s="9">
        <f t="shared" si="216"/>
        <v>0.89980000000000004</v>
      </c>
      <c r="AQ716" s="9">
        <f t="shared" si="217"/>
        <v>8.9980000000000011</v>
      </c>
      <c r="AR716" s="9">
        <f t="shared" si="218"/>
        <v>11.2475</v>
      </c>
      <c r="AS716" s="11">
        <f t="shared" si="219"/>
        <v>5.3639999999999999</v>
      </c>
      <c r="AT716" s="12">
        <f t="shared" si="220"/>
        <v>3.8643333333333332</v>
      </c>
    </row>
    <row r="717" spans="1:46" ht="16.5" x14ac:dyDescent="0.4">
      <c r="A717" s="4" t="s">
        <v>2707</v>
      </c>
      <c r="B717" s="4" t="s">
        <v>2710</v>
      </c>
      <c r="C717" s="4" t="s">
        <v>2712</v>
      </c>
      <c r="D717" s="4" t="s">
        <v>2886</v>
      </c>
      <c r="E717" s="4" t="s">
        <v>3045</v>
      </c>
      <c r="F717" s="4" t="s">
        <v>3204</v>
      </c>
      <c r="G717" s="7" t="str">
        <f>VLOOKUP(A717,[1]done!$A:$I,9,0)</f>
        <v>Other crawling insects</v>
      </c>
      <c r="H717" s="7" t="str" cm="1">
        <f t="array" ref="H717">_xlfn.IFS(
OR(ISNUMBER(SEARCH("mouse",E717)),ISNUMBER(SEARCH("rat",E717)),ISNUMBER(SEARCH("mice",E717)),ISNUMBER(SEARCH("rodent",E717))),"Rodent Control",
OR(ISNUMBER(SEARCH("fly",E717)),ISNUMBER(SEARCH("gnat",E717)),ISNUMBER(SEARCH("insect",E717)),ISNUMBER(SEARCH("mosquito",E717))),"Flying Insect Control",
OR(ISNUMBER(SEARCH("roach",E717)),ISNUMBER(SEARCH("ant",E717)),ISNUMBER(SEARCH("spider",E717)),ISNUMBER(SEARCH("cricket",E717)),ISNUMBER(SEARCH("scorpion",E717)),ISNUMBER(SEARCH("centipede",E717)),ISNUMBER(SEARCH("beetle",E717))),"Crawling Insect Control",
OR(ISNUMBER(SEARCH("tree",E717)),ISNUMBER(SEARCH("lantern",E717)),ISNUMBER(SEARCH("garden",E717)),ISNUMBER(SEARCH("plant",E717))),"Garden Pest Control",
OR(ISNUMBER(SEARCH("grass seed",E717)),ISNUMBER(SEARCH("seed mix",E717))),"Grass Seed",
OR(ISNUMBER(SEARCH("lawn food",E717)),ISNUMBER(SEARCH("fertilizer",E717))),"Lawn Fertilizer",
OR(ISNUMBER(SEARCH("patch",E717)),ISNUMBER(SEARCH("repair",E717)),ISNUMBER(SEARCH("thick'r",E717)),ISNUMBER(SEARCH("thick'r lawn",E717)),ISNUMBER(SEARCH("rapid grass",E717))),"Lawn Repair",
OR(ISNUMBER(SEARCH("weed",E717)),ISNUMBER(SEARCH("crabgrass",E717))),"Weed Control",
OR(ISNUMBER(SEARCH("fungicide",E717)),ISNUMBER(SEARCH("moss",E717))),"Disease &amp; Moss Control",
OR(ISNUMBER(SEARCH("plant food",E717)),ISNUMBER(SEARCH("miracid",E717))),"Plant Nutrition",
OR(ISNUMBER(SEARCH("perlite",E717))),"Soil Amendment",
OR(ISNUMBER(SEARCH("spreader",E717)),ISNUMBER(SEARCH("sprayer",E717)),ISNUMBER(SEARCH("mower",E717)),ISNUMBER(SEARCH("sweeper",E717)),ISNUMBER(SEARCH("pruner",E717)),ISNUMBER(SEARCH("trimmer",E717)),ISNUMBER(SEARCH("pole saw",E717))),"Garden Equipment",
TRUE,"Other"
)</f>
        <v>Crawling Insect Control</v>
      </c>
      <c r="I717" s="7" t="str" cm="1">
        <f t="array" ref="I717">_xlfn.IFS(
OR(ISNUMBER(SEARCH("glue trap",E717)),ISNUMBER(SEARCH("glue board",E717))),"Glue Traps",
OR(ISNUMBER(SEARCH("snap trap",E717)),ISNUMBER(SEARCH("power-kill",E717)),ISNUMBER(SEARCH("wide pedal",E717)),ISNUMBER(SEARCH("metal pedal",E717))),"Snap Traps",
OR(ISNUMBER(SEARCH("electronic",E717)),ISNUMBER(SEARCH("zapper",E717))),"Electronic Traps",
OR(ISNUMBER(SEARCH("live catch",E717)),ISNUMBER(SEARCH("multi-catch",E717)),ISNUMBER(SEARCH("catch &amp; hold",E717)),ISNUMBER(SEARCH("tin cat",E717))),"Live Catch Traps",
OR(ISNUMBER(SEARCH("bait",E717)),ISNUMBER(SEARCH("poison",E717))),"Bait &amp; Poison",
ISNUMBER(SEARCH("repellent",E717)),"Repellents",
OR(ISNUMBER(SEARCH("fly trap",E717)),ISNUMBER(SEARCH("fly ribbon",E717)),ISNUMBER(SEARCH("fly stick",E717)),ISNUMBER(SEARCH("window fly",E717)),ISNUMBER(SEARCH("fly magnet",E717))),"Fly Traps",
OR(ISNUMBER(SEARCH("uv",E717)),ISNUMBER(SEARCH("fly light",E717)),ISNUMBER(SEARCH("plug-in",E717))),"UV Fly Traps",
ISNUMBER(SEARCH("roach",E717)),"Roach Traps",
ISNUMBER(SEARCH("ant",E717)),"Ant Traps",
ISNUMBER(SEARCH("spider",E717)),"Spider Traps",
ISNUMBER(SEARCH("mosquito",E717)),"Mosquito Traps",
ISNUMBER(SEARCH("beetle",E717)),"Beetle Traps",
ISNUMBER(SEARCH("lantern",E717)),"Lanternfly Control",
OR(ISNUMBER(SEARCH("tree shield",E717)),ISNUMBER(SEARCH("tree banding",E717)),ISNUMBER(SEARCH("insect barrier",E717))),"Tree Barriers",
OR(ISNUMBER(SEARCH("sun &amp; shade",E717)),ISNUMBER(SEARCH("sun and shade",E717))),"Sun &amp; Shade Mix",
ISNUMBER(SEARCH("tall fescue",E717)),"Tall Fescue",
ISNUMBER(SEARCH("bermudagrass",E717)),"Bermudagrass",
ISNUMBER(SEARCH("kentucky",E717)),"Kentucky Bluegrass",
ISNUMBER(SEARCH("zoysia",E717)),"Zoysia",
ISNUMBER(SEARCH("ryegrass",E717)),"Perennial Ryegrass",
ISNUMBER(SEARCH("centipede",E717)),"Centipede Grass",
ISNUMBER(SEARCH("dense shade",E717)),"Dense Shade Mix",
ISNUMBER(SEARCH("southern gold",E717)),"Southern Gold Mix",
ISNUMBER(SEARCH("heat-tolerant blue",E717)),"Heat-Tolerant Blue Mix",
ISNUMBER(SEARCH("high traffic",E717)),"High Traffic Mix",
ISNUMBER(SEARCH("quick fix",E717)),"Quick Fix Mix",
ISNUMBER(SEARCH("starter",E717)),"Starter Fertilizer",
ISNUMBER(SEARCH("weed &amp; feed",E717)),"Weed &amp; Feed",
ISNUMBER(SEARCH("lawn food",E717)),"Lawn Food",
ISNUMBER(SEARCH("triple action",E717)),"Triple Action Fertilizer",
ISNUMBER(SEARCH("green max",E717)),"Green Max Lawn Food",
ISNUMBER(SEARCH("patchmaster",E717)),"PatchMaster Repair",
ISNUMBER(SEARCH("ez seed",E717)),"EZ Seed Repair",
ISNUMBER(SEARCH("rapid grass",E717)),"Rapid Grass",
ISNUMBER(SEARCH("thick'r lawn",E717)),"Thick'R Lawn",
ISNUMBER(SEARCH("fungicide",E717)),"Fungicide",
ISNUMBER(SEARCH("moss",E717)),"Moss Control",
ISNUMBER(SEARCH("perlite",E717)),"Perlite",
ISNUMBER(SEARCH("plant food",E717)),"Plant Food",
ISNUMBER(SEARCH("spreader",E717)),"Spreader",
ISNUMBER(SEARCH("sprayer",E717)),"Sprayer",
ISNUMBER(SEARCH("mower",E717)),"Lawn Mower",
ISNUMBER(SEARCH("sweeper",E717)),"Lawn Sweeper",
OR(ISNUMBER(SEARCH("pruner",E717)),ISNUMBER(SEARCH("trimmer",E717)),ISNUMBER(SEARCH("pole saw",E717))),"Pruning Tools",
TRUE,"Other"
)</f>
        <v>Ant Traps</v>
      </c>
      <c r="J717" s="7" t="str">
        <f t="shared" si="207"/>
        <v>Crawling Insect Control - Ant Traps</v>
      </c>
      <c r="K717" s="4">
        <v>50</v>
      </c>
      <c r="L717" s="4">
        <v>4.5999999999999996</v>
      </c>
      <c r="M717" s="4">
        <v>2126</v>
      </c>
      <c r="N717" s="4" t="s">
        <v>3221</v>
      </c>
      <c r="O717" s="4">
        <f>VLOOKUP(A717,[13]Sheet1!$A:$M,2,0)</f>
        <v>0</v>
      </c>
      <c r="P717" s="4">
        <f>VLOOKUP(A717,[13]Sheet1!$A:$M,3,0)</f>
        <v>0</v>
      </c>
      <c r="Q717" s="4">
        <f>VLOOKUP(A717,[13]Sheet1!$A:$M,4,0)</f>
        <v>0</v>
      </c>
      <c r="R717" s="4">
        <f>VLOOKUP(A717,[13]Sheet1!$A:$M,5,0)</f>
        <v>0</v>
      </c>
      <c r="S717" s="4">
        <f>VLOOKUP(A717,[13]Sheet1!$A:$M,6,0)</f>
        <v>50</v>
      </c>
      <c r="T717" s="4">
        <f>VLOOKUP(A717,[13]Sheet1!$A:$M,7,0)</f>
        <v>0</v>
      </c>
      <c r="U717" s="4">
        <f>VLOOKUP(A717,[13]Sheet1!$A:$M,8,0)</f>
        <v>0</v>
      </c>
      <c r="V717" s="4">
        <f>VLOOKUP(A717,[13]Sheet1!$A:$M,9,0)</f>
        <v>0</v>
      </c>
      <c r="W717" s="4">
        <f>VLOOKUP(A717,[13]Sheet1!$A:$M,10,0)</f>
        <v>50</v>
      </c>
      <c r="X717" s="4">
        <f>VLOOKUP(A717,[13]Sheet1!$A:$M,11,0)</f>
        <v>0</v>
      </c>
      <c r="Y717" s="4">
        <f>VLOOKUP(A717,[13]Sheet1!$A:$M,12,0)</f>
        <v>0</v>
      </c>
      <c r="Z717" s="4">
        <f>VLOOKUP(A717,[13]Sheet1!$A:$M,13,0)</f>
        <v>0</v>
      </c>
      <c r="AA717" s="4">
        <f t="shared" si="208"/>
        <v>100</v>
      </c>
      <c r="AB717" s="7">
        <f t="shared" si="209"/>
        <v>8</v>
      </c>
      <c r="AC717" s="15">
        <f t="shared" si="210"/>
        <v>8.3333333333333339</v>
      </c>
      <c r="AD717" s="16">
        <f t="shared" si="211"/>
        <v>1798.9999999999998</v>
      </c>
      <c r="AE717" s="16">
        <f t="shared" si="212"/>
        <v>149.91666666666666</v>
      </c>
      <c r="AF717" s="21">
        <v>8.1</v>
      </c>
      <c r="AG717" s="21">
        <v>17.989999999999998</v>
      </c>
      <c r="AH717" s="15">
        <f t="shared" si="205"/>
        <v>-0.1269333333333334</v>
      </c>
      <c r="AI717" s="15">
        <f t="shared" si="206"/>
        <v>-0.44426666666666681</v>
      </c>
      <c r="AJ717" s="10">
        <v>0.5</v>
      </c>
      <c r="AK717" s="10">
        <v>0.5</v>
      </c>
      <c r="AL717" s="21">
        <v>8.1</v>
      </c>
      <c r="AM717" s="9">
        <f t="shared" si="213"/>
        <v>2.6984999999999997</v>
      </c>
      <c r="AN717" s="9">
        <f t="shared" si="214"/>
        <v>0.53969999999999996</v>
      </c>
      <c r="AO717" s="9">
        <f t="shared" si="215"/>
        <v>3.5979999999999999</v>
      </c>
      <c r="AP717" s="9">
        <f t="shared" si="216"/>
        <v>0.35979999999999995</v>
      </c>
      <c r="AQ717" s="9">
        <f t="shared" si="217"/>
        <v>3.5979999999999999</v>
      </c>
      <c r="AR717" s="9">
        <f t="shared" si="218"/>
        <v>4.4974999999999996</v>
      </c>
      <c r="AS717" s="11">
        <f t="shared" si="219"/>
        <v>-1.2693333333333339</v>
      </c>
      <c r="AT717" s="12">
        <f t="shared" si="220"/>
        <v>-1.8690000000000004</v>
      </c>
    </row>
    <row r="718" spans="1:46" ht="16.5" x14ac:dyDescent="0.4">
      <c r="A718" s="4" t="s">
        <v>2708</v>
      </c>
      <c r="B718" s="4" t="s">
        <v>2710</v>
      </c>
      <c r="C718" s="4" t="s">
        <v>1797</v>
      </c>
      <c r="D718" s="4" t="s">
        <v>2887</v>
      </c>
      <c r="E718" s="4" t="s">
        <v>3046</v>
      </c>
      <c r="F718" s="4" t="s">
        <v>3205</v>
      </c>
      <c r="G718" s="7" t="str">
        <f>VLOOKUP(A718,[1]done!$A:$I,9,0)</f>
        <v>Weed Control</v>
      </c>
      <c r="H718" s="7" t="str" cm="1">
        <f t="array" ref="H718">_xlfn.IFS(
OR(ISNUMBER(SEARCH("mouse",E718)),ISNUMBER(SEARCH("rat",E718)),ISNUMBER(SEARCH("mice",E718)),ISNUMBER(SEARCH("rodent",E718))),"Rodent Control",
OR(ISNUMBER(SEARCH("fly",E718)),ISNUMBER(SEARCH("gnat",E718)),ISNUMBER(SEARCH("insect",E718)),ISNUMBER(SEARCH("mosquito",E718))),"Flying Insect Control",
OR(ISNUMBER(SEARCH("roach",E718)),ISNUMBER(SEARCH("ant",E718)),ISNUMBER(SEARCH("spider",E718)),ISNUMBER(SEARCH("cricket",E718)),ISNUMBER(SEARCH("scorpion",E718)),ISNUMBER(SEARCH("centipede",E718)),ISNUMBER(SEARCH("beetle",E718))),"Crawling Insect Control",
OR(ISNUMBER(SEARCH("tree",E718)),ISNUMBER(SEARCH("lantern",E718)),ISNUMBER(SEARCH("garden",E718)),ISNUMBER(SEARCH("plant",E718))),"Garden Pest Control",
OR(ISNUMBER(SEARCH("grass seed",E718)),ISNUMBER(SEARCH("seed mix",E718))),"Grass Seed",
OR(ISNUMBER(SEARCH("lawn food",E718)),ISNUMBER(SEARCH("fertilizer",E718))),"Lawn Fertilizer",
OR(ISNUMBER(SEARCH("patch",E718)),ISNUMBER(SEARCH("repair",E718)),ISNUMBER(SEARCH("thick'r",E718)),ISNUMBER(SEARCH("thick'r lawn",E718)),ISNUMBER(SEARCH("rapid grass",E718))),"Lawn Repair",
OR(ISNUMBER(SEARCH("weed",E718)),ISNUMBER(SEARCH("crabgrass",E718))),"Weed Control",
OR(ISNUMBER(SEARCH("fungicide",E718)),ISNUMBER(SEARCH("moss",E718))),"Disease &amp; Moss Control",
OR(ISNUMBER(SEARCH("plant food",E718)),ISNUMBER(SEARCH("miracid",E718))),"Plant Nutrition",
OR(ISNUMBER(SEARCH("perlite",E718))),"Soil Amendment",
OR(ISNUMBER(SEARCH("spreader",E718)),ISNUMBER(SEARCH("sprayer",E718)),ISNUMBER(SEARCH("mower",E718)),ISNUMBER(SEARCH("sweeper",E718)),ISNUMBER(SEARCH("pruner",E718)),ISNUMBER(SEARCH("trimmer",E718)),ISNUMBER(SEARCH("pole saw",E718))),"Garden Equipment",
TRUE,"Other"
)</f>
        <v>Weed Control</v>
      </c>
      <c r="I718" s="7" t="str" cm="1">
        <f t="array" ref="I718">_xlfn.IFS(
OR(ISNUMBER(SEARCH("glue trap",E718)),ISNUMBER(SEARCH("glue board",E718))),"Glue Traps",
OR(ISNUMBER(SEARCH("snap trap",E718)),ISNUMBER(SEARCH("power-kill",E718)),ISNUMBER(SEARCH("wide pedal",E718)),ISNUMBER(SEARCH("metal pedal",E718))),"Snap Traps",
OR(ISNUMBER(SEARCH("electronic",E718)),ISNUMBER(SEARCH("zapper",E718))),"Electronic Traps",
OR(ISNUMBER(SEARCH("live catch",E718)),ISNUMBER(SEARCH("multi-catch",E718)),ISNUMBER(SEARCH("catch &amp; hold",E718)),ISNUMBER(SEARCH("tin cat",E718))),"Live Catch Traps",
OR(ISNUMBER(SEARCH("bait",E718)),ISNUMBER(SEARCH("poison",E718))),"Bait &amp; Poison",
ISNUMBER(SEARCH("repellent",E718)),"Repellents",
OR(ISNUMBER(SEARCH("fly trap",E718)),ISNUMBER(SEARCH("fly ribbon",E718)),ISNUMBER(SEARCH("fly stick",E718)),ISNUMBER(SEARCH("window fly",E718)),ISNUMBER(SEARCH("fly magnet",E718))),"Fly Traps",
OR(ISNUMBER(SEARCH("uv",E718)),ISNUMBER(SEARCH("fly light",E718)),ISNUMBER(SEARCH("plug-in",E718))),"UV Fly Traps",
ISNUMBER(SEARCH("roach",E718)),"Roach Traps",
ISNUMBER(SEARCH("ant",E718)),"Ant Traps",
ISNUMBER(SEARCH("spider",E718)),"Spider Traps",
ISNUMBER(SEARCH("mosquito",E718)),"Mosquito Traps",
ISNUMBER(SEARCH("beetle",E718)),"Beetle Traps",
ISNUMBER(SEARCH("lantern",E718)),"Lanternfly Control",
OR(ISNUMBER(SEARCH("tree shield",E718)),ISNUMBER(SEARCH("tree banding",E718)),ISNUMBER(SEARCH("insect barrier",E718))),"Tree Barriers",
OR(ISNUMBER(SEARCH("sun &amp; shade",E718)),ISNUMBER(SEARCH("sun and shade",E718))),"Sun &amp; Shade Mix",
ISNUMBER(SEARCH("tall fescue",E718)),"Tall Fescue",
ISNUMBER(SEARCH("bermudagrass",E718)),"Bermudagrass",
ISNUMBER(SEARCH("kentucky",E718)),"Kentucky Bluegrass",
ISNUMBER(SEARCH("zoysia",E718)),"Zoysia",
ISNUMBER(SEARCH("ryegrass",E718)),"Perennial Ryegrass",
ISNUMBER(SEARCH("centipede",E718)),"Centipede Grass",
ISNUMBER(SEARCH("dense shade",E718)),"Dense Shade Mix",
ISNUMBER(SEARCH("southern gold",E718)),"Southern Gold Mix",
ISNUMBER(SEARCH("heat-tolerant blue",E718)),"Heat-Tolerant Blue Mix",
ISNUMBER(SEARCH("high traffic",E718)),"High Traffic Mix",
ISNUMBER(SEARCH("quick fix",E718)),"Quick Fix Mix",
ISNUMBER(SEARCH("starter",E718)),"Starter Fertilizer",
ISNUMBER(SEARCH("weed &amp; feed",E718)),"Weed &amp; Feed",
ISNUMBER(SEARCH("lawn food",E718)),"Lawn Food",
ISNUMBER(SEARCH("triple action",E718)),"Triple Action Fertilizer",
ISNUMBER(SEARCH("green max",E718)),"Green Max Lawn Food",
ISNUMBER(SEARCH("patchmaster",E718)),"PatchMaster Repair",
ISNUMBER(SEARCH("ez seed",E718)),"EZ Seed Repair",
ISNUMBER(SEARCH("rapid grass",E718)),"Rapid Grass",
ISNUMBER(SEARCH("thick'r lawn",E718)),"Thick'R Lawn",
ISNUMBER(SEARCH("fungicide",E718)),"Fungicide",
ISNUMBER(SEARCH("moss",E718)),"Moss Control",
ISNUMBER(SEARCH("perlite",E718)),"Perlite",
ISNUMBER(SEARCH("plant food",E718)),"Plant Food",
ISNUMBER(SEARCH("spreader",E718)),"Spreader",
ISNUMBER(SEARCH("sprayer",E718)),"Sprayer",
ISNUMBER(SEARCH("mower",E718)),"Lawn Mower",
ISNUMBER(SEARCH("sweeper",E718)),"Lawn Sweeper",
OR(ISNUMBER(SEARCH("pruner",E718)),ISNUMBER(SEARCH("trimmer",E718)),ISNUMBER(SEARCH("pole saw",E718))),"Pruning Tools",
TRUE,"Other"
)</f>
        <v>Other</v>
      </c>
      <c r="J718" s="7" t="str">
        <f t="shared" si="207"/>
        <v>Weed Control - Other</v>
      </c>
      <c r="K718" s="4">
        <v>50</v>
      </c>
      <c r="L718" s="4">
        <v>4.0999999999999996</v>
      </c>
      <c r="M718" s="4">
        <v>88</v>
      </c>
      <c r="N718" s="4" t="s">
        <v>3260</v>
      </c>
      <c r="O718" s="4">
        <f>VLOOKUP(A718,[13]Sheet1!$A:$M,2,0)</f>
        <v>0</v>
      </c>
      <c r="P718" s="4">
        <f>VLOOKUP(A718,[13]Sheet1!$A:$M,3,0)</f>
        <v>0</v>
      </c>
      <c r="Q718" s="4">
        <f>VLOOKUP(A718,[13]Sheet1!$A:$M,4,0)</f>
        <v>0</v>
      </c>
      <c r="R718" s="4">
        <f>VLOOKUP(A718,[13]Sheet1!$A:$M,5,0)</f>
        <v>0</v>
      </c>
      <c r="S718" s="4">
        <f>VLOOKUP(A718,[13]Sheet1!$A:$M,6,0)</f>
        <v>0</v>
      </c>
      <c r="T718" s="4">
        <f>VLOOKUP(A718,[13]Sheet1!$A:$M,7,0)</f>
        <v>0</v>
      </c>
      <c r="U718" s="4">
        <f>VLOOKUP(A718,[13]Sheet1!$A:$M,8,0)</f>
        <v>0</v>
      </c>
      <c r="V718" s="4">
        <f>VLOOKUP(A718,[13]Sheet1!$A:$M,9,0)</f>
        <v>0</v>
      </c>
      <c r="W718" s="4">
        <f>VLOOKUP(A718,[13]Sheet1!$A:$M,10,0)</f>
        <v>50</v>
      </c>
      <c r="X718" s="4">
        <f>VLOOKUP(A718,[13]Sheet1!$A:$M,11,0)</f>
        <v>0</v>
      </c>
      <c r="Y718" s="4">
        <f>VLOOKUP(A718,[13]Sheet1!$A:$M,12,0)</f>
        <v>0</v>
      </c>
      <c r="Z718" s="4">
        <f>VLOOKUP(A718,[13]Sheet1!$A:$M,13,0)</f>
        <v>0</v>
      </c>
      <c r="AA718" s="4">
        <f t="shared" si="208"/>
        <v>50</v>
      </c>
      <c r="AB718" s="7">
        <f t="shared" si="209"/>
        <v>4</v>
      </c>
      <c r="AC718" s="15">
        <f t="shared" si="210"/>
        <v>4.166666666666667</v>
      </c>
      <c r="AD718" s="16">
        <f t="shared" si="211"/>
        <v>1073.5</v>
      </c>
      <c r="AE718" s="16">
        <f t="shared" si="212"/>
        <v>89.458333333333329</v>
      </c>
      <c r="AF718" s="21">
        <v>6.31</v>
      </c>
      <c r="AG718" s="21">
        <v>21.47</v>
      </c>
      <c r="AH718" s="15">
        <f t="shared" si="205"/>
        <v>8.520000000000004E-2</v>
      </c>
      <c r="AI718" s="15">
        <f t="shared" si="206"/>
        <v>0.29820000000000008</v>
      </c>
      <c r="AJ718" s="10">
        <v>0.5</v>
      </c>
      <c r="AK718" s="10">
        <v>0.5</v>
      </c>
      <c r="AL718" s="21">
        <v>6.31</v>
      </c>
      <c r="AM718" s="9">
        <f t="shared" si="213"/>
        <v>3.2204999999999999</v>
      </c>
      <c r="AN718" s="9">
        <f t="shared" si="214"/>
        <v>0.64409999999999989</v>
      </c>
      <c r="AO718" s="9">
        <f t="shared" si="215"/>
        <v>4.2939999999999996</v>
      </c>
      <c r="AP718" s="9">
        <f t="shared" si="216"/>
        <v>0.4294</v>
      </c>
      <c r="AQ718" s="9">
        <f t="shared" si="217"/>
        <v>4.2939999999999996</v>
      </c>
      <c r="AR718" s="9">
        <f t="shared" si="218"/>
        <v>5.3674999999999997</v>
      </c>
      <c r="AS718" s="11">
        <f t="shared" si="219"/>
        <v>0.85200000000000031</v>
      </c>
      <c r="AT718" s="12">
        <f t="shared" si="220"/>
        <v>0.13633333333333356</v>
      </c>
    </row>
    <row r="719" spans="1:46" ht="16.5" x14ac:dyDescent="0.4">
      <c r="A719" s="4" t="s">
        <v>2709</v>
      </c>
      <c r="B719" s="4" t="s">
        <v>2710</v>
      </c>
      <c r="C719" s="4" t="s">
        <v>2712</v>
      </c>
      <c r="D719" s="4" t="s">
        <v>2888</v>
      </c>
      <c r="E719" s="4" t="s">
        <v>3047</v>
      </c>
      <c r="F719" s="4" t="s">
        <v>3206</v>
      </c>
      <c r="G719" s="7" t="str">
        <f>VLOOKUP(A719,[1]done!$A:$I,9,0)</f>
        <v>Insecticide/Fungicide</v>
      </c>
      <c r="H719" s="7" t="str" cm="1">
        <f t="array" ref="H719">_xlfn.IFS(
OR(ISNUMBER(SEARCH("mouse",E719)),ISNUMBER(SEARCH("rat",E719)),ISNUMBER(SEARCH("mice",E719)),ISNUMBER(SEARCH("rodent",E719))),"Rodent Control",
OR(ISNUMBER(SEARCH("fly",E719)),ISNUMBER(SEARCH("gnat",E719)),ISNUMBER(SEARCH("insect",E719)),ISNUMBER(SEARCH("mosquito",E719))),"Flying Insect Control",
OR(ISNUMBER(SEARCH("roach",E719)),ISNUMBER(SEARCH("ant",E719)),ISNUMBER(SEARCH("spider",E719)),ISNUMBER(SEARCH("cricket",E719)),ISNUMBER(SEARCH("scorpion",E719)),ISNUMBER(SEARCH("centipede",E719)),ISNUMBER(SEARCH("beetle",E719))),"Crawling Insect Control",
OR(ISNUMBER(SEARCH("tree",E719)),ISNUMBER(SEARCH("lantern",E719)),ISNUMBER(SEARCH("garden",E719)),ISNUMBER(SEARCH("plant",E719))),"Garden Pest Control",
OR(ISNUMBER(SEARCH("grass seed",E719)),ISNUMBER(SEARCH("seed mix",E719))),"Grass Seed",
OR(ISNUMBER(SEARCH("lawn food",E719)),ISNUMBER(SEARCH("fertilizer",E719))),"Lawn Fertilizer",
OR(ISNUMBER(SEARCH("patch",E719)),ISNUMBER(SEARCH("repair",E719)),ISNUMBER(SEARCH("thick'r",E719)),ISNUMBER(SEARCH("thick'r lawn",E719)),ISNUMBER(SEARCH("rapid grass",E719))),"Lawn Repair",
OR(ISNUMBER(SEARCH("weed",E719)),ISNUMBER(SEARCH("crabgrass",E719))),"Weed Control",
OR(ISNUMBER(SEARCH("fungicide",E719)),ISNUMBER(SEARCH("moss",E719))),"Disease &amp; Moss Control",
OR(ISNUMBER(SEARCH("plant food",E719)),ISNUMBER(SEARCH("miracid",E719))),"Plant Nutrition",
OR(ISNUMBER(SEARCH("perlite",E719))),"Soil Amendment",
OR(ISNUMBER(SEARCH("spreader",E719)),ISNUMBER(SEARCH("sprayer",E719)),ISNUMBER(SEARCH("mower",E719)),ISNUMBER(SEARCH("sweeper",E719)),ISNUMBER(SEARCH("pruner",E719)),ISNUMBER(SEARCH("trimmer",E719)),ISNUMBER(SEARCH("pole saw",E719))),"Garden Equipment",
TRUE,"Other"
)</f>
        <v>Other</v>
      </c>
      <c r="I719" s="7" t="str" cm="1">
        <f t="array" ref="I719">_xlfn.IFS(
OR(ISNUMBER(SEARCH("glue trap",E719)),ISNUMBER(SEARCH("glue board",E719))),"Glue Traps",
OR(ISNUMBER(SEARCH("snap trap",E719)),ISNUMBER(SEARCH("power-kill",E719)),ISNUMBER(SEARCH("wide pedal",E719)),ISNUMBER(SEARCH("metal pedal",E719))),"Snap Traps",
OR(ISNUMBER(SEARCH("electronic",E719)),ISNUMBER(SEARCH("zapper",E719))),"Electronic Traps",
OR(ISNUMBER(SEARCH("live catch",E719)),ISNUMBER(SEARCH("multi-catch",E719)),ISNUMBER(SEARCH("catch &amp; hold",E719)),ISNUMBER(SEARCH("tin cat",E719))),"Live Catch Traps",
OR(ISNUMBER(SEARCH("bait",E719)),ISNUMBER(SEARCH("poison",E719))),"Bait &amp; Poison",
ISNUMBER(SEARCH("repellent",E719)),"Repellents",
OR(ISNUMBER(SEARCH("fly trap",E719)),ISNUMBER(SEARCH("fly ribbon",E719)),ISNUMBER(SEARCH("fly stick",E719)),ISNUMBER(SEARCH("window fly",E719)),ISNUMBER(SEARCH("fly magnet",E719))),"Fly Traps",
OR(ISNUMBER(SEARCH("uv",E719)),ISNUMBER(SEARCH("fly light",E719)),ISNUMBER(SEARCH("plug-in",E719))),"UV Fly Traps",
ISNUMBER(SEARCH("roach",E719)),"Roach Traps",
ISNUMBER(SEARCH("ant",E719)),"Ant Traps",
ISNUMBER(SEARCH("spider",E719)),"Spider Traps",
ISNUMBER(SEARCH("mosquito",E719)),"Mosquito Traps",
ISNUMBER(SEARCH("beetle",E719)),"Beetle Traps",
ISNUMBER(SEARCH("lantern",E719)),"Lanternfly Control",
OR(ISNUMBER(SEARCH("tree shield",E719)),ISNUMBER(SEARCH("tree banding",E719)),ISNUMBER(SEARCH("insect barrier",E719))),"Tree Barriers",
OR(ISNUMBER(SEARCH("sun &amp; shade",E719)),ISNUMBER(SEARCH("sun and shade",E719))),"Sun &amp; Shade Mix",
ISNUMBER(SEARCH("tall fescue",E719)),"Tall Fescue",
ISNUMBER(SEARCH("bermudagrass",E719)),"Bermudagrass",
ISNUMBER(SEARCH("kentucky",E719)),"Kentucky Bluegrass",
ISNUMBER(SEARCH("zoysia",E719)),"Zoysia",
ISNUMBER(SEARCH("ryegrass",E719)),"Perennial Ryegrass",
ISNUMBER(SEARCH("centipede",E719)),"Centipede Grass",
ISNUMBER(SEARCH("dense shade",E719)),"Dense Shade Mix",
ISNUMBER(SEARCH("southern gold",E719)),"Southern Gold Mix",
ISNUMBER(SEARCH("heat-tolerant blue",E719)),"Heat-Tolerant Blue Mix",
ISNUMBER(SEARCH("high traffic",E719)),"High Traffic Mix",
ISNUMBER(SEARCH("quick fix",E719)),"Quick Fix Mix",
ISNUMBER(SEARCH("starter",E719)),"Starter Fertilizer",
ISNUMBER(SEARCH("weed &amp; feed",E719)),"Weed &amp; Feed",
ISNUMBER(SEARCH("lawn food",E719)),"Lawn Food",
ISNUMBER(SEARCH("triple action",E719)),"Triple Action Fertilizer",
ISNUMBER(SEARCH("green max",E719)),"Green Max Lawn Food",
ISNUMBER(SEARCH("patchmaster",E719)),"PatchMaster Repair",
ISNUMBER(SEARCH("ez seed",E719)),"EZ Seed Repair",
ISNUMBER(SEARCH("rapid grass",E719)),"Rapid Grass",
ISNUMBER(SEARCH("thick'r lawn",E719)),"Thick'R Lawn",
ISNUMBER(SEARCH("fungicide",E719)),"Fungicide",
ISNUMBER(SEARCH("moss",E719)),"Moss Control",
ISNUMBER(SEARCH("perlite",E719)),"Perlite",
ISNUMBER(SEARCH("plant food",E719)),"Plant Food",
ISNUMBER(SEARCH("spreader",E719)),"Spreader",
ISNUMBER(SEARCH("sprayer",E719)),"Sprayer",
ISNUMBER(SEARCH("mower",E719)),"Lawn Mower",
ISNUMBER(SEARCH("sweeper",E719)),"Lawn Sweeper",
OR(ISNUMBER(SEARCH("pruner",E719)),ISNUMBER(SEARCH("trimmer",E719)),ISNUMBER(SEARCH("pole saw",E719))),"Pruning Tools",
TRUE,"Other"
)</f>
        <v>Other</v>
      </c>
      <c r="J719" s="7" t="str">
        <f t="shared" si="207"/>
        <v>Other - Other</v>
      </c>
      <c r="K719" s="4">
        <v>50</v>
      </c>
      <c r="L719" s="4">
        <v>4.4000000000000004</v>
      </c>
      <c r="M719" s="4">
        <v>117</v>
      </c>
      <c r="N719" s="4" t="s">
        <v>3261</v>
      </c>
      <c r="O719" s="4">
        <f>VLOOKUP(A719,[13]Sheet1!$A:$M,2,0)</f>
        <v>0</v>
      </c>
      <c r="P719" s="4">
        <f>VLOOKUP(A719,[13]Sheet1!$A:$M,3,0)</f>
        <v>0</v>
      </c>
      <c r="Q719" s="4">
        <f>VLOOKUP(A719,[13]Sheet1!$A:$M,4,0)</f>
        <v>0</v>
      </c>
      <c r="R719" s="4">
        <f>VLOOKUP(A719,[13]Sheet1!$A:$M,5,0)</f>
        <v>0</v>
      </c>
      <c r="S719" s="4">
        <f>VLOOKUP(A719,[13]Sheet1!$A:$M,6,0)</f>
        <v>0</v>
      </c>
      <c r="T719" s="4">
        <f>VLOOKUP(A719,[13]Sheet1!$A:$M,7,0)</f>
        <v>0</v>
      </c>
      <c r="U719" s="4">
        <f>VLOOKUP(A719,[13]Sheet1!$A:$M,8,0)</f>
        <v>0</v>
      </c>
      <c r="V719" s="4">
        <f>VLOOKUP(A719,[13]Sheet1!$A:$M,9,0)</f>
        <v>50</v>
      </c>
      <c r="W719" s="4">
        <f>VLOOKUP(A719,[13]Sheet1!$A:$M,10,0)</f>
        <v>50</v>
      </c>
      <c r="X719" s="4">
        <f>VLOOKUP(A719,[13]Sheet1!$A:$M,11,0)</f>
        <v>100</v>
      </c>
      <c r="Y719" s="4">
        <f>VLOOKUP(A719,[13]Sheet1!$A:$M,12,0)</f>
        <v>50</v>
      </c>
      <c r="Z719" s="4">
        <f>VLOOKUP(A719,[13]Sheet1!$A:$M,13,0)</f>
        <v>0</v>
      </c>
      <c r="AA719" s="4">
        <f t="shared" si="208"/>
        <v>250</v>
      </c>
      <c r="AB719" s="7">
        <f t="shared" si="209"/>
        <v>21</v>
      </c>
      <c r="AC719" s="15">
        <f t="shared" si="210"/>
        <v>20.833333333333332</v>
      </c>
      <c r="AD719" s="16">
        <f t="shared" si="211"/>
        <v>3380</v>
      </c>
      <c r="AE719" s="16">
        <f t="shared" si="212"/>
        <v>281.66666666666663</v>
      </c>
      <c r="AF719" s="21">
        <v>5.84</v>
      </c>
      <c r="AG719" s="21">
        <v>13.52</v>
      </c>
      <c r="AH719" s="15">
        <f t="shared" si="205"/>
        <v>-9.5466666666666672E-2</v>
      </c>
      <c r="AI719" s="15">
        <f t="shared" si="206"/>
        <v>-0.33413333333333334</v>
      </c>
      <c r="AJ719" s="10">
        <v>0.5</v>
      </c>
      <c r="AK719" s="10">
        <v>0.5</v>
      </c>
      <c r="AL719" s="21">
        <v>5.84</v>
      </c>
      <c r="AM719" s="9">
        <f t="shared" si="213"/>
        <v>2.028</v>
      </c>
      <c r="AN719" s="9">
        <f t="shared" si="214"/>
        <v>0.40559999999999996</v>
      </c>
      <c r="AO719" s="9">
        <f t="shared" si="215"/>
        <v>2.7040000000000002</v>
      </c>
      <c r="AP719" s="9">
        <f t="shared" si="216"/>
        <v>0.27039999999999997</v>
      </c>
      <c r="AQ719" s="9">
        <f t="shared" si="217"/>
        <v>2.7040000000000002</v>
      </c>
      <c r="AR719" s="9">
        <f t="shared" si="218"/>
        <v>3.38</v>
      </c>
      <c r="AS719" s="11">
        <f t="shared" si="219"/>
        <v>-0.95466666666666666</v>
      </c>
      <c r="AT719" s="12">
        <f t="shared" si="220"/>
        <v>-1.4053333333333331</v>
      </c>
    </row>
    <row r="720" spans="1:46" ht="16.5" x14ac:dyDescent="0.4">
      <c r="A720" s="4" t="s">
        <v>3262</v>
      </c>
      <c r="B720" s="4" t="s">
        <v>3312</v>
      </c>
      <c r="C720" s="4" t="s">
        <v>3313</v>
      </c>
      <c r="D720" s="4" t="s">
        <v>3314</v>
      </c>
      <c r="E720" s="4" t="s">
        <v>3358</v>
      </c>
      <c r="F720" s="4" t="s">
        <v>3408</v>
      </c>
      <c r="G720" s="7" t="str">
        <f>VLOOKUP(A720,[1]done!$A:$I,9,0)</f>
        <v>Cockroach</v>
      </c>
      <c r="H720" s="7" t="str" cm="1">
        <f t="array" ref="H720">_xlfn.IFS(
OR(ISNUMBER(SEARCH("mouse",E720)),ISNUMBER(SEARCH("rat",E720)),ISNUMBER(SEARCH("mice",E720)),ISNUMBER(SEARCH("rodent",E720))),"Rodent Control",
OR(ISNUMBER(SEARCH("fly",E720)),ISNUMBER(SEARCH("gnat",E720)),ISNUMBER(SEARCH("insect",E720)),ISNUMBER(SEARCH("mosquito",E720))),"Flying Insect Control",
OR(ISNUMBER(SEARCH("roach",E720)),ISNUMBER(SEARCH("ant",E720)),ISNUMBER(SEARCH("spider",E720)),ISNUMBER(SEARCH("cricket",E720)),ISNUMBER(SEARCH("scorpion",E720)),ISNUMBER(SEARCH("centipede",E720)),ISNUMBER(SEARCH("beetle",E720))),"Crawling Insect Control",
OR(ISNUMBER(SEARCH("tree",E720)),ISNUMBER(SEARCH("lantern",E720)),ISNUMBER(SEARCH("garden",E720)),ISNUMBER(SEARCH("plant",E720))),"Garden Pest Control",
OR(ISNUMBER(SEARCH("grass seed",E720)),ISNUMBER(SEARCH("seed mix",E720))),"Grass Seed",
OR(ISNUMBER(SEARCH("lawn food",E720)),ISNUMBER(SEARCH("fertilizer",E720))),"Lawn Fertilizer",
OR(ISNUMBER(SEARCH("patch",E720)),ISNUMBER(SEARCH("repair",E720)),ISNUMBER(SEARCH("thick'r",E720)),ISNUMBER(SEARCH("thick'r lawn",E720)),ISNUMBER(SEARCH("rapid grass",E720))),"Lawn Repair",
OR(ISNUMBER(SEARCH("weed",E720)),ISNUMBER(SEARCH("crabgrass",E720))),"Weed Control",
OR(ISNUMBER(SEARCH("fungicide",E720)),ISNUMBER(SEARCH("moss",E720))),"Disease &amp; Moss Control",
OR(ISNUMBER(SEARCH("plant food",E720)),ISNUMBER(SEARCH("miracid",E720))),"Plant Nutrition",
OR(ISNUMBER(SEARCH("perlite",E720))),"Soil Amendment",
OR(ISNUMBER(SEARCH("spreader",E720)),ISNUMBER(SEARCH("sprayer",E720)),ISNUMBER(SEARCH("mower",E720)),ISNUMBER(SEARCH("sweeper",E720)),ISNUMBER(SEARCH("pruner",E720)),ISNUMBER(SEARCH("trimmer",E720)),ISNUMBER(SEARCH("pole saw",E720))),"Garden Equipment",
TRUE,"Other"
)</f>
        <v>Crawling Insect Control</v>
      </c>
      <c r="I720" s="7" t="str" cm="1">
        <f t="array" ref="I720">_xlfn.IFS(
OR(ISNUMBER(SEARCH("glue trap",E720)),ISNUMBER(SEARCH("glue board",E720))),"Glue Traps",
OR(ISNUMBER(SEARCH("snap trap",E720)),ISNUMBER(SEARCH("power-kill",E720)),ISNUMBER(SEARCH("wide pedal",E720)),ISNUMBER(SEARCH("metal pedal",E720))),"Snap Traps",
OR(ISNUMBER(SEARCH("electronic",E720)),ISNUMBER(SEARCH("zapper",E720))),"Electronic Traps",
OR(ISNUMBER(SEARCH("live catch",E720)),ISNUMBER(SEARCH("multi-catch",E720)),ISNUMBER(SEARCH("catch &amp; hold",E720)),ISNUMBER(SEARCH("tin cat",E720))),"Live Catch Traps",
OR(ISNUMBER(SEARCH("bait",E720)),ISNUMBER(SEARCH("poison",E720))),"Bait &amp; Poison",
ISNUMBER(SEARCH("repellent",E720)),"Repellents",
OR(ISNUMBER(SEARCH("fly trap",E720)),ISNUMBER(SEARCH("fly ribbon",E720)),ISNUMBER(SEARCH("fly stick",E720)),ISNUMBER(SEARCH("window fly",E720)),ISNUMBER(SEARCH("fly magnet",E720))),"Fly Traps",
OR(ISNUMBER(SEARCH("uv",E720)),ISNUMBER(SEARCH("fly light",E720)),ISNUMBER(SEARCH("plug-in",E720))),"UV Fly Traps",
ISNUMBER(SEARCH("roach",E720)),"Roach Traps",
ISNUMBER(SEARCH("ant",E720)),"Ant Traps",
ISNUMBER(SEARCH("spider",E720)),"Spider Traps",
ISNUMBER(SEARCH("mosquito",E720)),"Mosquito Traps",
ISNUMBER(SEARCH("beetle",E720)),"Beetle Traps",
ISNUMBER(SEARCH("lantern",E720)),"Lanternfly Control",
OR(ISNUMBER(SEARCH("tree shield",E720)),ISNUMBER(SEARCH("tree banding",E720)),ISNUMBER(SEARCH("insect barrier",E720))),"Tree Barriers",
OR(ISNUMBER(SEARCH("sun &amp; shade",E720)),ISNUMBER(SEARCH("sun and shade",E720))),"Sun &amp; Shade Mix",
ISNUMBER(SEARCH("tall fescue",E720)),"Tall Fescue",
ISNUMBER(SEARCH("bermudagrass",E720)),"Bermudagrass",
ISNUMBER(SEARCH("kentucky",E720)),"Kentucky Bluegrass",
ISNUMBER(SEARCH("zoysia",E720)),"Zoysia",
ISNUMBER(SEARCH("ryegrass",E720)),"Perennial Ryegrass",
ISNUMBER(SEARCH("centipede",E720)),"Centipede Grass",
ISNUMBER(SEARCH("dense shade",E720)),"Dense Shade Mix",
ISNUMBER(SEARCH("southern gold",E720)),"Southern Gold Mix",
ISNUMBER(SEARCH("heat-tolerant blue",E720)),"Heat-Tolerant Blue Mix",
ISNUMBER(SEARCH("high traffic",E720)),"High Traffic Mix",
ISNUMBER(SEARCH("quick fix",E720)),"Quick Fix Mix",
ISNUMBER(SEARCH("starter",E720)),"Starter Fertilizer",
ISNUMBER(SEARCH("weed &amp; feed",E720)),"Weed &amp; Feed",
ISNUMBER(SEARCH("lawn food",E720)),"Lawn Food",
ISNUMBER(SEARCH("triple action",E720)),"Triple Action Fertilizer",
ISNUMBER(SEARCH("green max",E720)),"Green Max Lawn Food",
ISNUMBER(SEARCH("patchmaster",E720)),"PatchMaster Repair",
ISNUMBER(SEARCH("ez seed",E720)),"EZ Seed Repair",
ISNUMBER(SEARCH("rapid grass",E720)),"Rapid Grass",
ISNUMBER(SEARCH("thick'r lawn",E720)),"Thick'R Lawn",
ISNUMBER(SEARCH("fungicide",E720)),"Fungicide",
ISNUMBER(SEARCH("moss",E720)),"Moss Control",
ISNUMBER(SEARCH("perlite",E720)),"Perlite",
ISNUMBER(SEARCH("plant food",E720)),"Plant Food",
ISNUMBER(SEARCH("spreader",E720)),"Spreader",
ISNUMBER(SEARCH("sprayer",E720)),"Sprayer",
ISNUMBER(SEARCH("mower",E720)),"Lawn Mower",
ISNUMBER(SEARCH("sweeper",E720)),"Lawn Sweeper",
OR(ISNUMBER(SEARCH("pruner",E720)),ISNUMBER(SEARCH("trimmer",E720)),ISNUMBER(SEARCH("pole saw",E720))),"Pruning Tools",
TRUE,"Other"
)</f>
        <v>Roach Traps</v>
      </c>
      <c r="J720" s="7" t="str">
        <f t="shared" si="207"/>
        <v>Crawling Insect Control - Roach Traps</v>
      </c>
      <c r="K720" s="4">
        <v>30000</v>
      </c>
      <c r="L720" s="4">
        <v>4.5999999999999996</v>
      </c>
      <c r="M720" s="4">
        <v>64684</v>
      </c>
      <c r="N720" s="4" t="s">
        <v>3458</v>
      </c>
      <c r="O720" s="4">
        <f>VLOOKUP(A720,[14]Sheet1!$A:$M,2,0)</f>
        <v>10000</v>
      </c>
      <c r="P720" s="4">
        <f>VLOOKUP(A720,[14]Sheet1!$A:$M,3,0)</f>
        <v>10000</v>
      </c>
      <c r="Q720" s="4">
        <f>VLOOKUP(A720,[14]Sheet1!$A:$M,4,0)</f>
        <v>10000</v>
      </c>
      <c r="R720" s="4">
        <f>VLOOKUP(A720,[14]Sheet1!$A:$M,5,0)</f>
        <v>40000</v>
      </c>
      <c r="S720" s="4">
        <f>VLOOKUP(A720,[14]Sheet1!$A:$M,6,0)</f>
        <v>40000</v>
      </c>
      <c r="T720" s="4">
        <f>VLOOKUP(A720,[14]Sheet1!$A:$M,7,0)</f>
        <v>20000</v>
      </c>
      <c r="U720" s="4">
        <f>VLOOKUP(A720,[14]Sheet1!$A:$M,8,0)</f>
        <v>20000</v>
      </c>
      <c r="V720" s="4">
        <f>VLOOKUP(A720,[14]Sheet1!$A:$M,9,0)</f>
        <v>20000</v>
      </c>
      <c r="W720" s="4">
        <f>VLOOKUP(A720,[14]Sheet1!$A:$M,10,0)</f>
        <v>30000</v>
      </c>
      <c r="X720" s="4">
        <f>VLOOKUP(A720,[14]Sheet1!$A:$M,11,0)</f>
        <v>20000</v>
      </c>
      <c r="Y720" s="4">
        <f>VLOOKUP(A720,[14]Sheet1!$A:$M,12,0)</f>
        <v>20000</v>
      </c>
      <c r="Z720" s="4">
        <f>VLOOKUP(A720,[14]Sheet1!$A:$M,13,0)</f>
        <v>10000</v>
      </c>
      <c r="AA720" s="4">
        <f t="shared" ref="AA720:AA769" si="221">SUM(O720:Z720)</f>
        <v>250000</v>
      </c>
      <c r="AB720" s="7">
        <f t="shared" ref="AB720:AB769" si="222">ROUND(AA720/12,0)</f>
        <v>20833</v>
      </c>
      <c r="AC720" s="15">
        <f t="shared" ref="AC720:AC769" si="223">AVERAGE(O720:Z720)</f>
        <v>20833.333333333332</v>
      </c>
      <c r="AD720" s="16">
        <f t="shared" ref="AD720:AD769" si="224">AG720*AA720</f>
        <v>7750000</v>
      </c>
      <c r="AE720" s="16">
        <f t="shared" ref="AE720:AE769" si="225">AG720*AC720</f>
        <v>645833.33333333326</v>
      </c>
      <c r="AF720" s="21">
        <v>4.3499999999999996</v>
      </c>
      <c r="AG720" s="21">
        <v>31</v>
      </c>
      <c r="AH720" s="15">
        <f t="shared" si="205"/>
        <v>0.46999999999999986</v>
      </c>
      <c r="AI720" s="15">
        <f t="shared" si="206"/>
        <v>1.6449999999999994</v>
      </c>
      <c r="AJ720" s="10">
        <v>0.5</v>
      </c>
      <c r="AK720" s="10">
        <v>0.5</v>
      </c>
      <c r="AL720" s="21">
        <v>4.3499999999999996</v>
      </c>
      <c r="AM720" s="9">
        <f t="shared" si="213"/>
        <v>4.6499999999999995</v>
      </c>
      <c r="AN720" s="9">
        <f t="shared" si="214"/>
        <v>0.92999999999999994</v>
      </c>
      <c r="AO720" s="9">
        <f t="shared" si="215"/>
        <v>6.2</v>
      </c>
      <c r="AP720" s="9">
        <f t="shared" si="216"/>
        <v>0.62</v>
      </c>
      <c r="AQ720" s="9">
        <f t="shared" si="217"/>
        <v>6.2</v>
      </c>
      <c r="AR720" s="9">
        <f t="shared" si="218"/>
        <v>7.75</v>
      </c>
      <c r="AS720" s="11">
        <f t="shared" si="219"/>
        <v>4.6999999999999984</v>
      </c>
      <c r="AT720" s="12">
        <f t="shared" si="220"/>
        <v>3.6666666666666656</v>
      </c>
    </row>
    <row r="721" spans="1:46" ht="16.5" x14ac:dyDescent="0.4">
      <c r="A721" s="4" t="s">
        <v>3263</v>
      </c>
      <c r="B721" s="4" t="s">
        <v>3312</v>
      </c>
      <c r="C721" s="4" t="s">
        <v>3312</v>
      </c>
      <c r="D721" s="4" t="s">
        <v>3315</v>
      </c>
      <c r="E721" s="4" t="s">
        <v>3359</v>
      </c>
      <c r="F721" s="4" t="s">
        <v>3409</v>
      </c>
      <c r="G721" s="7" t="str">
        <f>VLOOKUP(A721,[1]done!$A:$I,9,0)</f>
        <v>Cockroach</v>
      </c>
      <c r="H721" s="7" t="str" cm="1">
        <f t="array" ref="H721">_xlfn.IFS(
OR(ISNUMBER(SEARCH("mouse",E721)),ISNUMBER(SEARCH("rat",E721)),ISNUMBER(SEARCH("mice",E721)),ISNUMBER(SEARCH("rodent",E721))),"Rodent Control",
OR(ISNUMBER(SEARCH("fly",E721)),ISNUMBER(SEARCH("gnat",E721)),ISNUMBER(SEARCH("insect",E721)),ISNUMBER(SEARCH("mosquito",E721))),"Flying Insect Control",
OR(ISNUMBER(SEARCH("roach",E721)),ISNUMBER(SEARCH("ant",E721)),ISNUMBER(SEARCH("spider",E721)),ISNUMBER(SEARCH("cricket",E721)),ISNUMBER(SEARCH("scorpion",E721)),ISNUMBER(SEARCH("centipede",E721)),ISNUMBER(SEARCH("beetle",E721))),"Crawling Insect Control",
OR(ISNUMBER(SEARCH("tree",E721)),ISNUMBER(SEARCH("lantern",E721)),ISNUMBER(SEARCH("garden",E721)),ISNUMBER(SEARCH("plant",E721))),"Garden Pest Control",
OR(ISNUMBER(SEARCH("grass seed",E721)),ISNUMBER(SEARCH("seed mix",E721))),"Grass Seed",
OR(ISNUMBER(SEARCH("lawn food",E721)),ISNUMBER(SEARCH("fertilizer",E721))),"Lawn Fertilizer",
OR(ISNUMBER(SEARCH("patch",E721)),ISNUMBER(SEARCH("repair",E721)),ISNUMBER(SEARCH("thick'r",E721)),ISNUMBER(SEARCH("thick'r lawn",E721)),ISNUMBER(SEARCH("rapid grass",E721))),"Lawn Repair",
OR(ISNUMBER(SEARCH("weed",E721)),ISNUMBER(SEARCH("crabgrass",E721))),"Weed Control",
OR(ISNUMBER(SEARCH("fungicide",E721)),ISNUMBER(SEARCH("moss",E721))),"Disease &amp; Moss Control",
OR(ISNUMBER(SEARCH("plant food",E721)),ISNUMBER(SEARCH("miracid",E721))),"Plant Nutrition",
OR(ISNUMBER(SEARCH("perlite",E721))),"Soil Amendment",
OR(ISNUMBER(SEARCH("spreader",E721)),ISNUMBER(SEARCH("sprayer",E721)),ISNUMBER(SEARCH("mower",E721)),ISNUMBER(SEARCH("sweeper",E721)),ISNUMBER(SEARCH("pruner",E721)),ISNUMBER(SEARCH("trimmer",E721)),ISNUMBER(SEARCH("pole saw",E721))),"Garden Equipment",
TRUE,"Other"
)</f>
        <v>Crawling Insect Control</v>
      </c>
      <c r="I721" s="7" t="str" cm="1">
        <f t="array" ref="I721">_xlfn.IFS(
OR(ISNUMBER(SEARCH("glue trap",E721)),ISNUMBER(SEARCH("glue board",E721))),"Glue Traps",
OR(ISNUMBER(SEARCH("snap trap",E721)),ISNUMBER(SEARCH("power-kill",E721)),ISNUMBER(SEARCH("wide pedal",E721)),ISNUMBER(SEARCH("metal pedal",E721))),"Snap Traps",
OR(ISNUMBER(SEARCH("electronic",E721)),ISNUMBER(SEARCH("zapper",E721))),"Electronic Traps",
OR(ISNUMBER(SEARCH("live catch",E721)),ISNUMBER(SEARCH("multi-catch",E721)),ISNUMBER(SEARCH("catch &amp; hold",E721)),ISNUMBER(SEARCH("tin cat",E721))),"Live Catch Traps",
OR(ISNUMBER(SEARCH("bait",E721)),ISNUMBER(SEARCH("poison",E721))),"Bait &amp; Poison",
ISNUMBER(SEARCH("repellent",E721)),"Repellents",
OR(ISNUMBER(SEARCH("fly trap",E721)),ISNUMBER(SEARCH("fly ribbon",E721)),ISNUMBER(SEARCH("fly stick",E721)),ISNUMBER(SEARCH("window fly",E721)),ISNUMBER(SEARCH("fly magnet",E721))),"Fly Traps",
OR(ISNUMBER(SEARCH("uv",E721)),ISNUMBER(SEARCH("fly light",E721)),ISNUMBER(SEARCH("plug-in",E721))),"UV Fly Traps",
ISNUMBER(SEARCH("roach",E721)),"Roach Traps",
ISNUMBER(SEARCH("ant",E721)),"Ant Traps",
ISNUMBER(SEARCH("spider",E721)),"Spider Traps",
ISNUMBER(SEARCH("mosquito",E721)),"Mosquito Traps",
ISNUMBER(SEARCH("beetle",E721)),"Beetle Traps",
ISNUMBER(SEARCH("lantern",E721)),"Lanternfly Control",
OR(ISNUMBER(SEARCH("tree shield",E721)),ISNUMBER(SEARCH("tree banding",E721)),ISNUMBER(SEARCH("insect barrier",E721))),"Tree Barriers",
OR(ISNUMBER(SEARCH("sun &amp; shade",E721)),ISNUMBER(SEARCH("sun and shade",E721))),"Sun &amp; Shade Mix",
ISNUMBER(SEARCH("tall fescue",E721)),"Tall Fescue",
ISNUMBER(SEARCH("bermudagrass",E721)),"Bermudagrass",
ISNUMBER(SEARCH("kentucky",E721)),"Kentucky Bluegrass",
ISNUMBER(SEARCH("zoysia",E721)),"Zoysia",
ISNUMBER(SEARCH("ryegrass",E721)),"Perennial Ryegrass",
ISNUMBER(SEARCH("centipede",E721)),"Centipede Grass",
ISNUMBER(SEARCH("dense shade",E721)),"Dense Shade Mix",
ISNUMBER(SEARCH("southern gold",E721)),"Southern Gold Mix",
ISNUMBER(SEARCH("heat-tolerant blue",E721)),"Heat-Tolerant Blue Mix",
ISNUMBER(SEARCH("high traffic",E721)),"High Traffic Mix",
ISNUMBER(SEARCH("quick fix",E721)),"Quick Fix Mix",
ISNUMBER(SEARCH("starter",E721)),"Starter Fertilizer",
ISNUMBER(SEARCH("weed &amp; feed",E721)),"Weed &amp; Feed",
ISNUMBER(SEARCH("lawn food",E721)),"Lawn Food",
ISNUMBER(SEARCH("triple action",E721)),"Triple Action Fertilizer",
ISNUMBER(SEARCH("green max",E721)),"Green Max Lawn Food",
ISNUMBER(SEARCH("patchmaster",E721)),"PatchMaster Repair",
ISNUMBER(SEARCH("ez seed",E721)),"EZ Seed Repair",
ISNUMBER(SEARCH("rapid grass",E721)),"Rapid Grass",
ISNUMBER(SEARCH("thick'r lawn",E721)),"Thick'R Lawn",
ISNUMBER(SEARCH("fungicide",E721)),"Fungicide",
ISNUMBER(SEARCH("moss",E721)),"Moss Control",
ISNUMBER(SEARCH("perlite",E721)),"Perlite",
ISNUMBER(SEARCH("plant food",E721)),"Plant Food",
ISNUMBER(SEARCH("spreader",E721)),"Spreader",
ISNUMBER(SEARCH("sprayer",E721)),"Sprayer",
ISNUMBER(SEARCH("mower",E721)),"Lawn Mower",
ISNUMBER(SEARCH("sweeper",E721)),"Lawn Sweeper",
OR(ISNUMBER(SEARCH("pruner",E721)),ISNUMBER(SEARCH("trimmer",E721)),ISNUMBER(SEARCH("pole saw",E721))),"Pruning Tools",
TRUE,"Other"
)</f>
        <v>Bait &amp; Poison</v>
      </c>
      <c r="J721" s="7" t="str">
        <f t="shared" si="207"/>
        <v>Crawling Insect Control - Bait &amp; Poison</v>
      </c>
      <c r="K721" s="4">
        <v>30000</v>
      </c>
      <c r="L721" s="4">
        <v>4.5999999999999996</v>
      </c>
      <c r="M721" s="4">
        <v>65534</v>
      </c>
      <c r="N721" s="4" t="s">
        <v>3459</v>
      </c>
      <c r="O721" s="4">
        <f>VLOOKUP(A721,[14]Sheet1!$A:$M,2,0)</f>
        <v>35000</v>
      </c>
      <c r="P721" s="4">
        <f>VLOOKUP(A721,[14]Sheet1!$A:$M,3,0)</f>
        <v>30000</v>
      </c>
      <c r="Q721" s="4">
        <f>VLOOKUP(A721,[14]Sheet1!$A:$M,4,0)</f>
        <v>41000</v>
      </c>
      <c r="R721" s="4">
        <f>VLOOKUP(A721,[14]Sheet1!$A:$M,5,0)</f>
        <v>10000</v>
      </c>
      <c r="S721" s="4">
        <f>VLOOKUP(A721,[14]Sheet1!$A:$M,6,0)</f>
        <v>10000</v>
      </c>
      <c r="T721" s="4">
        <f>VLOOKUP(A721,[14]Sheet1!$A:$M,7,0)</f>
        <v>61000</v>
      </c>
      <c r="U721" s="4">
        <f>VLOOKUP(A721,[14]Sheet1!$A:$M,8,0)</f>
        <v>71000</v>
      </c>
      <c r="V721" s="4">
        <f>VLOOKUP(A721,[14]Sheet1!$A:$M,9,0)</f>
        <v>30000</v>
      </c>
      <c r="W721" s="4">
        <f>VLOOKUP(A721,[14]Sheet1!$A:$M,10,0)</f>
        <v>31000</v>
      </c>
      <c r="X721" s="4">
        <f>VLOOKUP(A721,[14]Sheet1!$A:$M,11,0)</f>
        <v>61000</v>
      </c>
      <c r="Y721" s="4">
        <f>VLOOKUP(A721,[14]Sheet1!$A:$M,12,0)</f>
        <v>50000</v>
      </c>
      <c r="Z721" s="4">
        <f>VLOOKUP(A721,[14]Sheet1!$A:$M,13,0)</f>
        <v>41000</v>
      </c>
      <c r="AA721" s="4">
        <f t="shared" si="221"/>
        <v>471000</v>
      </c>
      <c r="AB721" s="7">
        <f t="shared" si="222"/>
        <v>39250</v>
      </c>
      <c r="AC721" s="15">
        <f t="shared" si="223"/>
        <v>39250</v>
      </c>
      <c r="AD721" s="16">
        <f t="shared" si="224"/>
        <v>14596290</v>
      </c>
      <c r="AE721" s="16">
        <f t="shared" si="225"/>
        <v>1216357.5</v>
      </c>
      <c r="AF721" s="21">
        <v>4.09</v>
      </c>
      <c r="AG721" s="21">
        <v>30.99</v>
      </c>
      <c r="AH721" s="15">
        <f t="shared" si="205"/>
        <v>0.48706666666666654</v>
      </c>
      <c r="AI721" s="15">
        <f t="shared" si="206"/>
        <v>1.7047333333333325</v>
      </c>
      <c r="AJ721" s="10">
        <v>0.5</v>
      </c>
      <c r="AK721" s="10">
        <v>0.5</v>
      </c>
      <c r="AL721" s="21">
        <v>4.09</v>
      </c>
      <c r="AM721" s="9">
        <f t="shared" si="213"/>
        <v>4.6484999999999994</v>
      </c>
      <c r="AN721" s="9">
        <f t="shared" si="214"/>
        <v>0.92969999999999997</v>
      </c>
      <c r="AO721" s="9">
        <f t="shared" si="215"/>
        <v>6.1980000000000004</v>
      </c>
      <c r="AP721" s="9">
        <f t="shared" si="216"/>
        <v>0.61980000000000002</v>
      </c>
      <c r="AQ721" s="9">
        <f t="shared" si="217"/>
        <v>6.1980000000000004</v>
      </c>
      <c r="AR721" s="9">
        <f t="shared" si="218"/>
        <v>7.7474999999999996</v>
      </c>
      <c r="AS721" s="11">
        <f t="shared" si="219"/>
        <v>4.8706666666666649</v>
      </c>
      <c r="AT721" s="12">
        <f t="shared" si="220"/>
        <v>3.8376666666666654</v>
      </c>
    </row>
    <row r="722" spans="1:46" ht="16.5" x14ac:dyDescent="0.4">
      <c r="A722" s="4" t="s">
        <v>3264</v>
      </c>
      <c r="B722" s="4" t="s">
        <v>3312</v>
      </c>
      <c r="C722" s="4" t="s">
        <v>3312</v>
      </c>
      <c r="D722" s="4" t="s">
        <v>3316</v>
      </c>
      <c r="E722" s="4" t="s">
        <v>3360</v>
      </c>
      <c r="F722" s="4" t="s">
        <v>3410</v>
      </c>
      <c r="G722" s="7" t="str">
        <f>VLOOKUP(A722,[1]done!$A:$I,9,0)</f>
        <v>Other crawling insects</v>
      </c>
      <c r="H722" s="7" t="str" cm="1">
        <f t="array" ref="H722">_xlfn.IFS(
OR(ISNUMBER(SEARCH("mouse",E722)),ISNUMBER(SEARCH("rat",E722)),ISNUMBER(SEARCH("mice",E722)),ISNUMBER(SEARCH("rodent",E722))),"Rodent Control",
OR(ISNUMBER(SEARCH("fly",E722)),ISNUMBER(SEARCH("gnat",E722)),ISNUMBER(SEARCH("insect",E722)),ISNUMBER(SEARCH("mosquito",E722))),"Flying Insect Control",
OR(ISNUMBER(SEARCH("roach",E722)),ISNUMBER(SEARCH("ant",E722)),ISNUMBER(SEARCH("spider",E722)),ISNUMBER(SEARCH("cricket",E722)),ISNUMBER(SEARCH("scorpion",E722)),ISNUMBER(SEARCH("centipede",E722)),ISNUMBER(SEARCH("beetle",E722))),"Crawling Insect Control",
OR(ISNUMBER(SEARCH("tree",E722)),ISNUMBER(SEARCH("lantern",E722)),ISNUMBER(SEARCH("garden",E722)),ISNUMBER(SEARCH("plant",E722))),"Garden Pest Control",
OR(ISNUMBER(SEARCH("grass seed",E722)),ISNUMBER(SEARCH("seed mix",E722))),"Grass Seed",
OR(ISNUMBER(SEARCH("lawn food",E722)),ISNUMBER(SEARCH("fertilizer",E722))),"Lawn Fertilizer",
OR(ISNUMBER(SEARCH("patch",E722)),ISNUMBER(SEARCH("repair",E722)),ISNUMBER(SEARCH("thick'r",E722)),ISNUMBER(SEARCH("thick'r lawn",E722)),ISNUMBER(SEARCH("rapid grass",E722))),"Lawn Repair",
OR(ISNUMBER(SEARCH("weed",E722)),ISNUMBER(SEARCH("crabgrass",E722))),"Weed Control",
OR(ISNUMBER(SEARCH("fungicide",E722)),ISNUMBER(SEARCH("moss",E722))),"Disease &amp; Moss Control",
OR(ISNUMBER(SEARCH("plant food",E722)),ISNUMBER(SEARCH("miracid",E722))),"Plant Nutrition",
OR(ISNUMBER(SEARCH("perlite",E722))),"Soil Amendment",
OR(ISNUMBER(SEARCH("spreader",E722)),ISNUMBER(SEARCH("sprayer",E722)),ISNUMBER(SEARCH("mower",E722)),ISNUMBER(SEARCH("sweeper",E722)),ISNUMBER(SEARCH("pruner",E722)),ISNUMBER(SEARCH("trimmer",E722)),ISNUMBER(SEARCH("pole saw",E722))),"Garden Equipment",
TRUE,"Other"
)</f>
        <v>Crawling Insect Control</v>
      </c>
      <c r="I722" s="7" t="str" cm="1">
        <f t="array" ref="I722">_xlfn.IFS(
OR(ISNUMBER(SEARCH("glue trap",E722)),ISNUMBER(SEARCH("glue board",E722))),"Glue Traps",
OR(ISNUMBER(SEARCH("snap trap",E722)),ISNUMBER(SEARCH("power-kill",E722)),ISNUMBER(SEARCH("wide pedal",E722)),ISNUMBER(SEARCH("metal pedal",E722))),"Snap Traps",
OR(ISNUMBER(SEARCH("electronic",E722)),ISNUMBER(SEARCH("zapper",E722))),"Electronic Traps",
OR(ISNUMBER(SEARCH("live catch",E722)),ISNUMBER(SEARCH("multi-catch",E722)),ISNUMBER(SEARCH("catch &amp; hold",E722)),ISNUMBER(SEARCH("tin cat",E722))),"Live Catch Traps",
OR(ISNUMBER(SEARCH("bait",E722)),ISNUMBER(SEARCH("poison",E722))),"Bait &amp; Poison",
ISNUMBER(SEARCH("repellent",E722)),"Repellents",
OR(ISNUMBER(SEARCH("fly trap",E722)),ISNUMBER(SEARCH("fly ribbon",E722)),ISNUMBER(SEARCH("fly stick",E722)),ISNUMBER(SEARCH("window fly",E722)),ISNUMBER(SEARCH("fly magnet",E722))),"Fly Traps",
OR(ISNUMBER(SEARCH("uv",E722)),ISNUMBER(SEARCH("fly light",E722)),ISNUMBER(SEARCH("plug-in",E722))),"UV Fly Traps",
ISNUMBER(SEARCH("roach",E722)),"Roach Traps",
ISNUMBER(SEARCH("ant",E722)),"Ant Traps",
ISNUMBER(SEARCH("spider",E722)),"Spider Traps",
ISNUMBER(SEARCH("mosquito",E722)),"Mosquito Traps",
ISNUMBER(SEARCH("beetle",E722)),"Beetle Traps",
ISNUMBER(SEARCH("lantern",E722)),"Lanternfly Control",
OR(ISNUMBER(SEARCH("tree shield",E722)),ISNUMBER(SEARCH("tree banding",E722)),ISNUMBER(SEARCH("insect barrier",E722))),"Tree Barriers",
OR(ISNUMBER(SEARCH("sun &amp; shade",E722)),ISNUMBER(SEARCH("sun and shade",E722))),"Sun &amp; Shade Mix",
ISNUMBER(SEARCH("tall fescue",E722)),"Tall Fescue",
ISNUMBER(SEARCH("bermudagrass",E722)),"Bermudagrass",
ISNUMBER(SEARCH("kentucky",E722)),"Kentucky Bluegrass",
ISNUMBER(SEARCH("zoysia",E722)),"Zoysia",
ISNUMBER(SEARCH("ryegrass",E722)),"Perennial Ryegrass",
ISNUMBER(SEARCH("centipede",E722)),"Centipede Grass",
ISNUMBER(SEARCH("dense shade",E722)),"Dense Shade Mix",
ISNUMBER(SEARCH("southern gold",E722)),"Southern Gold Mix",
ISNUMBER(SEARCH("heat-tolerant blue",E722)),"Heat-Tolerant Blue Mix",
ISNUMBER(SEARCH("high traffic",E722)),"High Traffic Mix",
ISNUMBER(SEARCH("quick fix",E722)),"Quick Fix Mix",
ISNUMBER(SEARCH("starter",E722)),"Starter Fertilizer",
ISNUMBER(SEARCH("weed &amp; feed",E722)),"Weed &amp; Feed",
ISNUMBER(SEARCH("lawn food",E722)),"Lawn Food",
ISNUMBER(SEARCH("triple action",E722)),"Triple Action Fertilizer",
ISNUMBER(SEARCH("green max",E722)),"Green Max Lawn Food",
ISNUMBER(SEARCH("patchmaster",E722)),"PatchMaster Repair",
ISNUMBER(SEARCH("ez seed",E722)),"EZ Seed Repair",
ISNUMBER(SEARCH("rapid grass",E722)),"Rapid Grass",
ISNUMBER(SEARCH("thick'r lawn",E722)),"Thick'R Lawn",
ISNUMBER(SEARCH("fungicide",E722)),"Fungicide",
ISNUMBER(SEARCH("moss",E722)),"Moss Control",
ISNUMBER(SEARCH("perlite",E722)),"Perlite",
ISNUMBER(SEARCH("plant food",E722)),"Plant Food",
ISNUMBER(SEARCH("spreader",E722)),"Spreader",
ISNUMBER(SEARCH("sprayer",E722)),"Sprayer",
ISNUMBER(SEARCH("mower",E722)),"Lawn Mower",
ISNUMBER(SEARCH("sweeper",E722)),"Lawn Sweeper",
OR(ISNUMBER(SEARCH("pruner",E722)),ISNUMBER(SEARCH("trimmer",E722)),ISNUMBER(SEARCH("pole saw",E722))),"Pruning Tools",
TRUE,"Other"
)</f>
        <v>Ant Traps</v>
      </c>
      <c r="J722" s="7" t="str">
        <f t="shared" si="207"/>
        <v>Crawling Insect Control - Ant Traps</v>
      </c>
      <c r="K722" s="4">
        <v>10000</v>
      </c>
      <c r="L722" s="4">
        <v>4.5</v>
      </c>
      <c r="M722" s="4">
        <v>7229</v>
      </c>
      <c r="O722" s="4">
        <f>VLOOKUP(A722,[14]Sheet1!$A:$M,2,0)</f>
        <v>5000</v>
      </c>
      <c r="P722" s="4">
        <f>VLOOKUP(A722,[14]Sheet1!$A:$M,3,0)</f>
        <v>4000</v>
      </c>
      <c r="Q722" s="4">
        <f>VLOOKUP(A722,[14]Sheet1!$A:$M,4,0)</f>
        <v>6000</v>
      </c>
      <c r="R722" s="4">
        <f>VLOOKUP(A722,[14]Sheet1!$A:$M,5,0)</f>
        <v>10000</v>
      </c>
      <c r="S722" s="4">
        <f>VLOOKUP(A722,[14]Sheet1!$A:$M,6,0)</f>
        <v>10000</v>
      </c>
      <c r="T722" s="4">
        <f>VLOOKUP(A722,[14]Sheet1!$A:$M,7,0)</f>
        <v>10000</v>
      </c>
      <c r="U722" s="4">
        <f>VLOOKUP(A722,[14]Sheet1!$A:$M,8,0)</f>
        <v>10000</v>
      </c>
      <c r="V722" s="4">
        <f>VLOOKUP(A722,[14]Sheet1!$A:$M,9,0)</f>
        <v>10000</v>
      </c>
      <c r="W722" s="4">
        <f>VLOOKUP(A722,[14]Sheet1!$A:$M,10,0)</f>
        <v>10000</v>
      </c>
      <c r="X722" s="4">
        <f>VLOOKUP(A722,[14]Sheet1!$A:$M,11,0)</f>
        <v>9000</v>
      </c>
      <c r="Y722" s="4">
        <f>VLOOKUP(A722,[14]Sheet1!$A:$M,12,0)</f>
        <v>2000</v>
      </c>
      <c r="Z722" s="4">
        <f>VLOOKUP(A722,[14]Sheet1!$A:$M,13,0)</f>
        <v>1000</v>
      </c>
      <c r="AA722" s="4">
        <f t="shared" si="221"/>
        <v>87000</v>
      </c>
      <c r="AB722" s="7">
        <f t="shared" si="222"/>
        <v>7250</v>
      </c>
      <c r="AC722" s="15">
        <f t="shared" si="223"/>
        <v>7250</v>
      </c>
      <c r="AD722" s="16">
        <f t="shared" si="224"/>
        <v>1261500</v>
      </c>
      <c r="AE722" s="16">
        <f t="shared" si="225"/>
        <v>105125</v>
      </c>
      <c r="AF722" s="21">
        <v>3.86</v>
      </c>
      <c r="AG722" s="21">
        <v>14.5</v>
      </c>
      <c r="AH722" s="15">
        <f t="shared" si="205"/>
        <v>6.2666666666666607E-2</v>
      </c>
      <c r="AI722" s="15">
        <f t="shared" si="206"/>
        <v>0.2193333333333331</v>
      </c>
      <c r="AJ722" s="10">
        <v>0.5</v>
      </c>
      <c r="AK722" s="10">
        <v>0.5</v>
      </c>
      <c r="AL722" s="21">
        <v>3.86</v>
      </c>
      <c r="AM722" s="9">
        <f t="shared" si="213"/>
        <v>2.1749999999999998</v>
      </c>
      <c r="AN722" s="9">
        <f t="shared" si="214"/>
        <v>0.435</v>
      </c>
      <c r="AO722" s="9">
        <f t="shared" si="215"/>
        <v>2.9000000000000004</v>
      </c>
      <c r="AP722" s="9">
        <f t="shared" si="216"/>
        <v>0.28999999999999998</v>
      </c>
      <c r="AQ722" s="9">
        <f t="shared" si="217"/>
        <v>2.9000000000000004</v>
      </c>
      <c r="AR722" s="9">
        <f t="shared" si="218"/>
        <v>3.625</v>
      </c>
      <c r="AS722" s="11">
        <f t="shared" si="219"/>
        <v>0.62666666666666604</v>
      </c>
      <c r="AT722" s="12">
        <f t="shared" si="220"/>
        <v>0.14333333333333295</v>
      </c>
    </row>
    <row r="723" spans="1:46" ht="16.5" x14ac:dyDescent="0.4">
      <c r="A723" s="4" t="s">
        <v>3265</v>
      </c>
      <c r="B723" s="4" t="s">
        <v>3312</v>
      </c>
      <c r="C723" s="4" t="s">
        <v>3312</v>
      </c>
      <c r="D723" s="4" t="s">
        <v>3317</v>
      </c>
      <c r="E723" s="4" t="s">
        <v>3361</v>
      </c>
      <c r="F723" s="4" t="s">
        <v>3411</v>
      </c>
      <c r="G723" s="7" t="str">
        <f>VLOOKUP(A723,[1]done!$A:$I,9,0)</f>
        <v>Other crawling insects</v>
      </c>
      <c r="H723" s="7" t="str" cm="1">
        <f t="array" ref="H723">_xlfn.IFS(
OR(ISNUMBER(SEARCH("mouse",E723)),ISNUMBER(SEARCH("rat",E723)),ISNUMBER(SEARCH("mice",E723)),ISNUMBER(SEARCH("rodent",E723))),"Rodent Control",
OR(ISNUMBER(SEARCH("fly",E723)),ISNUMBER(SEARCH("gnat",E723)),ISNUMBER(SEARCH("insect",E723)),ISNUMBER(SEARCH("mosquito",E723))),"Flying Insect Control",
OR(ISNUMBER(SEARCH("roach",E723)),ISNUMBER(SEARCH("ant",E723)),ISNUMBER(SEARCH("spider",E723)),ISNUMBER(SEARCH("cricket",E723)),ISNUMBER(SEARCH("scorpion",E723)),ISNUMBER(SEARCH("centipede",E723)),ISNUMBER(SEARCH("beetle",E723))),"Crawling Insect Control",
OR(ISNUMBER(SEARCH("tree",E723)),ISNUMBER(SEARCH("lantern",E723)),ISNUMBER(SEARCH("garden",E723)),ISNUMBER(SEARCH("plant",E723))),"Garden Pest Control",
OR(ISNUMBER(SEARCH("grass seed",E723)),ISNUMBER(SEARCH("seed mix",E723))),"Grass Seed",
OR(ISNUMBER(SEARCH("lawn food",E723)),ISNUMBER(SEARCH("fertilizer",E723))),"Lawn Fertilizer",
OR(ISNUMBER(SEARCH("patch",E723)),ISNUMBER(SEARCH("repair",E723)),ISNUMBER(SEARCH("thick'r",E723)),ISNUMBER(SEARCH("thick'r lawn",E723)),ISNUMBER(SEARCH("rapid grass",E723))),"Lawn Repair",
OR(ISNUMBER(SEARCH("weed",E723)),ISNUMBER(SEARCH("crabgrass",E723))),"Weed Control",
OR(ISNUMBER(SEARCH("fungicide",E723)),ISNUMBER(SEARCH("moss",E723))),"Disease &amp; Moss Control",
OR(ISNUMBER(SEARCH("plant food",E723)),ISNUMBER(SEARCH("miracid",E723))),"Plant Nutrition",
OR(ISNUMBER(SEARCH("perlite",E723))),"Soil Amendment",
OR(ISNUMBER(SEARCH("spreader",E723)),ISNUMBER(SEARCH("sprayer",E723)),ISNUMBER(SEARCH("mower",E723)),ISNUMBER(SEARCH("sweeper",E723)),ISNUMBER(SEARCH("pruner",E723)),ISNUMBER(SEARCH("trimmer",E723)),ISNUMBER(SEARCH("pole saw",E723))),"Garden Equipment",
TRUE,"Other"
)</f>
        <v>Crawling Insect Control</v>
      </c>
      <c r="I723" s="7" t="str" cm="1">
        <f t="array" ref="I723">_xlfn.IFS(
OR(ISNUMBER(SEARCH("glue trap",E723)),ISNUMBER(SEARCH("glue board",E723))),"Glue Traps",
OR(ISNUMBER(SEARCH("snap trap",E723)),ISNUMBER(SEARCH("power-kill",E723)),ISNUMBER(SEARCH("wide pedal",E723)),ISNUMBER(SEARCH("metal pedal",E723))),"Snap Traps",
OR(ISNUMBER(SEARCH("electronic",E723)),ISNUMBER(SEARCH("zapper",E723))),"Electronic Traps",
OR(ISNUMBER(SEARCH("live catch",E723)),ISNUMBER(SEARCH("multi-catch",E723)),ISNUMBER(SEARCH("catch &amp; hold",E723)),ISNUMBER(SEARCH("tin cat",E723))),"Live Catch Traps",
OR(ISNUMBER(SEARCH("bait",E723)),ISNUMBER(SEARCH("poison",E723))),"Bait &amp; Poison",
ISNUMBER(SEARCH("repellent",E723)),"Repellents",
OR(ISNUMBER(SEARCH("fly trap",E723)),ISNUMBER(SEARCH("fly ribbon",E723)),ISNUMBER(SEARCH("fly stick",E723)),ISNUMBER(SEARCH("window fly",E723)),ISNUMBER(SEARCH("fly magnet",E723))),"Fly Traps",
OR(ISNUMBER(SEARCH("uv",E723)),ISNUMBER(SEARCH("fly light",E723)),ISNUMBER(SEARCH("plug-in",E723))),"UV Fly Traps",
ISNUMBER(SEARCH("roach",E723)),"Roach Traps",
ISNUMBER(SEARCH("ant",E723)),"Ant Traps",
ISNUMBER(SEARCH("spider",E723)),"Spider Traps",
ISNUMBER(SEARCH("mosquito",E723)),"Mosquito Traps",
ISNUMBER(SEARCH("beetle",E723)),"Beetle Traps",
ISNUMBER(SEARCH("lantern",E723)),"Lanternfly Control",
OR(ISNUMBER(SEARCH("tree shield",E723)),ISNUMBER(SEARCH("tree banding",E723)),ISNUMBER(SEARCH("insect barrier",E723))),"Tree Barriers",
OR(ISNUMBER(SEARCH("sun &amp; shade",E723)),ISNUMBER(SEARCH("sun and shade",E723))),"Sun &amp; Shade Mix",
ISNUMBER(SEARCH("tall fescue",E723)),"Tall Fescue",
ISNUMBER(SEARCH("bermudagrass",E723)),"Bermudagrass",
ISNUMBER(SEARCH("kentucky",E723)),"Kentucky Bluegrass",
ISNUMBER(SEARCH("zoysia",E723)),"Zoysia",
ISNUMBER(SEARCH("ryegrass",E723)),"Perennial Ryegrass",
ISNUMBER(SEARCH("centipede",E723)),"Centipede Grass",
ISNUMBER(SEARCH("dense shade",E723)),"Dense Shade Mix",
ISNUMBER(SEARCH("southern gold",E723)),"Southern Gold Mix",
ISNUMBER(SEARCH("heat-tolerant blue",E723)),"Heat-Tolerant Blue Mix",
ISNUMBER(SEARCH("high traffic",E723)),"High Traffic Mix",
ISNUMBER(SEARCH("quick fix",E723)),"Quick Fix Mix",
ISNUMBER(SEARCH("starter",E723)),"Starter Fertilizer",
ISNUMBER(SEARCH("weed &amp; feed",E723)),"Weed &amp; Feed",
ISNUMBER(SEARCH("lawn food",E723)),"Lawn Food",
ISNUMBER(SEARCH("triple action",E723)),"Triple Action Fertilizer",
ISNUMBER(SEARCH("green max",E723)),"Green Max Lawn Food",
ISNUMBER(SEARCH("patchmaster",E723)),"PatchMaster Repair",
ISNUMBER(SEARCH("ez seed",E723)),"EZ Seed Repair",
ISNUMBER(SEARCH("rapid grass",E723)),"Rapid Grass",
ISNUMBER(SEARCH("thick'r lawn",E723)),"Thick'R Lawn",
ISNUMBER(SEARCH("fungicide",E723)),"Fungicide",
ISNUMBER(SEARCH("moss",E723)),"Moss Control",
ISNUMBER(SEARCH("perlite",E723)),"Perlite",
ISNUMBER(SEARCH("plant food",E723)),"Plant Food",
ISNUMBER(SEARCH("spreader",E723)),"Spreader",
ISNUMBER(SEARCH("sprayer",E723)),"Sprayer",
ISNUMBER(SEARCH("mower",E723)),"Lawn Mower",
ISNUMBER(SEARCH("sweeper",E723)),"Lawn Sweeper",
OR(ISNUMBER(SEARCH("pruner",E723)),ISNUMBER(SEARCH("trimmer",E723)),ISNUMBER(SEARCH("pole saw",E723))),"Pruning Tools",
TRUE,"Other"
)</f>
        <v>Ant Traps</v>
      </c>
      <c r="J723" s="7" t="str">
        <f t="shared" si="207"/>
        <v>Crawling Insect Control - Ant Traps</v>
      </c>
      <c r="K723" s="4">
        <v>10000</v>
      </c>
      <c r="L723" s="4">
        <v>4.5</v>
      </c>
      <c r="M723" s="4">
        <v>6753</v>
      </c>
      <c r="N723" s="4">
        <v>1</v>
      </c>
      <c r="O723" s="4">
        <f>VLOOKUP(A723,[14]Sheet1!$A:$M,2,0)</f>
        <v>1000</v>
      </c>
      <c r="P723" s="4">
        <f>VLOOKUP(A723,[14]Sheet1!$A:$M,3,0)</f>
        <v>2000</v>
      </c>
      <c r="Q723" s="4">
        <f>VLOOKUP(A723,[14]Sheet1!$A:$M,4,0)</f>
        <v>3000</v>
      </c>
      <c r="R723" s="4">
        <f>VLOOKUP(A723,[14]Sheet1!$A:$M,5,0)</f>
        <v>10000</v>
      </c>
      <c r="S723" s="4">
        <f>VLOOKUP(A723,[14]Sheet1!$A:$M,6,0)</f>
        <v>10000</v>
      </c>
      <c r="T723" s="4">
        <f>VLOOKUP(A723,[14]Sheet1!$A:$M,7,0)</f>
        <v>10000</v>
      </c>
      <c r="U723" s="4">
        <f>VLOOKUP(A723,[14]Sheet1!$A:$M,8,0)</f>
        <v>10000</v>
      </c>
      <c r="V723" s="4">
        <f>VLOOKUP(A723,[14]Sheet1!$A:$M,9,0)</f>
        <v>10000</v>
      </c>
      <c r="W723" s="4">
        <f>VLOOKUP(A723,[14]Sheet1!$A:$M,10,0)</f>
        <v>10000</v>
      </c>
      <c r="X723" s="4">
        <f>VLOOKUP(A723,[14]Sheet1!$A:$M,11,0)</f>
        <v>3000</v>
      </c>
      <c r="Y723" s="4">
        <f>VLOOKUP(A723,[14]Sheet1!$A:$M,12,0)</f>
        <v>3000</v>
      </c>
      <c r="Z723" s="4">
        <f>VLOOKUP(A723,[14]Sheet1!$A:$M,13,0)</f>
        <v>2000</v>
      </c>
      <c r="AA723" s="4">
        <f t="shared" si="221"/>
        <v>74000</v>
      </c>
      <c r="AB723" s="7">
        <f t="shared" si="222"/>
        <v>6167</v>
      </c>
      <c r="AC723" s="15">
        <f t="shared" si="223"/>
        <v>6166.666666666667</v>
      </c>
      <c r="AD723" s="16">
        <f t="shared" si="224"/>
        <v>2441260</v>
      </c>
      <c r="AE723" s="16">
        <f t="shared" si="225"/>
        <v>203438.33333333334</v>
      </c>
      <c r="AF723" s="21">
        <v>4.09</v>
      </c>
      <c r="AG723" s="21">
        <v>32.99</v>
      </c>
      <c r="AH723" s="15">
        <f t="shared" si="205"/>
        <v>0.54039999999999999</v>
      </c>
      <c r="AI723" s="15">
        <f t="shared" si="206"/>
        <v>1.8913999999999997</v>
      </c>
      <c r="AJ723" s="10">
        <v>0.5</v>
      </c>
      <c r="AK723" s="10">
        <v>0.5</v>
      </c>
      <c r="AL723" s="21">
        <v>4.09</v>
      </c>
      <c r="AM723" s="9">
        <f t="shared" si="213"/>
        <v>4.9485000000000001</v>
      </c>
      <c r="AN723" s="9">
        <f t="shared" si="214"/>
        <v>0.98970000000000002</v>
      </c>
      <c r="AO723" s="9">
        <f t="shared" si="215"/>
        <v>6.5980000000000008</v>
      </c>
      <c r="AP723" s="9">
        <f t="shared" si="216"/>
        <v>0.65980000000000005</v>
      </c>
      <c r="AQ723" s="9">
        <f t="shared" si="217"/>
        <v>6.5980000000000008</v>
      </c>
      <c r="AR723" s="9">
        <f t="shared" si="218"/>
        <v>8.2475000000000005</v>
      </c>
      <c r="AS723" s="11">
        <f t="shared" si="219"/>
        <v>5.4039999999999999</v>
      </c>
      <c r="AT723" s="12">
        <f t="shared" si="220"/>
        <v>4.3043333333333331</v>
      </c>
    </row>
    <row r="724" spans="1:46" ht="16.5" x14ac:dyDescent="0.4">
      <c r="A724" s="4" t="s">
        <v>3266</v>
      </c>
      <c r="B724" s="4" t="s">
        <v>3312</v>
      </c>
      <c r="C724" s="4" t="s">
        <v>3312</v>
      </c>
      <c r="D724" s="4" t="s">
        <v>3318</v>
      </c>
      <c r="E724" s="4" t="s">
        <v>3362</v>
      </c>
      <c r="F724" s="4" t="s">
        <v>3412</v>
      </c>
      <c r="G724" s="7" t="str">
        <f>VLOOKUP(A724,[1]done!$A:$I,9,0)</f>
        <v>Cockroach</v>
      </c>
      <c r="H724" s="7" t="str" cm="1">
        <f t="array" ref="H724">_xlfn.IFS(
OR(ISNUMBER(SEARCH("mouse",E724)),ISNUMBER(SEARCH("rat",E724)),ISNUMBER(SEARCH("mice",E724)),ISNUMBER(SEARCH("rodent",E724))),"Rodent Control",
OR(ISNUMBER(SEARCH("fly",E724)),ISNUMBER(SEARCH("gnat",E724)),ISNUMBER(SEARCH("insect",E724)),ISNUMBER(SEARCH("mosquito",E724))),"Flying Insect Control",
OR(ISNUMBER(SEARCH("roach",E724)),ISNUMBER(SEARCH("ant",E724)),ISNUMBER(SEARCH("spider",E724)),ISNUMBER(SEARCH("cricket",E724)),ISNUMBER(SEARCH("scorpion",E724)),ISNUMBER(SEARCH("centipede",E724)),ISNUMBER(SEARCH("beetle",E724))),"Crawling Insect Control",
OR(ISNUMBER(SEARCH("tree",E724)),ISNUMBER(SEARCH("lantern",E724)),ISNUMBER(SEARCH("garden",E724)),ISNUMBER(SEARCH("plant",E724))),"Garden Pest Control",
OR(ISNUMBER(SEARCH("grass seed",E724)),ISNUMBER(SEARCH("seed mix",E724))),"Grass Seed",
OR(ISNUMBER(SEARCH("lawn food",E724)),ISNUMBER(SEARCH("fertilizer",E724))),"Lawn Fertilizer",
OR(ISNUMBER(SEARCH("patch",E724)),ISNUMBER(SEARCH("repair",E724)),ISNUMBER(SEARCH("thick'r",E724)),ISNUMBER(SEARCH("thick'r lawn",E724)),ISNUMBER(SEARCH("rapid grass",E724))),"Lawn Repair",
OR(ISNUMBER(SEARCH("weed",E724)),ISNUMBER(SEARCH("crabgrass",E724))),"Weed Control",
OR(ISNUMBER(SEARCH("fungicide",E724)),ISNUMBER(SEARCH("moss",E724))),"Disease &amp; Moss Control",
OR(ISNUMBER(SEARCH("plant food",E724)),ISNUMBER(SEARCH("miracid",E724))),"Plant Nutrition",
OR(ISNUMBER(SEARCH("perlite",E724))),"Soil Amendment",
OR(ISNUMBER(SEARCH("spreader",E724)),ISNUMBER(SEARCH("sprayer",E724)),ISNUMBER(SEARCH("mower",E724)),ISNUMBER(SEARCH("sweeper",E724)),ISNUMBER(SEARCH("pruner",E724)),ISNUMBER(SEARCH("trimmer",E724)),ISNUMBER(SEARCH("pole saw",E724))),"Garden Equipment",
TRUE,"Other"
)</f>
        <v>Crawling Insect Control</v>
      </c>
      <c r="I724" s="7" t="str" cm="1">
        <f t="array" ref="I724">_xlfn.IFS(
OR(ISNUMBER(SEARCH("glue trap",E724)),ISNUMBER(SEARCH("glue board",E724))),"Glue Traps",
OR(ISNUMBER(SEARCH("snap trap",E724)),ISNUMBER(SEARCH("power-kill",E724)),ISNUMBER(SEARCH("wide pedal",E724)),ISNUMBER(SEARCH("metal pedal",E724))),"Snap Traps",
OR(ISNUMBER(SEARCH("electronic",E724)),ISNUMBER(SEARCH("zapper",E724))),"Electronic Traps",
OR(ISNUMBER(SEARCH("live catch",E724)),ISNUMBER(SEARCH("multi-catch",E724)),ISNUMBER(SEARCH("catch &amp; hold",E724)),ISNUMBER(SEARCH("tin cat",E724))),"Live Catch Traps",
OR(ISNUMBER(SEARCH("bait",E724)),ISNUMBER(SEARCH("poison",E724))),"Bait &amp; Poison",
ISNUMBER(SEARCH("repellent",E724)),"Repellents",
OR(ISNUMBER(SEARCH("fly trap",E724)),ISNUMBER(SEARCH("fly ribbon",E724)),ISNUMBER(SEARCH("fly stick",E724)),ISNUMBER(SEARCH("window fly",E724)),ISNUMBER(SEARCH("fly magnet",E724))),"Fly Traps",
OR(ISNUMBER(SEARCH("uv",E724)),ISNUMBER(SEARCH("fly light",E724)),ISNUMBER(SEARCH("plug-in",E724))),"UV Fly Traps",
ISNUMBER(SEARCH("roach",E724)),"Roach Traps",
ISNUMBER(SEARCH("ant",E724)),"Ant Traps",
ISNUMBER(SEARCH("spider",E724)),"Spider Traps",
ISNUMBER(SEARCH("mosquito",E724)),"Mosquito Traps",
ISNUMBER(SEARCH("beetle",E724)),"Beetle Traps",
ISNUMBER(SEARCH("lantern",E724)),"Lanternfly Control",
OR(ISNUMBER(SEARCH("tree shield",E724)),ISNUMBER(SEARCH("tree banding",E724)),ISNUMBER(SEARCH("insect barrier",E724))),"Tree Barriers",
OR(ISNUMBER(SEARCH("sun &amp; shade",E724)),ISNUMBER(SEARCH("sun and shade",E724))),"Sun &amp; Shade Mix",
ISNUMBER(SEARCH("tall fescue",E724)),"Tall Fescue",
ISNUMBER(SEARCH("bermudagrass",E724)),"Bermudagrass",
ISNUMBER(SEARCH("kentucky",E724)),"Kentucky Bluegrass",
ISNUMBER(SEARCH("zoysia",E724)),"Zoysia",
ISNUMBER(SEARCH("ryegrass",E724)),"Perennial Ryegrass",
ISNUMBER(SEARCH("centipede",E724)),"Centipede Grass",
ISNUMBER(SEARCH("dense shade",E724)),"Dense Shade Mix",
ISNUMBER(SEARCH("southern gold",E724)),"Southern Gold Mix",
ISNUMBER(SEARCH("heat-tolerant blue",E724)),"Heat-Tolerant Blue Mix",
ISNUMBER(SEARCH("high traffic",E724)),"High Traffic Mix",
ISNUMBER(SEARCH("quick fix",E724)),"Quick Fix Mix",
ISNUMBER(SEARCH("starter",E724)),"Starter Fertilizer",
ISNUMBER(SEARCH("weed &amp; feed",E724)),"Weed &amp; Feed",
ISNUMBER(SEARCH("lawn food",E724)),"Lawn Food",
ISNUMBER(SEARCH("triple action",E724)),"Triple Action Fertilizer",
ISNUMBER(SEARCH("green max",E724)),"Green Max Lawn Food",
ISNUMBER(SEARCH("patchmaster",E724)),"PatchMaster Repair",
ISNUMBER(SEARCH("ez seed",E724)),"EZ Seed Repair",
ISNUMBER(SEARCH("rapid grass",E724)),"Rapid Grass",
ISNUMBER(SEARCH("thick'r lawn",E724)),"Thick'R Lawn",
ISNUMBER(SEARCH("fungicide",E724)),"Fungicide",
ISNUMBER(SEARCH("moss",E724)),"Moss Control",
ISNUMBER(SEARCH("perlite",E724)),"Perlite",
ISNUMBER(SEARCH("plant food",E724)),"Plant Food",
ISNUMBER(SEARCH("spreader",E724)),"Spreader",
ISNUMBER(SEARCH("sprayer",E724)),"Sprayer",
ISNUMBER(SEARCH("mower",E724)),"Lawn Mower",
ISNUMBER(SEARCH("sweeper",E724)),"Lawn Sweeper",
OR(ISNUMBER(SEARCH("pruner",E724)),ISNUMBER(SEARCH("trimmer",E724)),ISNUMBER(SEARCH("pole saw",E724))),"Pruning Tools",
TRUE,"Other"
)</f>
        <v>Bait &amp; Poison</v>
      </c>
      <c r="J724" s="7" t="str">
        <f t="shared" si="207"/>
        <v>Crawling Insect Control - Bait &amp; Poison</v>
      </c>
      <c r="K724" s="4">
        <v>9000</v>
      </c>
      <c r="L724" s="4">
        <v>4.3</v>
      </c>
      <c r="M724" s="4">
        <v>10407</v>
      </c>
      <c r="N724" s="4" t="s">
        <v>3460</v>
      </c>
      <c r="O724" s="4">
        <f>VLOOKUP(A724,[14]Sheet1!$A:$M,2,0)</f>
        <v>4000</v>
      </c>
      <c r="P724" s="4">
        <f>VLOOKUP(A724,[14]Sheet1!$A:$M,3,0)</f>
        <v>4000</v>
      </c>
      <c r="Q724" s="4">
        <f>VLOOKUP(A724,[14]Sheet1!$A:$M,4,0)</f>
        <v>4000</v>
      </c>
      <c r="R724" s="4">
        <f>VLOOKUP(A724,[14]Sheet1!$A:$M,5,0)</f>
        <v>2000</v>
      </c>
      <c r="S724" s="4">
        <f>VLOOKUP(A724,[14]Sheet1!$A:$M,6,0)</f>
        <v>1000</v>
      </c>
      <c r="T724" s="4">
        <f>VLOOKUP(A724,[14]Sheet1!$A:$M,7,0)</f>
        <v>3000</v>
      </c>
      <c r="U724" s="4">
        <f>VLOOKUP(A724,[14]Sheet1!$A:$M,8,0)</f>
        <v>6000</v>
      </c>
      <c r="V724" s="4">
        <f>VLOOKUP(A724,[14]Sheet1!$A:$M,9,0)</f>
        <v>10000</v>
      </c>
      <c r="W724" s="4">
        <f>VLOOKUP(A724,[14]Sheet1!$A:$M,10,0)</f>
        <v>9000</v>
      </c>
      <c r="X724" s="4">
        <f>VLOOKUP(A724,[14]Sheet1!$A:$M,11,0)</f>
        <v>7000</v>
      </c>
      <c r="Y724" s="4">
        <f>VLOOKUP(A724,[14]Sheet1!$A:$M,12,0)</f>
        <v>6000</v>
      </c>
      <c r="Z724" s="4">
        <f>VLOOKUP(A724,[14]Sheet1!$A:$M,13,0)</f>
        <v>3000</v>
      </c>
      <c r="AA724" s="4">
        <f t="shared" si="221"/>
        <v>59000</v>
      </c>
      <c r="AB724" s="7">
        <f t="shared" si="222"/>
        <v>4917</v>
      </c>
      <c r="AC724" s="15">
        <f t="shared" si="223"/>
        <v>4916.666666666667</v>
      </c>
      <c r="AD724" s="16">
        <f t="shared" si="224"/>
        <v>1401250</v>
      </c>
      <c r="AE724" s="16">
        <f t="shared" si="225"/>
        <v>116770.83333333334</v>
      </c>
      <c r="AF724" s="21">
        <v>5.22</v>
      </c>
      <c r="AG724" s="21">
        <v>23.75</v>
      </c>
      <c r="AH724" s="15">
        <f t="shared" si="205"/>
        <v>0.21866666666666676</v>
      </c>
      <c r="AI724" s="15">
        <f t="shared" si="206"/>
        <v>0.76533333333333353</v>
      </c>
      <c r="AJ724" s="10">
        <v>0.5</v>
      </c>
      <c r="AK724" s="10">
        <v>0.5</v>
      </c>
      <c r="AL724" s="21">
        <v>5.22</v>
      </c>
      <c r="AM724" s="9">
        <f t="shared" si="213"/>
        <v>3.5625</v>
      </c>
      <c r="AN724" s="9">
        <f t="shared" si="214"/>
        <v>0.71250000000000002</v>
      </c>
      <c r="AO724" s="9">
        <f t="shared" si="215"/>
        <v>4.75</v>
      </c>
      <c r="AP724" s="9">
        <f t="shared" si="216"/>
        <v>0.47500000000000003</v>
      </c>
      <c r="AQ724" s="9">
        <f t="shared" si="217"/>
        <v>4.75</v>
      </c>
      <c r="AR724" s="9">
        <f t="shared" si="218"/>
        <v>5.9375</v>
      </c>
      <c r="AS724" s="11">
        <f t="shared" si="219"/>
        <v>2.1866666666666674</v>
      </c>
      <c r="AT724" s="12">
        <f t="shared" si="220"/>
        <v>1.3950000000000007</v>
      </c>
    </row>
    <row r="725" spans="1:46" ht="16.5" x14ac:dyDescent="0.4">
      <c r="A725" s="4" t="s">
        <v>3267</v>
      </c>
      <c r="B725" s="4" t="s">
        <v>3312</v>
      </c>
      <c r="C725" s="4" t="s">
        <v>3312</v>
      </c>
      <c r="D725" s="4" t="s">
        <v>3315</v>
      </c>
      <c r="E725" s="4" t="s">
        <v>3363</v>
      </c>
      <c r="F725" s="4" t="s">
        <v>3413</v>
      </c>
      <c r="G725" s="7" t="str">
        <f>VLOOKUP(A725,[1]done!$A:$I,9,0)</f>
        <v>Cockroach</v>
      </c>
      <c r="H725" s="7" t="str" cm="1">
        <f t="array" ref="H725">_xlfn.IFS(
OR(ISNUMBER(SEARCH("mouse",E725)),ISNUMBER(SEARCH("rat",E725)),ISNUMBER(SEARCH("mice",E725)),ISNUMBER(SEARCH("rodent",E725))),"Rodent Control",
OR(ISNUMBER(SEARCH("fly",E725)),ISNUMBER(SEARCH("gnat",E725)),ISNUMBER(SEARCH("insect",E725)),ISNUMBER(SEARCH("mosquito",E725))),"Flying Insect Control",
OR(ISNUMBER(SEARCH("roach",E725)),ISNUMBER(SEARCH("ant",E725)),ISNUMBER(SEARCH("spider",E725)),ISNUMBER(SEARCH("cricket",E725)),ISNUMBER(SEARCH("scorpion",E725)),ISNUMBER(SEARCH("centipede",E725)),ISNUMBER(SEARCH("beetle",E725))),"Crawling Insect Control",
OR(ISNUMBER(SEARCH("tree",E725)),ISNUMBER(SEARCH("lantern",E725)),ISNUMBER(SEARCH("garden",E725)),ISNUMBER(SEARCH("plant",E725))),"Garden Pest Control",
OR(ISNUMBER(SEARCH("grass seed",E725)),ISNUMBER(SEARCH("seed mix",E725))),"Grass Seed",
OR(ISNUMBER(SEARCH("lawn food",E725)),ISNUMBER(SEARCH("fertilizer",E725))),"Lawn Fertilizer",
OR(ISNUMBER(SEARCH("patch",E725)),ISNUMBER(SEARCH("repair",E725)),ISNUMBER(SEARCH("thick'r",E725)),ISNUMBER(SEARCH("thick'r lawn",E725)),ISNUMBER(SEARCH("rapid grass",E725))),"Lawn Repair",
OR(ISNUMBER(SEARCH("weed",E725)),ISNUMBER(SEARCH("crabgrass",E725))),"Weed Control",
OR(ISNUMBER(SEARCH("fungicide",E725)),ISNUMBER(SEARCH("moss",E725))),"Disease &amp; Moss Control",
OR(ISNUMBER(SEARCH("plant food",E725)),ISNUMBER(SEARCH("miracid",E725))),"Plant Nutrition",
OR(ISNUMBER(SEARCH("perlite",E725))),"Soil Amendment",
OR(ISNUMBER(SEARCH("spreader",E725)),ISNUMBER(SEARCH("sprayer",E725)),ISNUMBER(SEARCH("mower",E725)),ISNUMBER(SEARCH("sweeper",E725)),ISNUMBER(SEARCH("pruner",E725)),ISNUMBER(SEARCH("trimmer",E725)),ISNUMBER(SEARCH("pole saw",E725))),"Garden Equipment",
TRUE,"Other"
)</f>
        <v>Crawling Insect Control</v>
      </c>
      <c r="I725" s="7" t="str" cm="1">
        <f t="array" ref="I725">_xlfn.IFS(
OR(ISNUMBER(SEARCH("glue trap",E725)),ISNUMBER(SEARCH("glue board",E725))),"Glue Traps",
OR(ISNUMBER(SEARCH("snap trap",E725)),ISNUMBER(SEARCH("power-kill",E725)),ISNUMBER(SEARCH("wide pedal",E725)),ISNUMBER(SEARCH("metal pedal",E725))),"Snap Traps",
OR(ISNUMBER(SEARCH("electronic",E725)),ISNUMBER(SEARCH("zapper",E725))),"Electronic Traps",
OR(ISNUMBER(SEARCH("live catch",E725)),ISNUMBER(SEARCH("multi-catch",E725)),ISNUMBER(SEARCH("catch &amp; hold",E725)),ISNUMBER(SEARCH("tin cat",E725))),"Live Catch Traps",
OR(ISNUMBER(SEARCH("bait",E725)),ISNUMBER(SEARCH("poison",E725))),"Bait &amp; Poison",
ISNUMBER(SEARCH("repellent",E725)),"Repellents",
OR(ISNUMBER(SEARCH("fly trap",E725)),ISNUMBER(SEARCH("fly ribbon",E725)),ISNUMBER(SEARCH("fly stick",E725)),ISNUMBER(SEARCH("window fly",E725)),ISNUMBER(SEARCH("fly magnet",E725))),"Fly Traps",
OR(ISNUMBER(SEARCH("uv",E725)),ISNUMBER(SEARCH("fly light",E725)),ISNUMBER(SEARCH("plug-in",E725))),"UV Fly Traps",
ISNUMBER(SEARCH("roach",E725)),"Roach Traps",
ISNUMBER(SEARCH("ant",E725)),"Ant Traps",
ISNUMBER(SEARCH("spider",E725)),"Spider Traps",
ISNUMBER(SEARCH("mosquito",E725)),"Mosquito Traps",
ISNUMBER(SEARCH("beetle",E725)),"Beetle Traps",
ISNUMBER(SEARCH("lantern",E725)),"Lanternfly Control",
OR(ISNUMBER(SEARCH("tree shield",E725)),ISNUMBER(SEARCH("tree banding",E725)),ISNUMBER(SEARCH("insect barrier",E725))),"Tree Barriers",
OR(ISNUMBER(SEARCH("sun &amp; shade",E725)),ISNUMBER(SEARCH("sun and shade",E725))),"Sun &amp; Shade Mix",
ISNUMBER(SEARCH("tall fescue",E725)),"Tall Fescue",
ISNUMBER(SEARCH("bermudagrass",E725)),"Bermudagrass",
ISNUMBER(SEARCH("kentucky",E725)),"Kentucky Bluegrass",
ISNUMBER(SEARCH("zoysia",E725)),"Zoysia",
ISNUMBER(SEARCH("ryegrass",E725)),"Perennial Ryegrass",
ISNUMBER(SEARCH("centipede",E725)),"Centipede Grass",
ISNUMBER(SEARCH("dense shade",E725)),"Dense Shade Mix",
ISNUMBER(SEARCH("southern gold",E725)),"Southern Gold Mix",
ISNUMBER(SEARCH("heat-tolerant blue",E725)),"Heat-Tolerant Blue Mix",
ISNUMBER(SEARCH("high traffic",E725)),"High Traffic Mix",
ISNUMBER(SEARCH("quick fix",E725)),"Quick Fix Mix",
ISNUMBER(SEARCH("starter",E725)),"Starter Fertilizer",
ISNUMBER(SEARCH("weed &amp; feed",E725)),"Weed &amp; Feed",
ISNUMBER(SEARCH("lawn food",E725)),"Lawn Food",
ISNUMBER(SEARCH("triple action",E725)),"Triple Action Fertilizer",
ISNUMBER(SEARCH("green max",E725)),"Green Max Lawn Food",
ISNUMBER(SEARCH("patchmaster",E725)),"PatchMaster Repair",
ISNUMBER(SEARCH("ez seed",E725)),"EZ Seed Repair",
ISNUMBER(SEARCH("rapid grass",E725)),"Rapid Grass",
ISNUMBER(SEARCH("thick'r lawn",E725)),"Thick'R Lawn",
ISNUMBER(SEARCH("fungicide",E725)),"Fungicide",
ISNUMBER(SEARCH("moss",E725)),"Moss Control",
ISNUMBER(SEARCH("perlite",E725)),"Perlite",
ISNUMBER(SEARCH("plant food",E725)),"Plant Food",
ISNUMBER(SEARCH("spreader",E725)),"Spreader",
ISNUMBER(SEARCH("sprayer",E725)),"Sprayer",
ISNUMBER(SEARCH("mower",E725)),"Lawn Mower",
ISNUMBER(SEARCH("sweeper",E725)),"Lawn Sweeper",
OR(ISNUMBER(SEARCH("pruner",E725)),ISNUMBER(SEARCH("trimmer",E725)),ISNUMBER(SEARCH("pole saw",E725))),"Pruning Tools",
TRUE,"Other"
)</f>
        <v>Bait &amp; Poison</v>
      </c>
      <c r="J725" s="7" t="str">
        <f t="shared" si="207"/>
        <v>Crawling Insect Control - Bait &amp; Poison</v>
      </c>
      <c r="K725" s="4">
        <v>4000</v>
      </c>
      <c r="L725" s="4">
        <v>4.5999999999999996</v>
      </c>
      <c r="M725" s="4">
        <v>65534</v>
      </c>
      <c r="N725" s="4" t="s">
        <v>3461</v>
      </c>
      <c r="O725" s="4">
        <f>VLOOKUP(A725,[14]Sheet1!$A:$M,2,0)</f>
        <v>1000</v>
      </c>
      <c r="P725" s="4">
        <f>VLOOKUP(A725,[14]Sheet1!$A:$M,3,0)</f>
        <v>1000</v>
      </c>
      <c r="Q725" s="4">
        <f>VLOOKUP(A725,[14]Sheet1!$A:$M,4,0)</f>
        <v>1000</v>
      </c>
      <c r="R725" s="4">
        <f>VLOOKUP(A725,[14]Sheet1!$A:$M,5,0)</f>
        <v>800</v>
      </c>
      <c r="S725" s="4">
        <f>VLOOKUP(A725,[14]Sheet1!$A:$M,6,0)</f>
        <v>900</v>
      </c>
      <c r="T725" s="4">
        <f>VLOOKUP(A725,[14]Sheet1!$A:$M,7,0)</f>
        <v>2000</v>
      </c>
      <c r="U725" s="4">
        <f>VLOOKUP(A725,[14]Sheet1!$A:$M,8,0)</f>
        <v>3000</v>
      </c>
      <c r="V725" s="4">
        <f>VLOOKUP(A725,[14]Sheet1!$A:$M,9,0)</f>
        <v>5000</v>
      </c>
      <c r="W725" s="4">
        <f>VLOOKUP(A725,[14]Sheet1!$A:$M,10,0)</f>
        <v>4000</v>
      </c>
      <c r="X725" s="4">
        <f>VLOOKUP(A725,[14]Sheet1!$A:$M,11,0)</f>
        <v>2000</v>
      </c>
      <c r="Y725" s="4">
        <f>VLOOKUP(A725,[14]Sheet1!$A:$M,12,0)</f>
        <v>1000</v>
      </c>
      <c r="Z725" s="4">
        <f>VLOOKUP(A725,[14]Sheet1!$A:$M,13,0)</f>
        <v>1000</v>
      </c>
      <c r="AA725" s="4">
        <f t="shared" si="221"/>
        <v>22700</v>
      </c>
      <c r="AB725" s="7">
        <f t="shared" si="222"/>
        <v>1892</v>
      </c>
      <c r="AC725" s="15">
        <f t="shared" si="223"/>
        <v>1891.6666666666667</v>
      </c>
      <c r="AD725" s="16">
        <f t="shared" si="224"/>
        <v>1316373</v>
      </c>
      <c r="AE725" s="16">
        <f t="shared" si="225"/>
        <v>109697.75000000001</v>
      </c>
      <c r="AF725" s="21">
        <v>6.29</v>
      </c>
      <c r="AG725" s="21">
        <v>57.99</v>
      </c>
      <c r="AH725" s="15">
        <f t="shared" si="205"/>
        <v>1.0603999999999998</v>
      </c>
      <c r="AI725" s="15">
        <f t="shared" si="206"/>
        <v>3.7113999999999989</v>
      </c>
      <c r="AJ725" s="10">
        <v>0.5</v>
      </c>
      <c r="AK725" s="10">
        <v>0.5</v>
      </c>
      <c r="AL725" s="21">
        <v>6.29</v>
      </c>
      <c r="AM725" s="9">
        <f t="shared" si="213"/>
        <v>8.6984999999999992</v>
      </c>
      <c r="AN725" s="9">
        <f t="shared" si="214"/>
        <v>1.7397</v>
      </c>
      <c r="AO725" s="9">
        <f t="shared" si="215"/>
        <v>11.598000000000001</v>
      </c>
      <c r="AP725" s="9">
        <f t="shared" si="216"/>
        <v>1.1598000000000002</v>
      </c>
      <c r="AQ725" s="9">
        <f t="shared" si="217"/>
        <v>11.598000000000001</v>
      </c>
      <c r="AR725" s="9">
        <f t="shared" si="218"/>
        <v>14.4975</v>
      </c>
      <c r="AS725" s="11">
        <f t="shared" si="219"/>
        <v>10.603999999999997</v>
      </c>
      <c r="AT725" s="12">
        <f t="shared" si="220"/>
        <v>8.6709999999999976</v>
      </c>
    </row>
    <row r="726" spans="1:46" ht="16.5" x14ac:dyDescent="0.4">
      <c r="A726" s="4" t="s">
        <v>3268</v>
      </c>
      <c r="B726" s="4" t="s">
        <v>3312</v>
      </c>
      <c r="C726" s="4" t="s">
        <v>3313</v>
      </c>
      <c r="D726" s="4" t="s">
        <v>3319</v>
      </c>
      <c r="E726" s="4" t="s">
        <v>3364</v>
      </c>
      <c r="F726" s="4" t="s">
        <v>3414</v>
      </c>
      <c r="G726" s="7" t="str">
        <f>VLOOKUP(A726,[1]done!$A:$I,9,0)</f>
        <v>Insecticide/Fungicide</v>
      </c>
      <c r="H726" s="7" t="str" cm="1">
        <f t="array" ref="H726">_xlfn.IFS(
OR(ISNUMBER(SEARCH("mouse",E726)),ISNUMBER(SEARCH("rat",E726)),ISNUMBER(SEARCH("mice",E726)),ISNUMBER(SEARCH("rodent",E726))),"Rodent Control",
OR(ISNUMBER(SEARCH("fly",E726)),ISNUMBER(SEARCH("gnat",E726)),ISNUMBER(SEARCH("insect",E726)),ISNUMBER(SEARCH("mosquito",E726))),"Flying Insect Control",
OR(ISNUMBER(SEARCH("roach",E726)),ISNUMBER(SEARCH("ant",E726)),ISNUMBER(SEARCH("spider",E726)),ISNUMBER(SEARCH("cricket",E726)),ISNUMBER(SEARCH("scorpion",E726)),ISNUMBER(SEARCH("centipede",E726)),ISNUMBER(SEARCH("beetle",E726))),"Crawling Insect Control",
OR(ISNUMBER(SEARCH("tree",E726)),ISNUMBER(SEARCH("lantern",E726)),ISNUMBER(SEARCH("garden",E726)),ISNUMBER(SEARCH("plant",E726))),"Garden Pest Control",
OR(ISNUMBER(SEARCH("grass seed",E726)),ISNUMBER(SEARCH("seed mix",E726))),"Grass Seed",
OR(ISNUMBER(SEARCH("lawn food",E726)),ISNUMBER(SEARCH("fertilizer",E726))),"Lawn Fertilizer",
OR(ISNUMBER(SEARCH("patch",E726)),ISNUMBER(SEARCH("repair",E726)),ISNUMBER(SEARCH("thick'r",E726)),ISNUMBER(SEARCH("thick'r lawn",E726)),ISNUMBER(SEARCH("rapid grass",E726))),"Lawn Repair",
OR(ISNUMBER(SEARCH("weed",E726)),ISNUMBER(SEARCH("crabgrass",E726))),"Weed Control",
OR(ISNUMBER(SEARCH("fungicide",E726)),ISNUMBER(SEARCH("moss",E726))),"Disease &amp; Moss Control",
OR(ISNUMBER(SEARCH("plant food",E726)),ISNUMBER(SEARCH("miracid",E726))),"Plant Nutrition",
OR(ISNUMBER(SEARCH("perlite",E726))),"Soil Amendment",
OR(ISNUMBER(SEARCH("spreader",E726)),ISNUMBER(SEARCH("sprayer",E726)),ISNUMBER(SEARCH("mower",E726)),ISNUMBER(SEARCH("sweeper",E726)),ISNUMBER(SEARCH("pruner",E726)),ISNUMBER(SEARCH("trimmer",E726)),ISNUMBER(SEARCH("pole saw",E726))),"Garden Equipment",
TRUE,"Other"
)</f>
        <v>Flying Insect Control</v>
      </c>
      <c r="I726" s="7" t="str" cm="1">
        <f t="array" ref="I726">_xlfn.IFS(
OR(ISNUMBER(SEARCH("glue trap",E726)),ISNUMBER(SEARCH("glue board",E726))),"Glue Traps",
OR(ISNUMBER(SEARCH("snap trap",E726)),ISNUMBER(SEARCH("power-kill",E726)),ISNUMBER(SEARCH("wide pedal",E726)),ISNUMBER(SEARCH("metal pedal",E726))),"Snap Traps",
OR(ISNUMBER(SEARCH("electronic",E726)),ISNUMBER(SEARCH("zapper",E726))),"Electronic Traps",
OR(ISNUMBER(SEARCH("live catch",E726)),ISNUMBER(SEARCH("multi-catch",E726)),ISNUMBER(SEARCH("catch &amp; hold",E726)),ISNUMBER(SEARCH("tin cat",E726))),"Live Catch Traps",
OR(ISNUMBER(SEARCH("bait",E726)),ISNUMBER(SEARCH("poison",E726))),"Bait &amp; Poison",
ISNUMBER(SEARCH("repellent",E726)),"Repellents",
OR(ISNUMBER(SEARCH("fly trap",E726)),ISNUMBER(SEARCH("fly ribbon",E726)),ISNUMBER(SEARCH("fly stick",E726)),ISNUMBER(SEARCH("window fly",E726)),ISNUMBER(SEARCH("fly magnet",E726))),"Fly Traps",
OR(ISNUMBER(SEARCH("uv",E726)),ISNUMBER(SEARCH("fly light",E726)),ISNUMBER(SEARCH("plug-in",E726))),"UV Fly Traps",
ISNUMBER(SEARCH("roach",E726)),"Roach Traps",
ISNUMBER(SEARCH("ant",E726)),"Ant Traps",
ISNUMBER(SEARCH("spider",E726)),"Spider Traps",
ISNUMBER(SEARCH("mosquito",E726)),"Mosquito Traps",
ISNUMBER(SEARCH("beetle",E726)),"Beetle Traps",
ISNUMBER(SEARCH("lantern",E726)),"Lanternfly Control",
OR(ISNUMBER(SEARCH("tree shield",E726)),ISNUMBER(SEARCH("tree banding",E726)),ISNUMBER(SEARCH("insect barrier",E726))),"Tree Barriers",
OR(ISNUMBER(SEARCH("sun &amp; shade",E726)),ISNUMBER(SEARCH("sun and shade",E726))),"Sun &amp; Shade Mix",
ISNUMBER(SEARCH("tall fescue",E726)),"Tall Fescue",
ISNUMBER(SEARCH("bermudagrass",E726)),"Bermudagrass",
ISNUMBER(SEARCH("kentucky",E726)),"Kentucky Bluegrass",
ISNUMBER(SEARCH("zoysia",E726)),"Zoysia",
ISNUMBER(SEARCH("ryegrass",E726)),"Perennial Ryegrass",
ISNUMBER(SEARCH("centipede",E726)),"Centipede Grass",
ISNUMBER(SEARCH("dense shade",E726)),"Dense Shade Mix",
ISNUMBER(SEARCH("southern gold",E726)),"Southern Gold Mix",
ISNUMBER(SEARCH("heat-tolerant blue",E726)),"Heat-Tolerant Blue Mix",
ISNUMBER(SEARCH("high traffic",E726)),"High Traffic Mix",
ISNUMBER(SEARCH("quick fix",E726)),"Quick Fix Mix",
ISNUMBER(SEARCH("starter",E726)),"Starter Fertilizer",
ISNUMBER(SEARCH("weed &amp; feed",E726)),"Weed &amp; Feed",
ISNUMBER(SEARCH("lawn food",E726)),"Lawn Food",
ISNUMBER(SEARCH("triple action",E726)),"Triple Action Fertilizer",
ISNUMBER(SEARCH("green max",E726)),"Green Max Lawn Food",
ISNUMBER(SEARCH("patchmaster",E726)),"PatchMaster Repair",
ISNUMBER(SEARCH("ez seed",E726)),"EZ Seed Repair",
ISNUMBER(SEARCH("rapid grass",E726)),"Rapid Grass",
ISNUMBER(SEARCH("thick'r lawn",E726)),"Thick'R Lawn",
ISNUMBER(SEARCH("fungicide",E726)),"Fungicide",
ISNUMBER(SEARCH("moss",E726)),"Moss Control",
ISNUMBER(SEARCH("perlite",E726)),"Perlite",
ISNUMBER(SEARCH("plant food",E726)),"Plant Food",
ISNUMBER(SEARCH("spreader",E726)),"Spreader",
ISNUMBER(SEARCH("sprayer",E726)),"Sprayer",
ISNUMBER(SEARCH("mower",E726)),"Lawn Mower",
ISNUMBER(SEARCH("sweeper",E726)),"Lawn Sweeper",
OR(ISNUMBER(SEARCH("pruner",E726)),ISNUMBER(SEARCH("trimmer",E726)),ISNUMBER(SEARCH("pole saw",E726))),"Pruning Tools",
TRUE,"Other"
)</f>
        <v>Other</v>
      </c>
      <c r="J726" s="7" t="str">
        <f t="shared" si="207"/>
        <v>Flying Insect Control - Other</v>
      </c>
      <c r="K726" s="4">
        <v>4000</v>
      </c>
      <c r="L726" s="4">
        <v>4.5999999999999996</v>
      </c>
      <c r="M726" s="4">
        <v>5851</v>
      </c>
      <c r="N726" s="4" t="s">
        <v>3462</v>
      </c>
      <c r="O726" s="4">
        <f>VLOOKUP(A726,[14]Sheet1!$A:$M,2,0)</f>
        <v>1250</v>
      </c>
      <c r="P726" s="4">
        <f>VLOOKUP(A726,[14]Sheet1!$A:$M,3,0)</f>
        <v>1250</v>
      </c>
      <c r="Q726" s="4">
        <f>VLOOKUP(A726,[14]Sheet1!$A:$M,4,0)</f>
        <v>1500</v>
      </c>
      <c r="R726" s="4">
        <f>VLOOKUP(A726,[14]Sheet1!$A:$M,5,0)</f>
        <v>3450</v>
      </c>
      <c r="S726" s="4">
        <f>VLOOKUP(A726,[14]Sheet1!$A:$M,6,0)</f>
        <v>3200</v>
      </c>
      <c r="T726" s="4">
        <f>VLOOKUP(A726,[14]Sheet1!$A:$M,7,0)</f>
        <v>3750</v>
      </c>
      <c r="U726" s="4">
        <f>VLOOKUP(A726,[14]Sheet1!$A:$M,8,0)</f>
        <v>3200</v>
      </c>
      <c r="V726" s="4">
        <f>VLOOKUP(A726,[14]Sheet1!$A:$M,9,0)</f>
        <v>3200</v>
      </c>
      <c r="W726" s="4">
        <f>VLOOKUP(A726,[14]Sheet1!$A:$M,10,0)</f>
        <v>3200</v>
      </c>
      <c r="X726" s="4">
        <f>VLOOKUP(A726,[14]Sheet1!$A:$M,11,0)</f>
        <v>2600</v>
      </c>
      <c r="Y726" s="4">
        <f>VLOOKUP(A726,[14]Sheet1!$A:$M,12,0)</f>
        <v>1500</v>
      </c>
      <c r="Z726" s="4">
        <f>VLOOKUP(A726,[14]Sheet1!$A:$M,13,0)</f>
        <v>1500</v>
      </c>
      <c r="AA726" s="4">
        <f t="shared" si="221"/>
        <v>29600</v>
      </c>
      <c r="AB726" s="7">
        <f t="shared" si="222"/>
        <v>2467</v>
      </c>
      <c r="AC726" s="15">
        <f t="shared" si="223"/>
        <v>2466.6666666666665</v>
      </c>
      <c r="AD726" s="16">
        <f t="shared" si="224"/>
        <v>1251488</v>
      </c>
      <c r="AE726" s="16">
        <f t="shared" si="225"/>
        <v>104290.66666666666</v>
      </c>
      <c r="AF726" s="21">
        <v>4.3499999999999996</v>
      </c>
      <c r="AG726" s="21">
        <v>42.28</v>
      </c>
      <c r="AH726" s="15">
        <f t="shared" si="205"/>
        <v>0.77079999999999993</v>
      </c>
      <c r="AI726" s="15">
        <f t="shared" si="206"/>
        <v>2.6977999999999995</v>
      </c>
      <c r="AJ726" s="10">
        <v>0.5</v>
      </c>
      <c r="AK726" s="10">
        <v>0.5</v>
      </c>
      <c r="AL726" s="21">
        <v>4.3499999999999996</v>
      </c>
      <c r="AM726" s="9">
        <f t="shared" si="213"/>
        <v>6.3419999999999996</v>
      </c>
      <c r="AN726" s="9">
        <f t="shared" si="214"/>
        <v>1.2684</v>
      </c>
      <c r="AO726" s="9">
        <f t="shared" si="215"/>
        <v>8.4560000000000013</v>
      </c>
      <c r="AP726" s="9">
        <f t="shared" si="216"/>
        <v>0.84560000000000002</v>
      </c>
      <c r="AQ726" s="9">
        <f t="shared" si="217"/>
        <v>8.4560000000000013</v>
      </c>
      <c r="AR726" s="9">
        <f t="shared" si="218"/>
        <v>10.57</v>
      </c>
      <c r="AS726" s="11">
        <f t="shared" si="219"/>
        <v>7.7079999999999993</v>
      </c>
      <c r="AT726" s="12">
        <f t="shared" si="220"/>
        <v>6.2986666666666666</v>
      </c>
    </row>
    <row r="727" spans="1:46" ht="16.5" x14ac:dyDescent="0.4">
      <c r="A727" s="4" t="s">
        <v>3269</v>
      </c>
      <c r="B727" s="4" t="s">
        <v>3312</v>
      </c>
      <c r="C727" s="4" t="s">
        <v>3313</v>
      </c>
      <c r="D727" s="4" t="s">
        <v>3320</v>
      </c>
      <c r="E727" s="4" t="s">
        <v>3365</v>
      </c>
      <c r="F727" s="4" t="s">
        <v>3415</v>
      </c>
      <c r="G727" s="7" t="str">
        <f>VLOOKUP(A727,[1]done!$A:$I,9,0)</f>
        <v>Cockroach</v>
      </c>
      <c r="H727" s="7" t="str" cm="1">
        <f t="array" ref="H727">_xlfn.IFS(
OR(ISNUMBER(SEARCH("mouse",E727)),ISNUMBER(SEARCH("rat",E727)),ISNUMBER(SEARCH("mice",E727)),ISNUMBER(SEARCH("rodent",E727))),"Rodent Control",
OR(ISNUMBER(SEARCH("fly",E727)),ISNUMBER(SEARCH("gnat",E727)),ISNUMBER(SEARCH("insect",E727)),ISNUMBER(SEARCH("mosquito",E727))),"Flying Insect Control",
OR(ISNUMBER(SEARCH("roach",E727)),ISNUMBER(SEARCH("ant",E727)),ISNUMBER(SEARCH("spider",E727)),ISNUMBER(SEARCH("cricket",E727)),ISNUMBER(SEARCH("scorpion",E727)),ISNUMBER(SEARCH("centipede",E727)),ISNUMBER(SEARCH("beetle",E727))),"Crawling Insect Control",
OR(ISNUMBER(SEARCH("tree",E727)),ISNUMBER(SEARCH("lantern",E727)),ISNUMBER(SEARCH("garden",E727)),ISNUMBER(SEARCH("plant",E727))),"Garden Pest Control",
OR(ISNUMBER(SEARCH("grass seed",E727)),ISNUMBER(SEARCH("seed mix",E727))),"Grass Seed",
OR(ISNUMBER(SEARCH("lawn food",E727)),ISNUMBER(SEARCH("fertilizer",E727))),"Lawn Fertilizer",
OR(ISNUMBER(SEARCH("patch",E727)),ISNUMBER(SEARCH("repair",E727)),ISNUMBER(SEARCH("thick'r",E727)),ISNUMBER(SEARCH("thick'r lawn",E727)),ISNUMBER(SEARCH("rapid grass",E727))),"Lawn Repair",
OR(ISNUMBER(SEARCH("weed",E727)),ISNUMBER(SEARCH("crabgrass",E727))),"Weed Control",
OR(ISNUMBER(SEARCH("fungicide",E727)),ISNUMBER(SEARCH("moss",E727))),"Disease &amp; Moss Control",
OR(ISNUMBER(SEARCH("plant food",E727)),ISNUMBER(SEARCH("miracid",E727))),"Plant Nutrition",
OR(ISNUMBER(SEARCH("perlite",E727))),"Soil Amendment",
OR(ISNUMBER(SEARCH("spreader",E727)),ISNUMBER(SEARCH("sprayer",E727)),ISNUMBER(SEARCH("mower",E727)),ISNUMBER(SEARCH("sweeper",E727)),ISNUMBER(SEARCH("pruner",E727)),ISNUMBER(SEARCH("trimmer",E727)),ISNUMBER(SEARCH("pole saw",E727))),"Garden Equipment",
TRUE,"Other"
)</f>
        <v>Crawling Insect Control</v>
      </c>
      <c r="I727" s="7" t="str" cm="1">
        <f t="array" ref="I727">_xlfn.IFS(
OR(ISNUMBER(SEARCH("glue trap",E727)),ISNUMBER(SEARCH("glue board",E727))),"Glue Traps",
OR(ISNUMBER(SEARCH("snap trap",E727)),ISNUMBER(SEARCH("power-kill",E727)),ISNUMBER(SEARCH("wide pedal",E727)),ISNUMBER(SEARCH("metal pedal",E727))),"Snap Traps",
OR(ISNUMBER(SEARCH("electronic",E727)),ISNUMBER(SEARCH("zapper",E727))),"Electronic Traps",
OR(ISNUMBER(SEARCH("live catch",E727)),ISNUMBER(SEARCH("multi-catch",E727)),ISNUMBER(SEARCH("catch &amp; hold",E727)),ISNUMBER(SEARCH("tin cat",E727))),"Live Catch Traps",
OR(ISNUMBER(SEARCH("bait",E727)),ISNUMBER(SEARCH("poison",E727))),"Bait &amp; Poison",
ISNUMBER(SEARCH("repellent",E727)),"Repellents",
OR(ISNUMBER(SEARCH("fly trap",E727)),ISNUMBER(SEARCH("fly ribbon",E727)),ISNUMBER(SEARCH("fly stick",E727)),ISNUMBER(SEARCH("window fly",E727)),ISNUMBER(SEARCH("fly magnet",E727))),"Fly Traps",
OR(ISNUMBER(SEARCH("uv",E727)),ISNUMBER(SEARCH("fly light",E727)),ISNUMBER(SEARCH("plug-in",E727))),"UV Fly Traps",
ISNUMBER(SEARCH("roach",E727)),"Roach Traps",
ISNUMBER(SEARCH("ant",E727)),"Ant Traps",
ISNUMBER(SEARCH("spider",E727)),"Spider Traps",
ISNUMBER(SEARCH("mosquito",E727)),"Mosquito Traps",
ISNUMBER(SEARCH("beetle",E727)),"Beetle Traps",
ISNUMBER(SEARCH("lantern",E727)),"Lanternfly Control",
OR(ISNUMBER(SEARCH("tree shield",E727)),ISNUMBER(SEARCH("tree banding",E727)),ISNUMBER(SEARCH("insect barrier",E727))),"Tree Barriers",
OR(ISNUMBER(SEARCH("sun &amp; shade",E727)),ISNUMBER(SEARCH("sun and shade",E727))),"Sun &amp; Shade Mix",
ISNUMBER(SEARCH("tall fescue",E727)),"Tall Fescue",
ISNUMBER(SEARCH("bermudagrass",E727)),"Bermudagrass",
ISNUMBER(SEARCH("kentucky",E727)),"Kentucky Bluegrass",
ISNUMBER(SEARCH("zoysia",E727)),"Zoysia",
ISNUMBER(SEARCH("ryegrass",E727)),"Perennial Ryegrass",
ISNUMBER(SEARCH("centipede",E727)),"Centipede Grass",
ISNUMBER(SEARCH("dense shade",E727)),"Dense Shade Mix",
ISNUMBER(SEARCH("southern gold",E727)),"Southern Gold Mix",
ISNUMBER(SEARCH("heat-tolerant blue",E727)),"Heat-Tolerant Blue Mix",
ISNUMBER(SEARCH("high traffic",E727)),"High Traffic Mix",
ISNUMBER(SEARCH("quick fix",E727)),"Quick Fix Mix",
ISNUMBER(SEARCH("starter",E727)),"Starter Fertilizer",
ISNUMBER(SEARCH("weed &amp; feed",E727)),"Weed &amp; Feed",
ISNUMBER(SEARCH("lawn food",E727)),"Lawn Food",
ISNUMBER(SEARCH("triple action",E727)),"Triple Action Fertilizer",
ISNUMBER(SEARCH("green max",E727)),"Green Max Lawn Food",
ISNUMBER(SEARCH("patchmaster",E727)),"PatchMaster Repair",
ISNUMBER(SEARCH("ez seed",E727)),"EZ Seed Repair",
ISNUMBER(SEARCH("rapid grass",E727)),"Rapid Grass",
ISNUMBER(SEARCH("thick'r lawn",E727)),"Thick'R Lawn",
ISNUMBER(SEARCH("fungicide",E727)),"Fungicide",
ISNUMBER(SEARCH("moss",E727)),"Moss Control",
ISNUMBER(SEARCH("perlite",E727)),"Perlite",
ISNUMBER(SEARCH("plant food",E727)),"Plant Food",
ISNUMBER(SEARCH("spreader",E727)),"Spreader",
ISNUMBER(SEARCH("sprayer",E727)),"Sprayer",
ISNUMBER(SEARCH("mower",E727)),"Lawn Mower",
ISNUMBER(SEARCH("sweeper",E727)),"Lawn Sweeper",
OR(ISNUMBER(SEARCH("pruner",E727)),ISNUMBER(SEARCH("trimmer",E727)),ISNUMBER(SEARCH("pole saw",E727))),"Pruning Tools",
TRUE,"Other"
)</f>
        <v>Bait &amp; Poison</v>
      </c>
      <c r="J727" s="7" t="str">
        <f t="shared" si="207"/>
        <v>Crawling Insect Control - Bait &amp; Poison</v>
      </c>
      <c r="K727" s="4">
        <v>3000</v>
      </c>
      <c r="L727" s="4">
        <v>4.5999999999999996</v>
      </c>
      <c r="M727" s="4">
        <v>64683</v>
      </c>
      <c r="N727" s="4" t="s">
        <v>3461</v>
      </c>
      <c r="O727" s="4">
        <f>VLOOKUP(A727,[14]Sheet1!$A:$M,2,0)</f>
        <v>400</v>
      </c>
      <c r="P727" s="4">
        <f>VLOOKUP(A727,[14]Sheet1!$A:$M,3,0)</f>
        <v>600</v>
      </c>
      <c r="Q727" s="4">
        <f>VLOOKUP(A727,[14]Sheet1!$A:$M,4,0)</f>
        <v>500</v>
      </c>
      <c r="R727" s="4">
        <f>VLOOKUP(A727,[14]Sheet1!$A:$M,5,0)</f>
        <v>1000</v>
      </c>
      <c r="S727" s="4">
        <f>VLOOKUP(A727,[14]Sheet1!$A:$M,6,0)</f>
        <v>2000</v>
      </c>
      <c r="T727" s="4">
        <f>VLOOKUP(A727,[14]Sheet1!$A:$M,7,0)</f>
        <v>1000</v>
      </c>
      <c r="U727" s="4">
        <f>VLOOKUP(A727,[14]Sheet1!$A:$M,8,0)</f>
        <v>1000</v>
      </c>
      <c r="V727" s="4">
        <f>VLOOKUP(A727,[14]Sheet1!$A:$M,9,0)</f>
        <v>3000</v>
      </c>
      <c r="W727" s="4">
        <f>VLOOKUP(A727,[14]Sheet1!$A:$M,10,0)</f>
        <v>3000</v>
      </c>
      <c r="X727" s="4">
        <f>VLOOKUP(A727,[14]Sheet1!$A:$M,11,0)</f>
        <v>600</v>
      </c>
      <c r="Y727" s="4">
        <f>VLOOKUP(A727,[14]Sheet1!$A:$M,12,0)</f>
        <v>700</v>
      </c>
      <c r="Z727" s="4">
        <f>VLOOKUP(A727,[14]Sheet1!$A:$M,13,0)</f>
        <v>600</v>
      </c>
      <c r="AA727" s="4">
        <f t="shared" si="221"/>
        <v>14400</v>
      </c>
      <c r="AB727" s="7">
        <f t="shared" si="222"/>
        <v>1200</v>
      </c>
      <c r="AC727" s="15">
        <f t="shared" si="223"/>
        <v>1200</v>
      </c>
      <c r="AD727" s="16">
        <f t="shared" si="224"/>
        <v>823104</v>
      </c>
      <c r="AE727" s="16">
        <f t="shared" si="225"/>
        <v>68592</v>
      </c>
      <c r="AF727" s="21">
        <v>5.88</v>
      </c>
      <c r="AG727" s="21">
        <v>57.16</v>
      </c>
      <c r="AH727" s="15">
        <f t="shared" si="205"/>
        <v>1.0656000000000001</v>
      </c>
      <c r="AI727" s="15">
        <f t="shared" si="206"/>
        <v>3.7296</v>
      </c>
      <c r="AJ727" s="10">
        <v>0.5</v>
      </c>
      <c r="AK727" s="10">
        <v>0.5</v>
      </c>
      <c r="AL727" s="21">
        <v>5.88</v>
      </c>
      <c r="AM727" s="9">
        <f t="shared" si="213"/>
        <v>8.5739999999999998</v>
      </c>
      <c r="AN727" s="9">
        <f t="shared" si="214"/>
        <v>1.7147999999999999</v>
      </c>
      <c r="AO727" s="9">
        <f t="shared" si="215"/>
        <v>11.432</v>
      </c>
      <c r="AP727" s="9">
        <f t="shared" si="216"/>
        <v>1.1432</v>
      </c>
      <c r="AQ727" s="9">
        <f t="shared" si="217"/>
        <v>11.432</v>
      </c>
      <c r="AR727" s="9">
        <f t="shared" si="218"/>
        <v>14.29</v>
      </c>
      <c r="AS727" s="11">
        <f t="shared" si="219"/>
        <v>10.656000000000001</v>
      </c>
      <c r="AT727" s="12">
        <f t="shared" si="220"/>
        <v>8.7506666666666675</v>
      </c>
    </row>
    <row r="728" spans="1:46" ht="16.5" x14ac:dyDescent="0.4">
      <c r="A728" s="4" t="s">
        <v>3270</v>
      </c>
      <c r="B728" s="4" t="s">
        <v>3312</v>
      </c>
      <c r="C728" s="4" t="s">
        <v>3313</v>
      </c>
      <c r="D728" s="4" t="s">
        <v>3321</v>
      </c>
      <c r="E728" s="4" t="s">
        <v>3366</v>
      </c>
      <c r="F728" s="4" t="s">
        <v>3416</v>
      </c>
      <c r="G728" s="7" t="str">
        <f>VLOOKUP(A728,[1]done!$A:$I,9,0)</f>
        <v>Other crawling insects</v>
      </c>
      <c r="H728" s="7" t="str" cm="1">
        <f t="array" ref="H728">_xlfn.IFS(
OR(ISNUMBER(SEARCH("mouse",E728)),ISNUMBER(SEARCH("rat",E728)),ISNUMBER(SEARCH("mice",E728)),ISNUMBER(SEARCH("rodent",E728))),"Rodent Control",
OR(ISNUMBER(SEARCH("fly",E728)),ISNUMBER(SEARCH("gnat",E728)),ISNUMBER(SEARCH("insect",E728)),ISNUMBER(SEARCH("mosquito",E728))),"Flying Insect Control",
OR(ISNUMBER(SEARCH("roach",E728)),ISNUMBER(SEARCH("ant",E728)),ISNUMBER(SEARCH("spider",E728)),ISNUMBER(SEARCH("cricket",E728)),ISNUMBER(SEARCH("scorpion",E728)),ISNUMBER(SEARCH("centipede",E728)),ISNUMBER(SEARCH("beetle",E728))),"Crawling Insect Control",
OR(ISNUMBER(SEARCH("tree",E728)),ISNUMBER(SEARCH("lantern",E728)),ISNUMBER(SEARCH("garden",E728)),ISNUMBER(SEARCH("plant",E728))),"Garden Pest Control",
OR(ISNUMBER(SEARCH("grass seed",E728)),ISNUMBER(SEARCH("seed mix",E728))),"Grass Seed",
OR(ISNUMBER(SEARCH("lawn food",E728)),ISNUMBER(SEARCH("fertilizer",E728))),"Lawn Fertilizer",
OR(ISNUMBER(SEARCH("patch",E728)),ISNUMBER(SEARCH("repair",E728)),ISNUMBER(SEARCH("thick'r",E728)),ISNUMBER(SEARCH("thick'r lawn",E728)),ISNUMBER(SEARCH("rapid grass",E728))),"Lawn Repair",
OR(ISNUMBER(SEARCH("weed",E728)),ISNUMBER(SEARCH("crabgrass",E728))),"Weed Control",
OR(ISNUMBER(SEARCH("fungicide",E728)),ISNUMBER(SEARCH("moss",E728))),"Disease &amp; Moss Control",
OR(ISNUMBER(SEARCH("plant food",E728)),ISNUMBER(SEARCH("miracid",E728))),"Plant Nutrition",
OR(ISNUMBER(SEARCH("perlite",E728))),"Soil Amendment",
OR(ISNUMBER(SEARCH("spreader",E728)),ISNUMBER(SEARCH("sprayer",E728)),ISNUMBER(SEARCH("mower",E728)),ISNUMBER(SEARCH("sweeper",E728)),ISNUMBER(SEARCH("pruner",E728)),ISNUMBER(SEARCH("trimmer",E728)),ISNUMBER(SEARCH("pole saw",E728))),"Garden Equipment",
TRUE,"Other"
)</f>
        <v>Crawling Insect Control</v>
      </c>
      <c r="I728" s="7" t="str" cm="1">
        <f t="array" ref="I728">_xlfn.IFS(
OR(ISNUMBER(SEARCH("glue trap",E728)),ISNUMBER(SEARCH("glue board",E728))),"Glue Traps",
OR(ISNUMBER(SEARCH("snap trap",E728)),ISNUMBER(SEARCH("power-kill",E728)),ISNUMBER(SEARCH("wide pedal",E728)),ISNUMBER(SEARCH("metal pedal",E728))),"Snap Traps",
OR(ISNUMBER(SEARCH("electronic",E728)),ISNUMBER(SEARCH("zapper",E728))),"Electronic Traps",
OR(ISNUMBER(SEARCH("live catch",E728)),ISNUMBER(SEARCH("multi-catch",E728)),ISNUMBER(SEARCH("catch &amp; hold",E728)),ISNUMBER(SEARCH("tin cat",E728))),"Live Catch Traps",
OR(ISNUMBER(SEARCH("bait",E728)),ISNUMBER(SEARCH("poison",E728))),"Bait &amp; Poison",
ISNUMBER(SEARCH("repellent",E728)),"Repellents",
OR(ISNUMBER(SEARCH("fly trap",E728)),ISNUMBER(SEARCH("fly ribbon",E728)),ISNUMBER(SEARCH("fly stick",E728)),ISNUMBER(SEARCH("window fly",E728)),ISNUMBER(SEARCH("fly magnet",E728))),"Fly Traps",
OR(ISNUMBER(SEARCH("uv",E728)),ISNUMBER(SEARCH("fly light",E728)),ISNUMBER(SEARCH("plug-in",E728))),"UV Fly Traps",
ISNUMBER(SEARCH("roach",E728)),"Roach Traps",
ISNUMBER(SEARCH("ant",E728)),"Ant Traps",
ISNUMBER(SEARCH("spider",E728)),"Spider Traps",
ISNUMBER(SEARCH("mosquito",E728)),"Mosquito Traps",
ISNUMBER(SEARCH("beetle",E728)),"Beetle Traps",
ISNUMBER(SEARCH("lantern",E728)),"Lanternfly Control",
OR(ISNUMBER(SEARCH("tree shield",E728)),ISNUMBER(SEARCH("tree banding",E728)),ISNUMBER(SEARCH("insect barrier",E728))),"Tree Barriers",
OR(ISNUMBER(SEARCH("sun &amp; shade",E728)),ISNUMBER(SEARCH("sun and shade",E728))),"Sun &amp; Shade Mix",
ISNUMBER(SEARCH("tall fescue",E728)),"Tall Fescue",
ISNUMBER(SEARCH("bermudagrass",E728)),"Bermudagrass",
ISNUMBER(SEARCH("kentucky",E728)),"Kentucky Bluegrass",
ISNUMBER(SEARCH("zoysia",E728)),"Zoysia",
ISNUMBER(SEARCH("ryegrass",E728)),"Perennial Ryegrass",
ISNUMBER(SEARCH("centipede",E728)),"Centipede Grass",
ISNUMBER(SEARCH("dense shade",E728)),"Dense Shade Mix",
ISNUMBER(SEARCH("southern gold",E728)),"Southern Gold Mix",
ISNUMBER(SEARCH("heat-tolerant blue",E728)),"Heat-Tolerant Blue Mix",
ISNUMBER(SEARCH("high traffic",E728)),"High Traffic Mix",
ISNUMBER(SEARCH("quick fix",E728)),"Quick Fix Mix",
ISNUMBER(SEARCH("starter",E728)),"Starter Fertilizer",
ISNUMBER(SEARCH("weed &amp; feed",E728)),"Weed &amp; Feed",
ISNUMBER(SEARCH("lawn food",E728)),"Lawn Food",
ISNUMBER(SEARCH("triple action",E728)),"Triple Action Fertilizer",
ISNUMBER(SEARCH("green max",E728)),"Green Max Lawn Food",
ISNUMBER(SEARCH("patchmaster",E728)),"PatchMaster Repair",
ISNUMBER(SEARCH("ez seed",E728)),"EZ Seed Repair",
ISNUMBER(SEARCH("rapid grass",E728)),"Rapid Grass",
ISNUMBER(SEARCH("thick'r lawn",E728)),"Thick'R Lawn",
ISNUMBER(SEARCH("fungicide",E728)),"Fungicide",
ISNUMBER(SEARCH("moss",E728)),"Moss Control",
ISNUMBER(SEARCH("perlite",E728)),"Perlite",
ISNUMBER(SEARCH("plant food",E728)),"Plant Food",
ISNUMBER(SEARCH("spreader",E728)),"Spreader",
ISNUMBER(SEARCH("sprayer",E728)),"Sprayer",
ISNUMBER(SEARCH("mower",E728)),"Lawn Mower",
ISNUMBER(SEARCH("sweeper",E728)),"Lawn Sweeper",
OR(ISNUMBER(SEARCH("pruner",E728)),ISNUMBER(SEARCH("trimmer",E728)),ISNUMBER(SEARCH("pole saw",E728))),"Pruning Tools",
TRUE,"Other"
)</f>
        <v>Ant Traps</v>
      </c>
      <c r="J728" s="7" t="str">
        <f t="shared" si="207"/>
        <v>Crawling Insect Control - Ant Traps</v>
      </c>
      <c r="K728" s="4">
        <v>2000</v>
      </c>
      <c r="L728" s="4">
        <v>4.5999999999999996</v>
      </c>
      <c r="M728" s="4">
        <v>3282</v>
      </c>
      <c r="N728" s="4" t="s">
        <v>3463</v>
      </c>
      <c r="O728" s="4">
        <f>VLOOKUP(A728,[14]Sheet1!$A:$M,2,0)</f>
        <v>1050</v>
      </c>
      <c r="P728" s="4">
        <f>VLOOKUP(A728,[14]Sheet1!$A:$M,3,0)</f>
        <v>1000</v>
      </c>
      <c r="Q728" s="4">
        <f>VLOOKUP(A728,[14]Sheet1!$A:$M,4,0)</f>
        <v>1100</v>
      </c>
      <c r="R728" s="4">
        <f>VLOOKUP(A728,[14]Sheet1!$A:$M,5,0)</f>
        <v>1500</v>
      </c>
      <c r="S728" s="4">
        <f>VLOOKUP(A728,[14]Sheet1!$A:$M,6,0)</f>
        <v>1500</v>
      </c>
      <c r="T728" s="4">
        <f>VLOOKUP(A728,[14]Sheet1!$A:$M,7,0)</f>
        <v>1350</v>
      </c>
      <c r="U728" s="4">
        <f>VLOOKUP(A728,[14]Sheet1!$A:$M,8,0)</f>
        <v>1300</v>
      </c>
      <c r="V728" s="4">
        <f>VLOOKUP(A728,[14]Sheet1!$A:$M,9,0)</f>
        <v>1300</v>
      </c>
      <c r="W728" s="4">
        <f>VLOOKUP(A728,[14]Sheet1!$A:$M,10,0)</f>
        <v>2050</v>
      </c>
      <c r="X728" s="4">
        <f>VLOOKUP(A728,[14]Sheet1!$A:$M,11,0)</f>
        <v>1350</v>
      </c>
      <c r="Y728" s="4">
        <f>VLOOKUP(A728,[14]Sheet1!$A:$M,12,0)</f>
        <v>1250</v>
      </c>
      <c r="Z728" s="4">
        <f>VLOOKUP(A728,[14]Sheet1!$A:$M,13,0)</f>
        <v>1100</v>
      </c>
      <c r="AA728" s="4">
        <f t="shared" si="221"/>
        <v>15850</v>
      </c>
      <c r="AB728" s="7">
        <f t="shared" si="222"/>
        <v>1321</v>
      </c>
      <c r="AC728" s="15">
        <f t="shared" si="223"/>
        <v>1320.8333333333333</v>
      </c>
      <c r="AD728" s="16">
        <f t="shared" si="224"/>
        <v>522891.50000000006</v>
      </c>
      <c r="AE728" s="16">
        <f t="shared" si="225"/>
        <v>43574.291666666664</v>
      </c>
      <c r="AF728" s="21">
        <v>4.76</v>
      </c>
      <c r="AG728" s="21">
        <v>32.99</v>
      </c>
      <c r="AH728" s="15">
        <f t="shared" si="205"/>
        <v>0.49573333333333336</v>
      </c>
      <c r="AI728" s="15">
        <f t="shared" si="206"/>
        <v>1.7350666666666668</v>
      </c>
      <c r="AJ728" s="10">
        <v>0.5</v>
      </c>
      <c r="AK728" s="10">
        <v>0.5</v>
      </c>
      <c r="AL728" s="21">
        <v>4.76</v>
      </c>
      <c r="AM728" s="9">
        <f t="shared" si="213"/>
        <v>4.9485000000000001</v>
      </c>
      <c r="AN728" s="9">
        <f t="shared" si="214"/>
        <v>0.98970000000000002</v>
      </c>
      <c r="AO728" s="9">
        <f t="shared" si="215"/>
        <v>6.5980000000000008</v>
      </c>
      <c r="AP728" s="9">
        <f t="shared" si="216"/>
        <v>0.65980000000000005</v>
      </c>
      <c r="AQ728" s="9">
        <f t="shared" si="217"/>
        <v>6.5980000000000008</v>
      </c>
      <c r="AR728" s="9">
        <f t="shared" si="218"/>
        <v>8.2475000000000005</v>
      </c>
      <c r="AS728" s="11">
        <f t="shared" si="219"/>
        <v>4.9573333333333336</v>
      </c>
      <c r="AT728" s="12">
        <f t="shared" si="220"/>
        <v>3.8576666666666668</v>
      </c>
    </row>
    <row r="729" spans="1:46" ht="16.5" x14ac:dyDescent="0.4">
      <c r="A729" s="4" t="s">
        <v>3271</v>
      </c>
      <c r="B729" s="4" t="s">
        <v>3312</v>
      </c>
      <c r="C729" s="4" t="s">
        <v>3312</v>
      </c>
      <c r="D729" s="4" t="s">
        <v>3322</v>
      </c>
      <c r="E729" s="4" t="s">
        <v>3367</v>
      </c>
      <c r="F729" s="4" t="s">
        <v>3417</v>
      </c>
      <c r="G729" s="7" t="str">
        <f>VLOOKUP(A729,[1]done!$A:$I,9,0)</f>
        <v>Other crawling insects</v>
      </c>
      <c r="H729" s="7" t="str" cm="1">
        <f t="array" ref="H729">_xlfn.IFS(
OR(ISNUMBER(SEARCH("mouse",E729)),ISNUMBER(SEARCH("rat",E729)),ISNUMBER(SEARCH("mice",E729)),ISNUMBER(SEARCH("rodent",E729))),"Rodent Control",
OR(ISNUMBER(SEARCH("fly",E729)),ISNUMBER(SEARCH("gnat",E729)),ISNUMBER(SEARCH("insect",E729)),ISNUMBER(SEARCH("mosquito",E729))),"Flying Insect Control",
OR(ISNUMBER(SEARCH("roach",E729)),ISNUMBER(SEARCH("ant",E729)),ISNUMBER(SEARCH("spider",E729)),ISNUMBER(SEARCH("cricket",E729)),ISNUMBER(SEARCH("scorpion",E729)),ISNUMBER(SEARCH("centipede",E729)),ISNUMBER(SEARCH("beetle",E729))),"Crawling Insect Control",
OR(ISNUMBER(SEARCH("tree",E729)),ISNUMBER(SEARCH("lantern",E729)),ISNUMBER(SEARCH("garden",E729)),ISNUMBER(SEARCH("plant",E729))),"Garden Pest Control",
OR(ISNUMBER(SEARCH("grass seed",E729)),ISNUMBER(SEARCH("seed mix",E729))),"Grass Seed",
OR(ISNUMBER(SEARCH("lawn food",E729)),ISNUMBER(SEARCH("fertilizer",E729))),"Lawn Fertilizer",
OR(ISNUMBER(SEARCH("patch",E729)),ISNUMBER(SEARCH("repair",E729)),ISNUMBER(SEARCH("thick'r",E729)),ISNUMBER(SEARCH("thick'r lawn",E729)),ISNUMBER(SEARCH("rapid grass",E729))),"Lawn Repair",
OR(ISNUMBER(SEARCH("weed",E729)),ISNUMBER(SEARCH("crabgrass",E729))),"Weed Control",
OR(ISNUMBER(SEARCH("fungicide",E729)),ISNUMBER(SEARCH("moss",E729))),"Disease &amp; Moss Control",
OR(ISNUMBER(SEARCH("plant food",E729)),ISNUMBER(SEARCH("miracid",E729))),"Plant Nutrition",
OR(ISNUMBER(SEARCH("perlite",E729))),"Soil Amendment",
OR(ISNUMBER(SEARCH("spreader",E729)),ISNUMBER(SEARCH("sprayer",E729)),ISNUMBER(SEARCH("mower",E729)),ISNUMBER(SEARCH("sweeper",E729)),ISNUMBER(SEARCH("pruner",E729)),ISNUMBER(SEARCH("trimmer",E729)),ISNUMBER(SEARCH("pole saw",E729))),"Garden Equipment",
TRUE,"Other"
)</f>
        <v>Crawling Insect Control</v>
      </c>
      <c r="I729" s="7" t="str" cm="1">
        <f t="array" ref="I729">_xlfn.IFS(
OR(ISNUMBER(SEARCH("glue trap",E729)),ISNUMBER(SEARCH("glue board",E729))),"Glue Traps",
OR(ISNUMBER(SEARCH("snap trap",E729)),ISNUMBER(SEARCH("power-kill",E729)),ISNUMBER(SEARCH("wide pedal",E729)),ISNUMBER(SEARCH("metal pedal",E729))),"Snap Traps",
OR(ISNUMBER(SEARCH("electronic",E729)),ISNUMBER(SEARCH("zapper",E729))),"Electronic Traps",
OR(ISNUMBER(SEARCH("live catch",E729)),ISNUMBER(SEARCH("multi-catch",E729)),ISNUMBER(SEARCH("catch &amp; hold",E729)),ISNUMBER(SEARCH("tin cat",E729))),"Live Catch Traps",
OR(ISNUMBER(SEARCH("bait",E729)),ISNUMBER(SEARCH("poison",E729))),"Bait &amp; Poison",
ISNUMBER(SEARCH("repellent",E729)),"Repellents",
OR(ISNUMBER(SEARCH("fly trap",E729)),ISNUMBER(SEARCH("fly ribbon",E729)),ISNUMBER(SEARCH("fly stick",E729)),ISNUMBER(SEARCH("window fly",E729)),ISNUMBER(SEARCH("fly magnet",E729))),"Fly Traps",
OR(ISNUMBER(SEARCH("uv",E729)),ISNUMBER(SEARCH("fly light",E729)),ISNUMBER(SEARCH("plug-in",E729))),"UV Fly Traps",
ISNUMBER(SEARCH("roach",E729)),"Roach Traps",
ISNUMBER(SEARCH("ant",E729)),"Ant Traps",
ISNUMBER(SEARCH("spider",E729)),"Spider Traps",
ISNUMBER(SEARCH("mosquito",E729)),"Mosquito Traps",
ISNUMBER(SEARCH("beetle",E729)),"Beetle Traps",
ISNUMBER(SEARCH("lantern",E729)),"Lanternfly Control",
OR(ISNUMBER(SEARCH("tree shield",E729)),ISNUMBER(SEARCH("tree banding",E729)),ISNUMBER(SEARCH("insect barrier",E729))),"Tree Barriers",
OR(ISNUMBER(SEARCH("sun &amp; shade",E729)),ISNUMBER(SEARCH("sun and shade",E729))),"Sun &amp; Shade Mix",
ISNUMBER(SEARCH("tall fescue",E729)),"Tall Fescue",
ISNUMBER(SEARCH("bermudagrass",E729)),"Bermudagrass",
ISNUMBER(SEARCH("kentucky",E729)),"Kentucky Bluegrass",
ISNUMBER(SEARCH("zoysia",E729)),"Zoysia",
ISNUMBER(SEARCH("ryegrass",E729)),"Perennial Ryegrass",
ISNUMBER(SEARCH("centipede",E729)),"Centipede Grass",
ISNUMBER(SEARCH("dense shade",E729)),"Dense Shade Mix",
ISNUMBER(SEARCH("southern gold",E729)),"Southern Gold Mix",
ISNUMBER(SEARCH("heat-tolerant blue",E729)),"Heat-Tolerant Blue Mix",
ISNUMBER(SEARCH("high traffic",E729)),"High Traffic Mix",
ISNUMBER(SEARCH("quick fix",E729)),"Quick Fix Mix",
ISNUMBER(SEARCH("starter",E729)),"Starter Fertilizer",
ISNUMBER(SEARCH("weed &amp; feed",E729)),"Weed &amp; Feed",
ISNUMBER(SEARCH("lawn food",E729)),"Lawn Food",
ISNUMBER(SEARCH("triple action",E729)),"Triple Action Fertilizer",
ISNUMBER(SEARCH("green max",E729)),"Green Max Lawn Food",
ISNUMBER(SEARCH("patchmaster",E729)),"PatchMaster Repair",
ISNUMBER(SEARCH("ez seed",E729)),"EZ Seed Repair",
ISNUMBER(SEARCH("rapid grass",E729)),"Rapid Grass",
ISNUMBER(SEARCH("thick'r lawn",E729)),"Thick'R Lawn",
ISNUMBER(SEARCH("fungicide",E729)),"Fungicide",
ISNUMBER(SEARCH("moss",E729)),"Moss Control",
ISNUMBER(SEARCH("perlite",E729)),"Perlite",
ISNUMBER(SEARCH("plant food",E729)),"Plant Food",
ISNUMBER(SEARCH("spreader",E729)),"Spreader",
ISNUMBER(SEARCH("sprayer",E729)),"Sprayer",
ISNUMBER(SEARCH("mower",E729)),"Lawn Mower",
ISNUMBER(SEARCH("sweeper",E729)),"Lawn Sweeper",
OR(ISNUMBER(SEARCH("pruner",E729)),ISNUMBER(SEARCH("trimmer",E729)),ISNUMBER(SEARCH("pole saw",E729))),"Pruning Tools",
TRUE,"Other"
)</f>
        <v>Bait &amp; Poison</v>
      </c>
      <c r="J729" s="7" t="str">
        <f t="shared" si="207"/>
        <v>Crawling Insect Control - Bait &amp; Poison</v>
      </c>
      <c r="K729" s="4">
        <v>2000</v>
      </c>
      <c r="L729" s="4">
        <v>4.5999999999999996</v>
      </c>
      <c r="M729" s="4">
        <v>8647</v>
      </c>
      <c r="N729" s="4" t="s">
        <v>493</v>
      </c>
      <c r="O729" s="4">
        <f>VLOOKUP(A729,[14]Sheet1!$A:$M,2,0)</f>
        <v>600</v>
      </c>
      <c r="P729" s="4">
        <f>VLOOKUP(A729,[14]Sheet1!$A:$M,3,0)</f>
        <v>600</v>
      </c>
      <c r="Q729" s="4">
        <f>VLOOKUP(A729,[14]Sheet1!$A:$M,4,0)</f>
        <v>1000</v>
      </c>
      <c r="R729" s="4">
        <f>VLOOKUP(A729,[14]Sheet1!$A:$M,5,0)</f>
        <v>2000</v>
      </c>
      <c r="S729" s="4">
        <f>VLOOKUP(A729,[14]Sheet1!$A:$M,6,0)</f>
        <v>2000</v>
      </c>
      <c r="T729" s="4">
        <f>VLOOKUP(A729,[14]Sheet1!$A:$M,7,0)</f>
        <v>2000</v>
      </c>
      <c r="U729" s="4">
        <f>VLOOKUP(A729,[14]Sheet1!$A:$M,8,0)</f>
        <v>2000</v>
      </c>
      <c r="V729" s="4">
        <f>VLOOKUP(A729,[14]Sheet1!$A:$M,9,0)</f>
        <v>3000</v>
      </c>
      <c r="W729" s="4">
        <f>VLOOKUP(A729,[14]Sheet1!$A:$M,10,0)</f>
        <v>2000</v>
      </c>
      <c r="X729" s="4">
        <f>VLOOKUP(A729,[14]Sheet1!$A:$M,11,0)</f>
        <v>1000</v>
      </c>
      <c r="Y729" s="4">
        <f>VLOOKUP(A729,[14]Sheet1!$A:$M,12,0)</f>
        <v>800</v>
      </c>
      <c r="Z729" s="4">
        <f>VLOOKUP(A729,[14]Sheet1!$A:$M,13,0)</f>
        <v>700</v>
      </c>
      <c r="AA729" s="4">
        <f t="shared" si="221"/>
        <v>17700</v>
      </c>
      <c r="AB729" s="7">
        <f t="shared" si="222"/>
        <v>1475</v>
      </c>
      <c r="AC729" s="15">
        <f t="shared" si="223"/>
        <v>1475</v>
      </c>
      <c r="AD729" s="16">
        <f t="shared" si="224"/>
        <v>580206</v>
      </c>
      <c r="AE729" s="16">
        <f t="shared" si="225"/>
        <v>48350.5</v>
      </c>
      <c r="AF729" s="21">
        <v>4.09</v>
      </c>
      <c r="AG729" s="21">
        <v>32.78</v>
      </c>
      <c r="AH729" s="15">
        <f t="shared" si="205"/>
        <v>0.53479999999999994</v>
      </c>
      <c r="AI729" s="15">
        <f t="shared" si="206"/>
        <v>1.8717999999999995</v>
      </c>
      <c r="AJ729" s="10">
        <v>0.5</v>
      </c>
      <c r="AK729" s="10">
        <v>0.5</v>
      </c>
      <c r="AL729" s="21">
        <v>4.09</v>
      </c>
      <c r="AM729" s="9">
        <f t="shared" si="213"/>
        <v>4.9169999999999998</v>
      </c>
      <c r="AN729" s="9">
        <f t="shared" si="214"/>
        <v>0.98340000000000005</v>
      </c>
      <c r="AO729" s="9">
        <f t="shared" si="215"/>
        <v>6.5560000000000009</v>
      </c>
      <c r="AP729" s="9">
        <f t="shared" si="216"/>
        <v>0.65560000000000007</v>
      </c>
      <c r="AQ729" s="9">
        <f t="shared" si="217"/>
        <v>6.5560000000000009</v>
      </c>
      <c r="AR729" s="9">
        <f t="shared" si="218"/>
        <v>8.1950000000000003</v>
      </c>
      <c r="AS729" s="11">
        <f t="shared" si="219"/>
        <v>5.347999999999999</v>
      </c>
      <c r="AT729" s="12">
        <f t="shared" si="220"/>
        <v>4.2553333333333327</v>
      </c>
    </row>
    <row r="730" spans="1:46" ht="16.5" x14ac:dyDescent="0.4">
      <c r="A730" s="4" t="s">
        <v>3272</v>
      </c>
      <c r="B730" s="4" t="s">
        <v>3312</v>
      </c>
      <c r="C730" s="4" t="s">
        <v>3313</v>
      </c>
      <c r="D730" s="4" t="s">
        <v>3323</v>
      </c>
      <c r="E730" s="4" t="s">
        <v>3368</v>
      </c>
      <c r="F730" s="4" t="s">
        <v>3418</v>
      </c>
      <c r="G730" s="7" t="str">
        <f>VLOOKUP(A730,[1]done!$A:$I,9,0)</f>
        <v>Lawn Fertilizer</v>
      </c>
      <c r="H730" s="7" t="str" cm="1">
        <f t="array" ref="H730">_xlfn.IFS(
OR(ISNUMBER(SEARCH("mouse",E730)),ISNUMBER(SEARCH("rat",E730)),ISNUMBER(SEARCH("mice",E730)),ISNUMBER(SEARCH("rodent",E730))),"Rodent Control",
OR(ISNUMBER(SEARCH("fly",E730)),ISNUMBER(SEARCH("gnat",E730)),ISNUMBER(SEARCH("insect",E730)),ISNUMBER(SEARCH("mosquito",E730))),"Flying Insect Control",
OR(ISNUMBER(SEARCH("roach",E730)),ISNUMBER(SEARCH("ant",E730)),ISNUMBER(SEARCH("spider",E730)),ISNUMBER(SEARCH("cricket",E730)),ISNUMBER(SEARCH("scorpion",E730)),ISNUMBER(SEARCH("centipede",E730)),ISNUMBER(SEARCH("beetle",E730))),"Crawling Insect Control",
OR(ISNUMBER(SEARCH("tree",E730)),ISNUMBER(SEARCH("lantern",E730)),ISNUMBER(SEARCH("garden",E730)),ISNUMBER(SEARCH("plant",E730))),"Garden Pest Control",
OR(ISNUMBER(SEARCH("grass seed",E730)),ISNUMBER(SEARCH("seed mix",E730))),"Grass Seed",
OR(ISNUMBER(SEARCH("lawn food",E730)),ISNUMBER(SEARCH("fertilizer",E730))),"Lawn Fertilizer",
OR(ISNUMBER(SEARCH("patch",E730)),ISNUMBER(SEARCH("repair",E730)),ISNUMBER(SEARCH("thick'r",E730)),ISNUMBER(SEARCH("thick'r lawn",E730)),ISNUMBER(SEARCH("rapid grass",E730))),"Lawn Repair",
OR(ISNUMBER(SEARCH("weed",E730)),ISNUMBER(SEARCH("crabgrass",E730))),"Weed Control",
OR(ISNUMBER(SEARCH("fungicide",E730)),ISNUMBER(SEARCH("moss",E730))),"Disease &amp; Moss Control",
OR(ISNUMBER(SEARCH("plant food",E730)),ISNUMBER(SEARCH("miracid",E730))),"Plant Nutrition",
OR(ISNUMBER(SEARCH("perlite",E730))),"Soil Amendment",
OR(ISNUMBER(SEARCH("spreader",E730)),ISNUMBER(SEARCH("sprayer",E730)),ISNUMBER(SEARCH("mower",E730)),ISNUMBER(SEARCH("sweeper",E730)),ISNUMBER(SEARCH("pruner",E730)),ISNUMBER(SEARCH("trimmer",E730)),ISNUMBER(SEARCH("pole saw",E730))),"Garden Equipment",
TRUE,"Other"
)</f>
        <v>Other</v>
      </c>
      <c r="I730" s="7" t="str" cm="1">
        <f t="array" ref="I730">_xlfn.IFS(
OR(ISNUMBER(SEARCH("glue trap",E730)),ISNUMBER(SEARCH("glue board",E730))),"Glue Traps",
OR(ISNUMBER(SEARCH("snap trap",E730)),ISNUMBER(SEARCH("power-kill",E730)),ISNUMBER(SEARCH("wide pedal",E730)),ISNUMBER(SEARCH("metal pedal",E730))),"Snap Traps",
OR(ISNUMBER(SEARCH("electronic",E730)),ISNUMBER(SEARCH("zapper",E730))),"Electronic Traps",
OR(ISNUMBER(SEARCH("live catch",E730)),ISNUMBER(SEARCH("multi-catch",E730)),ISNUMBER(SEARCH("catch &amp; hold",E730)),ISNUMBER(SEARCH("tin cat",E730))),"Live Catch Traps",
OR(ISNUMBER(SEARCH("bait",E730)),ISNUMBER(SEARCH("poison",E730))),"Bait &amp; Poison",
ISNUMBER(SEARCH("repellent",E730)),"Repellents",
OR(ISNUMBER(SEARCH("fly trap",E730)),ISNUMBER(SEARCH("fly ribbon",E730)),ISNUMBER(SEARCH("fly stick",E730)),ISNUMBER(SEARCH("window fly",E730)),ISNUMBER(SEARCH("fly magnet",E730))),"Fly Traps",
OR(ISNUMBER(SEARCH("uv",E730)),ISNUMBER(SEARCH("fly light",E730)),ISNUMBER(SEARCH("plug-in",E730))),"UV Fly Traps",
ISNUMBER(SEARCH("roach",E730)),"Roach Traps",
ISNUMBER(SEARCH("ant",E730)),"Ant Traps",
ISNUMBER(SEARCH("spider",E730)),"Spider Traps",
ISNUMBER(SEARCH("mosquito",E730)),"Mosquito Traps",
ISNUMBER(SEARCH("beetle",E730)),"Beetle Traps",
ISNUMBER(SEARCH("lantern",E730)),"Lanternfly Control",
OR(ISNUMBER(SEARCH("tree shield",E730)),ISNUMBER(SEARCH("tree banding",E730)),ISNUMBER(SEARCH("insect barrier",E730))),"Tree Barriers",
OR(ISNUMBER(SEARCH("sun &amp; shade",E730)),ISNUMBER(SEARCH("sun and shade",E730))),"Sun &amp; Shade Mix",
ISNUMBER(SEARCH("tall fescue",E730)),"Tall Fescue",
ISNUMBER(SEARCH("bermudagrass",E730)),"Bermudagrass",
ISNUMBER(SEARCH("kentucky",E730)),"Kentucky Bluegrass",
ISNUMBER(SEARCH("zoysia",E730)),"Zoysia",
ISNUMBER(SEARCH("ryegrass",E730)),"Perennial Ryegrass",
ISNUMBER(SEARCH("centipede",E730)),"Centipede Grass",
ISNUMBER(SEARCH("dense shade",E730)),"Dense Shade Mix",
ISNUMBER(SEARCH("southern gold",E730)),"Southern Gold Mix",
ISNUMBER(SEARCH("heat-tolerant blue",E730)),"Heat-Tolerant Blue Mix",
ISNUMBER(SEARCH("high traffic",E730)),"High Traffic Mix",
ISNUMBER(SEARCH("quick fix",E730)),"Quick Fix Mix",
ISNUMBER(SEARCH("starter",E730)),"Starter Fertilizer",
ISNUMBER(SEARCH("weed &amp; feed",E730)),"Weed &amp; Feed",
ISNUMBER(SEARCH("lawn food",E730)),"Lawn Food",
ISNUMBER(SEARCH("triple action",E730)),"Triple Action Fertilizer",
ISNUMBER(SEARCH("green max",E730)),"Green Max Lawn Food",
ISNUMBER(SEARCH("patchmaster",E730)),"PatchMaster Repair",
ISNUMBER(SEARCH("ez seed",E730)),"EZ Seed Repair",
ISNUMBER(SEARCH("rapid grass",E730)),"Rapid Grass",
ISNUMBER(SEARCH("thick'r lawn",E730)),"Thick'R Lawn",
ISNUMBER(SEARCH("fungicide",E730)),"Fungicide",
ISNUMBER(SEARCH("moss",E730)),"Moss Control",
ISNUMBER(SEARCH("perlite",E730)),"Perlite",
ISNUMBER(SEARCH("plant food",E730)),"Plant Food",
ISNUMBER(SEARCH("spreader",E730)),"Spreader",
ISNUMBER(SEARCH("sprayer",E730)),"Sprayer",
ISNUMBER(SEARCH("mower",E730)),"Lawn Mower",
ISNUMBER(SEARCH("sweeper",E730)),"Lawn Sweeper",
OR(ISNUMBER(SEARCH("pruner",E730)),ISNUMBER(SEARCH("trimmer",E730)),ISNUMBER(SEARCH("pole saw",E730))),"Pruning Tools",
TRUE,"Other"
)</f>
        <v>Other</v>
      </c>
      <c r="J730" s="7" t="str">
        <f t="shared" si="207"/>
        <v>Other - Other</v>
      </c>
      <c r="K730" s="4">
        <v>2000</v>
      </c>
      <c r="L730" s="4">
        <v>4.4000000000000004</v>
      </c>
      <c r="M730" s="4">
        <v>9593</v>
      </c>
      <c r="N730" s="4" t="s">
        <v>193</v>
      </c>
      <c r="O730" s="4">
        <f>VLOOKUP(A730,[14]Sheet1!$A:$M,2,0)</f>
        <v>100</v>
      </c>
      <c r="P730" s="4">
        <f>VLOOKUP(A730,[14]Sheet1!$A:$M,3,0)</f>
        <v>200</v>
      </c>
      <c r="Q730" s="4">
        <f>VLOOKUP(A730,[14]Sheet1!$A:$M,4,0)</f>
        <v>2000</v>
      </c>
      <c r="R730" s="4">
        <f>VLOOKUP(A730,[14]Sheet1!$A:$M,5,0)</f>
        <v>3000</v>
      </c>
      <c r="S730" s="4">
        <f>VLOOKUP(A730,[14]Sheet1!$A:$M,6,0)</f>
        <v>4000</v>
      </c>
      <c r="T730" s="4">
        <f>VLOOKUP(A730,[14]Sheet1!$A:$M,7,0)</f>
        <v>1000</v>
      </c>
      <c r="U730" s="4">
        <f>VLOOKUP(A730,[14]Sheet1!$A:$M,8,0)</f>
        <v>1000</v>
      </c>
      <c r="V730" s="4">
        <f>VLOOKUP(A730,[14]Sheet1!$A:$M,9,0)</f>
        <v>2000</v>
      </c>
      <c r="W730" s="4">
        <f>VLOOKUP(A730,[14]Sheet1!$A:$M,10,0)</f>
        <v>2000</v>
      </c>
      <c r="X730" s="4">
        <f>VLOOKUP(A730,[14]Sheet1!$A:$M,11,0)</f>
        <v>1000</v>
      </c>
      <c r="Y730" s="4">
        <f>VLOOKUP(A730,[14]Sheet1!$A:$M,12,0)</f>
        <v>100</v>
      </c>
      <c r="Z730" s="4">
        <f>VLOOKUP(A730,[14]Sheet1!$A:$M,13,0)</f>
        <v>100</v>
      </c>
      <c r="AA730" s="4">
        <f t="shared" si="221"/>
        <v>16500</v>
      </c>
      <c r="AB730" s="7">
        <f t="shared" si="222"/>
        <v>1375</v>
      </c>
      <c r="AC730" s="15">
        <f t="shared" si="223"/>
        <v>1375</v>
      </c>
      <c r="AD730" s="16">
        <f t="shared" si="224"/>
        <v>1052865</v>
      </c>
      <c r="AE730" s="16">
        <f t="shared" si="225"/>
        <v>87738.75</v>
      </c>
      <c r="AF730" s="21">
        <v>5.03</v>
      </c>
      <c r="AG730" s="21">
        <v>63.81</v>
      </c>
      <c r="AH730" s="15">
        <f t="shared" si="205"/>
        <v>1.2996000000000001</v>
      </c>
      <c r="AI730" s="15">
        <f t="shared" si="206"/>
        <v>4.5485999999999995</v>
      </c>
      <c r="AJ730" s="10">
        <v>0.5</v>
      </c>
      <c r="AK730" s="10">
        <v>0.5</v>
      </c>
      <c r="AL730" s="21">
        <v>5.03</v>
      </c>
      <c r="AM730" s="9">
        <f t="shared" si="213"/>
        <v>9.5715000000000003</v>
      </c>
      <c r="AN730" s="9">
        <f t="shared" si="214"/>
        <v>1.9142999999999999</v>
      </c>
      <c r="AO730" s="9">
        <f t="shared" si="215"/>
        <v>12.762</v>
      </c>
      <c r="AP730" s="9">
        <f t="shared" si="216"/>
        <v>1.2762</v>
      </c>
      <c r="AQ730" s="9">
        <f t="shared" si="217"/>
        <v>12.762</v>
      </c>
      <c r="AR730" s="9">
        <f t="shared" si="218"/>
        <v>15.952500000000001</v>
      </c>
      <c r="AS730" s="11">
        <f t="shared" si="219"/>
        <v>12.996</v>
      </c>
      <c r="AT730" s="12">
        <f t="shared" si="220"/>
        <v>10.869</v>
      </c>
    </row>
    <row r="731" spans="1:46" ht="16.5" x14ac:dyDescent="0.4">
      <c r="A731" s="4" t="s">
        <v>3273</v>
      </c>
      <c r="B731" s="4" t="s">
        <v>3312</v>
      </c>
      <c r="C731" s="4" t="s">
        <v>3312</v>
      </c>
      <c r="D731" s="4" t="s">
        <v>3324</v>
      </c>
      <c r="E731" s="4" t="s">
        <v>3369</v>
      </c>
      <c r="F731" s="4" t="s">
        <v>3419</v>
      </c>
      <c r="G731" s="7" t="str">
        <f>VLOOKUP(A731,[1]done!$A:$I,9,0)</f>
        <v>Insecticide/Fungicide</v>
      </c>
      <c r="H731" s="7" t="str" cm="1">
        <f t="array" ref="H731">_xlfn.IFS(
OR(ISNUMBER(SEARCH("mouse",E731)),ISNUMBER(SEARCH("rat",E731)),ISNUMBER(SEARCH("mice",E731)),ISNUMBER(SEARCH("rodent",E731))),"Rodent Control",
OR(ISNUMBER(SEARCH("fly",E731)),ISNUMBER(SEARCH("gnat",E731)),ISNUMBER(SEARCH("insect",E731)),ISNUMBER(SEARCH("mosquito",E731))),"Flying Insect Control",
OR(ISNUMBER(SEARCH("roach",E731)),ISNUMBER(SEARCH("ant",E731)),ISNUMBER(SEARCH("spider",E731)),ISNUMBER(SEARCH("cricket",E731)),ISNUMBER(SEARCH("scorpion",E731)),ISNUMBER(SEARCH("centipede",E731)),ISNUMBER(SEARCH("beetle",E731))),"Crawling Insect Control",
OR(ISNUMBER(SEARCH("tree",E731)),ISNUMBER(SEARCH("lantern",E731)),ISNUMBER(SEARCH("garden",E731)),ISNUMBER(SEARCH("plant",E731))),"Garden Pest Control",
OR(ISNUMBER(SEARCH("grass seed",E731)),ISNUMBER(SEARCH("seed mix",E731))),"Grass Seed",
OR(ISNUMBER(SEARCH("lawn food",E731)),ISNUMBER(SEARCH("fertilizer",E731))),"Lawn Fertilizer",
OR(ISNUMBER(SEARCH("patch",E731)),ISNUMBER(SEARCH("repair",E731)),ISNUMBER(SEARCH("thick'r",E731)),ISNUMBER(SEARCH("thick'r lawn",E731)),ISNUMBER(SEARCH("rapid grass",E731))),"Lawn Repair",
OR(ISNUMBER(SEARCH("weed",E731)),ISNUMBER(SEARCH("crabgrass",E731))),"Weed Control",
OR(ISNUMBER(SEARCH("fungicide",E731)),ISNUMBER(SEARCH("moss",E731))),"Disease &amp; Moss Control",
OR(ISNUMBER(SEARCH("plant food",E731)),ISNUMBER(SEARCH("miracid",E731))),"Plant Nutrition",
OR(ISNUMBER(SEARCH("perlite",E731))),"Soil Amendment",
OR(ISNUMBER(SEARCH("spreader",E731)),ISNUMBER(SEARCH("sprayer",E731)),ISNUMBER(SEARCH("mower",E731)),ISNUMBER(SEARCH("sweeper",E731)),ISNUMBER(SEARCH("pruner",E731)),ISNUMBER(SEARCH("trimmer",E731)),ISNUMBER(SEARCH("pole saw",E731))),"Garden Equipment",
TRUE,"Other"
)</f>
        <v>Flying Insect Control</v>
      </c>
      <c r="I731" s="7" t="str" cm="1">
        <f t="array" ref="I731">_xlfn.IFS(
OR(ISNUMBER(SEARCH("glue trap",E731)),ISNUMBER(SEARCH("glue board",E731))),"Glue Traps",
OR(ISNUMBER(SEARCH("snap trap",E731)),ISNUMBER(SEARCH("power-kill",E731)),ISNUMBER(SEARCH("wide pedal",E731)),ISNUMBER(SEARCH("metal pedal",E731))),"Snap Traps",
OR(ISNUMBER(SEARCH("electronic",E731)),ISNUMBER(SEARCH("zapper",E731))),"Electronic Traps",
OR(ISNUMBER(SEARCH("live catch",E731)),ISNUMBER(SEARCH("multi-catch",E731)),ISNUMBER(SEARCH("catch &amp; hold",E731)),ISNUMBER(SEARCH("tin cat",E731))),"Live Catch Traps",
OR(ISNUMBER(SEARCH("bait",E731)),ISNUMBER(SEARCH("poison",E731))),"Bait &amp; Poison",
ISNUMBER(SEARCH("repellent",E731)),"Repellents",
OR(ISNUMBER(SEARCH("fly trap",E731)),ISNUMBER(SEARCH("fly ribbon",E731)),ISNUMBER(SEARCH("fly stick",E731)),ISNUMBER(SEARCH("window fly",E731)),ISNUMBER(SEARCH("fly magnet",E731))),"Fly Traps",
OR(ISNUMBER(SEARCH("uv",E731)),ISNUMBER(SEARCH("fly light",E731)),ISNUMBER(SEARCH("plug-in",E731))),"UV Fly Traps",
ISNUMBER(SEARCH("roach",E731)),"Roach Traps",
ISNUMBER(SEARCH("ant",E731)),"Ant Traps",
ISNUMBER(SEARCH("spider",E731)),"Spider Traps",
ISNUMBER(SEARCH("mosquito",E731)),"Mosquito Traps",
ISNUMBER(SEARCH("beetle",E731)),"Beetle Traps",
ISNUMBER(SEARCH("lantern",E731)),"Lanternfly Control",
OR(ISNUMBER(SEARCH("tree shield",E731)),ISNUMBER(SEARCH("tree banding",E731)),ISNUMBER(SEARCH("insect barrier",E731))),"Tree Barriers",
OR(ISNUMBER(SEARCH("sun &amp; shade",E731)),ISNUMBER(SEARCH("sun and shade",E731))),"Sun &amp; Shade Mix",
ISNUMBER(SEARCH("tall fescue",E731)),"Tall Fescue",
ISNUMBER(SEARCH("bermudagrass",E731)),"Bermudagrass",
ISNUMBER(SEARCH("kentucky",E731)),"Kentucky Bluegrass",
ISNUMBER(SEARCH("zoysia",E731)),"Zoysia",
ISNUMBER(SEARCH("ryegrass",E731)),"Perennial Ryegrass",
ISNUMBER(SEARCH("centipede",E731)),"Centipede Grass",
ISNUMBER(SEARCH("dense shade",E731)),"Dense Shade Mix",
ISNUMBER(SEARCH("southern gold",E731)),"Southern Gold Mix",
ISNUMBER(SEARCH("heat-tolerant blue",E731)),"Heat-Tolerant Blue Mix",
ISNUMBER(SEARCH("high traffic",E731)),"High Traffic Mix",
ISNUMBER(SEARCH("quick fix",E731)),"Quick Fix Mix",
ISNUMBER(SEARCH("starter",E731)),"Starter Fertilizer",
ISNUMBER(SEARCH("weed &amp; feed",E731)),"Weed &amp; Feed",
ISNUMBER(SEARCH("lawn food",E731)),"Lawn Food",
ISNUMBER(SEARCH("triple action",E731)),"Triple Action Fertilizer",
ISNUMBER(SEARCH("green max",E731)),"Green Max Lawn Food",
ISNUMBER(SEARCH("patchmaster",E731)),"PatchMaster Repair",
ISNUMBER(SEARCH("ez seed",E731)),"EZ Seed Repair",
ISNUMBER(SEARCH("rapid grass",E731)),"Rapid Grass",
ISNUMBER(SEARCH("thick'r lawn",E731)),"Thick'R Lawn",
ISNUMBER(SEARCH("fungicide",E731)),"Fungicide",
ISNUMBER(SEARCH("moss",E731)),"Moss Control",
ISNUMBER(SEARCH("perlite",E731)),"Perlite",
ISNUMBER(SEARCH("plant food",E731)),"Plant Food",
ISNUMBER(SEARCH("spreader",E731)),"Spreader",
ISNUMBER(SEARCH("sprayer",E731)),"Sprayer",
ISNUMBER(SEARCH("mower",E731)),"Lawn Mower",
ISNUMBER(SEARCH("sweeper",E731)),"Lawn Sweeper",
OR(ISNUMBER(SEARCH("pruner",E731)),ISNUMBER(SEARCH("trimmer",E731)),ISNUMBER(SEARCH("pole saw",E731))),"Pruning Tools",
TRUE,"Other"
)</f>
        <v>Other</v>
      </c>
      <c r="J731" s="7" t="str">
        <f t="shared" si="207"/>
        <v>Flying Insect Control - Other</v>
      </c>
      <c r="K731" s="4">
        <v>1000</v>
      </c>
      <c r="L731" s="4">
        <v>4.5</v>
      </c>
      <c r="M731" s="4">
        <v>271</v>
      </c>
      <c r="O731" s="4">
        <f>VLOOKUP(A731,[14]Sheet1!$A:$M,2,0)</f>
        <v>250</v>
      </c>
      <c r="P731" s="4">
        <f>VLOOKUP(A731,[14]Sheet1!$A:$M,3,0)</f>
        <v>300</v>
      </c>
      <c r="Q731" s="4">
        <f>VLOOKUP(A731,[14]Sheet1!$A:$M,4,0)</f>
        <v>400</v>
      </c>
      <c r="R731" s="4">
        <f>VLOOKUP(A731,[14]Sheet1!$A:$M,5,0)</f>
        <v>900</v>
      </c>
      <c r="S731" s="4">
        <f>VLOOKUP(A731,[14]Sheet1!$A:$M,6,0)</f>
        <v>1000</v>
      </c>
      <c r="T731" s="4">
        <f>VLOOKUP(A731,[14]Sheet1!$A:$M,7,0)</f>
        <v>1000</v>
      </c>
      <c r="U731" s="4">
        <f>VLOOKUP(A731,[14]Sheet1!$A:$M,8,0)</f>
        <v>1000</v>
      </c>
      <c r="V731" s="4">
        <f>VLOOKUP(A731,[14]Sheet1!$A:$M,9,0)</f>
        <v>1000</v>
      </c>
      <c r="W731" s="4">
        <f>VLOOKUP(A731,[14]Sheet1!$A:$M,10,0)</f>
        <v>1000</v>
      </c>
      <c r="X731" s="4">
        <f>VLOOKUP(A731,[14]Sheet1!$A:$M,11,0)</f>
        <v>600</v>
      </c>
      <c r="Y731" s="4">
        <f>VLOOKUP(A731,[14]Sheet1!$A:$M,12,0)</f>
        <v>500</v>
      </c>
      <c r="Z731" s="4">
        <f>VLOOKUP(A731,[14]Sheet1!$A:$M,13,0)</f>
        <v>400</v>
      </c>
      <c r="AA731" s="4">
        <f t="shared" si="221"/>
        <v>8350</v>
      </c>
      <c r="AB731" s="7">
        <f t="shared" si="222"/>
        <v>696</v>
      </c>
      <c r="AC731" s="15">
        <f t="shared" si="223"/>
        <v>695.83333333333337</v>
      </c>
      <c r="AD731" s="16">
        <f t="shared" si="224"/>
        <v>82748.5</v>
      </c>
      <c r="AE731" s="16">
        <f t="shared" si="225"/>
        <v>6895.7083333333339</v>
      </c>
      <c r="AF731" s="21">
        <v>2.52</v>
      </c>
      <c r="AG731" s="21">
        <v>9.91</v>
      </c>
      <c r="AH731" s="15">
        <f t="shared" si="205"/>
        <v>2.9599999999999967E-2</v>
      </c>
      <c r="AI731" s="15">
        <f t="shared" si="206"/>
        <v>0.10359999999999987</v>
      </c>
      <c r="AJ731" s="10">
        <v>0.5</v>
      </c>
      <c r="AK731" s="10">
        <v>0.5</v>
      </c>
      <c r="AL731" s="21">
        <v>2.52</v>
      </c>
      <c r="AM731" s="9">
        <f t="shared" si="213"/>
        <v>1.4864999999999999</v>
      </c>
      <c r="AN731" s="9">
        <f t="shared" si="214"/>
        <v>0.29730000000000001</v>
      </c>
      <c r="AO731" s="9">
        <f t="shared" si="215"/>
        <v>1.9820000000000002</v>
      </c>
      <c r="AP731" s="9">
        <f t="shared" si="216"/>
        <v>0.19820000000000002</v>
      </c>
      <c r="AQ731" s="9">
        <f t="shared" si="217"/>
        <v>1.9820000000000002</v>
      </c>
      <c r="AR731" s="9">
        <f t="shared" si="218"/>
        <v>2.4775</v>
      </c>
      <c r="AS731" s="11">
        <f t="shared" si="219"/>
        <v>0.29599999999999965</v>
      </c>
      <c r="AT731" s="12">
        <f t="shared" si="220"/>
        <v>-3.4333333333333549E-2</v>
      </c>
    </row>
    <row r="732" spans="1:46" ht="16.5" x14ac:dyDescent="0.4">
      <c r="A732" s="4" t="s">
        <v>3274</v>
      </c>
      <c r="B732" s="4" t="s">
        <v>3312</v>
      </c>
      <c r="C732" s="4" t="s">
        <v>3312</v>
      </c>
      <c r="D732" s="4" t="s">
        <v>3325</v>
      </c>
      <c r="E732" s="4" t="s">
        <v>3370</v>
      </c>
      <c r="F732" s="4" t="s">
        <v>3420</v>
      </c>
      <c r="G732" s="7" t="str">
        <f>VLOOKUP(A732,[1]done!$A:$I,9,0)</f>
        <v>Other crawling insects</v>
      </c>
      <c r="H732" s="7" t="str" cm="1">
        <f t="array" ref="H732">_xlfn.IFS(
OR(ISNUMBER(SEARCH("mouse",E732)),ISNUMBER(SEARCH("rat",E732)),ISNUMBER(SEARCH("mice",E732)),ISNUMBER(SEARCH("rodent",E732))),"Rodent Control",
OR(ISNUMBER(SEARCH("fly",E732)),ISNUMBER(SEARCH("gnat",E732)),ISNUMBER(SEARCH("insect",E732)),ISNUMBER(SEARCH("mosquito",E732))),"Flying Insect Control",
OR(ISNUMBER(SEARCH("roach",E732)),ISNUMBER(SEARCH("ant",E732)),ISNUMBER(SEARCH("spider",E732)),ISNUMBER(SEARCH("cricket",E732)),ISNUMBER(SEARCH("scorpion",E732)),ISNUMBER(SEARCH("centipede",E732)),ISNUMBER(SEARCH("beetle",E732))),"Crawling Insect Control",
OR(ISNUMBER(SEARCH("tree",E732)),ISNUMBER(SEARCH("lantern",E732)),ISNUMBER(SEARCH("garden",E732)),ISNUMBER(SEARCH("plant",E732))),"Garden Pest Control",
OR(ISNUMBER(SEARCH("grass seed",E732)),ISNUMBER(SEARCH("seed mix",E732))),"Grass Seed",
OR(ISNUMBER(SEARCH("lawn food",E732)),ISNUMBER(SEARCH("fertilizer",E732))),"Lawn Fertilizer",
OR(ISNUMBER(SEARCH("patch",E732)),ISNUMBER(SEARCH("repair",E732)),ISNUMBER(SEARCH("thick'r",E732)),ISNUMBER(SEARCH("thick'r lawn",E732)),ISNUMBER(SEARCH("rapid grass",E732))),"Lawn Repair",
OR(ISNUMBER(SEARCH("weed",E732)),ISNUMBER(SEARCH("crabgrass",E732))),"Weed Control",
OR(ISNUMBER(SEARCH("fungicide",E732)),ISNUMBER(SEARCH("moss",E732))),"Disease &amp; Moss Control",
OR(ISNUMBER(SEARCH("plant food",E732)),ISNUMBER(SEARCH("miracid",E732))),"Plant Nutrition",
OR(ISNUMBER(SEARCH("perlite",E732))),"Soil Amendment",
OR(ISNUMBER(SEARCH("spreader",E732)),ISNUMBER(SEARCH("sprayer",E732)),ISNUMBER(SEARCH("mower",E732)),ISNUMBER(SEARCH("sweeper",E732)),ISNUMBER(SEARCH("pruner",E732)),ISNUMBER(SEARCH("trimmer",E732)),ISNUMBER(SEARCH("pole saw",E732))),"Garden Equipment",
TRUE,"Other"
)</f>
        <v>Flying Insect Control</v>
      </c>
      <c r="I732" s="7" t="str" cm="1">
        <f t="array" ref="I732">_xlfn.IFS(
OR(ISNUMBER(SEARCH("glue trap",E732)),ISNUMBER(SEARCH("glue board",E732))),"Glue Traps",
OR(ISNUMBER(SEARCH("snap trap",E732)),ISNUMBER(SEARCH("power-kill",E732)),ISNUMBER(SEARCH("wide pedal",E732)),ISNUMBER(SEARCH("metal pedal",E732))),"Snap Traps",
OR(ISNUMBER(SEARCH("electronic",E732)),ISNUMBER(SEARCH("zapper",E732))),"Electronic Traps",
OR(ISNUMBER(SEARCH("live catch",E732)),ISNUMBER(SEARCH("multi-catch",E732)),ISNUMBER(SEARCH("catch &amp; hold",E732)),ISNUMBER(SEARCH("tin cat",E732))),"Live Catch Traps",
OR(ISNUMBER(SEARCH("bait",E732)),ISNUMBER(SEARCH("poison",E732))),"Bait &amp; Poison",
ISNUMBER(SEARCH("repellent",E732)),"Repellents",
OR(ISNUMBER(SEARCH("fly trap",E732)),ISNUMBER(SEARCH("fly ribbon",E732)),ISNUMBER(SEARCH("fly stick",E732)),ISNUMBER(SEARCH("window fly",E732)),ISNUMBER(SEARCH("fly magnet",E732))),"Fly Traps",
OR(ISNUMBER(SEARCH("uv",E732)),ISNUMBER(SEARCH("fly light",E732)),ISNUMBER(SEARCH("plug-in",E732))),"UV Fly Traps",
ISNUMBER(SEARCH("roach",E732)),"Roach Traps",
ISNUMBER(SEARCH("ant",E732)),"Ant Traps",
ISNUMBER(SEARCH("spider",E732)),"Spider Traps",
ISNUMBER(SEARCH("mosquito",E732)),"Mosquito Traps",
ISNUMBER(SEARCH("beetle",E732)),"Beetle Traps",
ISNUMBER(SEARCH("lantern",E732)),"Lanternfly Control",
OR(ISNUMBER(SEARCH("tree shield",E732)),ISNUMBER(SEARCH("tree banding",E732)),ISNUMBER(SEARCH("insect barrier",E732))),"Tree Barriers",
OR(ISNUMBER(SEARCH("sun &amp; shade",E732)),ISNUMBER(SEARCH("sun and shade",E732))),"Sun &amp; Shade Mix",
ISNUMBER(SEARCH("tall fescue",E732)),"Tall Fescue",
ISNUMBER(SEARCH("bermudagrass",E732)),"Bermudagrass",
ISNUMBER(SEARCH("kentucky",E732)),"Kentucky Bluegrass",
ISNUMBER(SEARCH("zoysia",E732)),"Zoysia",
ISNUMBER(SEARCH("ryegrass",E732)),"Perennial Ryegrass",
ISNUMBER(SEARCH("centipede",E732)),"Centipede Grass",
ISNUMBER(SEARCH("dense shade",E732)),"Dense Shade Mix",
ISNUMBER(SEARCH("southern gold",E732)),"Southern Gold Mix",
ISNUMBER(SEARCH("heat-tolerant blue",E732)),"Heat-Tolerant Blue Mix",
ISNUMBER(SEARCH("high traffic",E732)),"High Traffic Mix",
ISNUMBER(SEARCH("quick fix",E732)),"Quick Fix Mix",
ISNUMBER(SEARCH("starter",E732)),"Starter Fertilizer",
ISNUMBER(SEARCH("weed &amp; feed",E732)),"Weed &amp; Feed",
ISNUMBER(SEARCH("lawn food",E732)),"Lawn Food",
ISNUMBER(SEARCH("triple action",E732)),"Triple Action Fertilizer",
ISNUMBER(SEARCH("green max",E732)),"Green Max Lawn Food",
ISNUMBER(SEARCH("patchmaster",E732)),"PatchMaster Repair",
ISNUMBER(SEARCH("ez seed",E732)),"EZ Seed Repair",
ISNUMBER(SEARCH("rapid grass",E732)),"Rapid Grass",
ISNUMBER(SEARCH("thick'r lawn",E732)),"Thick'R Lawn",
ISNUMBER(SEARCH("fungicide",E732)),"Fungicide",
ISNUMBER(SEARCH("moss",E732)),"Moss Control",
ISNUMBER(SEARCH("perlite",E732)),"Perlite",
ISNUMBER(SEARCH("plant food",E732)),"Plant Food",
ISNUMBER(SEARCH("spreader",E732)),"Spreader",
ISNUMBER(SEARCH("sprayer",E732)),"Sprayer",
ISNUMBER(SEARCH("mower",E732)),"Lawn Mower",
ISNUMBER(SEARCH("sweeper",E732)),"Lawn Sweeper",
OR(ISNUMBER(SEARCH("pruner",E732)),ISNUMBER(SEARCH("trimmer",E732)),ISNUMBER(SEARCH("pole saw",E732))),"Pruning Tools",
TRUE,"Other"
)</f>
        <v>Bait &amp; Poison</v>
      </c>
      <c r="J732" s="7" t="str">
        <f t="shared" si="207"/>
        <v>Flying Insect Control - Bait &amp; Poison</v>
      </c>
      <c r="K732" s="4">
        <v>1000</v>
      </c>
      <c r="L732" s="4">
        <v>4.5999999999999996</v>
      </c>
      <c r="M732" s="4">
        <v>2008</v>
      </c>
      <c r="N732" s="4" t="s">
        <v>3464</v>
      </c>
      <c r="O732" s="4">
        <f>VLOOKUP(A732,[14]Sheet1!$A:$M,2,0)</f>
        <v>200</v>
      </c>
      <c r="P732" s="4">
        <f>VLOOKUP(A732,[14]Sheet1!$A:$M,3,0)</f>
        <v>100</v>
      </c>
      <c r="Q732" s="4">
        <f>VLOOKUP(A732,[14]Sheet1!$A:$M,4,0)</f>
        <v>800</v>
      </c>
      <c r="R732" s="4">
        <f>VLOOKUP(A732,[14]Sheet1!$A:$M,5,0)</f>
        <v>600</v>
      </c>
      <c r="S732" s="4">
        <f>VLOOKUP(A732,[14]Sheet1!$A:$M,6,0)</f>
        <v>1000</v>
      </c>
      <c r="T732" s="4">
        <f>VLOOKUP(A732,[14]Sheet1!$A:$M,7,0)</f>
        <v>1000</v>
      </c>
      <c r="U732" s="4">
        <f>VLOOKUP(A732,[14]Sheet1!$A:$M,8,0)</f>
        <v>1000</v>
      </c>
      <c r="V732" s="4">
        <f>VLOOKUP(A732,[14]Sheet1!$A:$M,9,0)</f>
        <v>1000</v>
      </c>
      <c r="W732" s="4">
        <f>VLOOKUP(A732,[14]Sheet1!$A:$M,10,0)</f>
        <v>1000</v>
      </c>
      <c r="X732" s="4">
        <f>VLOOKUP(A732,[14]Sheet1!$A:$M,11,0)</f>
        <v>1000</v>
      </c>
      <c r="Y732" s="4">
        <f>VLOOKUP(A732,[14]Sheet1!$A:$M,12,0)</f>
        <v>700</v>
      </c>
      <c r="Z732" s="4">
        <f>VLOOKUP(A732,[14]Sheet1!$A:$M,13,0)</f>
        <v>200</v>
      </c>
      <c r="AA732" s="4">
        <f t="shared" si="221"/>
        <v>8600</v>
      </c>
      <c r="AB732" s="7">
        <f t="shared" si="222"/>
        <v>717</v>
      </c>
      <c r="AC732" s="15">
        <f t="shared" si="223"/>
        <v>716.66666666666663</v>
      </c>
      <c r="AD732" s="16">
        <f t="shared" si="224"/>
        <v>412370</v>
      </c>
      <c r="AE732" s="16">
        <f t="shared" si="225"/>
        <v>34364.166666666664</v>
      </c>
      <c r="AF732" s="21">
        <v>7.3</v>
      </c>
      <c r="AG732" s="21">
        <v>47.95</v>
      </c>
      <c r="AH732" s="15">
        <f t="shared" si="205"/>
        <v>0.72533333333333316</v>
      </c>
      <c r="AI732" s="15">
        <f t="shared" si="206"/>
        <v>2.538666666666666</v>
      </c>
      <c r="AJ732" s="10">
        <v>0.5</v>
      </c>
      <c r="AK732" s="10">
        <v>0.5</v>
      </c>
      <c r="AL732" s="21">
        <v>7.3</v>
      </c>
      <c r="AM732" s="9">
        <f t="shared" si="213"/>
        <v>7.1924999999999999</v>
      </c>
      <c r="AN732" s="9">
        <f t="shared" si="214"/>
        <v>1.4385000000000001</v>
      </c>
      <c r="AO732" s="9">
        <f t="shared" si="215"/>
        <v>9.5900000000000016</v>
      </c>
      <c r="AP732" s="9">
        <f t="shared" si="216"/>
        <v>0.95900000000000007</v>
      </c>
      <c r="AQ732" s="9">
        <f t="shared" si="217"/>
        <v>9.5900000000000016</v>
      </c>
      <c r="AR732" s="9">
        <f t="shared" si="218"/>
        <v>11.987500000000001</v>
      </c>
      <c r="AS732" s="11">
        <f t="shared" si="219"/>
        <v>7.2533333333333312</v>
      </c>
      <c r="AT732" s="12">
        <f t="shared" si="220"/>
        <v>5.6549999999999985</v>
      </c>
    </row>
    <row r="733" spans="1:46" ht="16.5" x14ac:dyDescent="0.4">
      <c r="A733" s="4" t="s">
        <v>3275</v>
      </c>
      <c r="B733" s="4" t="s">
        <v>3312</v>
      </c>
      <c r="C733" s="4" t="s">
        <v>3312</v>
      </c>
      <c r="D733" s="4" t="s">
        <v>3326</v>
      </c>
      <c r="E733" s="4" t="s">
        <v>3371</v>
      </c>
      <c r="F733" s="4" t="s">
        <v>3421</v>
      </c>
      <c r="G733" s="7" t="str">
        <f>VLOOKUP(A733,[1]done!$A:$I,9,0)</f>
        <v>Other crawling insects</v>
      </c>
      <c r="H733" s="7" t="str" cm="1">
        <f t="array" ref="H733">_xlfn.IFS(
OR(ISNUMBER(SEARCH("mouse",E733)),ISNUMBER(SEARCH("rat",E733)),ISNUMBER(SEARCH("mice",E733)),ISNUMBER(SEARCH("rodent",E733))),"Rodent Control",
OR(ISNUMBER(SEARCH("fly",E733)),ISNUMBER(SEARCH("gnat",E733)),ISNUMBER(SEARCH("insect",E733)),ISNUMBER(SEARCH("mosquito",E733))),"Flying Insect Control",
OR(ISNUMBER(SEARCH("roach",E733)),ISNUMBER(SEARCH("ant",E733)),ISNUMBER(SEARCH("spider",E733)),ISNUMBER(SEARCH("cricket",E733)),ISNUMBER(SEARCH("scorpion",E733)),ISNUMBER(SEARCH("centipede",E733)),ISNUMBER(SEARCH("beetle",E733))),"Crawling Insect Control",
OR(ISNUMBER(SEARCH("tree",E733)),ISNUMBER(SEARCH("lantern",E733)),ISNUMBER(SEARCH("garden",E733)),ISNUMBER(SEARCH("plant",E733))),"Garden Pest Control",
OR(ISNUMBER(SEARCH("grass seed",E733)),ISNUMBER(SEARCH("seed mix",E733))),"Grass Seed",
OR(ISNUMBER(SEARCH("lawn food",E733)),ISNUMBER(SEARCH("fertilizer",E733))),"Lawn Fertilizer",
OR(ISNUMBER(SEARCH("patch",E733)),ISNUMBER(SEARCH("repair",E733)),ISNUMBER(SEARCH("thick'r",E733)),ISNUMBER(SEARCH("thick'r lawn",E733)),ISNUMBER(SEARCH("rapid grass",E733))),"Lawn Repair",
OR(ISNUMBER(SEARCH("weed",E733)),ISNUMBER(SEARCH("crabgrass",E733))),"Weed Control",
OR(ISNUMBER(SEARCH("fungicide",E733)),ISNUMBER(SEARCH("moss",E733))),"Disease &amp; Moss Control",
OR(ISNUMBER(SEARCH("plant food",E733)),ISNUMBER(SEARCH("miracid",E733))),"Plant Nutrition",
OR(ISNUMBER(SEARCH("perlite",E733))),"Soil Amendment",
OR(ISNUMBER(SEARCH("spreader",E733)),ISNUMBER(SEARCH("sprayer",E733)),ISNUMBER(SEARCH("mower",E733)),ISNUMBER(SEARCH("sweeper",E733)),ISNUMBER(SEARCH("pruner",E733)),ISNUMBER(SEARCH("trimmer",E733)),ISNUMBER(SEARCH("pole saw",E733))),"Garden Equipment",
TRUE,"Other"
)</f>
        <v>Crawling Insect Control</v>
      </c>
      <c r="I733" s="7" t="str" cm="1">
        <f t="array" ref="I733">_xlfn.IFS(
OR(ISNUMBER(SEARCH("glue trap",E733)),ISNUMBER(SEARCH("glue board",E733))),"Glue Traps",
OR(ISNUMBER(SEARCH("snap trap",E733)),ISNUMBER(SEARCH("power-kill",E733)),ISNUMBER(SEARCH("wide pedal",E733)),ISNUMBER(SEARCH("metal pedal",E733))),"Snap Traps",
OR(ISNUMBER(SEARCH("electronic",E733)),ISNUMBER(SEARCH("zapper",E733))),"Electronic Traps",
OR(ISNUMBER(SEARCH("live catch",E733)),ISNUMBER(SEARCH("multi-catch",E733)),ISNUMBER(SEARCH("catch &amp; hold",E733)),ISNUMBER(SEARCH("tin cat",E733))),"Live Catch Traps",
OR(ISNUMBER(SEARCH("bait",E733)),ISNUMBER(SEARCH("poison",E733))),"Bait &amp; Poison",
ISNUMBER(SEARCH("repellent",E733)),"Repellents",
OR(ISNUMBER(SEARCH("fly trap",E733)),ISNUMBER(SEARCH("fly ribbon",E733)),ISNUMBER(SEARCH("fly stick",E733)),ISNUMBER(SEARCH("window fly",E733)),ISNUMBER(SEARCH("fly magnet",E733))),"Fly Traps",
OR(ISNUMBER(SEARCH("uv",E733)),ISNUMBER(SEARCH("fly light",E733)),ISNUMBER(SEARCH("plug-in",E733))),"UV Fly Traps",
ISNUMBER(SEARCH("roach",E733)),"Roach Traps",
ISNUMBER(SEARCH("ant",E733)),"Ant Traps",
ISNUMBER(SEARCH("spider",E733)),"Spider Traps",
ISNUMBER(SEARCH("mosquito",E733)),"Mosquito Traps",
ISNUMBER(SEARCH("beetle",E733)),"Beetle Traps",
ISNUMBER(SEARCH("lantern",E733)),"Lanternfly Control",
OR(ISNUMBER(SEARCH("tree shield",E733)),ISNUMBER(SEARCH("tree banding",E733)),ISNUMBER(SEARCH("insect barrier",E733))),"Tree Barriers",
OR(ISNUMBER(SEARCH("sun &amp; shade",E733)),ISNUMBER(SEARCH("sun and shade",E733))),"Sun &amp; Shade Mix",
ISNUMBER(SEARCH("tall fescue",E733)),"Tall Fescue",
ISNUMBER(SEARCH("bermudagrass",E733)),"Bermudagrass",
ISNUMBER(SEARCH("kentucky",E733)),"Kentucky Bluegrass",
ISNUMBER(SEARCH("zoysia",E733)),"Zoysia",
ISNUMBER(SEARCH("ryegrass",E733)),"Perennial Ryegrass",
ISNUMBER(SEARCH("centipede",E733)),"Centipede Grass",
ISNUMBER(SEARCH("dense shade",E733)),"Dense Shade Mix",
ISNUMBER(SEARCH("southern gold",E733)),"Southern Gold Mix",
ISNUMBER(SEARCH("heat-tolerant blue",E733)),"Heat-Tolerant Blue Mix",
ISNUMBER(SEARCH("high traffic",E733)),"High Traffic Mix",
ISNUMBER(SEARCH("quick fix",E733)),"Quick Fix Mix",
ISNUMBER(SEARCH("starter",E733)),"Starter Fertilizer",
ISNUMBER(SEARCH("weed &amp; feed",E733)),"Weed &amp; Feed",
ISNUMBER(SEARCH("lawn food",E733)),"Lawn Food",
ISNUMBER(SEARCH("triple action",E733)),"Triple Action Fertilizer",
ISNUMBER(SEARCH("green max",E733)),"Green Max Lawn Food",
ISNUMBER(SEARCH("patchmaster",E733)),"PatchMaster Repair",
ISNUMBER(SEARCH("ez seed",E733)),"EZ Seed Repair",
ISNUMBER(SEARCH("rapid grass",E733)),"Rapid Grass",
ISNUMBER(SEARCH("thick'r lawn",E733)),"Thick'R Lawn",
ISNUMBER(SEARCH("fungicide",E733)),"Fungicide",
ISNUMBER(SEARCH("moss",E733)),"Moss Control",
ISNUMBER(SEARCH("perlite",E733)),"Perlite",
ISNUMBER(SEARCH("plant food",E733)),"Plant Food",
ISNUMBER(SEARCH("spreader",E733)),"Spreader",
ISNUMBER(SEARCH("sprayer",E733)),"Sprayer",
ISNUMBER(SEARCH("mower",E733)),"Lawn Mower",
ISNUMBER(SEARCH("sweeper",E733)),"Lawn Sweeper",
OR(ISNUMBER(SEARCH("pruner",E733)),ISNUMBER(SEARCH("trimmer",E733)),ISNUMBER(SEARCH("pole saw",E733))),"Pruning Tools",
TRUE,"Other"
)</f>
        <v>Bait &amp; Poison</v>
      </c>
      <c r="J733" s="7" t="str">
        <f t="shared" si="207"/>
        <v>Crawling Insect Control - Bait &amp; Poison</v>
      </c>
      <c r="K733" s="4">
        <v>1000</v>
      </c>
      <c r="L733" s="4">
        <v>4.2</v>
      </c>
      <c r="M733" s="4">
        <v>822</v>
      </c>
      <c r="N733" s="4" t="s">
        <v>3465</v>
      </c>
      <c r="O733" s="4">
        <f>VLOOKUP(A733,[14]Sheet1!$A:$M,2,0)</f>
        <v>300</v>
      </c>
      <c r="P733" s="4">
        <f>VLOOKUP(A733,[14]Sheet1!$A:$M,3,0)</f>
        <v>400</v>
      </c>
      <c r="Q733" s="4">
        <f>VLOOKUP(A733,[14]Sheet1!$A:$M,4,0)</f>
        <v>500</v>
      </c>
      <c r="R733" s="4">
        <f>VLOOKUP(A733,[14]Sheet1!$A:$M,5,0)</f>
        <v>1000</v>
      </c>
      <c r="S733" s="4">
        <f>VLOOKUP(A733,[14]Sheet1!$A:$M,6,0)</f>
        <v>1000</v>
      </c>
      <c r="T733" s="4">
        <f>VLOOKUP(A733,[14]Sheet1!$A:$M,7,0)</f>
        <v>1000</v>
      </c>
      <c r="U733" s="4">
        <f>VLOOKUP(A733,[14]Sheet1!$A:$M,8,0)</f>
        <v>1000</v>
      </c>
      <c r="V733" s="4">
        <f>VLOOKUP(A733,[14]Sheet1!$A:$M,9,0)</f>
        <v>2000</v>
      </c>
      <c r="W733" s="4">
        <f>VLOOKUP(A733,[14]Sheet1!$A:$M,10,0)</f>
        <v>1000</v>
      </c>
      <c r="X733" s="4">
        <f>VLOOKUP(A733,[14]Sheet1!$A:$M,11,0)</f>
        <v>1000</v>
      </c>
      <c r="Y733" s="4">
        <f>VLOOKUP(A733,[14]Sheet1!$A:$M,12,0)</f>
        <v>400</v>
      </c>
      <c r="Z733" s="4">
        <f>VLOOKUP(A733,[14]Sheet1!$A:$M,13,0)</f>
        <v>300</v>
      </c>
      <c r="AA733" s="4">
        <f t="shared" si="221"/>
        <v>9900</v>
      </c>
      <c r="AB733" s="7">
        <f t="shared" si="222"/>
        <v>825</v>
      </c>
      <c r="AC733" s="15">
        <f t="shared" si="223"/>
        <v>825</v>
      </c>
      <c r="AD733" s="16">
        <f t="shared" si="224"/>
        <v>335610</v>
      </c>
      <c r="AE733" s="16">
        <f t="shared" si="225"/>
        <v>27967.5</v>
      </c>
      <c r="AF733" s="21">
        <v>5.61</v>
      </c>
      <c r="AG733" s="21">
        <v>33.9</v>
      </c>
      <c r="AH733" s="15">
        <f t="shared" si="205"/>
        <v>0.46333333333333337</v>
      </c>
      <c r="AI733" s="15">
        <f t="shared" si="206"/>
        <v>1.6216666666666668</v>
      </c>
      <c r="AJ733" s="10">
        <v>0.5</v>
      </c>
      <c r="AK733" s="10">
        <v>0.5</v>
      </c>
      <c r="AL733" s="21">
        <v>5.61</v>
      </c>
      <c r="AM733" s="9">
        <f t="shared" si="213"/>
        <v>5.085</v>
      </c>
      <c r="AN733" s="9">
        <f t="shared" si="214"/>
        <v>1.0169999999999999</v>
      </c>
      <c r="AO733" s="9">
        <f t="shared" si="215"/>
        <v>6.78</v>
      </c>
      <c r="AP733" s="9">
        <f t="shared" si="216"/>
        <v>0.67799999999999994</v>
      </c>
      <c r="AQ733" s="9">
        <f t="shared" si="217"/>
        <v>6.78</v>
      </c>
      <c r="AR733" s="9">
        <f t="shared" si="218"/>
        <v>8.4749999999999996</v>
      </c>
      <c r="AS733" s="11">
        <f t="shared" si="219"/>
        <v>4.6333333333333337</v>
      </c>
      <c r="AT733" s="12">
        <f t="shared" si="220"/>
        <v>3.5033333333333339</v>
      </c>
    </row>
    <row r="734" spans="1:46" ht="16.5" x14ac:dyDescent="0.4">
      <c r="A734" s="4" t="s">
        <v>3276</v>
      </c>
      <c r="B734" s="4" t="s">
        <v>3312</v>
      </c>
      <c r="C734" s="4" t="s">
        <v>3312</v>
      </c>
      <c r="D734" s="4" t="s">
        <v>3327</v>
      </c>
      <c r="E734" s="4" t="s">
        <v>3372</v>
      </c>
      <c r="F734" s="4" t="s">
        <v>3422</v>
      </c>
      <c r="G734" s="7" t="str">
        <f>VLOOKUP(A734,[1]done!$A:$I,9,0)</f>
        <v>Cockroach</v>
      </c>
      <c r="H734" s="7" t="str" cm="1">
        <f t="array" ref="H734">_xlfn.IFS(
OR(ISNUMBER(SEARCH("mouse",E734)),ISNUMBER(SEARCH("rat",E734)),ISNUMBER(SEARCH("mice",E734)),ISNUMBER(SEARCH("rodent",E734))),"Rodent Control",
OR(ISNUMBER(SEARCH("fly",E734)),ISNUMBER(SEARCH("gnat",E734)),ISNUMBER(SEARCH("insect",E734)),ISNUMBER(SEARCH("mosquito",E734))),"Flying Insect Control",
OR(ISNUMBER(SEARCH("roach",E734)),ISNUMBER(SEARCH("ant",E734)),ISNUMBER(SEARCH("spider",E734)),ISNUMBER(SEARCH("cricket",E734)),ISNUMBER(SEARCH("scorpion",E734)),ISNUMBER(SEARCH("centipede",E734)),ISNUMBER(SEARCH("beetle",E734))),"Crawling Insect Control",
OR(ISNUMBER(SEARCH("tree",E734)),ISNUMBER(SEARCH("lantern",E734)),ISNUMBER(SEARCH("garden",E734)),ISNUMBER(SEARCH("plant",E734))),"Garden Pest Control",
OR(ISNUMBER(SEARCH("grass seed",E734)),ISNUMBER(SEARCH("seed mix",E734))),"Grass Seed",
OR(ISNUMBER(SEARCH("lawn food",E734)),ISNUMBER(SEARCH("fertilizer",E734))),"Lawn Fertilizer",
OR(ISNUMBER(SEARCH("patch",E734)),ISNUMBER(SEARCH("repair",E734)),ISNUMBER(SEARCH("thick'r",E734)),ISNUMBER(SEARCH("thick'r lawn",E734)),ISNUMBER(SEARCH("rapid grass",E734))),"Lawn Repair",
OR(ISNUMBER(SEARCH("weed",E734)),ISNUMBER(SEARCH("crabgrass",E734))),"Weed Control",
OR(ISNUMBER(SEARCH("fungicide",E734)),ISNUMBER(SEARCH("moss",E734))),"Disease &amp; Moss Control",
OR(ISNUMBER(SEARCH("plant food",E734)),ISNUMBER(SEARCH("miracid",E734))),"Plant Nutrition",
OR(ISNUMBER(SEARCH("perlite",E734))),"Soil Amendment",
OR(ISNUMBER(SEARCH("spreader",E734)),ISNUMBER(SEARCH("sprayer",E734)),ISNUMBER(SEARCH("mower",E734)),ISNUMBER(SEARCH("sweeper",E734)),ISNUMBER(SEARCH("pruner",E734)),ISNUMBER(SEARCH("trimmer",E734)),ISNUMBER(SEARCH("pole saw",E734))),"Garden Equipment",
TRUE,"Other"
)</f>
        <v>Crawling Insect Control</v>
      </c>
      <c r="I734" s="7" t="str" cm="1">
        <f t="array" ref="I734">_xlfn.IFS(
OR(ISNUMBER(SEARCH("glue trap",E734)),ISNUMBER(SEARCH("glue board",E734))),"Glue Traps",
OR(ISNUMBER(SEARCH("snap trap",E734)),ISNUMBER(SEARCH("power-kill",E734)),ISNUMBER(SEARCH("wide pedal",E734)),ISNUMBER(SEARCH("metal pedal",E734))),"Snap Traps",
OR(ISNUMBER(SEARCH("electronic",E734)),ISNUMBER(SEARCH("zapper",E734))),"Electronic Traps",
OR(ISNUMBER(SEARCH("live catch",E734)),ISNUMBER(SEARCH("multi-catch",E734)),ISNUMBER(SEARCH("catch &amp; hold",E734)),ISNUMBER(SEARCH("tin cat",E734))),"Live Catch Traps",
OR(ISNUMBER(SEARCH("bait",E734)),ISNUMBER(SEARCH("poison",E734))),"Bait &amp; Poison",
ISNUMBER(SEARCH("repellent",E734)),"Repellents",
OR(ISNUMBER(SEARCH("fly trap",E734)),ISNUMBER(SEARCH("fly ribbon",E734)),ISNUMBER(SEARCH("fly stick",E734)),ISNUMBER(SEARCH("window fly",E734)),ISNUMBER(SEARCH("fly magnet",E734))),"Fly Traps",
OR(ISNUMBER(SEARCH("uv",E734)),ISNUMBER(SEARCH("fly light",E734)),ISNUMBER(SEARCH("plug-in",E734))),"UV Fly Traps",
ISNUMBER(SEARCH("roach",E734)),"Roach Traps",
ISNUMBER(SEARCH("ant",E734)),"Ant Traps",
ISNUMBER(SEARCH("spider",E734)),"Spider Traps",
ISNUMBER(SEARCH("mosquito",E734)),"Mosquito Traps",
ISNUMBER(SEARCH("beetle",E734)),"Beetle Traps",
ISNUMBER(SEARCH("lantern",E734)),"Lanternfly Control",
OR(ISNUMBER(SEARCH("tree shield",E734)),ISNUMBER(SEARCH("tree banding",E734)),ISNUMBER(SEARCH("insect barrier",E734))),"Tree Barriers",
OR(ISNUMBER(SEARCH("sun &amp; shade",E734)),ISNUMBER(SEARCH("sun and shade",E734))),"Sun &amp; Shade Mix",
ISNUMBER(SEARCH("tall fescue",E734)),"Tall Fescue",
ISNUMBER(SEARCH("bermudagrass",E734)),"Bermudagrass",
ISNUMBER(SEARCH("kentucky",E734)),"Kentucky Bluegrass",
ISNUMBER(SEARCH("zoysia",E734)),"Zoysia",
ISNUMBER(SEARCH("ryegrass",E734)),"Perennial Ryegrass",
ISNUMBER(SEARCH("centipede",E734)),"Centipede Grass",
ISNUMBER(SEARCH("dense shade",E734)),"Dense Shade Mix",
ISNUMBER(SEARCH("southern gold",E734)),"Southern Gold Mix",
ISNUMBER(SEARCH("heat-tolerant blue",E734)),"Heat-Tolerant Blue Mix",
ISNUMBER(SEARCH("high traffic",E734)),"High Traffic Mix",
ISNUMBER(SEARCH("quick fix",E734)),"Quick Fix Mix",
ISNUMBER(SEARCH("starter",E734)),"Starter Fertilizer",
ISNUMBER(SEARCH("weed &amp; feed",E734)),"Weed &amp; Feed",
ISNUMBER(SEARCH("lawn food",E734)),"Lawn Food",
ISNUMBER(SEARCH("triple action",E734)),"Triple Action Fertilizer",
ISNUMBER(SEARCH("green max",E734)),"Green Max Lawn Food",
ISNUMBER(SEARCH("patchmaster",E734)),"PatchMaster Repair",
ISNUMBER(SEARCH("ez seed",E734)),"EZ Seed Repair",
ISNUMBER(SEARCH("rapid grass",E734)),"Rapid Grass",
ISNUMBER(SEARCH("thick'r lawn",E734)),"Thick'R Lawn",
ISNUMBER(SEARCH("fungicide",E734)),"Fungicide",
ISNUMBER(SEARCH("moss",E734)),"Moss Control",
ISNUMBER(SEARCH("perlite",E734)),"Perlite",
ISNUMBER(SEARCH("plant food",E734)),"Plant Food",
ISNUMBER(SEARCH("spreader",E734)),"Spreader",
ISNUMBER(SEARCH("sprayer",E734)),"Sprayer",
ISNUMBER(SEARCH("mower",E734)),"Lawn Mower",
ISNUMBER(SEARCH("sweeper",E734)),"Lawn Sweeper",
OR(ISNUMBER(SEARCH("pruner",E734)),ISNUMBER(SEARCH("trimmer",E734)),ISNUMBER(SEARCH("pole saw",E734))),"Pruning Tools",
TRUE,"Other"
)</f>
        <v>Bait &amp; Poison</v>
      </c>
      <c r="J734" s="7" t="str">
        <f t="shared" si="207"/>
        <v>Crawling Insect Control - Bait &amp; Poison</v>
      </c>
      <c r="K734" s="4">
        <v>1000</v>
      </c>
      <c r="L734" s="4">
        <v>4.5</v>
      </c>
      <c r="M734" s="4">
        <v>157</v>
      </c>
      <c r="O734" s="4">
        <f>VLOOKUP(A734,[14]Sheet1!$A:$M,2,0)</f>
        <v>200</v>
      </c>
      <c r="P734" s="4">
        <f>VLOOKUP(A734,[14]Sheet1!$A:$M,3,0)</f>
        <v>100</v>
      </c>
      <c r="Q734" s="4">
        <f>VLOOKUP(A734,[14]Sheet1!$A:$M,4,0)</f>
        <v>100</v>
      </c>
      <c r="R734" s="4">
        <f>VLOOKUP(A734,[14]Sheet1!$A:$M,5,0)</f>
        <v>100</v>
      </c>
      <c r="S734" s="4">
        <f>VLOOKUP(A734,[14]Sheet1!$A:$M,6,0)</f>
        <v>100</v>
      </c>
      <c r="T734" s="4">
        <f>VLOOKUP(A734,[14]Sheet1!$A:$M,7,0)</f>
        <v>300</v>
      </c>
      <c r="U734" s="4">
        <f>VLOOKUP(A734,[14]Sheet1!$A:$M,8,0)</f>
        <v>350</v>
      </c>
      <c r="V734" s="4">
        <f>VLOOKUP(A734,[14]Sheet1!$A:$M,9,0)</f>
        <v>1000</v>
      </c>
      <c r="W734" s="4">
        <f>VLOOKUP(A734,[14]Sheet1!$A:$M,10,0)</f>
        <v>1000</v>
      </c>
      <c r="X734" s="4">
        <f>VLOOKUP(A734,[14]Sheet1!$A:$M,11,0)</f>
        <v>200</v>
      </c>
      <c r="Y734" s="4">
        <f>VLOOKUP(A734,[14]Sheet1!$A:$M,12,0)</f>
        <v>200</v>
      </c>
      <c r="Z734" s="4">
        <f>VLOOKUP(A734,[14]Sheet1!$A:$M,13,0)</f>
        <v>200</v>
      </c>
      <c r="AA734" s="4">
        <f t="shared" si="221"/>
        <v>3850</v>
      </c>
      <c r="AB734" s="7">
        <f t="shared" si="222"/>
        <v>321</v>
      </c>
      <c r="AC734" s="15">
        <f t="shared" si="223"/>
        <v>320.83333333333331</v>
      </c>
      <c r="AD734" s="16">
        <f t="shared" si="224"/>
        <v>177061.5</v>
      </c>
      <c r="AE734" s="16">
        <f t="shared" si="225"/>
        <v>14755.125</v>
      </c>
      <c r="AF734" s="21">
        <v>4.09</v>
      </c>
      <c r="AG734" s="21">
        <v>45.99</v>
      </c>
      <c r="AH734" s="15">
        <f t="shared" si="205"/>
        <v>0.88706666666666667</v>
      </c>
      <c r="AI734" s="15">
        <f t="shared" si="206"/>
        <v>3.1047333333333333</v>
      </c>
      <c r="AJ734" s="10">
        <v>0.5</v>
      </c>
      <c r="AK734" s="10">
        <v>0.5</v>
      </c>
      <c r="AL734" s="21">
        <v>4.09</v>
      </c>
      <c r="AM734" s="9">
        <f t="shared" si="213"/>
        <v>6.8985000000000003</v>
      </c>
      <c r="AN734" s="9">
        <f t="shared" si="214"/>
        <v>1.3796999999999999</v>
      </c>
      <c r="AO734" s="9">
        <f t="shared" si="215"/>
        <v>9.1980000000000004</v>
      </c>
      <c r="AP734" s="9">
        <f t="shared" si="216"/>
        <v>0.91980000000000006</v>
      </c>
      <c r="AQ734" s="9">
        <f t="shared" si="217"/>
        <v>9.1980000000000004</v>
      </c>
      <c r="AR734" s="9">
        <f t="shared" si="218"/>
        <v>11.4975</v>
      </c>
      <c r="AS734" s="11">
        <f t="shared" si="219"/>
        <v>8.8706666666666667</v>
      </c>
      <c r="AT734" s="12">
        <f t="shared" si="220"/>
        <v>7.3376666666666672</v>
      </c>
    </row>
    <row r="735" spans="1:46" ht="16.5" x14ac:dyDescent="0.4">
      <c r="A735" s="4" t="s">
        <v>3277</v>
      </c>
      <c r="B735" s="4" t="s">
        <v>3312</v>
      </c>
      <c r="C735" s="4" t="s">
        <v>3312</v>
      </c>
      <c r="D735" s="4" t="s">
        <v>3328</v>
      </c>
      <c r="E735" s="4" t="s">
        <v>3373</v>
      </c>
      <c r="F735" s="4" t="s">
        <v>3423</v>
      </c>
      <c r="G735" s="7" t="str">
        <f>VLOOKUP(A735,[1]done!$A:$I,9,0)</f>
        <v>Lawn Fertilizer</v>
      </c>
      <c r="H735" s="7" t="str" cm="1">
        <f t="array" ref="H735">_xlfn.IFS(
OR(ISNUMBER(SEARCH("mouse",E735)),ISNUMBER(SEARCH("rat",E735)),ISNUMBER(SEARCH("mice",E735)),ISNUMBER(SEARCH("rodent",E735))),"Rodent Control",
OR(ISNUMBER(SEARCH("fly",E735)),ISNUMBER(SEARCH("gnat",E735)),ISNUMBER(SEARCH("insect",E735)),ISNUMBER(SEARCH("mosquito",E735))),"Flying Insect Control",
OR(ISNUMBER(SEARCH("roach",E735)),ISNUMBER(SEARCH("ant",E735)),ISNUMBER(SEARCH("spider",E735)),ISNUMBER(SEARCH("cricket",E735)),ISNUMBER(SEARCH("scorpion",E735)),ISNUMBER(SEARCH("centipede",E735)),ISNUMBER(SEARCH("beetle",E735))),"Crawling Insect Control",
OR(ISNUMBER(SEARCH("tree",E735)),ISNUMBER(SEARCH("lantern",E735)),ISNUMBER(SEARCH("garden",E735)),ISNUMBER(SEARCH("plant",E735))),"Garden Pest Control",
OR(ISNUMBER(SEARCH("grass seed",E735)),ISNUMBER(SEARCH("seed mix",E735))),"Grass Seed",
OR(ISNUMBER(SEARCH("lawn food",E735)),ISNUMBER(SEARCH("fertilizer",E735))),"Lawn Fertilizer",
OR(ISNUMBER(SEARCH("patch",E735)),ISNUMBER(SEARCH("repair",E735)),ISNUMBER(SEARCH("thick'r",E735)),ISNUMBER(SEARCH("thick'r lawn",E735)),ISNUMBER(SEARCH("rapid grass",E735))),"Lawn Repair",
OR(ISNUMBER(SEARCH("weed",E735)),ISNUMBER(SEARCH("crabgrass",E735))),"Weed Control",
OR(ISNUMBER(SEARCH("fungicide",E735)),ISNUMBER(SEARCH("moss",E735))),"Disease &amp; Moss Control",
OR(ISNUMBER(SEARCH("plant food",E735)),ISNUMBER(SEARCH("miracid",E735))),"Plant Nutrition",
OR(ISNUMBER(SEARCH("perlite",E735))),"Soil Amendment",
OR(ISNUMBER(SEARCH("spreader",E735)),ISNUMBER(SEARCH("sprayer",E735)),ISNUMBER(SEARCH("mower",E735)),ISNUMBER(SEARCH("sweeper",E735)),ISNUMBER(SEARCH("pruner",E735)),ISNUMBER(SEARCH("trimmer",E735)),ISNUMBER(SEARCH("pole saw",E735))),"Garden Equipment",
TRUE,"Other"
)</f>
        <v>Weed Control</v>
      </c>
      <c r="I735" s="7" t="str" cm="1">
        <f t="array" ref="I735">_xlfn.IFS(
OR(ISNUMBER(SEARCH("glue trap",E735)),ISNUMBER(SEARCH("glue board",E735))),"Glue Traps",
OR(ISNUMBER(SEARCH("snap trap",E735)),ISNUMBER(SEARCH("power-kill",E735)),ISNUMBER(SEARCH("wide pedal",E735)),ISNUMBER(SEARCH("metal pedal",E735))),"Snap Traps",
OR(ISNUMBER(SEARCH("electronic",E735)),ISNUMBER(SEARCH("zapper",E735))),"Electronic Traps",
OR(ISNUMBER(SEARCH("live catch",E735)),ISNUMBER(SEARCH("multi-catch",E735)),ISNUMBER(SEARCH("catch &amp; hold",E735)),ISNUMBER(SEARCH("tin cat",E735))),"Live Catch Traps",
OR(ISNUMBER(SEARCH("bait",E735)),ISNUMBER(SEARCH("poison",E735))),"Bait &amp; Poison",
ISNUMBER(SEARCH("repellent",E735)),"Repellents",
OR(ISNUMBER(SEARCH("fly trap",E735)),ISNUMBER(SEARCH("fly ribbon",E735)),ISNUMBER(SEARCH("fly stick",E735)),ISNUMBER(SEARCH("window fly",E735)),ISNUMBER(SEARCH("fly magnet",E735))),"Fly Traps",
OR(ISNUMBER(SEARCH("uv",E735)),ISNUMBER(SEARCH("fly light",E735)),ISNUMBER(SEARCH("plug-in",E735))),"UV Fly Traps",
ISNUMBER(SEARCH("roach",E735)),"Roach Traps",
ISNUMBER(SEARCH("ant",E735)),"Ant Traps",
ISNUMBER(SEARCH("spider",E735)),"Spider Traps",
ISNUMBER(SEARCH("mosquito",E735)),"Mosquito Traps",
ISNUMBER(SEARCH("beetle",E735)),"Beetle Traps",
ISNUMBER(SEARCH("lantern",E735)),"Lanternfly Control",
OR(ISNUMBER(SEARCH("tree shield",E735)),ISNUMBER(SEARCH("tree banding",E735)),ISNUMBER(SEARCH("insect barrier",E735))),"Tree Barriers",
OR(ISNUMBER(SEARCH("sun &amp; shade",E735)),ISNUMBER(SEARCH("sun and shade",E735))),"Sun &amp; Shade Mix",
ISNUMBER(SEARCH("tall fescue",E735)),"Tall Fescue",
ISNUMBER(SEARCH("bermudagrass",E735)),"Bermudagrass",
ISNUMBER(SEARCH("kentucky",E735)),"Kentucky Bluegrass",
ISNUMBER(SEARCH("zoysia",E735)),"Zoysia",
ISNUMBER(SEARCH("ryegrass",E735)),"Perennial Ryegrass",
ISNUMBER(SEARCH("centipede",E735)),"Centipede Grass",
ISNUMBER(SEARCH("dense shade",E735)),"Dense Shade Mix",
ISNUMBER(SEARCH("southern gold",E735)),"Southern Gold Mix",
ISNUMBER(SEARCH("heat-tolerant blue",E735)),"Heat-Tolerant Blue Mix",
ISNUMBER(SEARCH("high traffic",E735)),"High Traffic Mix",
ISNUMBER(SEARCH("quick fix",E735)),"Quick Fix Mix",
ISNUMBER(SEARCH("starter",E735)),"Starter Fertilizer",
ISNUMBER(SEARCH("weed &amp; feed",E735)),"Weed &amp; Feed",
ISNUMBER(SEARCH("lawn food",E735)),"Lawn Food",
ISNUMBER(SEARCH("triple action",E735)),"Triple Action Fertilizer",
ISNUMBER(SEARCH("green max",E735)),"Green Max Lawn Food",
ISNUMBER(SEARCH("patchmaster",E735)),"PatchMaster Repair",
ISNUMBER(SEARCH("ez seed",E735)),"EZ Seed Repair",
ISNUMBER(SEARCH("rapid grass",E735)),"Rapid Grass",
ISNUMBER(SEARCH("thick'r lawn",E735)),"Thick'R Lawn",
ISNUMBER(SEARCH("fungicide",E735)),"Fungicide",
ISNUMBER(SEARCH("moss",E735)),"Moss Control",
ISNUMBER(SEARCH("perlite",E735)),"Perlite",
ISNUMBER(SEARCH("plant food",E735)),"Plant Food",
ISNUMBER(SEARCH("spreader",E735)),"Spreader",
ISNUMBER(SEARCH("sprayer",E735)),"Sprayer",
ISNUMBER(SEARCH("mower",E735)),"Lawn Mower",
ISNUMBER(SEARCH("sweeper",E735)),"Lawn Sweeper",
OR(ISNUMBER(SEARCH("pruner",E735)),ISNUMBER(SEARCH("trimmer",E735)),ISNUMBER(SEARCH("pole saw",E735))),"Pruning Tools",
TRUE,"Other"
)</f>
        <v>Other</v>
      </c>
      <c r="J735" s="7" t="str">
        <f t="shared" si="207"/>
        <v>Weed Control - Other</v>
      </c>
      <c r="K735" s="4">
        <v>1000</v>
      </c>
      <c r="L735" s="4">
        <v>4.3</v>
      </c>
      <c r="M735" s="4">
        <v>161</v>
      </c>
      <c r="N735" s="4" t="s">
        <v>3255</v>
      </c>
      <c r="O735" s="4">
        <f>VLOOKUP(A735,[14]Sheet1!$A:$M,2,0)</f>
        <v>50</v>
      </c>
      <c r="P735" s="4">
        <f>VLOOKUP(A735,[14]Sheet1!$A:$M,3,0)</f>
        <v>200</v>
      </c>
      <c r="Q735" s="4">
        <f>VLOOKUP(A735,[14]Sheet1!$A:$M,4,0)</f>
        <v>800</v>
      </c>
      <c r="R735" s="4">
        <f>VLOOKUP(A735,[14]Sheet1!$A:$M,5,0)</f>
        <v>900</v>
      </c>
      <c r="S735" s="4">
        <f>VLOOKUP(A735,[14]Sheet1!$A:$M,6,0)</f>
        <v>800</v>
      </c>
      <c r="T735" s="4">
        <f>VLOOKUP(A735,[14]Sheet1!$A:$M,7,0)</f>
        <v>600</v>
      </c>
      <c r="U735" s="4">
        <f>VLOOKUP(A735,[14]Sheet1!$A:$M,8,0)</f>
        <v>1000</v>
      </c>
      <c r="V735" s="4">
        <f>VLOOKUP(A735,[14]Sheet1!$A:$M,9,0)</f>
        <v>1000</v>
      </c>
      <c r="W735" s="4">
        <f>VLOOKUP(A735,[14]Sheet1!$A:$M,10,0)</f>
        <v>1000</v>
      </c>
      <c r="X735" s="4">
        <f>VLOOKUP(A735,[14]Sheet1!$A:$M,11,0)</f>
        <v>300</v>
      </c>
      <c r="Y735" s="4">
        <f>VLOOKUP(A735,[14]Sheet1!$A:$M,12,0)</f>
        <v>100</v>
      </c>
      <c r="Z735" s="4">
        <f>VLOOKUP(A735,[14]Sheet1!$A:$M,13,0)</f>
        <v>100</v>
      </c>
      <c r="AA735" s="4">
        <f t="shared" si="221"/>
        <v>6850</v>
      </c>
      <c r="AB735" s="7">
        <f t="shared" si="222"/>
        <v>571</v>
      </c>
      <c r="AC735" s="15">
        <f t="shared" si="223"/>
        <v>570.83333333333337</v>
      </c>
      <c r="AD735" s="16">
        <f t="shared" si="224"/>
        <v>208719.5</v>
      </c>
      <c r="AE735" s="16">
        <f t="shared" si="225"/>
        <v>17393.291666666668</v>
      </c>
      <c r="AF735" s="21">
        <v>4.09</v>
      </c>
      <c r="AG735" s="21">
        <v>30.47</v>
      </c>
      <c r="AH735" s="15">
        <f t="shared" si="205"/>
        <v>0.47320000000000007</v>
      </c>
      <c r="AI735" s="15">
        <f t="shared" si="206"/>
        <v>1.6561999999999999</v>
      </c>
      <c r="AJ735" s="10">
        <v>0.5</v>
      </c>
      <c r="AK735" s="10">
        <v>0.5</v>
      </c>
      <c r="AL735" s="21">
        <v>4.09</v>
      </c>
      <c r="AM735" s="9">
        <f t="shared" si="213"/>
        <v>4.5705</v>
      </c>
      <c r="AN735" s="9">
        <f t="shared" si="214"/>
        <v>0.91409999999999991</v>
      </c>
      <c r="AO735" s="9">
        <f t="shared" si="215"/>
        <v>6.0940000000000003</v>
      </c>
      <c r="AP735" s="9">
        <f t="shared" si="216"/>
        <v>0.60939999999999994</v>
      </c>
      <c r="AQ735" s="9">
        <f t="shared" si="217"/>
        <v>6.0940000000000003</v>
      </c>
      <c r="AR735" s="9">
        <f t="shared" si="218"/>
        <v>7.6174999999999997</v>
      </c>
      <c r="AS735" s="11">
        <f t="shared" si="219"/>
        <v>4.7320000000000002</v>
      </c>
      <c r="AT735" s="12">
        <f t="shared" si="220"/>
        <v>3.7163333333333335</v>
      </c>
    </row>
    <row r="736" spans="1:46" ht="16.5" x14ac:dyDescent="0.4">
      <c r="A736" s="4" t="s">
        <v>3278</v>
      </c>
      <c r="B736" s="4" t="s">
        <v>3312</v>
      </c>
      <c r="C736" s="4" t="s">
        <v>3312</v>
      </c>
      <c r="D736" s="4" t="s">
        <v>3329</v>
      </c>
      <c r="E736" s="4" t="s">
        <v>3374</v>
      </c>
      <c r="F736" s="4" t="s">
        <v>3424</v>
      </c>
      <c r="G736" s="7" t="str">
        <f>VLOOKUP(A736,[1]done!$A:$I,9,0)</f>
        <v>Cockroach</v>
      </c>
      <c r="H736" s="7" t="str" cm="1">
        <f t="array" ref="H736">_xlfn.IFS(
OR(ISNUMBER(SEARCH("mouse",E736)),ISNUMBER(SEARCH("rat",E736)),ISNUMBER(SEARCH("mice",E736)),ISNUMBER(SEARCH("rodent",E736))),"Rodent Control",
OR(ISNUMBER(SEARCH("fly",E736)),ISNUMBER(SEARCH("gnat",E736)),ISNUMBER(SEARCH("insect",E736)),ISNUMBER(SEARCH("mosquito",E736))),"Flying Insect Control",
OR(ISNUMBER(SEARCH("roach",E736)),ISNUMBER(SEARCH("ant",E736)),ISNUMBER(SEARCH("spider",E736)),ISNUMBER(SEARCH("cricket",E736)),ISNUMBER(SEARCH("scorpion",E736)),ISNUMBER(SEARCH("centipede",E736)),ISNUMBER(SEARCH("beetle",E736))),"Crawling Insect Control",
OR(ISNUMBER(SEARCH("tree",E736)),ISNUMBER(SEARCH("lantern",E736)),ISNUMBER(SEARCH("garden",E736)),ISNUMBER(SEARCH("plant",E736))),"Garden Pest Control",
OR(ISNUMBER(SEARCH("grass seed",E736)),ISNUMBER(SEARCH("seed mix",E736))),"Grass Seed",
OR(ISNUMBER(SEARCH("lawn food",E736)),ISNUMBER(SEARCH("fertilizer",E736))),"Lawn Fertilizer",
OR(ISNUMBER(SEARCH("patch",E736)),ISNUMBER(SEARCH("repair",E736)),ISNUMBER(SEARCH("thick'r",E736)),ISNUMBER(SEARCH("thick'r lawn",E736)),ISNUMBER(SEARCH("rapid grass",E736))),"Lawn Repair",
OR(ISNUMBER(SEARCH("weed",E736)),ISNUMBER(SEARCH("crabgrass",E736))),"Weed Control",
OR(ISNUMBER(SEARCH("fungicide",E736)),ISNUMBER(SEARCH("moss",E736))),"Disease &amp; Moss Control",
OR(ISNUMBER(SEARCH("plant food",E736)),ISNUMBER(SEARCH("miracid",E736))),"Plant Nutrition",
OR(ISNUMBER(SEARCH("perlite",E736))),"Soil Amendment",
OR(ISNUMBER(SEARCH("spreader",E736)),ISNUMBER(SEARCH("sprayer",E736)),ISNUMBER(SEARCH("mower",E736)),ISNUMBER(SEARCH("sweeper",E736)),ISNUMBER(SEARCH("pruner",E736)),ISNUMBER(SEARCH("trimmer",E736)),ISNUMBER(SEARCH("pole saw",E736))),"Garden Equipment",
TRUE,"Other"
)</f>
        <v>Crawling Insect Control</v>
      </c>
      <c r="I736" s="7" t="str" cm="1">
        <f t="array" ref="I736">_xlfn.IFS(
OR(ISNUMBER(SEARCH("glue trap",E736)),ISNUMBER(SEARCH("glue board",E736))),"Glue Traps",
OR(ISNUMBER(SEARCH("snap trap",E736)),ISNUMBER(SEARCH("power-kill",E736)),ISNUMBER(SEARCH("wide pedal",E736)),ISNUMBER(SEARCH("metal pedal",E736))),"Snap Traps",
OR(ISNUMBER(SEARCH("electronic",E736)),ISNUMBER(SEARCH("zapper",E736))),"Electronic Traps",
OR(ISNUMBER(SEARCH("live catch",E736)),ISNUMBER(SEARCH("multi-catch",E736)),ISNUMBER(SEARCH("catch &amp; hold",E736)),ISNUMBER(SEARCH("tin cat",E736))),"Live Catch Traps",
OR(ISNUMBER(SEARCH("bait",E736)),ISNUMBER(SEARCH("poison",E736))),"Bait &amp; Poison",
ISNUMBER(SEARCH("repellent",E736)),"Repellents",
OR(ISNUMBER(SEARCH("fly trap",E736)),ISNUMBER(SEARCH("fly ribbon",E736)),ISNUMBER(SEARCH("fly stick",E736)),ISNUMBER(SEARCH("window fly",E736)),ISNUMBER(SEARCH("fly magnet",E736))),"Fly Traps",
OR(ISNUMBER(SEARCH("uv",E736)),ISNUMBER(SEARCH("fly light",E736)),ISNUMBER(SEARCH("plug-in",E736))),"UV Fly Traps",
ISNUMBER(SEARCH("roach",E736)),"Roach Traps",
ISNUMBER(SEARCH("ant",E736)),"Ant Traps",
ISNUMBER(SEARCH("spider",E736)),"Spider Traps",
ISNUMBER(SEARCH("mosquito",E736)),"Mosquito Traps",
ISNUMBER(SEARCH("beetle",E736)),"Beetle Traps",
ISNUMBER(SEARCH("lantern",E736)),"Lanternfly Control",
OR(ISNUMBER(SEARCH("tree shield",E736)),ISNUMBER(SEARCH("tree banding",E736)),ISNUMBER(SEARCH("insect barrier",E736))),"Tree Barriers",
OR(ISNUMBER(SEARCH("sun &amp; shade",E736)),ISNUMBER(SEARCH("sun and shade",E736))),"Sun &amp; Shade Mix",
ISNUMBER(SEARCH("tall fescue",E736)),"Tall Fescue",
ISNUMBER(SEARCH("bermudagrass",E736)),"Bermudagrass",
ISNUMBER(SEARCH("kentucky",E736)),"Kentucky Bluegrass",
ISNUMBER(SEARCH("zoysia",E736)),"Zoysia",
ISNUMBER(SEARCH("ryegrass",E736)),"Perennial Ryegrass",
ISNUMBER(SEARCH("centipede",E736)),"Centipede Grass",
ISNUMBER(SEARCH("dense shade",E736)),"Dense Shade Mix",
ISNUMBER(SEARCH("southern gold",E736)),"Southern Gold Mix",
ISNUMBER(SEARCH("heat-tolerant blue",E736)),"Heat-Tolerant Blue Mix",
ISNUMBER(SEARCH("high traffic",E736)),"High Traffic Mix",
ISNUMBER(SEARCH("quick fix",E736)),"Quick Fix Mix",
ISNUMBER(SEARCH("starter",E736)),"Starter Fertilizer",
ISNUMBER(SEARCH("weed &amp; feed",E736)),"Weed &amp; Feed",
ISNUMBER(SEARCH("lawn food",E736)),"Lawn Food",
ISNUMBER(SEARCH("triple action",E736)),"Triple Action Fertilizer",
ISNUMBER(SEARCH("green max",E736)),"Green Max Lawn Food",
ISNUMBER(SEARCH("patchmaster",E736)),"PatchMaster Repair",
ISNUMBER(SEARCH("ez seed",E736)),"EZ Seed Repair",
ISNUMBER(SEARCH("rapid grass",E736)),"Rapid Grass",
ISNUMBER(SEARCH("thick'r lawn",E736)),"Thick'R Lawn",
ISNUMBER(SEARCH("fungicide",E736)),"Fungicide",
ISNUMBER(SEARCH("moss",E736)),"Moss Control",
ISNUMBER(SEARCH("perlite",E736)),"Perlite",
ISNUMBER(SEARCH("plant food",E736)),"Plant Food",
ISNUMBER(SEARCH("spreader",E736)),"Spreader",
ISNUMBER(SEARCH("sprayer",E736)),"Sprayer",
ISNUMBER(SEARCH("mower",E736)),"Lawn Mower",
ISNUMBER(SEARCH("sweeper",E736)),"Lawn Sweeper",
OR(ISNUMBER(SEARCH("pruner",E736)),ISNUMBER(SEARCH("trimmer",E736)),ISNUMBER(SEARCH("pole saw",E736))),"Pruning Tools",
TRUE,"Other"
)</f>
        <v>Bait &amp; Poison</v>
      </c>
      <c r="J736" s="7" t="str">
        <f t="shared" si="207"/>
        <v>Crawling Insect Control - Bait &amp; Poison</v>
      </c>
      <c r="K736" s="4">
        <v>1000</v>
      </c>
      <c r="L736" s="4">
        <v>4.5</v>
      </c>
      <c r="M736" s="4">
        <v>2978</v>
      </c>
      <c r="N736" s="4" t="s">
        <v>3466</v>
      </c>
      <c r="O736" s="4">
        <f>VLOOKUP(A736,[14]Sheet1!$A:$M,2,0)</f>
        <v>300</v>
      </c>
      <c r="P736" s="4">
        <f>VLOOKUP(A736,[14]Sheet1!$A:$M,3,0)</f>
        <v>300</v>
      </c>
      <c r="Q736" s="4">
        <f>VLOOKUP(A736,[14]Sheet1!$A:$M,4,0)</f>
        <v>400</v>
      </c>
      <c r="R736" s="4">
        <f>VLOOKUP(A736,[14]Sheet1!$A:$M,5,0)</f>
        <v>500</v>
      </c>
      <c r="S736" s="4">
        <f>VLOOKUP(A736,[14]Sheet1!$A:$M,6,0)</f>
        <v>500</v>
      </c>
      <c r="T736" s="4">
        <f>VLOOKUP(A736,[14]Sheet1!$A:$M,7,0)</f>
        <v>400</v>
      </c>
      <c r="U736" s="4">
        <f>VLOOKUP(A736,[14]Sheet1!$A:$M,8,0)</f>
        <v>500</v>
      </c>
      <c r="V736" s="4">
        <f>VLOOKUP(A736,[14]Sheet1!$A:$M,9,0)</f>
        <v>3000</v>
      </c>
      <c r="W736" s="4">
        <f>VLOOKUP(A736,[14]Sheet1!$A:$M,10,0)</f>
        <v>1000</v>
      </c>
      <c r="X736" s="4">
        <f>VLOOKUP(A736,[14]Sheet1!$A:$M,11,0)</f>
        <v>500</v>
      </c>
      <c r="Y736" s="4">
        <f>VLOOKUP(A736,[14]Sheet1!$A:$M,12,0)</f>
        <v>700</v>
      </c>
      <c r="Z736" s="4">
        <f>VLOOKUP(A736,[14]Sheet1!$A:$M,13,0)</f>
        <v>600</v>
      </c>
      <c r="AA736" s="4">
        <f t="shared" si="221"/>
        <v>8700</v>
      </c>
      <c r="AB736" s="7">
        <f t="shared" si="222"/>
        <v>725</v>
      </c>
      <c r="AC736" s="15">
        <f t="shared" si="223"/>
        <v>725</v>
      </c>
      <c r="AD736" s="16">
        <f t="shared" si="224"/>
        <v>342345</v>
      </c>
      <c r="AE736" s="16">
        <f t="shared" si="225"/>
        <v>28528.75</v>
      </c>
      <c r="AF736" s="21">
        <v>4.09</v>
      </c>
      <c r="AG736" s="21">
        <v>39.35</v>
      </c>
      <c r="AH736" s="15">
        <f t="shared" si="205"/>
        <v>0.71</v>
      </c>
      <c r="AI736" s="15">
        <f t="shared" si="206"/>
        <v>2.4849999999999994</v>
      </c>
      <c r="AJ736" s="10">
        <v>0.5</v>
      </c>
      <c r="AK736" s="10">
        <v>0.5</v>
      </c>
      <c r="AL736" s="21">
        <v>4.09</v>
      </c>
      <c r="AM736" s="9">
        <f t="shared" si="213"/>
        <v>5.9024999999999999</v>
      </c>
      <c r="AN736" s="9">
        <f t="shared" si="214"/>
        <v>1.1805000000000001</v>
      </c>
      <c r="AO736" s="9">
        <f t="shared" si="215"/>
        <v>7.870000000000001</v>
      </c>
      <c r="AP736" s="9">
        <f t="shared" si="216"/>
        <v>0.78700000000000003</v>
      </c>
      <c r="AQ736" s="9">
        <f t="shared" si="217"/>
        <v>7.870000000000001</v>
      </c>
      <c r="AR736" s="9">
        <f t="shared" si="218"/>
        <v>9.8375000000000004</v>
      </c>
      <c r="AS736" s="11">
        <f t="shared" si="219"/>
        <v>7.0999999999999988</v>
      </c>
      <c r="AT736" s="12">
        <f t="shared" si="220"/>
        <v>5.7883333333333331</v>
      </c>
    </row>
    <row r="737" spans="1:46" ht="16.5" x14ac:dyDescent="0.4">
      <c r="A737" s="4" t="s">
        <v>3279</v>
      </c>
      <c r="B737" s="4" t="s">
        <v>3312</v>
      </c>
      <c r="C737" s="4" t="s">
        <v>3312</v>
      </c>
      <c r="D737" s="4" t="s">
        <v>3330</v>
      </c>
      <c r="E737" s="4" t="s">
        <v>3375</v>
      </c>
      <c r="F737" s="4" t="s">
        <v>3425</v>
      </c>
      <c r="G737" s="7" t="str">
        <f>VLOOKUP(A737,[1]done!$A:$I,9,0)</f>
        <v>Cockroach</v>
      </c>
      <c r="H737" s="7" t="str" cm="1">
        <f t="array" ref="H737">_xlfn.IFS(
OR(ISNUMBER(SEARCH("mouse",E737)),ISNUMBER(SEARCH("rat",E737)),ISNUMBER(SEARCH("mice",E737)),ISNUMBER(SEARCH("rodent",E737))),"Rodent Control",
OR(ISNUMBER(SEARCH("fly",E737)),ISNUMBER(SEARCH("gnat",E737)),ISNUMBER(SEARCH("insect",E737)),ISNUMBER(SEARCH("mosquito",E737))),"Flying Insect Control",
OR(ISNUMBER(SEARCH("roach",E737)),ISNUMBER(SEARCH("ant",E737)),ISNUMBER(SEARCH("spider",E737)),ISNUMBER(SEARCH("cricket",E737)),ISNUMBER(SEARCH("scorpion",E737)),ISNUMBER(SEARCH("centipede",E737)),ISNUMBER(SEARCH("beetle",E737))),"Crawling Insect Control",
OR(ISNUMBER(SEARCH("tree",E737)),ISNUMBER(SEARCH("lantern",E737)),ISNUMBER(SEARCH("garden",E737)),ISNUMBER(SEARCH("plant",E737))),"Garden Pest Control",
OR(ISNUMBER(SEARCH("grass seed",E737)),ISNUMBER(SEARCH("seed mix",E737))),"Grass Seed",
OR(ISNUMBER(SEARCH("lawn food",E737)),ISNUMBER(SEARCH("fertilizer",E737))),"Lawn Fertilizer",
OR(ISNUMBER(SEARCH("patch",E737)),ISNUMBER(SEARCH("repair",E737)),ISNUMBER(SEARCH("thick'r",E737)),ISNUMBER(SEARCH("thick'r lawn",E737)),ISNUMBER(SEARCH("rapid grass",E737))),"Lawn Repair",
OR(ISNUMBER(SEARCH("weed",E737)),ISNUMBER(SEARCH("crabgrass",E737))),"Weed Control",
OR(ISNUMBER(SEARCH("fungicide",E737)),ISNUMBER(SEARCH("moss",E737))),"Disease &amp; Moss Control",
OR(ISNUMBER(SEARCH("plant food",E737)),ISNUMBER(SEARCH("miracid",E737))),"Plant Nutrition",
OR(ISNUMBER(SEARCH("perlite",E737))),"Soil Amendment",
OR(ISNUMBER(SEARCH("spreader",E737)),ISNUMBER(SEARCH("sprayer",E737)),ISNUMBER(SEARCH("mower",E737)),ISNUMBER(SEARCH("sweeper",E737)),ISNUMBER(SEARCH("pruner",E737)),ISNUMBER(SEARCH("trimmer",E737)),ISNUMBER(SEARCH("pole saw",E737))),"Garden Equipment",
TRUE,"Other"
)</f>
        <v>Crawling Insect Control</v>
      </c>
      <c r="I737" s="7" t="str" cm="1">
        <f t="array" ref="I737">_xlfn.IFS(
OR(ISNUMBER(SEARCH("glue trap",E737)),ISNUMBER(SEARCH("glue board",E737))),"Glue Traps",
OR(ISNUMBER(SEARCH("snap trap",E737)),ISNUMBER(SEARCH("power-kill",E737)),ISNUMBER(SEARCH("wide pedal",E737)),ISNUMBER(SEARCH("metal pedal",E737))),"Snap Traps",
OR(ISNUMBER(SEARCH("electronic",E737)),ISNUMBER(SEARCH("zapper",E737))),"Electronic Traps",
OR(ISNUMBER(SEARCH("live catch",E737)),ISNUMBER(SEARCH("multi-catch",E737)),ISNUMBER(SEARCH("catch &amp; hold",E737)),ISNUMBER(SEARCH("tin cat",E737))),"Live Catch Traps",
OR(ISNUMBER(SEARCH("bait",E737)),ISNUMBER(SEARCH("poison",E737))),"Bait &amp; Poison",
ISNUMBER(SEARCH("repellent",E737)),"Repellents",
OR(ISNUMBER(SEARCH("fly trap",E737)),ISNUMBER(SEARCH("fly ribbon",E737)),ISNUMBER(SEARCH("fly stick",E737)),ISNUMBER(SEARCH("window fly",E737)),ISNUMBER(SEARCH("fly magnet",E737))),"Fly Traps",
OR(ISNUMBER(SEARCH("uv",E737)),ISNUMBER(SEARCH("fly light",E737)),ISNUMBER(SEARCH("plug-in",E737))),"UV Fly Traps",
ISNUMBER(SEARCH("roach",E737)),"Roach Traps",
ISNUMBER(SEARCH("ant",E737)),"Ant Traps",
ISNUMBER(SEARCH("spider",E737)),"Spider Traps",
ISNUMBER(SEARCH("mosquito",E737)),"Mosquito Traps",
ISNUMBER(SEARCH("beetle",E737)),"Beetle Traps",
ISNUMBER(SEARCH("lantern",E737)),"Lanternfly Control",
OR(ISNUMBER(SEARCH("tree shield",E737)),ISNUMBER(SEARCH("tree banding",E737)),ISNUMBER(SEARCH("insect barrier",E737))),"Tree Barriers",
OR(ISNUMBER(SEARCH("sun &amp; shade",E737)),ISNUMBER(SEARCH("sun and shade",E737))),"Sun &amp; Shade Mix",
ISNUMBER(SEARCH("tall fescue",E737)),"Tall Fescue",
ISNUMBER(SEARCH("bermudagrass",E737)),"Bermudagrass",
ISNUMBER(SEARCH("kentucky",E737)),"Kentucky Bluegrass",
ISNUMBER(SEARCH("zoysia",E737)),"Zoysia",
ISNUMBER(SEARCH("ryegrass",E737)),"Perennial Ryegrass",
ISNUMBER(SEARCH("centipede",E737)),"Centipede Grass",
ISNUMBER(SEARCH("dense shade",E737)),"Dense Shade Mix",
ISNUMBER(SEARCH("southern gold",E737)),"Southern Gold Mix",
ISNUMBER(SEARCH("heat-tolerant blue",E737)),"Heat-Tolerant Blue Mix",
ISNUMBER(SEARCH("high traffic",E737)),"High Traffic Mix",
ISNUMBER(SEARCH("quick fix",E737)),"Quick Fix Mix",
ISNUMBER(SEARCH("starter",E737)),"Starter Fertilizer",
ISNUMBER(SEARCH("weed &amp; feed",E737)),"Weed &amp; Feed",
ISNUMBER(SEARCH("lawn food",E737)),"Lawn Food",
ISNUMBER(SEARCH("triple action",E737)),"Triple Action Fertilizer",
ISNUMBER(SEARCH("green max",E737)),"Green Max Lawn Food",
ISNUMBER(SEARCH("patchmaster",E737)),"PatchMaster Repair",
ISNUMBER(SEARCH("ez seed",E737)),"EZ Seed Repair",
ISNUMBER(SEARCH("rapid grass",E737)),"Rapid Grass",
ISNUMBER(SEARCH("thick'r lawn",E737)),"Thick'R Lawn",
ISNUMBER(SEARCH("fungicide",E737)),"Fungicide",
ISNUMBER(SEARCH("moss",E737)),"Moss Control",
ISNUMBER(SEARCH("perlite",E737)),"Perlite",
ISNUMBER(SEARCH("plant food",E737)),"Plant Food",
ISNUMBER(SEARCH("spreader",E737)),"Spreader",
ISNUMBER(SEARCH("sprayer",E737)),"Sprayer",
ISNUMBER(SEARCH("mower",E737)),"Lawn Mower",
ISNUMBER(SEARCH("sweeper",E737)),"Lawn Sweeper",
OR(ISNUMBER(SEARCH("pruner",E737)),ISNUMBER(SEARCH("trimmer",E737)),ISNUMBER(SEARCH("pole saw",E737))),"Pruning Tools",
TRUE,"Other"
)</f>
        <v>Bait &amp; Poison</v>
      </c>
      <c r="J737" s="7" t="str">
        <f t="shared" si="207"/>
        <v>Crawling Insect Control - Bait &amp; Poison</v>
      </c>
      <c r="K737" s="4">
        <v>1000</v>
      </c>
      <c r="L737" s="4">
        <v>4.7</v>
      </c>
      <c r="M737" s="4">
        <v>486</v>
      </c>
      <c r="N737" s="4" t="s">
        <v>3463</v>
      </c>
      <c r="O737" s="4">
        <f>VLOOKUP(A737,[14]Sheet1!$A:$M,2,0)</f>
        <v>100</v>
      </c>
      <c r="P737" s="4">
        <f>VLOOKUP(A737,[14]Sheet1!$A:$M,3,0)</f>
        <v>100</v>
      </c>
      <c r="Q737" s="4">
        <f>VLOOKUP(A737,[14]Sheet1!$A:$M,4,0)</f>
        <v>50</v>
      </c>
      <c r="R737" s="4">
        <f>VLOOKUP(A737,[14]Sheet1!$A:$M,5,0)</f>
        <v>50</v>
      </c>
      <c r="S737" s="4">
        <f>VLOOKUP(A737,[14]Sheet1!$A:$M,6,0)</f>
        <v>50</v>
      </c>
      <c r="T737" s="4">
        <f>VLOOKUP(A737,[14]Sheet1!$A:$M,7,0)</f>
        <v>700</v>
      </c>
      <c r="U737" s="4">
        <f>VLOOKUP(A737,[14]Sheet1!$A:$M,8,0)</f>
        <v>2000</v>
      </c>
      <c r="V737" s="4">
        <f>VLOOKUP(A737,[14]Sheet1!$A:$M,9,0)</f>
        <v>2000</v>
      </c>
      <c r="W737" s="4">
        <f>VLOOKUP(A737,[14]Sheet1!$A:$M,10,0)</f>
        <v>1000</v>
      </c>
      <c r="X737" s="4">
        <f>VLOOKUP(A737,[14]Sheet1!$A:$M,11,0)</f>
        <v>500</v>
      </c>
      <c r="Y737" s="4">
        <f>VLOOKUP(A737,[14]Sheet1!$A:$M,12,0)</f>
        <v>400</v>
      </c>
      <c r="Z737" s="4">
        <f>VLOOKUP(A737,[14]Sheet1!$A:$M,13,0)</f>
        <v>600</v>
      </c>
      <c r="AA737" s="4">
        <f t="shared" si="221"/>
        <v>7550</v>
      </c>
      <c r="AB737" s="7">
        <f t="shared" si="222"/>
        <v>629</v>
      </c>
      <c r="AC737" s="15">
        <f t="shared" si="223"/>
        <v>629.16666666666663</v>
      </c>
      <c r="AD737" s="16">
        <f t="shared" si="224"/>
        <v>267949.5</v>
      </c>
      <c r="AE737" s="16">
        <f t="shared" si="225"/>
        <v>22329.125</v>
      </c>
      <c r="AF737" s="21">
        <v>5.22</v>
      </c>
      <c r="AG737" s="21">
        <v>35.49</v>
      </c>
      <c r="AH737" s="15">
        <f t="shared" ref="AH737:AH800" si="226">0.1*AS737</f>
        <v>0.53173333333333339</v>
      </c>
      <c r="AI737" s="15">
        <f t="shared" ref="AI737:AI800" si="227">0.35*AS737</f>
        <v>1.8610666666666666</v>
      </c>
      <c r="AJ737" s="10">
        <v>0.5</v>
      </c>
      <c r="AK737" s="10">
        <v>0.5</v>
      </c>
      <c r="AL737" s="21">
        <v>5.22</v>
      </c>
      <c r="AM737" s="9">
        <f t="shared" si="213"/>
        <v>5.3235000000000001</v>
      </c>
      <c r="AN737" s="9">
        <f t="shared" si="214"/>
        <v>1.0647</v>
      </c>
      <c r="AO737" s="9">
        <f t="shared" si="215"/>
        <v>7.0980000000000008</v>
      </c>
      <c r="AP737" s="9">
        <f t="shared" si="216"/>
        <v>0.7098000000000001</v>
      </c>
      <c r="AQ737" s="9">
        <f t="shared" si="217"/>
        <v>7.0980000000000008</v>
      </c>
      <c r="AR737" s="9">
        <f t="shared" si="218"/>
        <v>8.8725000000000005</v>
      </c>
      <c r="AS737" s="11">
        <f t="shared" si="219"/>
        <v>5.3173333333333339</v>
      </c>
      <c r="AT737" s="12">
        <f t="shared" si="220"/>
        <v>4.1343333333333341</v>
      </c>
    </row>
    <row r="738" spans="1:46" ht="16.5" x14ac:dyDescent="0.4">
      <c r="A738" s="4" t="s">
        <v>3280</v>
      </c>
      <c r="B738" s="4" t="s">
        <v>3312</v>
      </c>
      <c r="C738" s="4" t="s">
        <v>3312</v>
      </c>
      <c r="D738" s="4" t="s">
        <v>3318</v>
      </c>
      <c r="E738" s="4" t="s">
        <v>3376</v>
      </c>
      <c r="F738" s="4" t="s">
        <v>3426</v>
      </c>
      <c r="G738" s="7" t="str">
        <f>VLOOKUP(A738,[1]done!$A:$I,9,0)</f>
        <v>Cockroach</v>
      </c>
      <c r="H738" s="7" t="str" cm="1">
        <f t="array" ref="H738">_xlfn.IFS(
OR(ISNUMBER(SEARCH("mouse",E738)),ISNUMBER(SEARCH("rat",E738)),ISNUMBER(SEARCH("mice",E738)),ISNUMBER(SEARCH("rodent",E738))),"Rodent Control",
OR(ISNUMBER(SEARCH("fly",E738)),ISNUMBER(SEARCH("gnat",E738)),ISNUMBER(SEARCH("insect",E738)),ISNUMBER(SEARCH("mosquito",E738))),"Flying Insect Control",
OR(ISNUMBER(SEARCH("roach",E738)),ISNUMBER(SEARCH("ant",E738)),ISNUMBER(SEARCH("spider",E738)),ISNUMBER(SEARCH("cricket",E738)),ISNUMBER(SEARCH("scorpion",E738)),ISNUMBER(SEARCH("centipede",E738)),ISNUMBER(SEARCH("beetle",E738))),"Crawling Insect Control",
OR(ISNUMBER(SEARCH("tree",E738)),ISNUMBER(SEARCH("lantern",E738)),ISNUMBER(SEARCH("garden",E738)),ISNUMBER(SEARCH("plant",E738))),"Garden Pest Control",
OR(ISNUMBER(SEARCH("grass seed",E738)),ISNUMBER(SEARCH("seed mix",E738))),"Grass Seed",
OR(ISNUMBER(SEARCH("lawn food",E738)),ISNUMBER(SEARCH("fertilizer",E738))),"Lawn Fertilizer",
OR(ISNUMBER(SEARCH("patch",E738)),ISNUMBER(SEARCH("repair",E738)),ISNUMBER(SEARCH("thick'r",E738)),ISNUMBER(SEARCH("thick'r lawn",E738)),ISNUMBER(SEARCH("rapid grass",E738))),"Lawn Repair",
OR(ISNUMBER(SEARCH("weed",E738)),ISNUMBER(SEARCH("crabgrass",E738))),"Weed Control",
OR(ISNUMBER(SEARCH("fungicide",E738)),ISNUMBER(SEARCH("moss",E738))),"Disease &amp; Moss Control",
OR(ISNUMBER(SEARCH("plant food",E738)),ISNUMBER(SEARCH("miracid",E738))),"Plant Nutrition",
OR(ISNUMBER(SEARCH("perlite",E738))),"Soil Amendment",
OR(ISNUMBER(SEARCH("spreader",E738)),ISNUMBER(SEARCH("sprayer",E738)),ISNUMBER(SEARCH("mower",E738)),ISNUMBER(SEARCH("sweeper",E738)),ISNUMBER(SEARCH("pruner",E738)),ISNUMBER(SEARCH("trimmer",E738)),ISNUMBER(SEARCH("pole saw",E738))),"Garden Equipment",
TRUE,"Other"
)</f>
        <v>Other</v>
      </c>
      <c r="I738" s="7" t="str" cm="1">
        <f t="array" ref="I738">_xlfn.IFS(
OR(ISNUMBER(SEARCH("glue trap",E738)),ISNUMBER(SEARCH("glue board",E738))),"Glue Traps",
OR(ISNUMBER(SEARCH("snap trap",E738)),ISNUMBER(SEARCH("power-kill",E738)),ISNUMBER(SEARCH("wide pedal",E738)),ISNUMBER(SEARCH("metal pedal",E738))),"Snap Traps",
OR(ISNUMBER(SEARCH("electronic",E738)),ISNUMBER(SEARCH("zapper",E738))),"Electronic Traps",
OR(ISNUMBER(SEARCH("live catch",E738)),ISNUMBER(SEARCH("multi-catch",E738)),ISNUMBER(SEARCH("catch &amp; hold",E738)),ISNUMBER(SEARCH("tin cat",E738))),"Live Catch Traps",
OR(ISNUMBER(SEARCH("bait",E738)),ISNUMBER(SEARCH("poison",E738))),"Bait &amp; Poison",
ISNUMBER(SEARCH("repellent",E738)),"Repellents",
OR(ISNUMBER(SEARCH("fly trap",E738)),ISNUMBER(SEARCH("fly ribbon",E738)),ISNUMBER(SEARCH("fly stick",E738)),ISNUMBER(SEARCH("window fly",E738)),ISNUMBER(SEARCH("fly magnet",E738))),"Fly Traps",
OR(ISNUMBER(SEARCH("uv",E738)),ISNUMBER(SEARCH("fly light",E738)),ISNUMBER(SEARCH("plug-in",E738))),"UV Fly Traps",
ISNUMBER(SEARCH("roach",E738)),"Roach Traps",
ISNUMBER(SEARCH("ant",E738)),"Ant Traps",
ISNUMBER(SEARCH("spider",E738)),"Spider Traps",
ISNUMBER(SEARCH("mosquito",E738)),"Mosquito Traps",
ISNUMBER(SEARCH("beetle",E738)),"Beetle Traps",
ISNUMBER(SEARCH("lantern",E738)),"Lanternfly Control",
OR(ISNUMBER(SEARCH("tree shield",E738)),ISNUMBER(SEARCH("tree banding",E738)),ISNUMBER(SEARCH("insect barrier",E738))),"Tree Barriers",
OR(ISNUMBER(SEARCH("sun &amp; shade",E738)),ISNUMBER(SEARCH("sun and shade",E738))),"Sun &amp; Shade Mix",
ISNUMBER(SEARCH("tall fescue",E738)),"Tall Fescue",
ISNUMBER(SEARCH("bermudagrass",E738)),"Bermudagrass",
ISNUMBER(SEARCH("kentucky",E738)),"Kentucky Bluegrass",
ISNUMBER(SEARCH("zoysia",E738)),"Zoysia",
ISNUMBER(SEARCH("ryegrass",E738)),"Perennial Ryegrass",
ISNUMBER(SEARCH("centipede",E738)),"Centipede Grass",
ISNUMBER(SEARCH("dense shade",E738)),"Dense Shade Mix",
ISNUMBER(SEARCH("southern gold",E738)),"Southern Gold Mix",
ISNUMBER(SEARCH("heat-tolerant blue",E738)),"Heat-Tolerant Blue Mix",
ISNUMBER(SEARCH("high traffic",E738)),"High Traffic Mix",
ISNUMBER(SEARCH("quick fix",E738)),"Quick Fix Mix",
ISNUMBER(SEARCH("starter",E738)),"Starter Fertilizer",
ISNUMBER(SEARCH("weed &amp; feed",E738)),"Weed &amp; Feed",
ISNUMBER(SEARCH("lawn food",E738)),"Lawn Food",
ISNUMBER(SEARCH("triple action",E738)),"Triple Action Fertilizer",
ISNUMBER(SEARCH("green max",E738)),"Green Max Lawn Food",
ISNUMBER(SEARCH("patchmaster",E738)),"PatchMaster Repair",
ISNUMBER(SEARCH("ez seed",E738)),"EZ Seed Repair",
ISNUMBER(SEARCH("rapid grass",E738)),"Rapid Grass",
ISNUMBER(SEARCH("thick'r lawn",E738)),"Thick'R Lawn",
ISNUMBER(SEARCH("fungicide",E738)),"Fungicide",
ISNUMBER(SEARCH("moss",E738)),"Moss Control",
ISNUMBER(SEARCH("perlite",E738)),"Perlite",
ISNUMBER(SEARCH("plant food",E738)),"Plant Food",
ISNUMBER(SEARCH("spreader",E738)),"Spreader",
ISNUMBER(SEARCH("sprayer",E738)),"Sprayer",
ISNUMBER(SEARCH("mower",E738)),"Lawn Mower",
ISNUMBER(SEARCH("sweeper",E738)),"Lawn Sweeper",
OR(ISNUMBER(SEARCH("pruner",E738)),ISNUMBER(SEARCH("trimmer",E738)),ISNUMBER(SEARCH("pole saw",E738))),"Pruning Tools",
TRUE,"Other"
)</f>
        <v>Bait &amp; Poison</v>
      </c>
      <c r="J738" s="7" t="str">
        <f t="shared" si="207"/>
        <v>Other - Bait &amp; Poison</v>
      </c>
      <c r="K738" s="4">
        <v>800</v>
      </c>
      <c r="L738" s="4">
        <v>4.4000000000000004</v>
      </c>
      <c r="M738" s="4">
        <v>54</v>
      </c>
      <c r="N738" s="4">
        <v>2</v>
      </c>
      <c r="O738" s="4">
        <f>VLOOKUP(A738,[14]Sheet1!$A:$M,2,0)</f>
        <v>0</v>
      </c>
      <c r="P738" s="4">
        <f>VLOOKUP(A738,[14]Sheet1!$A:$M,3,0)</f>
        <v>0</v>
      </c>
      <c r="Q738" s="4">
        <f>VLOOKUP(A738,[14]Sheet1!$A:$M,4,0)</f>
        <v>50</v>
      </c>
      <c r="R738" s="4">
        <f>VLOOKUP(A738,[14]Sheet1!$A:$M,5,0)</f>
        <v>300</v>
      </c>
      <c r="S738" s="4">
        <f>VLOOKUP(A738,[14]Sheet1!$A:$M,6,0)</f>
        <v>500</v>
      </c>
      <c r="T738" s="4">
        <f>VLOOKUP(A738,[14]Sheet1!$A:$M,7,0)</f>
        <v>500</v>
      </c>
      <c r="U738" s="4">
        <f>VLOOKUP(A738,[14]Sheet1!$A:$M,8,0)</f>
        <v>300</v>
      </c>
      <c r="V738" s="4">
        <f>VLOOKUP(A738,[14]Sheet1!$A:$M,9,0)</f>
        <v>500</v>
      </c>
      <c r="W738" s="4">
        <f>VLOOKUP(A738,[14]Sheet1!$A:$M,10,0)</f>
        <v>900</v>
      </c>
      <c r="X738" s="4">
        <f>VLOOKUP(A738,[14]Sheet1!$A:$M,11,0)</f>
        <v>0</v>
      </c>
      <c r="Y738" s="4">
        <f>VLOOKUP(A738,[14]Sheet1!$A:$M,12,0)</f>
        <v>0</v>
      </c>
      <c r="Z738" s="4">
        <f>VLOOKUP(A738,[14]Sheet1!$A:$M,13,0)</f>
        <v>0</v>
      </c>
      <c r="AA738" s="4">
        <f t="shared" si="221"/>
        <v>3050</v>
      </c>
      <c r="AB738" s="7">
        <f t="shared" si="222"/>
        <v>254</v>
      </c>
      <c r="AC738" s="15">
        <f t="shared" si="223"/>
        <v>254.16666666666666</v>
      </c>
      <c r="AD738" s="16">
        <f t="shared" si="224"/>
        <v>152469.5</v>
      </c>
      <c r="AE738" s="16">
        <f t="shared" si="225"/>
        <v>12705.791666666666</v>
      </c>
      <c r="AF738" s="21">
        <v>7.3</v>
      </c>
      <c r="AG738" s="21">
        <v>49.99</v>
      </c>
      <c r="AH738" s="15">
        <f t="shared" si="226"/>
        <v>0.77973333333333317</v>
      </c>
      <c r="AI738" s="15">
        <f t="shared" si="227"/>
        <v>2.7290666666666659</v>
      </c>
      <c r="AJ738" s="10">
        <v>0.5</v>
      </c>
      <c r="AK738" s="10">
        <v>0.5</v>
      </c>
      <c r="AL738" s="21">
        <v>7.3</v>
      </c>
      <c r="AM738" s="9">
        <f t="shared" si="213"/>
        <v>7.4984999999999999</v>
      </c>
      <c r="AN738" s="9">
        <f t="shared" si="214"/>
        <v>1.4997</v>
      </c>
      <c r="AO738" s="9">
        <f t="shared" si="215"/>
        <v>9.9980000000000011</v>
      </c>
      <c r="AP738" s="9">
        <f t="shared" si="216"/>
        <v>0.99980000000000002</v>
      </c>
      <c r="AQ738" s="9">
        <f t="shared" si="217"/>
        <v>9.9980000000000011</v>
      </c>
      <c r="AR738" s="9">
        <f t="shared" si="218"/>
        <v>12.4975</v>
      </c>
      <c r="AS738" s="11">
        <f t="shared" si="219"/>
        <v>7.7973333333333317</v>
      </c>
      <c r="AT738" s="12">
        <f t="shared" si="220"/>
        <v>6.1309999999999993</v>
      </c>
    </row>
    <row r="739" spans="1:46" ht="16.5" x14ac:dyDescent="0.4">
      <c r="A739" s="4" t="s">
        <v>3281</v>
      </c>
      <c r="B739" s="4" t="s">
        <v>3312</v>
      </c>
      <c r="C739" s="4" t="s">
        <v>3312</v>
      </c>
      <c r="D739" s="4" t="s">
        <v>3331</v>
      </c>
      <c r="E739" s="4" t="s">
        <v>3377</v>
      </c>
      <c r="F739" s="4" t="s">
        <v>3427</v>
      </c>
      <c r="G739" s="7" t="str">
        <f>VLOOKUP(A739,[1]done!$A:$I,9,0)</f>
        <v>Lawn Fertilizer</v>
      </c>
      <c r="H739" s="7" t="str" cm="1">
        <f t="array" ref="H739">_xlfn.IFS(
OR(ISNUMBER(SEARCH("mouse",E739)),ISNUMBER(SEARCH("rat",E739)),ISNUMBER(SEARCH("mice",E739)),ISNUMBER(SEARCH("rodent",E739))),"Rodent Control",
OR(ISNUMBER(SEARCH("fly",E739)),ISNUMBER(SEARCH("gnat",E739)),ISNUMBER(SEARCH("insect",E739)),ISNUMBER(SEARCH("mosquito",E739))),"Flying Insect Control",
OR(ISNUMBER(SEARCH("roach",E739)),ISNUMBER(SEARCH("ant",E739)),ISNUMBER(SEARCH("spider",E739)),ISNUMBER(SEARCH("cricket",E739)),ISNUMBER(SEARCH("scorpion",E739)),ISNUMBER(SEARCH("centipede",E739)),ISNUMBER(SEARCH("beetle",E739))),"Crawling Insect Control",
OR(ISNUMBER(SEARCH("tree",E739)),ISNUMBER(SEARCH("lantern",E739)),ISNUMBER(SEARCH("garden",E739)),ISNUMBER(SEARCH("plant",E739))),"Garden Pest Control",
OR(ISNUMBER(SEARCH("grass seed",E739)),ISNUMBER(SEARCH("seed mix",E739))),"Grass Seed",
OR(ISNUMBER(SEARCH("lawn food",E739)),ISNUMBER(SEARCH("fertilizer",E739))),"Lawn Fertilizer",
OR(ISNUMBER(SEARCH("patch",E739)),ISNUMBER(SEARCH("repair",E739)),ISNUMBER(SEARCH("thick'r",E739)),ISNUMBER(SEARCH("thick'r lawn",E739)),ISNUMBER(SEARCH("rapid grass",E739))),"Lawn Repair",
OR(ISNUMBER(SEARCH("weed",E739)),ISNUMBER(SEARCH("crabgrass",E739))),"Weed Control",
OR(ISNUMBER(SEARCH("fungicide",E739)),ISNUMBER(SEARCH("moss",E739))),"Disease &amp; Moss Control",
OR(ISNUMBER(SEARCH("plant food",E739)),ISNUMBER(SEARCH("miracid",E739))),"Plant Nutrition",
OR(ISNUMBER(SEARCH("perlite",E739))),"Soil Amendment",
OR(ISNUMBER(SEARCH("spreader",E739)),ISNUMBER(SEARCH("sprayer",E739)),ISNUMBER(SEARCH("mower",E739)),ISNUMBER(SEARCH("sweeper",E739)),ISNUMBER(SEARCH("pruner",E739)),ISNUMBER(SEARCH("trimmer",E739)),ISNUMBER(SEARCH("pole saw",E739))),"Garden Equipment",
TRUE,"Other"
)</f>
        <v>Rodent Control</v>
      </c>
      <c r="I739" s="7" t="str" cm="1">
        <f t="array" ref="I739">_xlfn.IFS(
OR(ISNUMBER(SEARCH("glue trap",E739)),ISNUMBER(SEARCH("glue board",E739))),"Glue Traps",
OR(ISNUMBER(SEARCH("snap trap",E739)),ISNUMBER(SEARCH("power-kill",E739)),ISNUMBER(SEARCH("wide pedal",E739)),ISNUMBER(SEARCH("metal pedal",E739))),"Snap Traps",
OR(ISNUMBER(SEARCH("electronic",E739)),ISNUMBER(SEARCH("zapper",E739))),"Electronic Traps",
OR(ISNUMBER(SEARCH("live catch",E739)),ISNUMBER(SEARCH("multi-catch",E739)),ISNUMBER(SEARCH("catch &amp; hold",E739)),ISNUMBER(SEARCH("tin cat",E739))),"Live Catch Traps",
OR(ISNUMBER(SEARCH("bait",E739)),ISNUMBER(SEARCH("poison",E739))),"Bait &amp; Poison",
ISNUMBER(SEARCH("repellent",E739)),"Repellents",
OR(ISNUMBER(SEARCH("fly trap",E739)),ISNUMBER(SEARCH("fly ribbon",E739)),ISNUMBER(SEARCH("fly stick",E739)),ISNUMBER(SEARCH("window fly",E739)),ISNUMBER(SEARCH("fly magnet",E739))),"Fly Traps",
OR(ISNUMBER(SEARCH("uv",E739)),ISNUMBER(SEARCH("fly light",E739)),ISNUMBER(SEARCH("plug-in",E739))),"UV Fly Traps",
ISNUMBER(SEARCH("roach",E739)),"Roach Traps",
ISNUMBER(SEARCH("ant",E739)),"Ant Traps",
ISNUMBER(SEARCH("spider",E739)),"Spider Traps",
ISNUMBER(SEARCH("mosquito",E739)),"Mosquito Traps",
ISNUMBER(SEARCH("beetle",E739)),"Beetle Traps",
ISNUMBER(SEARCH("lantern",E739)),"Lanternfly Control",
OR(ISNUMBER(SEARCH("tree shield",E739)),ISNUMBER(SEARCH("tree banding",E739)),ISNUMBER(SEARCH("insect barrier",E739))),"Tree Barriers",
OR(ISNUMBER(SEARCH("sun &amp; shade",E739)),ISNUMBER(SEARCH("sun and shade",E739))),"Sun &amp; Shade Mix",
ISNUMBER(SEARCH("tall fescue",E739)),"Tall Fescue",
ISNUMBER(SEARCH("bermudagrass",E739)),"Bermudagrass",
ISNUMBER(SEARCH("kentucky",E739)),"Kentucky Bluegrass",
ISNUMBER(SEARCH("zoysia",E739)),"Zoysia",
ISNUMBER(SEARCH("ryegrass",E739)),"Perennial Ryegrass",
ISNUMBER(SEARCH("centipede",E739)),"Centipede Grass",
ISNUMBER(SEARCH("dense shade",E739)),"Dense Shade Mix",
ISNUMBER(SEARCH("southern gold",E739)),"Southern Gold Mix",
ISNUMBER(SEARCH("heat-tolerant blue",E739)),"Heat-Tolerant Blue Mix",
ISNUMBER(SEARCH("high traffic",E739)),"High Traffic Mix",
ISNUMBER(SEARCH("quick fix",E739)),"Quick Fix Mix",
ISNUMBER(SEARCH("starter",E739)),"Starter Fertilizer",
ISNUMBER(SEARCH("weed &amp; feed",E739)),"Weed &amp; Feed",
ISNUMBER(SEARCH("lawn food",E739)),"Lawn Food",
ISNUMBER(SEARCH("triple action",E739)),"Triple Action Fertilizer",
ISNUMBER(SEARCH("green max",E739)),"Green Max Lawn Food",
ISNUMBER(SEARCH("patchmaster",E739)),"PatchMaster Repair",
ISNUMBER(SEARCH("ez seed",E739)),"EZ Seed Repair",
ISNUMBER(SEARCH("rapid grass",E739)),"Rapid Grass",
ISNUMBER(SEARCH("thick'r lawn",E739)),"Thick'R Lawn",
ISNUMBER(SEARCH("fungicide",E739)),"Fungicide",
ISNUMBER(SEARCH("moss",E739)),"Moss Control",
ISNUMBER(SEARCH("perlite",E739)),"Perlite",
ISNUMBER(SEARCH("plant food",E739)),"Plant Food",
ISNUMBER(SEARCH("spreader",E739)),"Spreader",
ISNUMBER(SEARCH("sprayer",E739)),"Sprayer",
ISNUMBER(SEARCH("mower",E739)),"Lawn Mower",
ISNUMBER(SEARCH("sweeper",E739)),"Lawn Sweeper",
OR(ISNUMBER(SEARCH("pruner",E739)),ISNUMBER(SEARCH("trimmer",E739)),ISNUMBER(SEARCH("pole saw",E739))),"Pruning Tools",
TRUE,"Other"
)</f>
        <v>Other</v>
      </c>
      <c r="J739" s="7" t="str">
        <f t="shared" si="207"/>
        <v>Rodent Control - Other</v>
      </c>
      <c r="K739" s="4">
        <v>700</v>
      </c>
      <c r="L739" s="4">
        <v>4.5999999999999996</v>
      </c>
      <c r="M739" s="4">
        <v>314</v>
      </c>
      <c r="N739" s="4" t="s">
        <v>3467</v>
      </c>
      <c r="O739" s="4">
        <f>VLOOKUP(A739,[14]Sheet1!$A:$M,2,0)</f>
        <v>300</v>
      </c>
      <c r="P739" s="4">
        <f>VLOOKUP(A739,[14]Sheet1!$A:$M,3,0)</f>
        <v>1000</v>
      </c>
      <c r="Q739" s="4">
        <f>VLOOKUP(A739,[14]Sheet1!$A:$M,4,0)</f>
        <v>1000</v>
      </c>
      <c r="R739" s="4">
        <f>VLOOKUP(A739,[14]Sheet1!$A:$M,5,0)</f>
        <v>1000</v>
      </c>
      <c r="S739" s="4">
        <f>VLOOKUP(A739,[14]Sheet1!$A:$M,6,0)</f>
        <v>200</v>
      </c>
      <c r="T739" s="4">
        <f>VLOOKUP(A739,[14]Sheet1!$A:$M,7,0)</f>
        <v>200</v>
      </c>
      <c r="U739" s="4">
        <f>VLOOKUP(A739,[14]Sheet1!$A:$M,8,0)</f>
        <v>200</v>
      </c>
      <c r="V739" s="4">
        <f>VLOOKUP(A739,[14]Sheet1!$A:$M,9,0)</f>
        <v>300</v>
      </c>
      <c r="W739" s="4">
        <f>VLOOKUP(A739,[14]Sheet1!$A:$M,10,0)</f>
        <v>800</v>
      </c>
      <c r="X739" s="4">
        <f>VLOOKUP(A739,[14]Sheet1!$A:$M,11,0)</f>
        <v>300</v>
      </c>
      <c r="Y739" s="4">
        <f>VLOOKUP(A739,[14]Sheet1!$A:$M,12,0)</f>
        <v>300</v>
      </c>
      <c r="Z739" s="4">
        <f>VLOOKUP(A739,[14]Sheet1!$A:$M,13,0)</f>
        <v>100</v>
      </c>
      <c r="AA739" s="4">
        <f t="shared" si="221"/>
        <v>5700</v>
      </c>
      <c r="AB739" s="7">
        <f t="shared" si="222"/>
        <v>475</v>
      </c>
      <c r="AC739" s="15">
        <f t="shared" si="223"/>
        <v>475</v>
      </c>
      <c r="AD739" s="16">
        <f t="shared" si="224"/>
        <v>179550</v>
      </c>
      <c r="AE739" s="16">
        <f t="shared" si="225"/>
        <v>14962.5</v>
      </c>
      <c r="AF739" s="21">
        <v>4.09</v>
      </c>
      <c r="AG739" s="21">
        <v>31.5</v>
      </c>
      <c r="AH739" s="15">
        <f t="shared" si="226"/>
        <v>0.50066666666666648</v>
      </c>
      <c r="AI739" s="15">
        <f t="shared" si="227"/>
        <v>1.7523333333333326</v>
      </c>
      <c r="AJ739" s="10">
        <v>0.5</v>
      </c>
      <c r="AK739" s="10">
        <v>0.5</v>
      </c>
      <c r="AL739" s="21">
        <v>4.09</v>
      </c>
      <c r="AM739" s="9">
        <f t="shared" si="213"/>
        <v>4.7249999999999996</v>
      </c>
      <c r="AN739" s="9">
        <f t="shared" si="214"/>
        <v>0.94499999999999995</v>
      </c>
      <c r="AO739" s="9">
        <f t="shared" si="215"/>
        <v>6.3000000000000007</v>
      </c>
      <c r="AP739" s="9">
        <f t="shared" si="216"/>
        <v>0.63</v>
      </c>
      <c r="AQ739" s="9">
        <f t="shared" si="217"/>
        <v>6.3000000000000007</v>
      </c>
      <c r="AR739" s="9">
        <f t="shared" si="218"/>
        <v>7.875</v>
      </c>
      <c r="AS739" s="11">
        <f t="shared" si="219"/>
        <v>5.006666666666665</v>
      </c>
      <c r="AT739" s="12">
        <f t="shared" si="220"/>
        <v>3.9566666666666657</v>
      </c>
    </row>
    <row r="740" spans="1:46" ht="16.5" x14ac:dyDescent="0.4">
      <c r="A740" s="4" t="s">
        <v>3282</v>
      </c>
      <c r="B740" s="4" t="s">
        <v>3312</v>
      </c>
      <c r="C740" s="4" t="s">
        <v>3312</v>
      </c>
      <c r="D740" s="4" t="s">
        <v>3332</v>
      </c>
      <c r="E740" s="4" t="s">
        <v>3378</v>
      </c>
      <c r="F740" s="4" t="s">
        <v>3428</v>
      </c>
      <c r="G740" s="7" t="str">
        <f>VLOOKUP(A740,[1]done!$A:$I,9,0)</f>
        <v>All Other products</v>
      </c>
      <c r="H740" s="7" t="str" cm="1">
        <f t="array" ref="H740">_xlfn.IFS(
OR(ISNUMBER(SEARCH("mouse",E740)),ISNUMBER(SEARCH("rat",E740)),ISNUMBER(SEARCH("mice",E740)),ISNUMBER(SEARCH("rodent",E740))),"Rodent Control",
OR(ISNUMBER(SEARCH("fly",E740)),ISNUMBER(SEARCH("gnat",E740)),ISNUMBER(SEARCH("insect",E740)),ISNUMBER(SEARCH("mosquito",E740))),"Flying Insect Control",
OR(ISNUMBER(SEARCH("roach",E740)),ISNUMBER(SEARCH("ant",E740)),ISNUMBER(SEARCH("spider",E740)),ISNUMBER(SEARCH("cricket",E740)),ISNUMBER(SEARCH("scorpion",E740)),ISNUMBER(SEARCH("centipede",E740)),ISNUMBER(SEARCH("beetle",E740))),"Crawling Insect Control",
OR(ISNUMBER(SEARCH("tree",E740)),ISNUMBER(SEARCH("lantern",E740)),ISNUMBER(SEARCH("garden",E740)),ISNUMBER(SEARCH("plant",E740))),"Garden Pest Control",
OR(ISNUMBER(SEARCH("grass seed",E740)),ISNUMBER(SEARCH("seed mix",E740))),"Grass Seed",
OR(ISNUMBER(SEARCH("lawn food",E740)),ISNUMBER(SEARCH("fertilizer",E740))),"Lawn Fertilizer",
OR(ISNUMBER(SEARCH("patch",E740)),ISNUMBER(SEARCH("repair",E740)),ISNUMBER(SEARCH("thick'r",E740)),ISNUMBER(SEARCH("thick'r lawn",E740)),ISNUMBER(SEARCH("rapid grass",E740))),"Lawn Repair",
OR(ISNUMBER(SEARCH("weed",E740)),ISNUMBER(SEARCH("crabgrass",E740))),"Weed Control",
OR(ISNUMBER(SEARCH("fungicide",E740)),ISNUMBER(SEARCH("moss",E740))),"Disease &amp; Moss Control",
OR(ISNUMBER(SEARCH("plant food",E740)),ISNUMBER(SEARCH("miracid",E740))),"Plant Nutrition",
OR(ISNUMBER(SEARCH("perlite",E740))),"Soil Amendment",
OR(ISNUMBER(SEARCH("spreader",E740)),ISNUMBER(SEARCH("sprayer",E740)),ISNUMBER(SEARCH("mower",E740)),ISNUMBER(SEARCH("sweeper",E740)),ISNUMBER(SEARCH("pruner",E740)),ISNUMBER(SEARCH("trimmer",E740)),ISNUMBER(SEARCH("pole saw",E740))),"Garden Equipment",
TRUE,"Other"
)</f>
        <v>Flying Insect Control</v>
      </c>
      <c r="I740" s="7" t="str" cm="1">
        <f t="array" ref="I740">_xlfn.IFS(
OR(ISNUMBER(SEARCH("glue trap",E740)),ISNUMBER(SEARCH("glue board",E740))),"Glue Traps",
OR(ISNUMBER(SEARCH("snap trap",E740)),ISNUMBER(SEARCH("power-kill",E740)),ISNUMBER(SEARCH("wide pedal",E740)),ISNUMBER(SEARCH("metal pedal",E740))),"Snap Traps",
OR(ISNUMBER(SEARCH("electronic",E740)),ISNUMBER(SEARCH("zapper",E740))),"Electronic Traps",
OR(ISNUMBER(SEARCH("live catch",E740)),ISNUMBER(SEARCH("multi-catch",E740)),ISNUMBER(SEARCH("catch &amp; hold",E740)),ISNUMBER(SEARCH("tin cat",E740))),"Live Catch Traps",
OR(ISNUMBER(SEARCH("bait",E740)),ISNUMBER(SEARCH("poison",E740))),"Bait &amp; Poison",
ISNUMBER(SEARCH("repellent",E740)),"Repellents",
OR(ISNUMBER(SEARCH("fly trap",E740)),ISNUMBER(SEARCH("fly ribbon",E740)),ISNUMBER(SEARCH("fly stick",E740)),ISNUMBER(SEARCH("window fly",E740)),ISNUMBER(SEARCH("fly magnet",E740))),"Fly Traps",
OR(ISNUMBER(SEARCH("uv",E740)),ISNUMBER(SEARCH("fly light",E740)),ISNUMBER(SEARCH("plug-in",E740))),"UV Fly Traps",
ISNUMBER(SEARCH("roach",E740)),"Roach Traps",
ISNUMBER(SEARCH("ant",E740)),"Ant Traps",
ISNUMBER(SEARCH("spider",E740)),"Spider Traps",
ISNUMBER(SEARCH("mosquito",E740)),"Mosquito Traps",
ISNUMBER(SEARCH("beetle",E740)),"Beetle Traps",
ISNUMBER(SEARCH("lantern",E740)),"Lanternfly Control",
OR(ISNUMBER(SEARCH("tree shield",E740)),ISNUMBER(SEARCH("tree banding",E740)),ISNUMBER(SEARCH("insect barrier",E740))),"Tree Barriers",
OR(ISNUMBER(SEARCH("sun &amp; shade",E740)),ISNUMBER(SEARCH("sun and shade",E740))),"Sun &amp; Shade Mix",
ISNUMBER(SEARCH("tall fescue",E740)),"Tall Fescue",
ISNUMBER(SEARCH("bermudagrass",E740)),"Bermudagrass",
ISNUMBER(SEARCH("kentucky",E740)),"Kentucky Bluegrass",
ISNUMBER(SEARCH("zoysia",E740)),"Zoysia",
ISNUMBER(SEARCH("ryegrass",E740)),"Perennial Ryegrass",
ISNUMBER(SEARCH("centipede",E740)),"Centipede Grass",
ISNUMBER(SEARCH("dense shade",E740)),"Dense Shade Mix",
ISNUMBER(SEARCH("southern gold",E740)),"Southern Gold Mix",
ISNUMBER(SEARCH("heat-tolerant blue",E740)),"Heat-Tolerant Blue Mix",
ISNUMBER(SEARCH("high traffic",E740)),"High Traffic Mix",
ISNUMBER(SEARCH("quick fix",E740)),"Quick Fix Mix",
ISNUMBER(SEARCH("starter",E740)),"Starter Fertilizer",
ISNUMBER(SEARCH("weed &amp; feed",E740)),"Weed &amp; Feed",
ISNUMBER(SEARCH("lawn food",E740)),"Lawn Food",
ISNUMBER(SEARCH("triple action",E740)),"Triple Action Fertilizer",
ISNUMBER(SEARCH("green max",E740)),"Green Max Lawn Food",
ISNUMBER(SEARCH("patchmaster",E740)),"PatchMaster Repair",
ISNUMBER(SEARCH("ez seed",E740)),"EZ Seed Repair",
ISNUMBER(SEARCH("rapid grass",E740)),"Rapid Grass",
ISNUMBER(SEARCH("thick'r lawn",E740)),"Thick'R Lawn",
ISNUMBER(SEARCH("fungicide",E740)),"Fungicide",
ISNUMBER(SEARCH("moss",E740)),"Moss Control",
ISNUMBER(SEARCH("perlite",E740)),"Perlite",
ISNUMBER(SEARCH("plant food",E740)),"Plant Food",
ISNUMBER(SEARCH("spreader",E740)),"Spreader",
ISNUMBER(SEARCH("sprayer",E740)),"Sprayer",
ISNUMBER(SEARCH("mower",E740)),"Lawn Mower",
ISNUMBER(SEARCH("sweeper",E740)),"Lawn Sweeper",
OR(ISNUMBER(SEARCH("pruner",E740)),ISNUMBER(SEARCH("trimmer",E740)),ISNUMBER(SEARCH("pole saw",E740))),"Pruning Tools",
TRUE,"Other"
)</f>
        <v>Bait &amp; Poison</v>
      </c>
      <c r="J740" s="7" t="str">
        <f t="shared" si="207"/>
        <v>Flying Insect Control - Bait &amp; Poison</v>
      </c>
      <c r="K740" s="4">
        <v>700</v>
      </c>
      <c r="L740" s="4">
        <v>4.5</v>
      </c>
      <c r="M740" s="4">
        <v>378</v>
      </c>
      <c r="N740" s="4" t="s">
        <v>3240</v>
      </c>
      <c r="O740" s="4">
        <f>VLOOKUP(A740,[14]Sheet1!$A:$M,2,0)</f>
        <v>100</v>
      </c>
      <c r="P740" s="4">
        <f>VLOOKUP(A740,[14]Sheet1!$A:$M,3,0)</f>
        <v>100</v>
      </c>
      <c r="Q740" s="4">
        <f>VLOOKUP(A740,[14]Sheet1!$A:$M,4,0)</f>
        <v>200</v>
      </c>
      <c r="R740" s="4">
        <f>VLOOKUP(A740,[14]Sheet1!$A:$M,5,0)</f>
        <v>500</v>
      </c>
      <c r="S740" s="4">
        <f>VLOOKUP(A740,[14]Sheet1!$A:$M,6,0)</f>
        <v>750</v>
      </c>
      <c r="T740" s="4">
        <f>VLOOKUP(A740,[14]Sheet1!$A:$M,7,0)</f>
        <v>1000</v>
      </c>
      <c r="U740" s="4">
        <f>VLOOKUP(A740,[14]Sheet1!$A:$M,8,0)</f>
        <v>500</v>
      </c>
      <c r="V740" s="4">
        <f>VLOOKUP(A740,[14]Sheet1!$A:$M,9,0)</f>
        <v>700</v>
      </c>
      <c r="W740" s="4">
        <f>VLOOKUP(A740,[14]Sheet1!$A:$M,10,0)</f>
        <v>700</v>
      </c>
      <c r="X740" s="4">
        <f>VLOOKUP(A740,[14]Sheet1!$A:$M,11,0)</f>
        <v>300</v>
      </c>
      <c r="Y740" s="4">
        <f>VLOOKUP(A740,[14]Sheet1!$A:$M,12,0)</f>
        <v>200</v>
      </c>
      <c r="Z740" s="4">
        <f>VLOOKUP(A740,[14]Sheet1!$A:$M,13,0)</f>
        <v>100</v>
      </c>
      <c r="AA740" s="4">
        <f t="shared" si="221"/>
        <v>5150</v>
      </c>
      <c r="AB740" s="7">
        <f t="shared" si="222"/>
        <v>429</v>
      </c>
      <c r="AC740" s="15">
        <f t="shared" si="223"/>
        <v>429.16666666666669</v>
      </c>
      <c r="AD740" s="16">
        <f t="shared" si="224"/>
        <v>128595.5</v>
      </c>
      <c r="AE740" s="16">
        <f t="shared" si="225"/>
        <v>10716.291666666666</v>
      </c>
      <c r="AF740" s="21">
        <v>5.22</v>
      </c>
      <c r="AG740" s="21">
        <v>24.97</v>
      </c>
      <c r="AH740" s="15">
        <f t="shared" si="226"/>
        <v>0.25120000000000003</v>
      </c>
      <c r="AI740" s="15">
        <f t="shared" si="227"/>
        <v>0.87920000000000009</v>
      </c>
      <c r="AJ740" s="10">
        <v>0.5</v>
      </c>
      <c r="AK740" s="10">
        <v>0.5</v>
      </c>
      <c r="AL740" s="21">
        <v>5.22</v>
      </c>
      <c r="AM740" s="9">
        <f t="shared" si="213"/>
        <v>3.7454999999999998</v>
      </c>
      <c r="AN740" s="9">
        <f t="shared" si="214"/>
        <v>0.74909999999999999</v>
      </c>
      <c r="AO740" s="9">
        <f t="shared" si="215"/>
        <v>4.9939999999999998</v>
      </c>
      <c r="AP740" s="9">
        <f t="shared" si="216"/>
        <v>0.49940000000000001</v>
      </c>
      <c r="AQ740" s="9">
        <f t="shared" si="217"/>
        <v>4.9939999999999998</v>
      </c>
      <c r="AR740" s="9">
        <f t="shared" si="218"/>
        <v>6.2424999999999997</v>
      </c>
      <c r="AS740" s="11">
        <f t="shared" si="219"/>
        <v>2.5120000000000005</v>
      </c>
      <c r="AT740" s="12">
        <f t="shared" si="220"/>
        <v>1.6796666666666671</v>
      </c>
    </row>
    <row r="741" spans="1:46" ht="16.5" x14ac:dyDescent="0.4">
      <c r="A741" s="4" t="s">
        <v>3283</v>
      </c>
      <c r="B741" s="4" t="s">
        <v>3312</v>
      </c>
      <c r="C741" s="4" t="s">
        <v>3312</v>
      </c>
      <c r="D741" s="4" t="s">
        <v>3333</v>
      </c>
      <c r="E741" s="4" t="s">
        <v>3379</v>
      </c>
      <c r="F741" s="4" t="s">
        <v>3429</v>
      </c>
      <c r="G741" s="7" t="str">
        <f>VLOOKUP(A741,[1]done!$A:$I,9,0)</f>
        <v>All Other products</v>
      </c>
      <c r="H741" s="7" t="str" cm="1">
        <f t="array" ref="H741">_xlfn.IFS(
OR(ISNUMBER(SEARCH("mouse",E741)),ISNUMBER(SEARCH("rat",E741)),ISNUMBER(SEARCH("mice",E741)),ISNUMBER(SEARCH("rodent",E741))),"Rodent Control",
OR(ISNUMBER(SEARCH("fly",E741)),ISNUMBER(SEARCH("gnat",E741)),ISNUMBER(SEARCH("insect",E741)),ISNUMBER(SEARCH("mosquito",E741))),"Flying Insect Control",
OR(ISNUMBER(SEARCH("roach",E741)),ISNUMBER(SEARCH("ant",E741)),ISNUMBER(SEARCH("spider",E741)),ISNUMBER(SEARCH("cricket",E741)),ISNUMBER(SEARCH("scorpion",E741)),ISNUMBER(SEARCH("centipede",E741)),ISNUMBER(SEARCH("beetle",E741))),"Crawling Insect Control",
OR(ISNUMBER(SEARCH("tree",E741)),ISNUMBER(SEARCH("lantern",E741)),ISNUMBER(SEARCH("garden",E741)),ISNUMBER(SEARCH("plant",E741))),"Garden Pest Control",
OR(ISNUMBER(SEARCH("grass seed",E741)),ISNUMBER(SEARCH("seed mix",E741))),"Grass Seed",
OR(ISNUMBER(SEARCH("lawn food",E741)),ISNUMBER(SEARCH("fertilizer",E741))),"Lawn Fertilizer",
OR(ISNUMBER(SEARCH("patch",E741)),ISNUMBER(SEARCH("repair",E741)),ISNUMBER(SEARCH("thick'r",E741)),ISNUMBER(SEARCH("thick'r lawn",E741)),ISNUMBER(SEARCH("rapid grass",E741))),"Lawn Repair",
OR(ISNUMBER(SEARCH("weed",E741)),ISNUMBER(SEARCH("crabgrass",E741))),"Weed Control",
OR(ISNUMBER(SEARCH("fungicide",E741)),ISNUMBER(SEARCH("moss",E741))),"Disease &amp; Moss Control",
OR(ISNUMBER(SEARCH("plant food",E741)),ISNUMBER(SEARCH("miracid",E741))),"Plant Nutrition",
OR(ISNUMBER(SEARCH("perlite",E741))),"Soil Amendment",
OR(ISNUMBER(SEARCH("spreader",E741)),ISNUMBER(SEARCH("sprayer",E741)),ISNUMBER(SEARCH("mower",E741)),ISNUMBER(SEARCH("sweeper",E741)),ISNUMBER(SEARCH("pruner",E741)),ISNUMBER(SEARCH("trimmer",E741)),ISNUMBER(SEARCH("pole saw",E741))),"Garden Equipment",
TRUE,"Other"
)</f>
        <v>Other</v>
      </c>
      <c r="I741" s="7" t="str" cm="1">
        <f t="array" ref="I741">_xlfn.IFS(
OR(ISNUMBER(SEARCH("glue trap",E741)),ISNUMBER(SEARCH("glue board",E741))),"Glue Traps",
OR(ISNUMBER(SEARCH("snap trap",E741)),ISNUMBER(SEARCH("power-kill",E741)),ISNUMBER(SEARCH("wide pedal",E741)),ISNUMBER(SEARCH("metal pedal",E741))),"Snap Traps",
OR(ISNUMBER(SEARCH("electronic",E741)),ISNUMBER(SEARCH("zapper",E741))),"Electronic Traps",
OR(ISNUMBER(SEARCH("live catch",E741)),ISNUMBER(SEARCH("multi-catch",E741)),ISNUMBER(SEARCH("catch &amp; hold",E741)),ISNUMBER(SEARCH("tin cat",E741))),"Live Catch Traps",
OR(ISNUMBER(SEARCH("bait",E741)),ISNUMBER(SEARCH("poison",E741))),"Bait &amp; Poison",
ISNUMBER(SEARCH("repellent",E741)),"Repellents",
OR(ISNUMBER(SEARCH("fly trap",E741)),ISNUMBER(SEARCH("fly ribbon",E741)),ISNUMBER(SEARCH("fly stick",E741)),ISNUMBER(SEARCH("window fly",E741)),ISNUMBER(SEARCH("fly magnet",E741))),"Fly Traps",
OR(ISNUMBER(SEARCH("uv",E741)),ISNUMBER(SEARCH("fly light",E741)),ISNUMBER(SEARCH("plug-in",E741))),"UV Fly Traps",
ISNUMBER(SEARCH("roach",E741)),"Roach Traps",
ISNUMBER(SEARCH("ant",E741)),"Ant Traps",
ISNUMBER(SEARCH("spider",E741)),"Spider Traps",
ISNUMBER(SEARCH("mosquito",E741)),"Mosquito Traps",
ISNUMBER(SEARCH("beetle",E741)),"Beetle Traps",
ISNUMBER(SEARCH("lantern",E741)),"Lanternfly Control",
OR(ISNUMBER(SEARCH("tree shield",E741)),ISNUMBER(SEARCH("tree banding",E741)),ISNUMBER(SEARCH("insect barrier",E741))),"Tree Barriers",
OR(ISNUMBER(SEARCH("sun &amp; shade",E741)),ISNUMBER(SEARCH("sun and shade",E741))),"Sun &amp; Shade Mix",
ISNUMBER(SEARCH("tall fescue",E741)),"Tall Fescue",
ISNUMBER(SEARCH("bermudagrass",E741)),"Bermudagrass",
ISNUMBER(SEARCH("kentucky",E741)),"Kentucky Bluegrass",
ISNUMBER(SEARCH("zoysia",E741)),"Zoysia",
ISNUMBER(SEARCH("ryegrass",E741)),"Perennial Ryegrass",
ISNUMBER(SEARCH("centipede",E741)),"Centipede Grass",
ISNUMBER(SEARCH("dense shade",E741)),"Dense Shade Mix",
ISNUMBER(SEARCH("southern gold",E741)),"Southern Gold Mix",
ISNUMBER(SEARCH("heat-tolerant blue",E741)),"Heat-Tolerant Blue Mix",
ISNUMBER(SEARCH("high traffic",E741)),"High Traffic Mix",
ISNUMBER(SEARCH("quick fix",E741)),"Quick Fix Mix",
ISNUMBER(SEARCH("starter",E741)),"Starter Fertilizer",
ISNUMBER(SEARCH("weed &amp; feed",E741)),"Weed &amp; Feed",
ISNUMBER(SEARCH("lawn food",E741)),"Lawn Food",
ISNUMBER(SEARCH("triple action",E741)),"Triple Action Fertilizer",
ISNUMBER(SEARCH("green max",E741)),"Green Max Lawn Food",
ISNUMBER(SEARCH("patchmaster",E741)),"PatchMaster Repair",
ISNUMBER(SEARCH("ez seed",E741)),"EZ Seed Repair",
ISNUMBER(SEARCH("rapid grass",E741)),"Rapid Grass",
ISNUMBER(SEARCH("thick'r lawn",E741)),"Thick'R Lawn",
ISNUMBER(SEARCH("fungicide",E741)),"Fungicide",
ISNUMBER(SEARCH("moss",E741)),"Moss Control",
ISNUMBER(SEARCH("perlite",E741)),"Perlite",
ISNUMBER(SEARCH("plant food",E741)),"Plant Food",
ISNUMBER(SEARCH("spreader",E741)),"Spreader",
ISNUMBER(SEARCH("sprayer",E741)),"Sprayer",
ISNUMBER(SEARCH("mower",E741)),"Lawn Mower",
ISNUMBER(SEARCH("sweeper",E741)),"Lawn Sweeper",
OR(ISNUMBER(SEARCH("pruner",E741)),ISNUMBER(SEARCH("trimmer",E741)),ISNUMBER(SEARCH("pole saw",E741))),"Pruning Tools",
TRUE,"Other"
)</f>
        <v>Other</v>
      </c>
      <c r="J741" s="7" t="str">
        <f t="shared" si="207"/>
        <v>Other - Other</v>
      </c>
      <c r="K741" s="4">
        <v>700</v>
      </c>
      <c r="L741" s="4">
        <v>4.5999999999999996</v>
      </c>
      <c r="M741" s="4">
        <v>690</v>
      </c>
      <c r="N741" s="4" t="s">
        <v>1094</v>
      </c>
      <c r="O741" s="4">
        <f>VLOOKUP(A741,[14]Sheet1!$A:$M,2,0)</f>
        <v>100</v>
      </c>
      <c r="P741" s="4">
        <f>VLOOKUP(A741,[14]Sheet1!$A:$M,3,0)</f>
        <v>100</v>
      </c>
      <c r="Q741" s="4">
        <f>VLOOKUP(A741,[14]Sheet1!$A:$M,4,0)</f>
        <v>200</v>
      </c>
      <c r="R741" s="4">
        <f>VLOOKUP(A741,[14]Sheet1!$A:$M,5,0)</f>
        <v>400</v>
      </c>
      <c r="S741" s="4">
        <f>VLOOKUP(A741,[14]Sheet1!$A:$M,6,0)</f>
        <v>500</v>
      </c>
      <c r="T741" s="4">
        <f>VLOOKUP(A741,[14]Sheet1!$A:$M,7,0)</f>
        <v>600</v>
      </c>
      <c r="U741" s="4">
        <f>VLOOKUP(A741,[14]Sheet1!$A:$M,8,0)</f>
        <v>600</v>
      </c>
      <c r="V741" s="4">
        <f>VLOOKUP(A741,[14]Sheet1!$A:$M,9,0)</f>
        <v>600</v>
      </c>
      <c r="W741" s="4">
        <f>VLOOKUP(A741,[14]Sheet1!$A:$M,10,0)</f>
        <v>600</v>
      </c>
      <c r="X741" s="4">
        <f>VLOOKUP(A741,[14]Sheet1!$A:$M,11,0)</f>
        <v>800</v>
      </c>
      <c r="Y741" s="4">
        <f>VLOOKUP(A741,[14]Sheet1!$A:$M,12,0)</f>
        <v>300</v>
      </c>
      <c r="Z741" s="4">
        <f>VLOOKUP(A741,[14]Sheet1!$A:$M,13,0)</f>
        <v>100</v>
      </c>
      <c r="AA741" s="4">
        <f t="shared" si="221"/>
        <v>4900</v>
      </c>
      <c r="AB741" s="7">
        <f t="shared" si="222"/>
        <v>408</v>
      </c>
      <c r="AC741" s="15">
        <f t="shared" si="223"/>
        <v>408.33333333333331</v>
      </c>
      <c r="AD741" s="16">
        <f t="shared" si="224"/>
        <v>42679.000000000007</v>
      </c>
      <c r="AE741" s="16">
        <f t="shared" si="225"/>
        <v>3556.5833333333335</v>
      </c>
      <c r="AF741" s="21">
        <v>3.01</v>
      </c>
      <c r="AG741" s="21">
        <v>8.7100000000000009</v>
      </c>
      <c r="AH741" s="15">
        <f t="shared" si="226"/>
        <v>-3.506666666666667E-2</v>
      </c>
      <c r="AI741" s="15">
        <f t="shared" si="227"/>
        <v>-0.12273333333333333</v>
      </c>
      <c r="AJ741" s="10">
        <v>0.5</v>
      </c>
      <c r="AK741" s="10">
        <v>0.5</v>
      </c>
      <c r="AL741" s="21">
        <v>3.01</v>
      </c>
      <c r="AM741" s="9">
        <f t="shared" si="213"/>
        <v>1.3065</v>
      </c>
      <c r="AN741" s="9">
        <f t="shared" si="214"/>
        <v>0.26130000000000003</v>
      </c>
      <c r="AO741" s="9">
        <f t="shared" si="215"/>
        <v>1.7420000000000002</v>
      </c>
      <c r="AP741" s="9">
        <f t="shared" si="216"/>
        <v>0.17420000000000002</v>
      </c>
      <c r="AQ741" s="9">
        <f t="shared" si="217"/>
        <v>1.7420000000000002</v>
      </c>
      <c r="AR741" s="9">
        <f t="shared" si="218"/>
        <v>2.1775000000000002</v>
      </c>
      <c r="AS741" s="11">
        <f t="shared" si="219"/>
        <v>-0.35066666666666668</v>
      </c>
      <c r="AT741" s="12">
        <f t="shared" si="220"/>
        <v>-0.64100000000000001</v>
      </c>
    </row>
    <row r="742" spans="1:46" ht="16.5" x14ac:dyDescent="0.4">
      <c r="A742" s="4" t="s">
        <v>3284</v>
      </c>
      <c r="B742" s="4" t="s">
        <v>3312</v>
      </c>
      <c r="C742" s="4" t="s">
        <v>3312</v>
      </c>
      <c r="D742" s="4" t="s">
        <v>3334</v>
      </c>
      <c r="E742" s="4" t="s">
        <v>3380</v>
      </c>
      <c r="F742" s="4" t="s">
        <v>3430</v>
      </c>
      <c r="G742" s="7" t="str">
        <f>VLOOKUP(A742,[1]done!$A:$I,9,0)</f>
        <v>Cockroach</v>
      </c>
      <c r="H742" s="7" t="str" cm="1">
        <f t="array" ref="H742">_xlfn.IFS(
OR(ISNUMBER(SEARCH("mouse",E742)),ISNUMBER(SEARCH("rat",E742)),ISNUMBER(SEARCH("mice",E742)),ISNUMBER(SEARCH("rodent",E742))),"Rodent Control",
OR(ISNUMBER(SEARCH("fly",E742)),ISNUMBER(SEARCH("gnat",E742)),ISNUMBER(SEARCH("insect",E742)),ISNUMBER(SEARCH("mosquito",E742))),"Flying Insect Control",
OR(ISNUMBER(SEARCH("roach",E742)),ISNUMBER(SEARCH("ant",E742)),ISNUMBER(SEARCH("spider",E742)),ISNUMBER(SEARCH("cricket",E742)),ISNUMBER(SEARCH("scorpion",E742)),ISNUMBER(SEARCH("centipede",E742)),ISNUMBER(SEARCH("beetle",E742))),"Crawling Insect Control",
OR(ISNUMBER(SEARCH("tree",E742)),ISNUMBER(SEARCH("lantern",E742)),ISNUMBER(SEARCH("garden",E742)),ISNUMBER(SEARCH("plant",E742))),"Garden Pest Control",
OR(ISNUMBER(SEARCH("grass seed",E742)),ISNUMBER(SEARCH("seed mix",E742))),"Grass Seed",
OR(ISNUMBER(SEARCH("lawn food",E742)),ISNUMBER(SEARCH("fertilizer",E742))),"Lawn Fertilizer",
OR(ISNUMBER(SEARCH("patch",E742)),ISNUMBER(SEARCH("repair",E742)),ISNUMBER(SEARCH("thick'r",E742)),ISNUMBER(SEARCH("thick'r lawn",E742)),ISNUMBER(SEARCH("rapid grass",E742))),"Lawn Repair",
OR(ISNUMBER(SEARCH("weed",E742)),ISNUMBER(SEARCH("crabgrass",E742))),"Weed Control",
OR(ISNUMBER(SEARCH("fungicide",E742)),ISNUMBER(SEARCH("moss",E742))),"Disease &amp; Moss Control",
OR(ISNUMBER(SEARCH("plant food",E742)),ISNUMBER(SEARCH("miracid",E742))),"Plant Nutrition",
OR(ISNUMBER(SEARCH("perlite",E742))),"Soil Amendment",
OR(ISNUMBER(SEARCH("spreader",E742)),ISNUMBER(SEARCH("sprayer",E742)),ISNUMBER(SEARCH("mower",E742)),ISNUMBER(SEARCH("sweeper",E742)),ISNUMBER(SEARCH("pruner",E742)),ISNUMBER(SEARCH("trimmer",E742)),ISNUMBER(SEARCH("pole saw",E742))),"Garden Equipment",
TRUE,"Other"
)</f>
        <v>Crawling Insect Control</v>
      </c>
      <c r="I742" s="7" t="str" cm="1">
        <f t="array" ref="I742">_xlfn.IFS(
OR(ISNUMBER(SEARCH("glue trap",E742)),ISNUMBER(SEARCH("glue board",E742))),"Glue Traps",
OR(ISNUMBER(SEARCH("snap trap",E742)),ISNUMBER(SEARCH("power-kill",E742)),ISNUMBER(SEARCH("wide pedal",E742)),ISNUMBER(SEARCH("metal pedal",E742))),"Snap Traps",
OR(ISNUMBER(SEARCH("electronic",E742)),ISNUMBER(SEARCH("zapper",E742))),"Electronic Traps",
OR(ISNUMBER(SEARCH("live catch",E742)),ISNUMBER(SEARCH("multi-catch",E742)),ISNUMBER(SEARCH("catch &amp; hold",E742)),ISNUMBER(SEARCH("tin cat",E742))),"Live Catch Traps",
OR(ISNUMBER(SEARCH("bait",E742)),ISNUMBER(SEARCH("poison",E742))),"Bait &amp; Poison",
ISNUMBER(SEARCH("repellent",E742)),"Repellents",
OR(ISNUMBER(SEARCH("fly trap",E742)),ISNUMBER(SEARCH("fly ribbon",E742)),ISNUMBER(SEARCH("fly stick",E742)),ISNUMBER(SEARCH("window fly",E742)),ISNUMBER(SEARCH("fly magnet",E742))),"Fly Traps",
OR(ISNUMBER(SEARCH("uv",E742)),ISNUMBER(SEARCH("fly light",E742)),ISNUMBER(SEARCH("plug-in",E742))),"UV Fly Traps",
ISNUMBER(SEARCH("roach",E742)),"Roach Traps",
ISNUMBER(SEARCH("ant",E742)),"Ant Traps",
ISNUMBER(SEARCH("spider",E742)),"Spider Traps",
ISNUMBER(SEARCH("mosquito",E742)),"Mosquito Traps",
ISNUMBER(SEARCH("beetle",E742)),"Beetle Traps",
ISNUMBER(SEARCH("lantern",E742)),"Lanternfly Control",
OR(ISNUMBER(SEARCH("tree shield",E742)),ISNUMBER(SEARCH("tree banding",E742)),ISNUMBER(SEARCH("insect barrier",E742))),"Tree Barriers",
OR(ISNUMBER(SEARCH("sun &amp; shade",E742)),ISNUMBER(SEARCH("sun and shade",E742))),"Sun &amp; Shade Mix",
ISNUMBER(SEARCH("tall fescue",E742)),"Tall Fescue",
ISNUMBER(SEARCH("bermudagrass",E742)),"Bermudagrass",
ISNUMBER(SEARCH("kentucky",E742)),"Kentucky Bluegrass",
ISNUMBER(SEARCH("zoysia",E742)),"Zoysia",
ISNUMBER(SEARCH("ryegrass",E742)),"Perennial Ryegrass",
ISNUMBER(SEARCH("centipede",E742)),"Centipede Grass",
ISNUMBER(SEARCH("dense shade",E742)),"Dense Shade Mix",
ISNUMBER(SEARCH("southern gold",E742)),"Southern Gold Mix",
ISNUMBER(SEARCH("heat-tolerant blue",E742)),"Heat-Tolerant Blue Mix",
ISNUMBER(SEARCH("high traffic",E742)),"High Traffic Mix",
ISNUMBER(SEARCH("quick fix",E742)),"Quick Fix Mix",
ISNUMBER(SEARCH("starter",E742)),"Starter Fertilizer",
ISNUMBER(SEARCH("weed &amp; feed",E742)),"Weed &amp; Feed",
ISNUMBER(SEARCH("lawn food",E742)),"Lawn Food",
ISNUMBER(SEARCH("triple action",E742)),"Triple Action Fertilizer",
ISNUMBER(SEARCH("green max",E742)),"Green Max Lawn Food",
ISNUMBER(SEARCH("patchmaster",E742)),"PatchMaster Repair",
ISNUMBER(SEARCH("ez seed",E742)),"EZ Seed Repair",
ISNUMBER(SEARCH("rapid grass",E742)),"Rapid Grass",
ISNUMBER(SEARCH("thick'r lawn",E742)),"Thick'R Lawn",
ISNUMBER(SEARCH("fungicide",E742)),"Fungicide",
ISNUMBER(SEARCH("moss",E742)),"Moss Control",
ISNUMBER(SEARCH("perlite",E742)),"Perlite",
ISNUMBER(SEARCH("plant food",E742)),"Plant Food",
ISNUMBER(SEARCH("spreader",E742)),"Spreader",
ISNUMBER(SEARCH("sprayer",E742)),"Sprayer",
ISNUMBER(SEARCH("mower",E742)),"Lawn Mower",
ISNUMBER(SEARCH("sweeper",E742)),"Lawn Sweeper",
OR(ISNUMBER(SEARCH("pruner",E742)),ISNUMBER(SEARCH("trimmer",E742)),ISNUMBER(SEARCH("pole saw",E742))),"Pruning Tools",
TRUE,"Other"
)</f>
        <v>Roach Traps</v>
      </c>
      <c r="J742" s="7" t="str">
        <f t="shared" si="207"/>
        <v>Crawling Insect Control - Roach Traps</v>
      </c>
      <c r="K742" s="4">
        <v>400</v>
      </c>
      <c r="L742" s="4">
        <v>4.5999999999999996</v>
      </c>
      <c r="M742" s="4">
        <v>1374</v>
      </c>
      <c r="N742" s="4" t="s">
        <v>3468</v>
      </c>
      <c r="O742" s="4">
        <f>VLOOKUP(A742,[14]Sheet1!$A:$M,2,0)</f>
        <v>100</v>
      </c>
      <c r="P742" s="4">
        <f>VLOOKUP(A742,[14]Sheet1!$A:$M,3,0)</f>
        <v>100</v>
      </c>
      <c r="Q742" s="4">
        <f>VLOOKUP(A742,[14]Sheet1!$A:$M,4,0)</f>
        <v>100</v>
      </c>
      <c r="R742" s="4">
        <f>VLOOKUP(A742,[14]Sheet1!$A:$M,5,0)</f>
        <v>100</v>
      </c>
      <c r="S742" s="4">
        <f>VLOOKUP(A742,[14]Sheet1!$A:$M,6,0)</f>
        <v>100</v>
      </c>
      <c r="T742" s="4">
        <f>VLOOKUP(A742,[14]Sheet1!$A:$M,7,0)</f>
        <v>100</v>
      </c>
      <c r="U742" s="4">
        <f>VLOOKUP(A742,[14]Sheet1!$A:$M,8,0)</f>
        <v>100</v>
      </c>
      <c r="V742" s="4">
        <f>VLOOKUP(A742,[14]Sheet1!$A:$M,9,0)</f>
        <v>300</v>
      </c>
      <c r="W742" s="4">
        <f>VLOOKUP(A742,[14]Sheet1!$A:$M,10,0)</f>
        <v>400</v>
      </c>
      <c r="X742" s="4">
        <f>VLOOKUP(A742,[14]Sheet1!$A:$M,11,0)</f>
        <v>400</v>
      </c>
      <c r="Y742" s="4">
        <f>VLOOKUP(A742,[14]Sheet1!$A:$M,12,0)</f>
        <v>200</v>
      </c>
      <c r="Z742" s="4">
        <f>VLOOKUP(A742,[14]Sheet1!$A:$M,13,0)</f>
        <v>200</v>
      </c>
      <c r="AA742" s="4">
        <f t="shared" si="221"/>
        <v>2200</v>
      </c>
      <c r="AB742" s="7">
        <f t="shared" si="222"/>
        <v>183</v>
      </c>
      <c r="AC742" s="15">
        <f t="shared" si="223"/>
        <v>183.33333333333334</v>
      </c>
      <c r="AD742" s="16">
        <f t="shared" si="224"/>
        <v>72600</v>
      </c>
      <c r="AE742" s="16">
        <f t="shared" si="225"/>
        <v>6050</v>
      </c>
      <c r="AF742" s="21">
        <v>4.09</v>
      </c>
      <c r="AG742" s="21">
        <v>33</v>
      </c>
      <c r="AH742" s="15">
        <f t="shared" si="226"/>
        <v>0.54066666666666663</v>
      </c>
      <c r="AI742" s="15">
        <f t="shared" si="227"/>
        <v>1.892333333333333</v>
      </c>
      <c r="AJ742" s="10">
        <v>0.5</v>
      </c>
      <c r="AK742" s="10">
        <v>0.5</v>
      </c>
      <c r="AL742" s="21">
        <v>4.09</v>
      </c>
      <c r="AM742" s="9">
        <f t="shared" si="213"/>
        <v>4.95</v>
      </c>
      <c r="AN742" s="9">
        <f t="shared" si="214"/>
        <v>0.99</v>
      </c>
      <c r="AO742" s="9">
        <f t="shared" si="215"/>
        <v>6.6000000000000005</v>
      </c>
      <c r="AP742" s="9">
        <f t="shared" si="216"/>
        <v>0.66</v>
      </c>
      <c r="AQ742" s="9">
        <f t="shared" si="217"/>
        <v>6.6000000000000005</v>
      </c>
      <c r="AR742" s="9">
        <f t="shared" si="218"/>
        <v>8.25</v>
      </c>
      <c r="AS742" s="11">
        <f t="shared" si="219"/>
        <v>5.4066666666666663</v>
      </c>
      <c r="AT742" s="12">
        <f t="shared" si="220"/>
        <v>4.3066666666666675</v>
      </c>
    </row>
    <row r="743" spans="1:46" ht="16.5" x14ac:dyDescent="0.4">
      <c r="A743" s="4" t="s">
        <v>3285</v>
      </c>
      <c r="B743" s="4" t="s">
        <v>3312</v>
      </c>
      <c r="C743" s="4" t="s">
        <v>3312</v>
      </c>
      <c r="D743" s="4" t="s">
        <v>3335</v>
      </c>
      <c r="E743" s="4" t="s">
        <v>3381</v>
      </c>
      <c r="F743" s="4" t="s">
        <v>3431</v>
      </c>
      <c r="G743" s="7" t="str">
        <f>VLOOKUP(A743,[1]done!$A:$I,9,0)</f>
        <v>Insecticide/Fungicide</v>
      </c>
      <c r="H743" s="7" t="str" cm="1">
        <f t="array" ref="H743">_xlfn.IFS(
OR(ISNUMBER(SEARCH("mouse",E743)),ISNUMBER(SEARCH("rat",E743)),ISNUMBER(SEARCH("mice",E743)),ISNUMBER(SEARCH("rodent",E743))),"Rodent Control",
OR(ISNUMBER(SEARCH("fly",E743)),ISNUMBER(SEARCH("gnat",E743)),ISNUMBER(SEARCH("insect",E743)),ISNUMBER(SEARCH("mosquito",E743))),"Flying Insect Control",
OR(ISNUMBER(SEARCH("roach",E743)),ISNUMBER(SEARCH("ant",E743)),ISNUMBER(SEARCH("spider",E743)),ISNUMBER(SEARCH("cricket",E743)),ISNUMBER(SEARCH("scorpion",E743)),ISNUMBER(SEARCH("centipede",E743)),ISNUMBER(SEARCH("beetle",E743))),"Crawling Insect Control",
OR(ISNUMBER(SEARCH("tree",E743)),ISNUMBER(SEARCH("lantern",E743)),ISNUMBER(SEARCH("garden",E743)),ISNUMBER(SEARCH("plant",E743))),"Garden Pest Control",
OR(ISNUMBER(SEARCH("grass seed",E743)),ISNUMBER(SEARCH("seed mix",E743))),"Grass Seed",
OR(ISNUMBER(SEARCH("lawn food",E743)),ISNUMBER(SEARCH("fertilizer",E743))),"Lawn Fertilizer",
OR(ISNUMBER(SEARCH("patch",E743)),ISNUMBER(SEARCH("repair",E743)),ISNUMBER(SEARCH("thick'r",E743)),ISNUMBER(SEARCH("thick'r lawn",E743)),ISNUMBER(SEARCH("rapid grass",E743))),"Lawn Repair",
OR(ISNUMBER(SEARCH("weed",E743)),ISNUMBER(SEARCH("crabgrass",E743))),"Weed Control",
OR(ISNUMBER(SEARCH("fungicide",E743)),ISNUMBER(SEARCH("moss",E743))),"Disease &amp; Moss Control",
OR(ISNUMBER(SEARCH("plant food",E743)),ISNUMBER(SEARCH("miracid",E743))),"Plant Nutrition",
OR(ISNUMBER(SEARCH("perlite",E743))),"Soil Amendment",
OR(ISNUMBER(SEARCH("spreader",E743)),ISNUMBER(SEARCH("sprayer",E743)),ISNUMBER(SEARCH("mower",E743)),ISNUMBER(SEARCH("sweeper",E743)),ISNUMBER(SEARCH("pruner",E743)),ISNUMBER(SEARCH("trimmer",E743)),ISNUMBER(SEARCH("pole saw",E743))),"Garden Equipment",
TRUE,"Other"
)</f>
        <v>Rodent Control</v>
      </c>
      <c r="I743" s="7" t="str" cm="1">
        <f t="array" ref="I743">_xlfn.IFS(
OR(ISNUMBER(SEARCH("glue trap",E743)),ISNUMBER(SEARCH("glue board",E743))),"Glue Traps",
OR(ISNUMBER(SEARCH("snap trap",E743)),ISNUMBER(SEARCH("power-kill",E743)),ISNUMBER(SEARCH("wide pedal",E743)),ISNUMBER(SEARCH("metal pedal",E743))),"Snap Traps",
OR(ISNUMBER(SEARCH("electronic",E743)),ISNUMBER(SEARCH("zapper",E743))),"Electronic Traps",
OR(ISNUMBER(SEARCH("live catch",E743)),ISNUMBER(SEARCH("multi-catch",E743)),ISNUMBER(SEARCH("catch &amp; hold",E743)),ISNUMBER(SEARCH("tin cat",E743))),"Live Catch Traps",
OR(ISNUMBER(SEARCH("bait",E743)),ISNUMBER(SEARCH("poison",E743))),"Bait &amp; Poison",
ISNUMBER(SEARCH("repellent",E743)),"Repellents",
OR(ISNUMBER(SEARCH("fly trap",E743)),ISNUMBER(SEARCH("fly ribbon",E743)),ISNUMBER(SEARCH("fly stick",E743)),ISNUMBER(SEARCH("window fly",E743)),ISNUMBER(SEARCH("fly magnet",E743))),"Fly Traps",
OR(ISNUMBER(SEARCH("uv",E743)),ISNUMBER(SEARCH("fly light",E743)),ISNUMBER(SEARCH("plug-in",E743))),"UV Fly Traps",
ISNUMBER(SEARCH("roach",E743)),"Roach Traps",
ISNUMBER(SEARCH("ant",E743)),"Ant Traps",
ISNUMBER(SEARCH("spider",E743)),"Spider Traps",
ISNUMBER(SEARCH("mosquito",E743)),"Mosquito Traps",
ISNUMBER(SEARCH("beetle",E743)),"Beetle Traps",
ISNUMBER(SEARCH("lantern",E743)),"Lanternfly Control",
OR(ISNUMBER(SEARCH("tree shield",E743)),ISNUMBER(SEARCH("tree banding",E743)),ISNUMBER(SEARCH("insect barrier",E743))),"Tree Barriers",
OR(ISNUMBER(SEARCH("sun &amp; shade",E743)),ISNUMBER(SEARCH("sun and shade",E743))),"Sun &amp; Shade Mix",
ISNUMBER(SEARCH("tall fescue",E743)),"Tall Fescue",
ISNUMBER(SEARCH("bermudagrass",E743)),"Bermudagrass",
ISNUMBER(SEARCH("kentucky",E743)),"Kentucky Bluegrass",
ISNUMBER(SEARCH("zoysia",E743)),"Zoysia",
ISNUMBER(SEARCH("ryegrass",E743)),"Perennial Ryegrass",
ISNUMBER(SEARCH("centipede",E743)),"Centipede Grass",
ISNUMBER(SEARCH("dense shade",E743)),"Dense Shade Mix",
ISNUMBER(SEARCH("southern gold",E743)),"Southern Gold Mix",
ISNUMBER(SEARCH("heat-tolerant blue",E743)),"Heat-Tolerant Blue Mix",
ISNUMBER(SEARCH("high traffic",E743)),"High Traffic Mix",
ISNUMBER(SEARCH("quick fix",E743)),"Quick Fix Mix",
ISNUMBER(SEARCH("starter",E743)),"Starter Fertilizer",
ISNUMBER(SEARCH("weed &amp; feed",E743)),"Weed &amp; Feed",
ISNUMBER(SEARCH("lawn food",E743)),"Lawn Food",
ISNUMBER(SEARCH("triple action",E743)),"Triple Action Fertilizer",
ISNUMBER(SEARCH("green max",E743)),"Green Max Lawn Food",
ISNUMBER(SEARCH("patchmaster",E743)),"PatchMaster Repair",
ISNUMBER(SEARCH("ez seed",E743)),"EZ Seed Repair",
ISNUMBER(SEARCH("rapid grass",E743)),"Rapid Grass",
ISNUMBER(SEARCH("thick'r lawn",E743)),"Thick'R Lawn",
ISNUMBER(SEARCH("fungicide",E743)),"Fungicide",
ISNUMBER(SEARCH("moss",E743)),"Moss Control",
ISNUMBER(SEARCH("perlite",E743)),"Perlite",
ISNUMBER(SEARCH("plant food",E743)),"Plant Food",
ISNUMBER(SEARCH("spreader",E743)),"Spreader",
ISNUMBER(SEARCH("sprayer",E743)),"Sprayer",
ISNUMBER(SEARCH("mower",E743)),"Lawn Mower",
ISNUMBER(SEARCH("sweeper",E743)),"Lawn Sweeper",
OR(ISNUMBER(SEARCH("pruner",E743)),ISNUMBER(SEARCH("trimmer",E743)),ISNUMBER(SEARCH("pole saw",E743))),"Pruning Tools",
TRUE,"Other"
)</f>
        <v>Other</v>
      </c>
      <c r="J743" s="7" t="str">
        <f t="shared" si="207"/>
        <v>Rodent Control - Other</v>
      </c>
      <c r="K743" s="4">
        <v>300</v>
      </c>
      <c r="L743" s="4">
        <v>4.2</v>
      </c>
      <c r="M743" s="4">
        <v>91</v>
      </c>
      <c r="N743" s="4" t="s">
        <v>3469</v>
      </c>
      <c r="O743" s="4">
        <f>VLOOKUP(A743,[14]Sheet1!$A:$M,2,0)</f>
        <v>0</v>
      </c>
      <c r="P743" s="4">
        <f>VLOOKUP(A743,[14]Sheet1!$A:$M,3,0)</f>
        <v>0</v>
      </c>
      <c r="Q743" s="4">
        <f>VLOOKUP(A743,[14]Sheet1!$A:$M,4,0)</f>
        <v>50</v>
      </c>
      <c r="R743" s="4">
        <f>VLOOKUP(A743,[14]Sheet1!$A:$M,5,0)</f>
        <v>100</v>
      </c>
      <c r="S743" s="4">
        <f>VLOOKUP(A743,[14]Sheet1!$A:$M,6,0)</f>
        <v>200</v>
      </c>
      <c r="T743" s="4">
        <f>VLOOKUP(A743,[14]Sheet1!$A:$M,7,0)</f>
        <v>300</v>
      </c>
      <c r="U743" s="4">
        <f>VLOOKUP(A743,[14]Sheet1!$A:$M,8,0)</f>
        <v>200</v>
      </c>
      <c r="V743" s="4">
        <f>VLOOKUP(A743,[14]Sheet1!$A:$M,9,0)</f>
        <v>300</v>
      </c>
      <c r="W743" s="4">
        <f>VLOOKUP(A743,[14]Sheet1!$A:$M,10,0)</f>
        <v>300</v>
      </c>
      <c r="X743" s="4">
        <f>VLOOKUP(A743,[14]Sheet1!$A:$M,11,0)</f>
        <v>100</v>
      </c>
      <c r="Y743" s="4">
        <f>VLOOKUP(A743,[14]Sheet1!$A:$M,12,0)</f>
        <v>50</v>
      </c>
      <c r="Z743" s="4">
        <f>VLOOKUP(A743,[14]Sheet1!$A:$M,13,0)</f>
        <v>0</v>
      </c>
      <c r="AA743" s="4">
        <f t="shared" si="221"/>
        <v>1600</v>
      </c>
      <c r="AB743" s="7">
        <f t="shared" si="222"/>
        <v>133</v>
      </c>
      <c r="AC743" s="15">
        <f t="shared" si="223"/>
        <v>133.33333333333334</v>
      </c>
      <c r="AD743" s="16">
        <f t="shared" si="224"/>
        <v>19312</v>
      </c>
      <c r="AE743" s="16">
        <f t="shared" si="225"/>
        <v>1609.3333333333335</v>
      </c>
      <c r="AF743" s="21">
        <v>3.86</v>
      </c>
      <c r="AG743" s="21">
        <v>12.07</v>
      </c>
      <c r="AH743" s="15">
        <f t="shared" si="226"/>
        <v>-2.1333333333333356E-3</v>
      </c>
      <c r="AI743" s="15">
        <f t="shared" si="227"/>
        <v>-7.4666666666666735E-3</v>
      </c>
      <c r="AJ743" s="10">
        <v>0.5</v>
      </c>
      <c r="AK743" s="10">
        <v>0.5</v>
      </c>
      <c r="AL743" s="21">
        <v>3.86</v>
      </c>
      <c r="AM743" s="9">
        <f t="shared" si="213"/>
        <v>1.8105</v>
      </c>
      <c r="AN743" s="9">
        <f t="shared" si="214"/>
        <v>0.36209999999999998</v>
      </c>
      <c r="AO743" s="9">
        <f t="shared" si="215"/>
        <v>2.4140000000000001</v>
      </c>
      <c r="AP743" s="9">
        <f t="shared" si="216"/>
        <v>0.2414</v>
      </c>
      <c r="AQ743" s="9">
        <f t="shared" si="217"/>
        <v>2.4140000000000001</v>
      </c>
      <c r="AR743" s="9">
        <f t="shared" si="218"/>
        <v>3.0175000000000001</v>
      </c>
      <c r="AS743" s="11">
        <f t="shared" si="219"/>
        <v>-2.1333333333333353E-2</v>
      </c>
      <c r="AT743" s="12">
        <f t="shared" si="220"/>
        <v>-0.42366666666666664</v>
      </c>
    </row>
    <row r="744" spans="1:46" ht="16.5" x14ac:dyDescent="0.4">
      <c r="A744" s="4" t="s">
        <v>3286</v>
      </c>
      <c r="B744" s="4" t="s">
        <v>3312</v>
      </c>
      <c r="C744" s="4" t="s">
        <v>3312</v>
      </c>
      <c r="D744" s="4" t="s">
        <v>3336</v>
      </c>
      <c r="E744" s="4" t="s">
        <v>3382</v>
      </c>
      <c r="F744" s="4" t="s">
        <v>3432</v>
      </c>
      <c r="G744" s="7" t="str">
        <f>VLOOKUP(A744,[1]done!$A:$I,9,0)</f>
        <v>Insecticide/Fungicide</v>
      </c>
      <c r="H744" s="7" t="str" cm="1">
        <f t="array" ref="H744">_xlfn.IFS(
OR(ISNUMBER(SEARCH("mouse",E744)),ISNUMBER(SEARCH("rat",E744)),ISNUMBER(SEARCH("mice",E744)),ISNUMBER(SEARCH("rodent",E744))),"Rodent Control",
OR(ISNUMBER(SEARCH("fly",E744)),ISNUMBER(SEARCH("gnat",E744)),ISNUMBER(SEARCH("insect",E744)),ISNUMBER(SEARCH("mosquito",E744))),"Flying Insect Control",
OR(ISNUMBER(SEARCH("roach",E744)),ISNUMBER(SEARCH("ant",E744)),ISNUMBER(SEARCH("spider",E744)),ISNUMBER(SEARCH("cricket",E744)),ISNUMBER(SEARCH("scorpion",E744)),ISNUMBER(SEARCH("centipede",E744)),ISNUMBER(SEARCH("beetle",E744))),"Crawling Insect Control",
OR(ISNUMBER(SEARCH("tree",E744)),ISNUMBER(SEARCH("lantern",E744)),ISNUMBER(SEARCH("garden",E744)),ISNUMBER(SEARCH("plant",E744))),"Garden Pest Control",
OR(ISNUMBER(SEARCH("grass seed",E744)),ISNUMBER(SEARCH("seed mix",E744))),"Grass Seed",
OR(ISNUMBER(SEARCH("lawn food",E744)),ISNUMBER(SEARCH("fertilizer",E744))),"Lawn Fertilizer",
OR(ISNUMBER(SEARCH("patch",E744)),ISNUMBER(SEARCH("repair",E744)),ISNUMBER(SEARCH("thick'r",E744)),ISNUMBER(SEARCH("thick'r lawn",E744)),ISNUMBER(SEARCH("rapid grass",E744))),"Lawn Repair",
OR(ISNUMBER(SEARCH("weed",E744)),ISNUMBER(SEARCH("crabgrass",E744))),"Weed Control",
OR(ISNUMBER(SEARCH("fungicide",E744)),ISNUMBER(SEARCH("moss",E744))),"Disease &amp; Moss Control",
OR(ISNUMBER(SEARCH("plant food",E744)),ISNUMBER(SEARCH("miracid",E744))),"Plant Nutrition",
OR(ISNUMBER(SEARCH("perlite",E744))),"Soil Amendment",
OR(ISNUMBER(SEARCH("spreader",E744)),ISNUMBER(SEARCH("sprayer",E744)),ISNUMBER(SEARCH("mower",E744)),ISNUMBER(SEARCH("sweeper",E744)),ISNUMBER(SEARCH("pruner",E744)),ISNUMBER(SEARCH("trimmer",E744)),ISNUMBER(SEARCH("pole saw",E744))),"Garden Equipment",
TRUE,"Other"
)</f>
        <v>Flying Insect Control</v>
      </c>
      <c r="I744" s="7" t="str" cm="1">
        <f t="array" ref="I744">_xlfn.IFS(
OR(ISNUMBER(SEARCH("glue trap",E744)),ISNUMBER(SEARCH("glue board",E744))),"Glue Traps",
OR(ISNUMBER(SEARCH("snap trap",E744)),ISNUMBER(SEARCH("power-kill",E744)),ISNUMBER(SEARCH("wide pedal",E744)),ISNUMBER(SEARCH("metal pedal",E744))),"Snap Traps",
OR(ISNUMBER(SEARCH("electronic",E744)),ISNUMBER(SEARCH("zapper",E744))),"Electronic Traps",
OR(ISNUMBER(SEARCH("live catch",E744)),ISNUMBER(SEARCH("multi-catch",E744)),ISNUMBER(SEARCH("catch &amp; hold",E744)),ISNUMBER(SEARCH("tin cat",E744))),"Live Catch Traps",
OR(ISNUMBER(SEARCH("bait",E744)),ISNUMBER(SEARCH("poison",E744))),"Bait &amp; Poison",
ISNUMBER(SEARCH("repellent",E744)),"Repellents",
OR(ISNUMBER(SEARCH("fly trap",E744)),ISNUMBER(SEARCH("fly ribbon",E744)),ISNUMBER(SEARCH("fly stick",E744)),ISNUMBER(SEARCH("window fly",E744)),ISNUMBER(SEARCH("fly magnet",E744))),"Fly Traps",
OR(ISNUMBER(SEARCH("uv",E744)),ISNUMBER(SEARCH("fly light",E744)),ISNUMBER(SEARCH("plug-in",E744))),"UV Fly Traps",
ISNUMBER(SEARCH("roach",E744)),"Roach Traps",
ISNUMBER(SEARCH("ant",E744)),"Ant Traps",
ISNUMBER(SEARCH("spider",E744)),"Spider Traps",
ISNUMBER(SEARCH("mosquito",E744)),"Mosquito Traps",
ISNUMBER(SEARCH("beetle",E744)),"Beetle Traps",
ISNUMBER(SEARCH("lantern",E744)),"Lanternfly Control",
OR(ISNUMBER(SEARCH("tree shield",E744)),ISNUMBER(SEARCH("tree banding",E744)),ISNUMBER(SEARCH("insect barrier",E744))),"Tree Barriers",
OR(ISNUMBER(SEARCH("sun &amp; shade",E744)),ISNUMBER(SEARCH("sun and shade",E744))),"Sun &amp; Shade Mix",
ISNUMBER(SEARCH("tall fescue",E744)),"Tall Fescue",
ISNUMBER(SEARCH("bermudagrass",E744)),"Bermudagrass",
ISNUMBER(SEARCH("kentucky",E744)),"Kentucky Bluegrass",
ISNUMBER(SEARCH("zoysia",E744)),"Zoysia",
ISNUMBER(SEARCH("ryegrass",E744)),"Perennial Ryegrass",
ISNUMBER(SEARCH("centipede",E744)),"Centipede Grass",
ISNUMBER(SEARCH("dense shade",E744)),"Dense Shade Mix",
ISNUMBER(SEARCH("southern gold",E744)),"Southern Gold Mix",
ISNUMBER(SEARCH("heat-tolerant blue",E744)),"Heat-Tolerant Blue Mix",
ISNUMBER(SEARCH("high traffic",E744)),"High Traffic Mix",
ISNUMBER(SEARCH("quick fix",E744)),"Quick Fix Mix",
ISNUMBER(SEARCH("starter",E744)),"Starter Fertilizer",
ISNUMBER(SEARCH("weed &amp; feed",E744)),"Weed &amp; Feed",
ISNUMBER(SEARCH("lawn food",E744)),"Lawn Food",
ISNUMBER(SEARCH("triple action",E744)),"Triple Action Fertilizer",
ISNUMBER(SEARCH("green max",E744)),"Green Max Lawn Food",
ISNUMBER(SEARCH("patchmaster",E744)),"PatchMaster Repair",
ISNUMBER(SEARCH("ez seed",E744)),"EZ Seed Repair",
ISNUMBER(SEARCH("rapid grass",E744)),"Rapid Grass",
ISNUMBER(SEARCH("thick'r lawn",E744)),"Thick'R Lawn",
ISNUMBER(SEARCH("fungicide",E744)),"Fungicide",
ISNUMBER(SEARCH("moss",E744)),"Moss Control",
ISNUMBER(SEARCH("perlite",E744)),"Perlite",
ISNUMBER(SEARCH("plant food",E744)),"Plant Food",
ISNUMBER(SEARCH("spreader",E744)),"Spreader",
ISNUMBER(SEARCH("sprayer",E744)),"Sprayer",
ISNUMBER(SEARCH("mower",E744)),"Lawn Mower",
ISNUMBER(SEARCH("sweeper",E744)),"Lawn Sweeper",
OR(ISNUMBER(SEARCH("pruner",E744)),ISNUMBER(SEARCH("trimmer",E744)),ISNUMBER(SEARCH("pole saw",E744))),"Pruning Tools",
TRUE,"Other"
)</f>
        <v>Other</v>
      </c>
      <c r="J744" s="7" t="str">
        <f t="shared" si="207"/>
        <v>Flying Insect Control - Other</v>
      </c>
      <c r="K744" s="4">
        <v>300</v>
      </c>
      <c r="L744" s="4">
        <v>4.7</v>
      </c>
      <c r="M744" s="4">
        <v>284</v>
      </c>
      <c r="N744" s="4" t="s">
        <v>3470</v>
      </c>
      <c r="O744" s="4">
        <f>VLOOKUP(A744,[14]Sheet1!$A:$M,2,0)</f>
        <v>50</v>
      </c>
      <c r="P744" s="4">
        <f>VLOOKUP(A744,[14]Sheet1!$A:$M,3,0)</f>
        <v>50</v>
      </c>
      <c r="Q744" s="4">
        <f>VLOOKUP(A744,[14]Sheet1!$A:$M,4,0)</f>
        <v>100</v>
      </c>
      <c r="R744" s="4">
        <f>VLOOKUP(A744,[14]Sheet1!$A:$M,5,0)</f>
        <v>300</v>
      </c>
      <c r="S744" s="4">
        <f>VLOOKUP(A744,[14]Sheet1!$A:$M,6,0)</f>
        <v>300</v>
      </c>
      <c r="T744" s="4">
        <f>VLOOKUP(A744,[14]Sheet1!$A:$M,7,0)</f>
        <v>500</v>
      </c>
      <c r="U744" s="4">
        <f>VLOOKUP(A744,[14]Sheet1!$A:$M,8,0)</f>
        <v>300</v>
      </c>
      <c r="V744" s="4">
        <f>VLOOKUP(A744,[14]Sheet1!$A:$M,9,0)</f>
        <v>300</v>
      </c>
      <c r="W744" s="4">
        <f>VLOOKUP(A744,[14]Sheet1!$A:$M,10,0)</f>
        <v>300</v>
      </c>
      <c r="X744" s="4">
        <f>VLOOKUP(A744,[14]Sheet1!$A:$M,11,0)</f>
        <v>200</v>
      </c>
      <c r="Y744" s="4">
        <f>VLOOKUP(A744,[14]Sheet1!$A:$M,12,0)</f>
        <v>100</v>
      </c>
      <c r="Z744" s="4">
        <f>VLOOKUP(A744,[14]Sheet1!$A:$M,13,0)</f>
        <v>100</v>
      </c>
      <c r="AA744" s="4">
        <f t="shared" si="221"/>
        <v>2600</v>
      </c>
      <c r="AB744" s="7">
        <f t="shared" si="222"/>
        <v>217</v>
      </c>
      <c r="AC744" s="15">
        <f t="shared" si="223"/>
        <v>216.66666666666666</v>
      </c>
      <c r="AD744" s="16">
        <f t="shared" si="224"/>
        <v>270374</v>
      </c>
      <c r="AE744" s="16">
        <f t="shared" si="225"/>
        <v>22531.166666666664</v>
      </c>
      <c r="AF744" s="21">
        <v>9.86</v>
      </c>
      <c r="AG744" s="21">
        <v>103.99</v>
      </c>
      <c r="AH744" s="15">
        <f t="shared" si="226"/>
        <v>2.0490666666666661</v>
      </c>
      <c r="AI744" s="15">
        <f t="shared" si="227"/>
        <v>7.1717333333333304</v>
      </c>
      <c r="AJ744" s="10">
        <v>0.5</v>
      </c>
      <c r="AK744" s="10">
        <v>0.5</v>
      </c>
      <c r="AL744" s="21">
        <v>9.86</v>
      </c>
      <c r="AM744" s="9">
        <f t="shared" si="213"/>
        <v>15.598499999999998</v>
      </c>
      <c r="AN744" s="9">
        <f t="shared" si="214"/>
        <v>3.1196999999999999</v>
      </c>
      <c r="AO744" s="9">
        <f t="shared" si="215"/>
        <v>20.798000000000002</v>
      </c>
      <c r="AP744" s="9">
        <f t="shared" si="216"/>
        <v>2.0798000000000001</v>
      </c>
      <c r="AQ744" s="9">
        <f t="shared" si="217"/>
        <v>20.798000000000002</v>
      </c>
      <c r="AR744" s="9">
        <f t="shared" si="218"/>
        <v>25.997499999999999</v>
      </c>
      <c r="AS744" s="11">
        <f t="shared" si="219"/>
        <v>20.490666666666659</v>
      </c>
      <c r="AT744" s="12">
        <f t="shared" si="220"/>
        <v>17.024333333333328</v>
      </c>
    </row>
    <row r="745" spans="1:46" ht="16.5" x14ac:dyDescent="0.4">
      <c r="A745" s="4" t="s">
        <v>3287</v>
      </c>
      <c r="B745" s="4" t="s">
        <v>3312</v>
      </c>
      <c r="C745" s="4" t="s">
        <v>3313</v>
      </c>
      <c r="D745" s="4" t="s">
        <v>3337</v>
      </c>
      <c r="E745" s="4" t="s">
        <v>3383</v>
      </c>
      <c r="F745" s="4" t="s">
        <v>3433</v>
      </c>
      <c r="G745" s="7" t="str">
        <f>VLOOKUP(A745,[1]done!$A:$I,9,0)</f>
        <v>Insecticide/Fungicide</v>
      </c>
      <c r="H745" s="7" t="str" cm="1">
        <f t="array" ref="H745">_xlfn.IFS(
OR(ISNUMBER(SEARCH("mouse",E745)),ISNUMBER(SEARCH("rat",E745)),ISNUMBER(SEARCH("mice",E745)),ISNUMBER(SEARCH("rodent",E745))),"Rodent Control",
OR(ISNUMBER(SEARCH("fly",E745)),ISNUMBER(SEARCH("gnat",E745)),ISNUMBER(SEARCH("insect",E745)),ISNUMBER(SEARCH("mosquito",E745))),"Flying Insect Control",
OR(ISNUMBER(SEARCH("roach",E745)),ISNUMBER(SEARCH("ant",E745)),ISNUMBER(SEARCH("spider",E745)),ISNUMBER(SEARCH("cricket",E745)),ISNUMBER(SEARCH("scorpion",E745)),ISNUMBER(SEARCH("centipede",E745)),ISNUMBER(SEARCH("beetle",E745))),"Crawling Insect Control",
OR(ISNUMBER(SEARCH("tree",E745)),ISNUMBER(SEARCH("lantern",E745)),ISNUMBER(SEARCH("garden",E745)),ISNUMBER(SEARCH("plant",E745))),"Garden Pest Control",
OR(ISNUMBER(SEARCH("grass seed",E745)),ISNUMBER(SEARCH("seed mix",E745))),"Grass Seed",
OR(ISNUMBER(SEARCH("lawn food",E745)),ISNUMBER(SEARCH("fertilizer",E745))),"Lawn Fertilizer",
OR(ISNUMBER(SEARCH("patch",E745)),ISNUMBER(SEARCH("repair",E745)),ISNUMBER(SEARCH("thick'r",E745)),ISNUMBER(SEARCH("thick'r lawn",E745)),ISNUMBER(SEARCH("rapid grass",E745))),"Lawn Repair",
OR(ISNUMBER(SEARCH("weed",E745)),ISNUMBER(SEARCH("crabgrass",E745))),"Weed Control",
OR(ISNUMBER(SEARCH("fungicide",E745)),ISNUMBER(SEARCH("moss",E745))),"Disease &amp; Moss Control",
OR(ISNUMBER(SEARCH("plant food",E745)),ISNUMBER(SEARCH("miracid",E745))),"Plant Nutrition",
OR(ISNUMBER(SEARCH("perlite",E745))),"Soil Amendment",
OR(ISNUMBER(SEARCH("spreader",E745)),ISNUMBER(SEARCH("sprayer",E745)),ISNUMBER(SEARCH("mower",E745)),ISNUMBER(SEARCH("sweeper",E745)),ISNUMBER(SEARCH("pruner",E745)),ISNUMBER(SEARCH("trimmer",E745)),ISNUMBER(SEARCH("pole saw",E745))),"Garden Equipment",
TRUE,"Other"
)</f>
        <v>Disease &amp; Moss Control</v>
      </c>
      <c r="I745" s="7" t="str" cm="1">
        <f t="array" ref="I745">_xlfn.IFS(
OR(ISNUMBER(SEARCH("glue trap",E745)),ISNUMBER(SEARCH("glue board",E745))),"Glue Traps",
OR(ISNUMBER(SEARCH("snap trap",E745)),ISNUMBER(SEARCH("power-kill",E745)),ISNUMBER(SEARCH("wide pedal",E745)),ISNUMBER(SEARCH("metal pedal",E745))),"Snap Traps",
OR(ISNUMBER(SEARCH("electronic",E745)),ISNUMBER(SEARCH("zapper",E745))),"Electronic Traps",
OR(ISNUMBER(SEARCH("live catch",E745)),ISNUMBER(SEARCH("multi-catch",E745)),ISNUMBER(SEARCH("catch &amp; hold",E745)),ISNUMBER(SEARCH("tin cat",E745))),"Live Catch Traps",
OR(ISNUMBER(SEARCH("bait",E745)),ISNUMBER(SEARCH("poison",E745))),"Bait &amp; Poison",
ISNUMBER(SEARCH("repellent",E745)),"Repellents",
OR(ISNUMBER(SEARCH("fly trap",E745)),ISNUMBER(SEARCH("fly ribbon",E745)),ISNUMBER(SEARCH("fly stick",E745)),ISNUMBER(SEARCH("window fly",E745)),ISNUMBER(SEARCH("fly magnet",E745))),"Fly Traps",
OR(ISNUMBER(SEARCH("uv",E745)),ISNUMBER(SEARCH("fly light",E745)),ISNUMBER(SEARCH("plug-in",E745))),"UV Fly Traps",
ISNUMBER(SEARCH("roach",E745)),"Roach Traps",
ISNUMBER(SEARCH("ant",E745)),"Ant Traps",
ISNUMBER(SEARCH("spider",E745)),"Spider Traps",
ISNUMBER(SEARCH("mosquito",E745)),"Mosquito Traps",
ISNUMBER(SEARCH("beetle",E745)),"Beetle Traps",
ISNUMBER(SEARCH("lantern",E745)),"Lanternfly Control",
OR(ISNUMBER(SEARCH("tree shield",E745)),ISNUMBER(SEARCH("tree banding",E745)),ISNUMBER(SEARCH("insect barrier",E745))),"Tree Barriers",
OR(ISNUMBER(SEARCH("sun &amp; shade",E745)),ISNUMBER(SEARCH("sun and shade",E745))),"Sun &amp; Shade Mix",
ISNUMBER(SEARCH("tall fescue",E745)),"Tall Fescue",
ISNUMBER(SEARCH("bermudagrass",E745)),"Bermudagrass",
ISNUMBER(SEARCH("kentucky",E745)),"Kentucky Bluegrass",
ISNUMBER(SEARCH("zoysia",E745)),"Zoysia",
ISNUMBER(SEARCH("ryegrass",E745)),"Perennial Ryegrass",
ISNUMBER(SEARCH("centipede",E745)),"Centipede Grass",
ISNUMBER(SEARCH("dense shade",E745)),"Dense Shade Mix",
ISNUMBER(SEARCH("southern gold",E745)),"Southern Gold Mix",
ISNUMBER(SEARCH("heat-tolerant blue",E745)),"Heat-Tolerant Blue Mix",
ISNUMBER(SEARCH("high traffic",E745)),"High Traffic Mix",
ISNUMBER(SEARCH("quick fix",E745)),"Quick Fix Mix",
ISNUMBER(SEARCH("starter",E745)),"Starter Fertilizer",
ISNUMBER(SEARCH("weed &amp; feed",E745)),"Weed &amp; Feed",
ISNUMBER(SEARCH("lawn food",E745)),"Lawn Food",
ISNUMBER(SEARCH("triple action",E745)),"Triple Action Fertilizer",
ISNUMBER(SEARCH("green max",E745)),"Green Max Lawn Food",
ISNUMBER(SEARCH("patchmaster",E745)),"PatchMaster Repair",
ISNUMBER(SEARCH("ez seed",E745)),"EZ Seed Repair",
ISNUMBER(SEARCH("rapid grass",E745)),"Rapid Grass",
ISNUMBER(SEARCH("thick'r lawn",E745)),"Thick'R Lawn",
ISNUMBER(SEARCH("fungicide",E745)),"Fungicide",
ISNUMBER(SEARCH("moss",E745)),"Moss Control",
ISNUMBER(SEARCH("perlite",E745)),"Perlite",
ISNUMBER(SEARCH("plant food",E745)),"Plant Food",
ISNUMBER(SEARCH("spreader",E745)),"Spreader",
ISNUMBER(SEARCH("sprayer",E745)),"Sprayer",
ISNUMBER(SEARCH("mower",E745)),"Lawn Mower",
ISNUMBER(SEARCH("sweeper",E745)),"Lawn Sweeper",
OR(ISNUMBER(SEARCH("pruner",E745)),ISNUMBER(SEARCH("trimmer",E745)),ISNUMBER(SEARCH("pole saw",E745))),"Pruning Tools",
TRUE,"Other"
)</f>
        <v>Fungicide</v>
      </c>
      <c r="J745" s="7" t="str">
        <f t="shared" si="207"/>
        <v>Disease &amp; Moss Control - Fungicide</v>
      </c>
      <c r="K745" s="4">
        <v>300</v>
      </c>
      <c r="L745" s="4">
        <v>4.4000000000000004</v>
      </c>
      <c r="M745" s="4">
        <v>248</v>
      </c>
      <c r="N745" s="4" t="s">
        <v>3471</v>
      </c>
      <c r="O745" s="4">
        <f>VLOOKUP(A745,[14]Sheet1!$A:$M,2,0)</f>
        <v>0</v>
      </c>
      <c r="P745" s="4">
        <f>VLOOKUP(A745,[14]Sheet1!$A:$M,3,0)</f>
        <v>0</v>
      </c>
      <c r="Q745" s="4">
        <f>VLOOKUP(A745,[14]Sheet1!$A:$M,4,0)</f>
        <v>200</v>
      </c>
      <c r="R745" s="4">
        <f>VLOOKUP(A745,[14]Sheet1!$A:$M,5,0)</f>
        <v>300</v>
      </c>
      <c r="S745" s="4">
        <f>VLOOKUP(A745,[14]Sheet1!$A:$M,6,0)</f>
        <v>350</v>
      </c>
      <c r="T745" s="4">
        <f>VLOOKUP(A745,[14]Sheet1!$A:$M,7,0)</f>
        <v>450</v>
      </c>
      <c r="U745" s="4">
        <f>VLOOKUP(A745,[14]Sheet1!$A:$M,8,0)</f>
        <v>400</v>
      </c>
      <c r="V745" s="4">
        <f>VLOOKUP(A745,[14]Sheet1!$A:$M,9,0)</f>
        <v>250</v>
      </c>
      <c r="W745" s="4">
        <f>VLOOKUP(A745,[14]Sheet1!$A:$M,10,0)</f>
        <v>300</v>
      </c>
      <c r="X745" s="4">
        <f>VLOOKUP(A745,[14]Sheet1!$A:$M,11,0)</f>
        <v>300</v>
      </c>
      <c r="Y745" s="4">
        <f>VLOOKUP(A745,[14]Sheet1!$A:$M,12,0)</f>
        <v>200</v>
      </c>
      <c r="Z745" s="4">
        <f>VLOOKUP(A745,[14]Sheet1!$A:$M,13,0)</f>
        <v>150</v>
      </c>
      <c r="AA745" s="4">
        <f t="shared" si="221"/>
        <v>2900</v>
      </c>
      <c r="AB745" s="7">
        <f t="shared" si="222"/>
        <v>242</v>
      </c>
      <c r="AC745" s="15">
        <f t="shared" si="223"/>
        <v>241.66666666666666</v>
      </c>
      <c r="AD745" s="16">
        <f t="shared" si="224"/>
        <v>232261</v>
      </c>
      <c r="AE745" s="16">
        <f t="shared" si="225"/>
        <v>19355.083333333332</v>
      </c>
      <c r="AF745" s="21">
        <v>80.09</v>
      </c>
      <c r="AG745" s="21">
        <v>80.09</v>
      </c>
      <c r="AH745" s="15">
        <f t="shared" si="226"/>
        <v>-3.2702666666666667</v>
      </c>
      <c r="AI745" s="15">
        <f t="shared" si="227"/>
        <v>-11.445933333333333</v>
      </c>
      <c r="AJ745" s="10">
        <v>0.5</v>
      </c>
      <c r="AK745" s="10">
        <v>0.5</v>
      </c>
      <c r="AL745" s="21">
        <v>80.09</v>
      </c>
      <c r="AM745" s="9">
        <f t="shared" si="213"/>
        <v>12.013500000000001</v>
      </c>
      <c r="AN745" s="9">
        <f t="shared" si="214"/>
        <v>2.4026999999999998</v>
      </c>
      <c r="AO745" s="9">
        <f t="shared" si="215"/>
        <v>16.018000000000001</v>
      </c>
      <c r="AP745" s="9">
        <f t="shared" si="216"/>
        <v>1.6018000000000001</v>
      </c>
      <c r="AQ745" s="9">
        <f t="shared" si="217"/>
        <v>16.018000000000001</v>
      </c>
      <c r="AR745" s="9">
        <f t="shared" si="218"/>
        <v>20.022500000000001</v>
      </c>
      <c r="AS745" s="11">
        <f t="shared" si="219"/>
        <v>-32.702666666666666</v>
      </c>
      <c r="AT745" s="12">
        <f t="shared" si="220"/>
        <v>-35.372333333333337</v>
      </c>
    </row>
    <row r="746" spans="1:46" ht="16.5" x14ac:dyDescent="0.4">
      <c r="A746" s="4" t="s">
        <v>3288</v>
      </c>
      <c r="B746" s="4" t="s">
        <v>3312</v>
      </c>
      <c r="C746" s="4" t="s">
        <v>3312</v>
      </c>
      <c r="D746" s="4" t="s">
        <v>3338</v>
      </c>
      <c r="E746" s="4" t="s">
        <v>3384</v>
      </c>
      <c r="F746" s="4" t="s">
        <v>3434</v>
      </c>
      <c r="G746" s="7" t="str">
        <f>VLOOKUP(A746,[1]done!$A:$I,9,0)</f>
        <v>Other crawling insects</v>
      </c>
      <c r="H746" s="7" t="str" cm="1">
        <f t="array" ref="H746">_xlfn.IFS(
OR(ISNUMBER(SEARCH("mouse",E746)),ISNUMBER(SEARCH("rat",E746)),ISNUMBER(SEARCH("mice",E746)),ISNUMBER(SEARCH("rodent",E746))),"Rodent Control",
OR(ISNUMBER(SEARCH("fly",E746)),ISNUMBER(SEARCH("gnat",E746)),ISNUMBER(SEARCH("insect",E746)),ISNUMBER(SEARCH("mosquito",E746))),"Flying Insect Control",
OR(ISNUMBER(SEARCH("roach",E746)),ISNUMBER(SEARCH("ant",E746)),ISNUMBER(SEARCH("spider",E746)),ISNUMBER(SEARCH("cricket",E746)),ISNUMBER(SEARCH("scorpion",E746)),ISNUMBER(SEARCH("centipede",E746)),ISNUMBER(SEARCH("beetle",E746))),"Crawling Insect Control",
OR(ISNUMBER(SEARCH("tree",E746)),ISNUMBER(SEARCH("lantern",E746)),ISNUMBER(SEARCH("garden",E746)),ISNUMBER(SEARCH("plant",E746))),"Garden Pest Control",
OR(ISNUMBER(SEARCH("grass seed",E746)),ISNUMBER(SEARCH("seed mix",E746))),"Grass Seed",
OR(ISNUMBER(SEARCH("lawn food",E746)),ISNUMBER(SEARCH("fertilizer",E746))),"Lawn Fertilizer",
OR(ISNUMBER(SEARCH("patch",E746)),ISNUMBER(SEARCH("repair",E746)),ISNUMBER(SEARCH("thick'r",E746)),ISNUMBER(SEARCH("thick'r lawn",E746)),ISNUMBER(SEARCH("rapid grass",E746))),"Lawn Repair",
OR(ISNUMBER(SEARCH("weed",E746)),ISNUMBER(SEARCH("crabgrass",E746))),"Weed Control",
OR(ISNUMBER(SEARCH("fungicide",E746)),ISNUMBER(SEARCH("moss",E746))),"Disease &amp; Moss Control",
OR(ISNUMBER(SEARCH("plant food",E746)),ISNUMBER(SEARCH("miracid",E746))),"Plant Nutrition",
OR(ISNUMBER(SEARCH("perlite",E746))),"Soil Amendment",
OR(ISNUMBER(SEARCH("spreader",E746)),ISNUMBER(SEARCH("sprayer",E746)),ISNUMBER(SEARCH("mower",E746)),ISNUMBER(SEARCH("sweeper",E746)),ISNUMBER(SEARCH("pruner",E746)),ISNUMBER(SEARCH("trimmer",E746)),ISNUMBER(SEARCH("pole saw",E746))),"Garden Equipment",
TRUE,"Other"
)</f>
        <v>Crawling Insect Control</v>
      </c>
      <c r="I746" s="7" t="str" cm="1">
        <f t="array" ref="I746">_xlfn.IFS(
OR(ISNUMBER(SEARCH("glue trap",E746)),ISNUMBER(SEARCH("glue board",E746))),"Glue Traps",
OR(ISNUMBER(SEARCH("snap trap",E746)),ISNUMBER(SEARCH("power-kill",E746)),ISNUMBER(SEARCH("wide pedal",E746)),ISNUMBER(SEARCH("metal pedal",E746))),"Snap Traps",
OR(ISNUMBER(SEARCH("electronic",E746)),ISNUMBER(SEARCH("zapper",E746))),"Electronic Traps",
OR(ISNUMBER(SEARCH("live catch",E746)),ISNUMBER(SEARCH("multi-catch",E746)),ISNUMBER(SEARCH("catch &amp; hold",E746)),ISNUMBER(SEARCH("tin cat",E746))),"Live Catch Traps",
OR(ISNUMBER(SEARCH("bait",E746)),ISNUMBER(SEARCH("poison",E746))),"Bait &amp; Poison",
ISNUMBER(SEARCH("repellent",E746)),"Repellents",
OR(ISNUMBER(SEARCH("fly trap",E746)),ISNUMBER(SEARCH("fly ribbon",E746)),ISNUMBER(SEARCH("fly stick",E746)),ISNUMBER(SEARCH("window fly",E746)),ISNUMBER(SEARCH("fly magnet",E746))),"Fly Traps",
OR(ISNUMBER(SEARCH("uv",E746)),ISNUMBER(SEARCH("fly light",E746)),ISNUMBER(SEARCH("plug-in",E746))),"UV Fly Traps",
ISNUMBER(SEARCH("roach",E746)),"Roach Traps",
ISNUMBER(SEARCH("ant",E746)),"Ant Traps",
ISNUMBER(SEARCH("spider",E746)),"Spider Traps",
ISNUMBER(SEARCH("mosquito",E746)),"Mosquito Traps",
ISNUMBER(SEARCH("beetle",E746)),"Beetle Traps",
ISNUMBER(SEARCH("lantern",E746)),"Lanternfly Control",
OR(ISNUMBER(SEARCH("tree shield",E746)),ISNUMBER(SEARCH("tree banding",E746)),ISNUMBER(SEARCH("insect barrier",E746))),"Tree Barriers",
OR(ISNUMBER(SEARCH("sun &amp; shade",E746)),ISNUMBER(SEARCH("sun and shade",E746))),"Sun &amp; Shade Mix",
ISNUMBER(SEARCH("tall fescue",E746)),"Tall Fescue",
ISNUMBER(SEARCH("bermudagrass",E746)),"Bermudagrass",
ISNUMBER(SEARCH("kentucky",E746)),"Kentucky Bluegrass",
ISNUMBER(SEARCH("zoysia",E746)),"Zoysia",
ISNUMBER(SEARCH("ryegrass",E746)),"Perennial Ryegrass",
ISNUMBER(SEARCH("centipede",E746)),"Centipede Grass",
ISNUMBER(SEARCH("dense shade",E746)),"Dense Shade Mix",
ISNUMBER(SEARCH("southern gold",E746)),"Southern Gold Mix",
ISNUMBER(SEARCH("heat-tolerant blue",E746)),"Heat-Tolerant Blue Mix",
ISNUMBER(SEARCH("high traffic",E746)),"High Traffic Mix",
ISNUMBER(SEARCH("quick fix",E746)),"Quick Fix Mix",
ISNUMBER(SEARCH("starter",E746)),"Starter Fertilizer",
ISNUMBER(SEARCH("weed &amp; feed",E746)),"Weed &amp; Feed",
ISNUMBER(SEARCH("lawn food",E746)),"Lawn Food",
ISNUMBER(SEARCH("triple action",E746)),"Triple Action Fertilizer",
ISNUMBER(SEARCH("green max",E746)),"Green Max Lawn Food",
ISNUMBER(SEARCH("patchmaster",E746)),"PatchMaster Repair",
ISNUMBER(SEARCH("ez seed",E746)),"EZ Seed Repair",
ISNUMBER(SEARCH("rapid grass",E746)),"Rapid Grass",
ISNUMBER(SEARCH("thick'r lawn",E746)),"Thick'R Lawn",
ISNUMBER(SEARCH("fungicide",E746)),"Fungicide",
ISNUMBER(SEARCH("moss",E746)),"Moss Control",
ISNUMBER(SEARCH("perlite",E746)),"Perlite",
ISNUMBER(SEARCH("plant food",E746)),"Plant Food",
ISNUMBER(SEARCH("spreader",E746)),"Spreader",
ISNUMBER(SEARCH("sprayer",E746)),"Sprayer",
ISNUMBER(SEARCH("mower",E746)),"Lawn Mower",
ISNUMBER(SEARCH("sweeper",E746)),"Lawn Sweeper",
OR(ISNUMBER(SEARCH("pruner",E746)),ISNUMBER(SEARCH("trimmer",E746)),ISNUMBER(SEARCH("pole saw",E746))),"Pruning Tools",
TRUE,"Other"
)</f>
        <v>Ant Traps</v>
      </c>
      <c r="J746" s="7" t="str">
        <f t="shared" si="207"/>
        <v>Crawling Insect Control - Ant Traps</v>
      </c>
      <c r="K746" s="4">
        <v>300</v>
      </c>
      <c r="L746" s="4">
        <v>4.7</v>
      </c>
      <c r="M746" s="4">
        <v>178</v>
      </c>
      <c r="N746" s="4" t="s">
        <v>3472</v>
      </c>
      <c r="O746" s="4">
        <f>VLOOKUP(A746,[14]Sheet1!$A:$M,2,0)</f>
        <v>0</v>
      </c>
      <c r="P746" s="4">
        <f>VLOOKUP(A746,[14]Sheet1!$A:$M,3,0)</f>
        <v>0</v>
      </c>
      <c r="Q746" s="4">
        <f>VLOOKUP(A746,[14]Sheet1!$A:$M,4,0)</f>
        <v>100</v>
      </c>
      <c r="R746" s="4">
        <f>VLOOKUP(A746,[14]Sheet1!$A:$M,5,0)</f>
        <v>300</v>
      </c>
      <c r="S746" s="4">
        <f>VLOOKUP(A746,[14]Sheet1!$A:$M,6,0)</f>
        <v>400</v>
      </c>
      <c r="T746" s="4">
        <f>VLOOKUP(A746,[14]Sheet1!$A:$M,7,0)</f>
        <v>900</v>
      </c>
      <c r="U746" s="4">
        <f>VLOOKUP(A746,[14]Sheet1!$A:$M,8,0)</f>
        <v>950</v>
      </c>
      <c r="V746" s="4">
        <f>VLOOKUP(A746,[14]Sheet1!$A:$M,9,0)</f>
        <v>900</v>
      </c>
      <c r="W746" s="4">
        <f>VLOOKUP(A746,[14]Sheet1!$A:$M,10,0)</f>
        <v>300</v>
      </c>
      <c r="X746" s="4">
        <f>VLOOKUP(A746,[14]Sheet1!$A:$M,11,0)</f>
        <v>0</v>
      </c>
      <c r="Y746" s="4">
        <f>VLOOKUP(A746,[14]Sheet1!$A:$M,12,0)</f>
        <v>0</v>
      </c>
      <c r="Z746" s="4">
        <f>VLOOKUP(A746,[14]Sheet1!$A:$M,13,0)</f>
        <v>0</v>
      </c>
      <c r="AA746" s="4">
        <f t="shared" si="221"/>
        <v>3850</v>
      </c>
      <c r="AB746" s="7">
        <f t="shared" si="222"/>
        <v>321</v>
      </c>
      <c r="AC746" s="15">
        <f t="shared" si="223"/>
        <v>320.83333333333331</v>
      </c>
      <c r="AD746" s="16">
        <f t="shared" si="224"/>
        <v>124971</v>
      </c>
      <c r="AE746" s="16">
        <f t="shared" si="225"/>
        <v>10414.25</v>
      </c>
      <c r="AF746" s="21">
        <v>4.09</v>
      </c>
      <c r="AG746" s="21">
        <v>32.46</v>
      </c>
      <c r="AH746" s="15">
        <f t="shared" si="226"/>
        <v>-5.0503999999999998</v>
      </c>
      <c r="AI746" s="15">
        <f t="shared" si="227"/>
        <v>-17.676399999999997</v>
      </c>
      <c r="AJ746" s="10">
        <v>0.5</v>
      </c>
      <c r="AK746" s="10">
        <v>0.5</v>
      </c>
      <c r="AL746" s="21">
        <v>87.74</v>
      </c>
      <c r="AM746" s="9">
        <f t="shared" si="213"/>
        <v>4.8689999999999998</v>
      </c>
      <c r="AN746" s="9">
        <f t="shared" si="214"/>
        <v>0.9738</v>
      </c>
      <c r="AO746" s="9">
        <f t="shared" si="215"/>
        <v>6.4920000000000009</v>
      </c>
      <c r="AP746" s="9">
        <f t="shared" si="216"/>
        <v>0.6492</v>
      </c>
      <c r="AQ746" s="9">
        <f t="shared" si="217"/>
        <v>6.4920000000000009</v>
      </c>
      <c r="AR746" s="9">
        <f t="shared" si="218"/>
        <v>8.1150000000000002</v>
      </c>
      <c r="AS746" s="11">
        <f t="shared" si="219"/>
        <v>-50.503999999999998</v>
      </c>
      <c r="AT746" s="12">
        <f t="shared" si="220"/>
        <v>-51.585999999999991</v>
      </c>
    </row>
    <row r="747" spans="1:46" ht="16.5" x14ac:dyDescent="0.4">
      <c r="A747" s="4" t="s">
        <v>3289</v>
      </c>
      <c r="B747" s="4" t="s">
        <v>3312</v>
      </c>
      <c r="C747" s="4" t="s">
        <v>3312</v>
      </c>
      <c r="D747" s="4" t="s">
        <v>3339</v>
      </c>
      <c r="E747" s="4" t="s">
        <v>3385</v>
      </c>
      <c r="F747" s="4" t="s">
        <v>3435</v>
      </c>
      <c r="G747" s="7" t="str">
        <f>VLOOKUP(A747,[1]done!$A:$I,9,0)</f>
        <v>Insecticide/Fungicide</v>
      </c>
      <c r="H747" s="7" t="str" cm="1">
        <f t="array" ref="H747">_xlfn.IFS(
OR(ISNUMBER(SEARCH("mouse",E747)),ISNUMBER(SEARCH("rat",E747)),ISNUMBER(SEARCH("mice",E747)),ISNUMBER(SEARCH("rodent",E747))),"Rodent Control",
OR(ISNUMBER(SEARCH("fly",E747)),ISNUMBER(SEARCH("gnat",E747)),ISNUMBER(SEARCH("insect",E747)),ISNUMBER(SEARCH("mosquito",E747))),"Flying Insect Control",
OR(ISNUMBER(SEARCH("roach",E747)),ISNUMBER(SEARCH("ant",E747)),ISNUMBER(SEARCH("spider",E747)),ISNUMBER(SEARCH("cricket",E747)),ISNUMBER(SEARCH("scorpion",E747)),ISNUMBER(SEARCH("centipede",E747)),ISNUMBER(SEARCH("beetle",E747))),"Crawling Insect Control",
OR(ISNUMBER(SEARCH("tree",E747)),ISNUMBER(SEARCH("lantern",E747)),ISNUMBER(SEARCH("garden",E747)),ISNUMBER(SEARCH("plant",E747))),"Garden Pest Control",
OR(ISNUMBER(SEARCH("grass seed",E747)),ISNUMBER(SEARCH("seed mix",E747))),"Grass Seed",
OR(ISNUMBER(SEARCH("lawn food",E747)),ISNUMBER(SEARCH("fertilizer",E747))),"Lawn Fertilizer",
OR(ISNUMBER(SEARCH("patch",E747)),ISNUMBER(SEARCH("repair",E747)),ISNUMBER(SEARCH("thick'r",E747)),ISNUMBER(SEARCH("thick'r lawn",E747)),ISNUMBER(SEARCH("rapid grass",E747))),"Lawn Repair",
OR(ISNUMBER(SEARCH("weed",E747)),ISNUMBER(SEARCH("crabgrass",E747))),"Weed Control",
OR(ISNUMBER(SEARCH("fungicide",E747)),ISNUMBER(SEARCH("moss",E747))),"Disease &amp; Moss Control",
OR(ISNUMBER(SEARCH("plant food",E747)),ISNUMBER(SEARCH("miracid",E747))),"Plant Nutrition",
OR(ISNUMBER(SEARCH("perlite",E747))),"Soil Amendment",
OR(ISNUMBER(SEARCH("spreader",E747)),ISNUMBER(SEARCH("sprayer",E747)),ISNUMBER(SEARCH("mower",E747)),ISNUMBER(SEARCH("sweeper",E747)),ISNUMBER(SEARCH("pruner",E747)),ISNUMBER(SEARCH("trimmer",E747)),ISNUMBER(SEARCH("pole saw",E747))),"Garden Equipment",
TRUE,"Other"
)</f>
        <v>Flying Insect Control</v>
      </c>
      <c r="I747" s="7" t="str" cm="1">
        <f t="array" ref="I747">_xlfn.IFS(
OR(ISNUMBER(SEARCH("glue trap",E747)),ISNUMBER(SEARCH("glue board",E747))),"Glue Traps",
OR(ISNUMBER(SEARCH("snap trap",E747)),ISNUMBER(SEARCH("power-kill",E747)),ISNUMBER(SEARCH("wide pedal",E747)),ISNUMBER(SEARCH("metal pedal",E747))),"Snap Traps",
OR(ISNUMBER(SEARCH("electronic",E747)),ISNUMBER(SEARCH("zapper",E747))),"Electronic Traps",
OR(ISNUMBER(SEARCH("live catch",E747)),ISNUMBER(SEARCH("multi-catch",E747)),ISNUMBER(SEARCH("catch &amp; hold",E747)),ISNUMBER(SEARCH("tin cat",E747))),"Live Catch Traps",
OR(ISNUMBER(SEARCH("bait",E747)),ISNUMBER(SEARCH("poison",E747))),"Bait &amp; Poison",
ISNUMBER(SEARCH("repellent",E747)),"Repellents",
OR(ISNUMBER(SEARCH("fly trap",E747)),ISNUMBER(SEARCH("fly ribbon",E747)),ISNUMBER(SEARCH("fly stick",E747)),ISNUMBER(SEARCH("window fly",E747)),ISNUMBER(SEARCH("fly magnet",E747))),"Fly Traps",
OR(ISNUMBER(SEARCH("uv",E747)),ISNUMBER(SEARCH("fly light",E747)),ISNUMBER(SEARCH("plug-in",E747))),"UV Fly Traps",
ISNUMBER(SEARCH("roach",E747)),"Roach Traps",
ISNUMBER(SEARCH("ant",E747)),"Ant Traps",
ISNUMBER(SEARCH("spider",E747)),"Spider Traps",
ISNUMBER(SEARCH("mosquito",E747)),"Mosquito Traps",
ISNUMBER(SEARCH("beetle",E747)),"Beetle Traps",
ISNUMBER(SEARCH("lantern",E747)),"Lanternfly Control",
OR(ISNUMBER(SEARCH("tree shield",E747)),ISNUMBER(SEARCH("tree banding",E747)),ISNUMBER(SEARCH("insect barrier",E747))),"Tree Barriers",
OR(ISNUMBER(SEARCH("sun &amp; shade",E747)),ISNUMBER(SEARCH("sun and shade",E747))),"Sun &amp; Shade Mix",
ISNUMBER(SEARCH("tall fescue",E747)),"Tall Fescue",
ISNUMBER(SEARCH("bermudagrass",E747)),"Bermudagrass",
ISNUMBER(SEARCH("kentucky",E747)),"Kentucky Bluegrass",
ISNUMBER(SEARCH("zoysia",E747)),"Zoysia",
ISNUMBER(SEARCH("ryegrass",E747)),"Perennial Ryegrass",
ISNUMBER(SEARCH("centipede",E747)),"Centipede Grass",
ISNUMBER(SEARCH("dense shade",E747)),"Dense Shade Mix",
ISNUMBER(SEARCH("southern gold",E747)),"Southern Gold Mix",
ISNUMBER(SEARCH("heat-tolerant blue",E747)),"Heat-Tolerant Blue Mix",
ISNUMBER(SEARCH("high traffic",E747)),"High Traffic Mix",
ISNUMBER(SEARCH("quick fix",E747)),"Quick Fix Mix",
ISNUMBER(SEARCH("starter",E747)),"Starter Fertilizer",
ISNUMBER(SEARCH("weed &amp; feed",E747)),"Weed &amp; Feed",
ISNUMBER(SEARCH("lawn food",E747)),"Lawn Food",
ISNUMBER(SEARCH("triple action",E747)),"Triple Action Fertilizer",
ISNUMBER(SEARCH("green max",E747)),"Green Max Lawn Food",
ISNUMBER(SEARCH("patchmaster",E747)),"PatchMaster Repair",
ISNUMBER(SEARCH("ez seed",E747)),"EZ Seed Repair",
ISNUMBER(SEARCH("rapid grass",E747)),"Rapid Grass",
ISNUMBER(SEARCH("thick'r lawn",E747)),"Thick'R Lawn",
ISNUMBER(SEARCH("fungicide",E747)),"Fungicide",
ISNUMBER(SEARCH("moss",E747)),"Moss Control",
ISNUMBER(SEARCH("perlite",E747)),"Perlite",
ISNUMBER(SEARCH("plant food",E747)),"Plant Food",
ISNUMBER(SEARCH("spreader",E747)),"Spreader",
ISNUMBER(SEARCH("sprayer",E747)),"Sprayer",
ISNUMBER(SEARCH("mower",E747)),"Lawn Mower",
ISNUMBER(SEARCH("sweeper",E747)),"Lawn Sweeper",
OR(ISNUMBER(SEARCH("pruner",E747)),ISNUMBER(SEARCH("trimmer",E747)),ISNUMBER(SEARCH("pole saw",E747))),"Pruning Tools",
TRUE,"Other"
)</f>
        <v>Other</v>
      </c>
      <c r="J747" s="7" t="str">
        <f t="shared" si="207"/>
        <v>Flying Insect Control - Other</v>
      </c>
      <c r="K747" s="4">
        <v>200</v>
      </c>
      <c r="L747" s="4">
        <v>4.5</v>
      </c>
      <c r="M747" s="4">
        <v>215</v>
      </c>
      <c r="N747" s="4" t="s">
        <v>3473</v>
      </c>
      <c r="O747" s="4">
        <f>VLOOKUP(A747,[14]Sheet1!$A:$M,2,0)</f>
        <v>0</v>
      </c>
      <c r="P747" s="4">
        <f>VLOOKUP(A747,[14]Sheet1!$A:$M,3,0)</f>
        <v>0</v>
      </c>
      <c r="Q747" s="4">
        <f>VLOOKUP(A747,[14]Sheet1!$A:$M,4,0)</f>
        <v>100</v>
      </c>
      <c r="R747" s="4">
        <f>VLOOKUP(A747,[14]Sheet1!$A:$M,5,0)</f>
        <v>200</v>
      </c>
      <c r="S747" s="4">
        <f>VLOOKUP(A747,[14]Sheet1!$A:$M,6,0)</f>
        <v>50</v>
      </c>
      <c r="T747" s="4">
        <f>VLOOKUP(A747,[14]Sheet1!$A:$M,7,0)</f>
        <v>100</v>
      </c>
      <c r="U747" s="4">
        <f>VLOOKUP(A747,[14]Sheet1!$A:$M,8,0)</f>
        <v>200</v>
      </c>
      <c r="V747" s="4">
        <f>VLOOKUP(A747,[14]Sheet1!$A:$M,9,0)</f>
        <v>200</v>
      </c>
      <c r="W747" s="4">
        <f>VLOOKUP(A747,[14]Sheet1!$A:$M,10,0)</f>
        <v>200</v>
      </c>
      <c r="X747" s="4">
        <f>VLOOKUP(A747,[14]Sheet1!$A:$M,11,0)</f>
        <v>0</v>
      </c>
      <c r="Y747" s="4">
        <f>VLOOKUP(A747,[14]Sheet1!$A:$M,12,0)</f>
        <v>50</v>
      </c>
      <c r="Z747" s="4">
        <f>VLOOKUP(A747,[14]Sheet1!$A:$M,13,0)</f>
        <v>50</v>
      </c>
      <c r="AA747" s="4">
        <f t="shared" si="221"/>
        <v>1150</v>
      </c>
      <c r="AB747" s="7">
        <f t="shared" si="222"/>
        <v>96</v>
      </c>
      <c r="AC747" s="15">
        <f t="shared" si="223"/>
        <v>95.833333333333329</v>
      </c>
      <c r="AD747" s="16">
        <f t="shared" si="224"/>
        <v>137942.5</v>
      </c>
      <c r="AE747" s="16">
        <f t="shared" si="225"/>
        <v>11495.208333333334</v>
      </c>
      <c r="AF747" s="21">
        <v>6.58</v>
      </c>
      <c r="AG747" s="21">
        <v>119.95</v>
      </c>
      <c r="AH747" s="15">
        <f t="shared" si="226"/>
        <v>2.6933333333333334</v>
      </c>
      <c r="AI747" s="15">
        <f t="shared" si="227"/>
        <v>9.4266666666666659</v>
      </c>
      <c r="AJ747" s="10">
        <v>0.5</v>
      </c>
      <c r="AK747" s="10">
        <v>0.5</v>
      </c>
      <c r="AL747" s="21">
        <v>6.58</v>
      </c>
      <c r="AM747" s="9">
        <f t="shared" si="213"/>
        <v>17.9925</v>
      </c>
      <c r="AN747" s="9">
        <f t="shared" si="214"/>
        <v>3.5985</v>
      </c>
      <c r="AO747" s="9">
        <f t="shared" si="215"/>
        <v>23.990000000000002</v>
      </c>
      <c r="AP747" s="9">
        <f t="shared" si="216"/>
        <v>2.399</v>
      </c>
      <c r="AQ747" s="9">
        <f t="shared" si="217"/>
        <v>23.990000000000002</v>
      </c>
      <c r="AR747" s="9">
        <f t="shared" si="218"/>
        <v>29.987500000000001</v>
      </c>
      <c r="AS747" s="11">
        <f t="shared" si="219"/>
        <v>26.933333333333334</v>
      </c>
      <c r="AT747" s="12">
        <f t="shared" si="220"/>
        <v>22.935000000000002</v>
      </c>
    </row>
    <row r="748" spans="1:46" ht="16.5" x14ac:dyDescent="0.4">
      <c r="A748" s="4" t="s">
        <v>3290</v>
      </c>
      <c r="B748" s="4" t="s">
        <v>3312</v>
      </c>
      <c r="C748" s="4" t="s">
        <v>3313</v>
      </c>
      <c r="D748" s="4" t="s">
        <v>3340</v>
      </c>
      <c r="E748" s="4" t="s">
        <v>3386</v>
      </c>
      <c r="F748" s="4" t="s">
        <v>3436</v>
      </c>
      <c r="G748" s="7" t="str">
        <f>VLOOKUP(A748,[1]done!$A:$I,9,0)</f>
        <v>Insecticide/Fungicide</v>
      </c>
      <c r="H748" s="7" t="str" cm="1">
        <f t="array" ref="H748">_xlfn.IFS(
OR(ISNUMBER(SEARCH("mouse",E748)),ISNUMBER(SEARCH("rat",E748)),ISNUMBER(SEARCH("mice",E748)),ISNUMBER(SEARCH("rodent",E748))),"Rodent Control",
OR(ISNUMBER(SEARCH("fly",E748)),ISNUMBER(SEARCH("gnat",E748)),ISNUMBER(SEARCH("insect",E748)),ISNUMBER(SEARCH("mosquito",E748))),"Flying Insect Control",
OR(ISNUMBER(SEARCH("roach",E748)),ISNUMBER(SEARCH("ant",E748)),ISNUMBER(SEARCH("spider",E748)),ISNUMBER(SEARCH("cricket",E748)),ISNUMBER(SEARCH("scorpion",E748)),ISNUMBER(SEARCH("centipede",E748)),ISNUMBER(SEARCH("beetle",E748))),"Crawling Insect Control",
OR(ISNUMBER(SEARCH("tree",E748)),ISNUMBER(SEARCH("lantern",E748)),ISNUMBER(SEARCH("garden",E748)),ISNUMBER(SEARCH("plant",E748))),"Garden Pest Control",
OR(ISNUMBER(SEARCH("grass seed",E748)),ISNUMBER(SEARCH("seed mix",E748))),"Grass Seed",
OR(ISNUMBER(SEARCH("lawn food",E748)),ISNUMBER(SEARCH("fertilizer",E748))),"Lawn Fertilizer",
OR(ISNUMBER(SEARCH("patch",E748)),ISNUMBER(SEARCH("repair",E748)),ISNUMBER(SEARCH("thick'r",E748)),ISNUMBER(SEARCH("thick'r lawn",E748)),ISNUMBER(SEARCH("rapid grass",E748))),"Lawn Repair",
OR(ISNUMBER(SEARCH("weed",E748)),ISNUMBER(SEARCH("crabgrass",E748))),"Weed Control",
OR(ISNUMBER(SEARCH("fungicide",E748)),ISNUMBER(SEARCH("moss",E748))),"Disease &amp; Moss Control",
OR(ISNUMBER(SEARCH("plant food",E748)),ISNUMBER(SEARCH("miracid",E748))),"Plant Nutrition",
OR(ISNUMBER(SEARCH("perlite",E748))),"Soil Amendment",
OR(ISNUMBER(SEARCH("spreader",E748)),ISNUMBER(SEARCH("sprayer",E748)),ISNUMBER(SEARCH("mower",E748)),ISNUMBER(SEARCH("sweeper",E748)),ISNUMBER(SEARCH("pruner",E748)),ISNUMBER(SEARCH("trimmer",E748)),ISNUMBER(SEARCH("pole saw",E748))),"Garden Equipment",
TRUE,"Other"
)</f>
        <v>Disease &amp; Moss Control</v>
      </c>
      <c r="I748" s="7" t="str" cm="1">
        <f t="array" ref="I748">_xlfn.IFS(
OR(ISNUMBER(SEARCH("glue trap",E748)),ISNUMBER(SEARCH("glue board",E748))),"Glue Traps",
OR(ISNUMBER(SEARCH("snap trap",E748)),ISNUMBER(SEARCH("power-kill",E748)),ISNUMBER(SEARCH("wide pedal",E748)),ISNUMBER(SEARCH("metal pedal",E748))),"Snap Traps",
OR(ISNUMBER(SEARCH("electronic",E748)),ISNUMBER(SEARCH("zapper",E748))),"Electronic Traps",
OR(ISNUMBER(SEARCH("live catch",E748)),ISNUMBER(SEARCH("multi-catch",E748)),ISNUMBER(SEARCH("catch &amp; hold",E748)),ISNUMBER(SEARCH("tin cat",E748))),"Live Catch Traps",
OR(ISNUMBER(SEARCH("bait",E748)),ISNUMBER(SEARCH("poison",E748))),"Bait &amp; Poison",
ISNUMBER(SEARCH("repellent",E748)),"Repellents",
OR(ISNUMBER(SEARCH("fly trap",E748)),ISNUMBER(SEARCH("fly ribbon",E748)),ISNUMBER(SEARCH("fly stick",E748)),ISNUMBER(SEARCH("window fly",E748)),ISNUMBER(SEARCH("fly magnet",E748))),"Fly Traps",
OR(ISNUMBER(SEARCH("uv",E748)),ISNUMBER(SEARCH("fly light",E748)),ISNUMBER(SEARCH("plug-in",E748))),"UV Fly Traps",
ISNUMBER(SEARCH("roach",E748)),"Roach Traps",
ISNUMBER(SEARCH("ant",E748)),"Ant Traps",
ISNUMBER(SEARCH("spider",E748)),"Spider Traps",
ISNUMBER(SEARCH("mosquito",E748)),"Mosquito Traps",
ISNUMBER(SEARCH("beetle",E748)),"Beetle Traps",
ISNUMBER(SEARCH("lantern",E748)),"Lanternfly Control",
OR(ISNUMBER(SEARCH("tree shield",E748)),ISNUMBER(SEARCH("tree banding",E748)),ISNUMBER(SEARCH("insect barrier",E748))),"Tree Barriers",
OR(ISNUMBER(SEARCH("sun &amp; shade",E748)),ISNUMBER(SEARCH("sun and shade",E748))),"Sun &amp; Shade Mix",
ISNUMBER(SEARCH("tall fescue",E748)),"Tall Fescue",
ISNUMBER(SEARCH("bermudagrass",E748)),"Bermudagrass",
ISNUMBER(SEARCH("kentucky",E748)),"Kentucky Bluegrass",
ISNUMBER(SEARCH("zoysia",E748)),"Zoysia",
ISNUMBER(SEARCH("ryegrass",E748)),"Perennial Ryegrass",
ISNUMBER(SEARCH("centipede",E748)),"Centipede Grass",
ISNUMBER(SEARCH("dense shade",E748)),"Dense Shade Mix",
ISNUMBER(SEARCH("southern gold",E748)),"Southern Gold Mix",
ISNUMBER(SEARCH("heat-tolerant blue",E748)),"Heat-Tolerant Blue Mix",
ISNUMBER(SEARCH("high traffic",E748)),"High Traffic Mix",
ISNUMBER(SEARCH("quick fix",E748)),"Quick Fix Mix",
ISNUMBER(SEARCH("starter",E748)),"Starter Fertilizer",
ISNUMBER(SEARCH("weed &amp; feed",E748)),"Weed &amp; Feed",
ISNUMBER(SEARCH("lawn food",E748)),"Lawn Food",
ISNUMBER(SEARCH("triple action",E748)),"Triple Action Fertilizer",
ISNUMBER(SEARCH("green max",E748)),"Green Max Lawn Food",
ISNUMBER(SEARCH("patchmaster",E748)),"PatchMaster Repair",
ISNUMBER(SEARCH("ez seed",E748)),"EZ Seed Repair",
ISNUMBER(SEARCH("rapid grass",E748)),"Rapid Grass",
ISNUMBER(SEARCH("thick'r lawn",E748)),"Thick'R Lawn",
ISNUMBER(SEARCH("fungicide",E748)),"Fungicide",
ISNUMBER(SEARCH("moss",E748)),"Moss Control",
ISNUMBER(SEARCH("perlite",E748)),"Perlite",
ISNUMBER(SEARCH("plant food",E748)),"Plant Food",
ISNUMBER(SEARCH("spreader",E748)),"Spreader",
ISNUMBER(SEARCH("sprayer",E748)),"Sprayer",
ISNUMBER(SEARCH("mower",E748)),"Lawn Mower",
ISNUMBER(SEARCH("sweeper",E748)),"Lawn Sweeper",
OR(ISNUMBER(SEARCH("pruner",E748)),ISNUMBER(SEARCH("trimmer",E748)),ISNUMBER(SEARCH("pole saw",E748))),"Pruning Tools",
TRUE,"Other"
)</f>
        <v>Fungicide</v>
      </c>
      <c r="J748" s="7" t="str">
        <f t="shared" si="207"/>
        <v>Disease &amp; Moss Control - Fungicide</v>
      </c>
      <c r="K748" s="4">
        <v>200</v>
      </c>
      <c r="L748" s="4">
        <v>4.5</v>
      </c>
      <c r="M748" s="4">
        <v>334</v>
      </c>
      <c r="N748" s="4" t="s">
        <v>3474</v>
      </c>
      <c r="O748" s="4">
        <f>VLOOKUP(A748,[14]Sheet1!$A:$M,2,0)</f>
        <v>50</v>
      </c>
      <c r="P748" s="4">
        <f>VLOOKUP(A748,[14]Sheet1!$A:$M,3,0)</f>
        <v>50</v>
      </c>
      <c r="Q748" s="4">
        <f>VLOOKUP(A748,[14]Sheet1!$A:$M,4,0)</f>
        <v>100</v>
      </c>
      <c r="R748" s="4">
        <f>VLOOKUP(A748,[14]Sheet1!$A:$M,5,0)</f>
        <v>100</v>
      </c>
      <c r="S748" s="4">
        <f>VLOOKUP(A748,[14]Sheet1!$A:$M,6,0)</f>
        <v>300</v>
      </c>
      <c r="T748" s="4">
        <f>VLOOKUP(A748,[14]Sheet1!$A:$M,7,0)</f>
        <v>500</v>
      </c>
      <c r="U748" s="4">
        <f>VLOOKUP(A748,[14]Sheet1!$A:$M,8,0)</f>
        <v>500</v>
      </c>
      <c r="V748" s="4">
        <f>VLOOKUP(A748,[14]Sheet1!$A:$M,9,0)</f>
        <v>400</v>
      </c>
      <c r="W748" s="4">
        <f>VLOOKUP(A748,[14]Sheet1!$A:$M,10,0)</f>
        <v>200</v>
      </c>
      <c r="X748" s="4">
        <f>VLOOKUP(A748,[14]Sheet1!$A:$M,11,0)</f>
        <v>200</v>
      </c>
      <c r="Y748" s="4">
        <f>VLOOKUP(A748,[14]Sheet1!$A:$M,12,0)</f>
        <v>200</v>
      </c>
      <c r="Z748" s="4">
        <f>VLOOKUP(A748,[14]Sheet1!$A:$M,13,0)</f>
        <v>50</v>
      </c>
      <c r="AA748" s="4">
        <f t="shared" si="221"/>
        <v>2650</v>
      </c>
      <c r="AB748" s="7">
        <f t="shared" si="222"/>
        <v>221</v>
      </c>
      <c r="AC748" s="15">
        <f t="shared" si="223"/>
        <v>220.83333333333334</v>
      </c>
      <c r="AD748" s="16">
        <f t="shared" si="224"/>
        <v>199253.5</v>
      </c>
      <c r="AE748" s="16">
        <f t="shared" si="225"/>
        <v>16604.458333333332</v>
      </c>
      <c r="AF748" s="21">
        <v>20.8</v>
      </c>
      <c r="AG748" s="21">
        <v>75.19</v>
      </c>
      <c r="AH748" s="15">
        <f t="shared" si="226"/>
        <v>0.55173333333333308</v>
      </c>
      <c r="AI748" s="15">
        <f t="shared" si="227"/>
        <v>1.9310666666666656</v>
      </c>
      <c r="AJ748" s="10">
        <v>0.5</v>
      </c>
      <c r="AK748" s="10">
        <v>0.5</v>
      </c>
      <c r="AL748" s="21">
        <v>20.8</v>
      </c>
      <c r="AM748" s="9">
        <f t="shared" si="213"/>
        <v>11.278499999999999</v>
      </c>
      <c r="AN748" s="9">
        <f t="shared" si="214"/>
        <v>2.2557</v>
      </c>
      <c r="AO748" s="9">
        <f t="shared" si="215"/>
        <v>15.038</v>
      </c>
      <c r="AP748" s="9">
        <f t="shared" si="216"/>
        <v>1.5038</v>
      </c>
      <c r="AQ748" s="9">
        <f t="shared" si="217"/>
        <v>15.038</v>
      </c>
      <c r="AR748" s="9">
        <f t="shared" si="218"/>
        <v>18.797499999999999</v>
      </c>
      <c r="AS748" s="11">
        <f t="shared" si="219"/>
        <v>5.5173333333333305</v>
      </c>
      <c r="AT748" s="12">
        <f t="shared" si="220"/>
        <v>3.0109999999999979</v>
      </c>
    </row>
    <row r="749" spans="1:46" ht="16.5" x14ac:dyDescent="0.4">
      <c r="A749" s="4" t="s">
        <v>3291</v>
      </c>
      <c r="B749" s="4" t="s">
        <v>3312</v>
      </c>
      <c r="C749" s="4" t="s">
        <v>3312</v>
      </c>
      <c r="D749" s="4" t="s">
        <v>3341</v>
      </c>
      <c r="E749" s="4" t="s">
        <v>3387</v>
      </c>
      <c r="F749" s="4" t="s">
        <v>3437</v>
      </c>
      <c r="G749" s="7" t="str">
        <f>VLOOKUP(A749,[1]done!$A:$I,9,0)</f>
        <v>All Other products</v>
      </c>
      <c r="H749" s="7" t="str" cm="1">
        <f t="array" ref="H749">_xlfn.IFS(
OR(ISNUMBER(SEARCH("mouse",E749)),ISNUMBER(SEARCH("rat",E749)),ISNUMBER(SEARCH("mice",E749)),ISNUMBER(SEARCH("rodent",E749))),"Rodent Control",
OR(ISNUMBER(SEARCH("fly",E749)),ISNUMBER(SEARCH("gnat",E749)),ISNUMBER(SEARCH("insect",E749)),ISNUMBER(SEARCH("mosquito",E749))),"Flying Insect Control",
OR(ISNUMBER(SEARCH("roach",E749)),ISNUMBER(SEARCH("ant",E749)),ISNUMBER(SEARCH("spider",E749)),ISNUMBER(SEARCH("cricket",E749)),ISNUMBER(SEARCH("scorpion",E749)),ISNUMBER(SEARCH("centipede",E749)),ISNUMBER(SEARCH("beetle",E749))),"Crawling Insect Control",
OR(ISNUMBER(SEARCH("tree",E749)),ISNUMBER(SEARCH("lantern",E749)),ISNUMBER(SEARCH("garden",E749)),ISNUMBER(SEARCH("plant",E749))),"Garden Pest Control",
OR(ISNUMBER(SEARCH("grass seed",E749)),ISNUMBER(SEARCH("seed mix",E749))),"Grass Seed",
OR(ISNUMBER(SEARCH("lawn food",E749)),ISNUMBER(SEARCH("fertilizer",E749))),"Lawn Fertilizer",
OR(ISNUMBER(SEARCH("patch",E749)),ISNUMBER(SEARCH("repair",E749)),ISNUMBER(SEARCH("thick'r",E749)),ISNUMBER(SEARCH("thick'r lawn",E749)),ISNUMBER(SEARCH("rapid grass",E749))),"Lawn Repair",
OR(ISNUMBER(SEARCH("weed",E749)),ISNUMBER(SEARCH("crabgrass",E749))),"Weed Control",
OR(ISNUMBER(SEARCH("fungicide",E749)),ISNUMBER(SEARCH("moss",E749))),"Disease &amp; Moss Control",
OR(ISNUMBER(SEARCH("plant food",E749)),ISNUMBER(SEARCH("miracid",E749))),"Plant Nutrition",
OR(ISNUMBER(SEARCH("perlite",E749))),"Soil Amendment",
OR(ISNUMBER(SEARCH("spreader",E749)),ISNUMBER(SEARCH("sprayer",E749)),ISNUMBER(SEARCH("mower",E749)),ISNUMBER(SEARCH("sweeper",E749)),ISNUMBER(SEARCH("pruner",E749)),ISNUMBER(SEARCH("trimmer",E749)),ISNUMBER(SEARCH("pole saw",E749))),"Garden Equipment",
TRUE,"Other"
)</f>
        <v>Other</v>
      </c>
      <c r="I749" s="7" t="str" cm="1">
        <f t="array" ref="I749">_xlfn.IFS(
OR(ISNUMBER(SEARCH("glue trap",E749)),ISNUMBER(SEARCH("glue board",E749))),"Glue Traps",
OR(ISNUMBER(SEARCH("snap trap",E749)),ISNUMBER(SEARCH("power-kill",E749)),ISNUMBER(SEARCH("wide pedal",E749)),ISNUMBER(SEARCH("metal pedal",E749))),"Snap Traps",
OR(ISNUMBER(SEARCH("electronic",E749)),ISNUMBER(SEARCH("zapper",E749))),"Electronic Traps",
OR(ISNUMBER(SEARCH("live catch",E749)),ISNUMBER(SEARCH("multi-catch",E749)),ISNUMBER(SEARCH("catch &amp; hold",E749)),ISNUMBER(SEARCH("tin cat",E749))),"Live Catch Traps",
OR(ISNUMBER(SEARCH("bait",E749)),ISNUMBER(SEARCH("poison",E749))),"Bait &amp; Poison",
ISNUMBER(SEARCH("repellent",E749)),"Repellents",
OR(ISNUMBER(SEARCH("fly trap",E749)),ISNUMBER(SEARCH("fly ribbon",E749)),ISNUMBER(SEARCH("fly stick",E749)),ISNUMBER(SEARCH("window fly",E749)),ISNUMBER(SEARCH("fly magnet",E749))),"Fly Traps",
OR(ISNUMBER(SEARCH("uv",E749)),ISNUMBER(SEARCH("fly light",E749)),ISNUMBER(SEARCH("plug-in",E749))),"UV Fly Traps",
ISNUMBER(SEARCH("roach",E749)),"Roach Traps",
ISNUMBER(SEARCH("ant",E749)),"Ant Traps",
ISNUMBER(SEARCH("spider",E749)),"Spider Traps",
ISNUMBER(SEARCH("mosquito",E749)),"Mosquito Traps",
ISNUMBER(SEARCH("beetle",E749)),"Beetle Traps",
ISNUMBER(SEARCH("lantern",E749)),"Lanternfly Control",
OR(ISNUMBER(SEARCH("tree shield",E749)),ISNUMBER(SEARCH("tree banding",E749)),ISNUMBER(SEARCH("insect barrier",E749))),"Tree Barriers",
OR(ISNUMBER(SEARCH("sun &amp; shade",E749)),ISNUMBER(SEARCH("sun and shade",E749))),"Sun &amp; Shade Mix",
ISNUMBER(SEARCH("tall fescue",E749)),"Tall Fescue",
ISNUMBER(SEARCH("bermudagrass",E749)),"Bermudagrass",
ISNUMBER(SEARCH("kentucky",E749)),"Kentucky Bluegrass",
ISNUMBER(SEARCH("zoysia",E749)),"Zoysia",
ISNUMBER(SEARCH("ryegrass",E749)),"Perennial Ryegrass",
ISNUMBER(SEARCH("centipede",E749)),"Centipede Grass",
ISNUMBER(SEARCH("dense shade",E749)),"Dense Shade Mix",
ISNUMBER(SEARCH("southern gold",E749)),"Southern Gold Mix",
ISNUMBER(SEARCH("heat-tolerant blue",E749)),"Heat-Tolerant Blue Mix",
ISNUMBER(SEARCH("high traffic",E749)),"High Traffic Mix",
ISNUMBER(SEARCH("quick fix",E749)),"Quick Fix Mix",
ISNUMBER(SEARCH("starter",E749)),"Starter Fertilizer",
ISNUMBER(SEARCH("weed &amp; feed",E749)),"Weed &amp; Feed",
ISNUMBER(SEARCH("lawn food",E749)),"Lawn Food",
ISNUMBER(SEARCH("triple action",E749)),"Triple Action Fertilizer",
ISNUMBER(SEARCH("green max",E749)),"Green Max Lawn Food",
ISNUMBER(SEARCH("patchmaster",E749)),"PatchMaster Repair",
ISNUMBER(SEARCH("ez seed",E749)),"EZ Seed Repair",
ISNUMBER(SEARCH("rapid grass",E749)),"Rapid Grass",
ISNUMBER(SEARCH("thick'r lawn",E749)),"Thick'R Lawn",
ISNUMBER(SEARCH("fungicide",E749)),"Fungicide",
ISNUMBER(SEARCH("moss",E749)),"Moss Control",
ISNUMBER(SEARCH("perlite",E749)),"Perlite",
ISNUMBER(SEARCH("plant food",E749)),"Plant Food",
ISNUMBER(SEARCH("spreader",E749)),"Spreader",
ISNUMBER(SEARCH("sprayer",E749)),"Sprayer",
ISNUMBER(SEARCH("mower",E749)),"Lawn Mower",
ISNUMBER(SEARCH("sweeper",E749)),"Lawn Sweeper",
OR(ISNUMBER(SEARCH("pruner",E749)),ISNUMBER(SEARCH("trimmer",E749)),ISNUMBER(SEARCH("pole saw",E749))),"Pruning Tools",
TRUE,"Other"
)</f>
        <v>Other</v>
      </c>
      <c r="J749" s="7" t="str">
        <f t="shared" si="207"/>
        <v>Other - Other</v>
      </c>
      <c r="K749" s="4">
        <v>200</v>
      </c>
      <c r="L749" s="4">
        <v>4.7</v>
      </c>
      <c r="M749" s="4">
        <v>650</v>
      </c>
      <c r="O749" s="4">
        <f>VLOOKUP(A749,[14]Sheet1!$A:$M,2,0)</f>
        <v>0</v>
      </c>
      <c r="P749" s="4">
        <f>VLOOKUP(A749,[14]Sheet1!$A:$M,3,0)</f>
        <v>0</v>
      </c>
      <c r="Q749" s="4">
        <f>VLOOKUP(A749,[14]Sheet1!$A:$M,4,0)</f>
        <v>50</v>
      </c>
      <c r="R749" s="4">
        <f>VLOOKUP(A749,[14]Sheet1!$A:$M,5,0)</f>
        <v>0</v>
      </c>
      <c r="S749" s="4">
        <f>VLOOKUP(A749,[14]Sheet1!$A:$M,6,0)</f>
        <v>0</v>
      </c>
      <c r="T749" s="4">
        <f>VLOOKUP(A749,[14]Sheet1!$A:$M,7,0)</f>
        <v>0</v>
      </c>
      <c r="U749" s="4">
        <f>VLOOKUP(A749,[14]Sheet1!$A:$M,8,0)</f>
        <v>100</v>
      </c>
      <c r="V749" s="4">
        <f>VLOOKUP(A749,[14]Sheet1!$A:$M,9,0)</f>
        <v>200</v>
      </c>
      <c r="W749" s="4">
        <f>VLOOKUP(A749,[14]Sheet1!$A:$M,10,0)</f>
        <v>200</v>
      </c>
      <c r="X749" s="4">
        <f>VLOOKUP(A749,[14]Sheet1!$A:$M,11,0)</f>
        <v>50</v>
      </c>
      <c r="Y749" s="4">
        <f>VLOOKUP(A749,[14]Sheet1!$A:$M,12,0)</f>
        <v>50</v>
      </c>
      <c r="Z749" s="4">
        <f>VLOOKUP(A749,[14]Sheet1!$A:$M,13,0)</f>
        <v>0</v>
      </c>
      <c r="AA749" s="4">
        <f t="shared" si="221"/>
        <v>650</v>
      </c>
      <c r="AB749" s="7">
        <f t="shared" si="222"/>
        <v>54</v>
      </c>
      <c r="AC749" s="15">
        <f t="shared" si="223"/>
        <v>54.166666666666664</v>
      </c>
      <c r="AD749" s="16">
        <f t="shared" si="224"/>
        <v>25317.500000000004</v>
      </c>
      <c r="AE749" s="16">
        <f t="shared" si="225"/>
        <v>2109.7916666666665</v>
      </c>
      <c r="AF749" s="21">
        <v>5.84</v>
      </c>
      <c r="AG749" s="21">
        <v>38.950000000000003</v>
      </c>
      <c r="AH749" s="15">
        <f t="shared" si="226"/>
        <v>0.58266666666666678</v>
      </c>
      <c r="AI749" s="15">
        <f t="shared" si="227"/>
        <v>2.0393333333333334</v>
      </c>
      <c r="AJ749" s="10">
        <v>0.5</v>
      </c>
      <c r="AK749" s="10">
        <v>0.5</v>
      </c>
      <c r="AL749" s="21">
        <v>5.84</v>
      </c>
      <c r="AM749" s="9">
        <f t="shared" si="213"/>
        <v>5.8425000000000002</v>
      </c>
      <c r="AN749" s="9">
        <f t="shared" si="214"/>
        <v>1.1685000000000001</v>
      </c>
      <c r="AO749" s="9">
        <f t="shared" si="215"/>
        <v>7.7900000000000009</v>
      </c>
      <c r="AP749" s="9">
        <f t="shared" si="216"/>
        <v>0.77900000000000003</v>
      </c>
      <c r="AQ749" s="9">
        <f t="shared" si="217"/>
        <v>7.7900000000000009</v>
      </c>
      <c r="AR749" s="9">
        <f t="shared" si="218"/>
        <v>9.7375000000000007</v>
      </c>
      <c r="AS749" s="11">
        <f t="shared" si="219"/>
        <v>5.8266666666666671</v>
      </c>
      <c r="AT749" s="12">
        <f t="shared" si="220"/>
        <v>4.5283333333333333</v>
      </c>
    </row>
    <row r="750" spans="1:46" ht="16.5" x14ac:dyDescent="0.4">
      <c r="A750" s="4" t="s">
        <v>3292</v>
      </c>
      <c r="B750" s="4" t="s">
        <v>3312</v>
      </c>
      <c r="C750" s="4" t="s">
        <v>3312</v>
      </c>
      <c r="D750" s="4" t="s">
        <v>3342</v>
      </c>
      <c r="E750" s="4" t="s">
        <v>3388</v>
      </c>
      <c r="F750" s="4" t="s">
        <v>3438</v>
      </c>
      <c r="G750" s="7" t="str">
        <f>VLOOKUP(A750,[1]done!$A:$I,9,0)</f>
        <v>All Other products</v>
      </c>
      <c r="H750" s="7" t="str" cm="1">
        <f t="array" ref="H750">_xlfn.IFS(
OR(ISNUMBER(SEARCH("mouse",E750)),ISNUMBER(SEARCH("rat",E750)),ISNUMBER(SEARCH("mice",E750)),ISNUMBER(SEARCH("rodent",E750))),"Rodent Control",
OR(ISNUMBER(SEARCH("fly",E750)),ISNUMBER(SEARCH("gnat",E750)),ISNUMBER(SEARCH("insect",E750)),ISNUMBER(SEARCH("mosquito",E750))),"Flying Insect Control",
OR(ISNUMBER(SEARCH("roach",E750)),ISNUMBER(SEARCH("ant",E750)),ISNUMBER(SEARCH("spider",E750)),ISNUMBER(SEARCH("cricket",E750)),ISNUMBER(SEARCH("scorpion",E750)),ISNUMBER(SEARCH("centipede",E750)),ISNUMBER(SEARCH("beetle",E750))),"Crawling Insect Control",
OR(ISNUMBER(SEARCH("tree",E750)),ISNUMBER(SEARCH("lantern",E750)),ISNUMBER(SEARCH("garden",E750)),ISNUMBER(SEARCH("plant",E750))),"Garden Pest Control",
OR(ISNUMBER(SEARCH("grass seed",E750)),ISNUMBER(SEARCH("seed mix",E750))),"Grass Seed",
OR(ISNUMBER(SEARCH("lawn food",E750)),ISNUMBER(SEARCH("fertilizer",E750))),"Lawn Fertilizer",
OR(ISNUMBER(SEARCH("patch",E750)),ISNUMBER(SEARCH("repair",E750)),ISNUMBER(SEARCH("thick'r",E750)),ISNUMBER(SEARCH("thick'r lawn",E750)),ISNUMBER(SEARCH("rapid grass",E750))),"Lawn Repair",
OR(ISNUMBER(SEARCH("weed",E750)),ISNUMBER(SEARCH("crabgrass",E750))),"Weed Control",
OR(ISNUMBER(SEARCH("fungicide",E750)),ISNUMBER(SEARCH("moss",E750))),"Disease &amp; Moss Control",
OR(ISNUMBER(SEARCH("plant food",E750)),ISNUMBER(SEARCH("miracid",E750))),"Plant Nutrition",
OR(ISNUMBER(SEARCH("perlite",E750))),"Soil Amendment",
OR(ISNUMBER(SEARCH("spreader",E750)),ISNUMBER(SEARCH("sprayer",E750)),ISNUMBER(SEARCH("mower",E750)),ISNUMBER(SEARCH("sweeper",E750)),ISNUMBER(SEARCH("pruner",E750)),ISNUMBER(SEARCH("trimmer",E750)),ISNUMBER(SEARCH("pole saw",E750))),"Garden Equipment",
TRUE,"Other"
)</f>
        <v>Other</v>
      </c>
      <c r="I750" s="7" t="str" cm="1">
        <f t="array" ref="I750">_xlfn.IFS(
OR(ISNUMBER(SEARCH("glue trap",E750)),ISNUMBER(SEARCH("glue board",E750))),"Glue Traps",
OR(ISNUMBER(SEARCH("snap trap",E750)),ISNUMBER(SEARCH("power-kill",E750)),ISNUMBER(SEARCH("wide pedal",E750)),ISNUMBER(SEARCH("metal pedal",E750))),"Snap Traps",
OR(ISNUMBER(SEARCH("electronic",E750)),ISNUMBER(SEARCH("zapper",E750))),"Electronic Traps",
OR(ISNUMBER(SEARCH("live catch",E750)),ISNUMBER(SEARCH("multi-catch",E750)),ISNUMBER(SEARCH("catch &amp; hold",E750)),ISNUMBER(SEARCH("tin cat",E750))),"Live Catch Traps",
OR(ISNUMBER(SEARCH("bait",E750)),ISNUMBER(SEARCH("poison",E750))),"Bait &amp; Poison",
ISNUMBER(SEARCH("repellent",E750)),"Repellents",
OR(ISNUMBER(SEARCH("fly trap",E750)),ISNUMBER(SEARCH("fly ribbon",E750)),ISNUMBER(SEARCH("fly stick",E750)),ISNUMBER(SEARCH("window fly",E750)),ISNUMBER(SEARCH("fly magnet",E750))),"Fly Traps",
OR(ISNUMBER(SEARCH("uv",E750)),ISNUMBER(SEARCH("fly light",E750)),ISNUMBER(SEARCH("plug-in",E750))),"UV Fly Traps",
ISNUMBER(SEARCH("roach",E750)),"Roach Traps",
ISNUMBER(SEARCH("ant",E750)),"Ant Traps",
ISNUMBER(SEARCH("spider",E750)),"Spider Traps",
ISNUMBER(SEARCH("mosquito",E750)),"Mosquito Traps",
ISNUMBER(SEARCH("beetle",E750)),"Beetle Traps",
ISNUMBER(SEARCH("lantern",E750)),"Lanternfly Control",
OR(ISNUMBER(SEARCH("tree shield",E750)),ISNUMBER(SEARCH("tree banding",E750)),ISNUMBER(SEARCH("insect barrier",E750))),"Tree Barriers",
OR(ISNUMBER(SEARCH("sun &amp; shade",E750)),ISNUMBER(SEARCH("sun and shade",E750))),"Sun &amp; Shade Mix",
ISNUMBER(SEARCH("tall fescue",E750)),"Tall Fescue",
ISNUMBER(SEARCH("bermudagrass",E750)),"Bermudagrass",
ISNUMBER(SEARCH("kentucky",E750)),"Kentucky Bluegrass",
ISNUMBER(SEARCH("zoysia",E750)),"Zoysia",
ISNUMBER(SEARCH("ryegrass",E750)),"Perennial Ryegrass",
ISNUMBER(SEARCH("centipede",E750)),"Centipede Grass",
ISNUMBER(SEARCH("dense shade",E750)),"Dense Shade Mix",
ISNUMBER(SEARCH("southern gold",E750)),"Southern Gold Mix",
ISNUMBER(SEARCH("heat-tolerant blue",E750)),"Heat-Tolerant Blue Mix",
ISNUMBER(SEARCH("high traffic",E750)),"High Traffic Mix",
ISNUMBER(SEARCH("quick fix",E750)),"Quick Fix Mix",
ISNUMBER(SEARCH("starter",E750)),"Starter Fertilizer",
ISNUMBER(SEARCH("weed &amp; feed",E750)),"Weed &amp; Feed",
ISNUMBER(SEARCH("lawn food",E750)),"Lawn Food",
ISNUMBER(SEARCH("triple action",E750)),"Triple Action Fertilizer",
ISNUMBER(SEARCH("green max",E750)),"Green Max Lawn Food",
ISNUMBER(SEARCH("patchmaster",E750)),"PatchMaster Repair",
ISNUMBER(SEARCH("ez seed",E750)),"EZ Seed Repair",
ISNUMBER(SEARCH("rapid grass",E750)),"Rapid Grass",
ISNUMBER(SEARCH("thick'r lawn",E750)),"Thick'R Lawn",
ISNUMBER(SEARCH("fungicide",E750)),"Fungicide",
ISNUMBER(SEARCH("moss",E750)),"Moss Control",
ISNUMBER(SEARCH("perlite",E750)),"Perlite",
ISNUMBER(SEARCH("plant food",E750)),"Plant Food",
ISNUMBER(SEARCH("spreader",E750)),"Spreader",
ISNUMBER(SEARCH("sprayer",E750)),"Sprayer",
ISNUMBER(SEARCH("mower",E750)),"Lawn Mower",
ISNUMBER(SEARCH("sweeper",E750)),"Lawn Sweeper",
OR(ISNUMBER(SEARCH("pruner",E750)),ISNUMBER(SEARCH("trimmer",E750)),ISNUMBER(SEARCH("pole saw",E750))),"Pruning Tools",
TRUE,"Other"
)</f>
        <v>Other</v>
      </c>
      <c r="J750" s="7" t="str">
        <f t="shared" ref="J750:J813" si="228">H750&amp;" - "&amp;I750</f>
        <v>Other - Other</v>
      </c>
      <c r="K750" s="4">
        <v>200</v>
      </c>
      <c r="L750" s="4">
        <v>4.4000000000000004</v>
      </c>
      <c r="M750" s="4">
        <v>449</v>
      </c>
      <c r="O750" s="4">
        <f>VLOOKUP(A750,[14]Sheet1!$A:$M,2,0)</f>
        <v>0</v>
      </c>
      <c r="P750" s="4">
        <f>VLOOKUP(A750,[14]Sheet1!$A:$M,3,0)</f>
        <v>0</v>
      </c>
      <c r="Q750" s="4">
        <f>VLOOKUP(A750,[14]Sheet1!$A:$M,4,0)</f>
        <v>100</v>
      </c>
      <c r="R750" s="4">
        <f>VLOOKUP(A750,[14]Sheet1!$A:$M,5,0)</f>
        <v>100</v>
      </c>
      <c r="S750" s="4">
        <f>VLOOKUP(A750,[14]Sheet1!$A:$M,6,0)</f>
        <v>100</v>
      </c>
      <c r="T750" s="4">
        <f>VLOOKUP(A750,[14]Sheet1!$A:$M,7,0)</f>
        <v>200</v>
      </c>
      <c r="U750" s="4">
        <f>VLOOKUP(A750,[14]Sheet1!$A:$M,8,0)</f>
        <v>200</v>
      </c>
      <c r="V750" s="4">
        <f>VLOOKUP(A750,[14]Sheet1!$A:$M,9,0)</f>
        <v>300</v>
      </c>
      <c r="W750" s="4">
        <f>VLOOKUP(A750,[14]Sheet1!$A:$M,10,0)</f>
        <v>200</v>
      </c>
      <c r="X750" s="4">
        <f>VLOOKUP(A750,[14]Sheet1!$A:$M,11,0)</f>
        <v>100</v>
      </c>
      <c r="Y750" s="4">
        <f>VLOOKUP(A750,[14]Sheet1!$A:$M,12,0)</f>
        <v>50</v>
      </c>
      <c r="Z750" s="4">
        <f>VLOOKUP(A750,[14]Sheet1!$A:$M,13,0)</f>
        <v>0</v>
      </c>
      <c r="AA750" s="4">
        <f t="shared" si="221"/>
        <v>1350</v>
      </c>
      <c r="AB750" s="7">
        <f t="shared" si="222"/>
        <v>113</v>
      </c>
      <c r="AC750" s="15">
        <f t="shared" si="223"/>
        <v>112.5</v>
      </c>
      <c r="AD750" s="16">
        <f t="shared" si="224"/>
        <v>144180</v>
      </c>
      <c r="AE750" s="16">
        <f t="shared" si="225"/>
        <v>12015</v>
      </c>
      <c r="AF750" s="21">
        <v>6.58</v>
      </c>
      <c r="AG750" s="21">
        <v>106.8</v>
      </c>
      <c r="AH750" s="15">
        <f t="shared" si="226"/>
        <v>2.3426666666666667</v>
      </c>
      <c r="AI750" s="15">
        <f t="shared" si="227"/>
        <v>8.1993333333333318</v>
      </c>
      <c r="AJ750" s="10">
        <v>0.5</v>
      </c>
      <c r="AK750" s="10">
        <v>0.5</v>
      </c>
      <c r="AL750" s="21">
        <v>6.58</v>
      </c>
      <c r="AM750" s="9">
        <f t="shared" si="213"/>
        <v>16.02</v>
      </c>
      <c r="AN750" s="9">
        <f t="shared" si="214"/>
        <v>3.2039999999999997</v>
      </c>
      <c r="AO750" s="9">
        <f t="shared" si="215"/>
        <v>21.36</v>
      </c>
      <c r="AP750" s="9">
        <f t="shared" si="216"/>
        <v>2.1360000000000001</v>
      </c>
      <c r="AQ750" s="9">
        <f t="shared" si="217"/>
        <v>21.36</v>
      </c>
      <c r="AR750" s="9">
        <f t="shared" si="218"/>
        <v>26.7</v>
      </c>
      <c r="AS750" s="11">
        <f t="shared" si="219"/>
        <v>23.426666666666666</v>
      </c>
      <c r="AT750" s="12">
        <f t="shared" si="220"/>
        <v>19.866666666666667</v>
      </c>
    </row>
    <row r="751" spans="1:46" ht="16.5" x14ac:dyDescent="0.4">
      <c r="A751" s="4" t="s">
        <v>3293</v>
      </c>
      <c r="B751" s="4" t="s">
        <v>3312</v>
      </c>
      <c r="C751" s="4" t="s">
        <v>3312</v>
      </c>
      <c r="D751" s="4" t="s">
        <v>3343</v>
      </c>
      <c r="E751" s="4" t="s">
        <v>3389</v>
      </c>
      <c r="F751" s="4" t="s">
        <v>3439</v>
      </c>
      <c r="G751" s="7" t="str">
        <f>VLOOKUP(A751,[1]done!$A:$I,9,0)</f>
        <v>All Other products</v>
      </c>
      <c r="H751" s="7" t="str" cm="1">
        <f t="array" ref="H751">_xlfn.IFS(
OR(ISNUMBER(SEARCH("mouse",E751)),ISNUMBER(SEARCH("rat",E751)),ISNUMBER(SEARCH("mice",E751)),ISNUMBER(SEARCH("rodent",E751))),"Rodent Control",
OR(ISNUMBER(SEARCH("fly",E751)),ISNUMBER(SEARCH("gnat",E751)),ISNUMBER(SEARCH("insect",E751)),ISNUMBER(SEARCH("mosquito",E751))),"Flying Insect Control",
OR(ISNUMBER(SEARCH("roach",E751)),ISNUMBER(SEARCH("ant",E751)),ISNUMBER(SEARCH("spider",E751)),ISNUMBER(SEARCH("cricket",E751)),ISNUMBER(SEARCH("scorpion",E751)),ISNUMBER(SEARCH("centipede",E751)),ISNUMBER(SEARCH("beetle",E751))),"Crawling Insect Control",
OR(ISNUMBER(SEARCH("tree",E751)),ISNUMBER(SEARCH("lantern",E751)),ISNUMBER(SEARCH("garden",E751)),ISNUMBER(SEARCH("plant",E751))),"Garden Pest Control",
OR(ISNUMBER(SEARCH("grass seed",E751)),ISNUMBER(SEARCH("seed mix",E751))),"Grass Seed",
OR(ISNUMBER(SEARCH("lawn food",E751)),ISNUMBER(SEARCH("fertilizer",E751))),"Lawn Fertilizer",
OR(ISNUMBER(SEARCH("patch",E751)),ISNUMBER(SEARCH("repair",E751)),ISNUMBER(SEARCH("thick'r",E751)),ISNUMBER(SEARCH("thick'r lawn",E751)),ISNUMBER(SEARCH("rapid grass",E751))),"Lawn Repair",
OR(ISNUMBER(SEARCH("weed",E751)),ISNUMBER(SEARCH("crabgrass",E751))),"Weed Control",
OR(ISNUMBER(SEARCH("fungicide",E751)),ISNUMBER(SEARCH("moss",E751))),"Disease &amp; Moss Control",
OR(ISNUMBER(SEARCH("plant food",E751)),ISNUMBER(SEARCH("miracid",E751))),"Plant Nutrition",
OR(ISNUMBER(SEARCH("perlite",E751))),"Soil Amendment",
OR(ISNUMBER(SEARCH("spreader",E751)),ISNUMBER(SEARCH("sprayer",E751)),ISNUMBER(SEARCH("mower",E751)),ISNUMBER(SEARCH("sweeper",E751)),ISNUMBER(SEARCH("pruner",E751)),ISNUMBER(SEARCH("trimmer",E751)),ISNUMBER(SEARCH("pole saw",E751))),"Garden Equipment",
TRUE,"Other"
)</f>
        <v>Other</v>
      </c>
      <c r="I751" s="7" t="str" cm="1">
        <f t="array" ref="I751">_xlfn.IFS(
OR(ISNUMBER(SEARCH("glue trap",E751)),ISNUMBER(SEARCH("glue board",E751))),"Glue Traps",
OR(ISNUMBER(SEARCH("snap trap",E751)),ISNUMBER(SEARCH("power-kill",E751)),ISNUMBER(SEARCH("wide pedal",E751)),ISNUMBER(SEARCH("metal pedal",E751))),"Snap Traps",
OR(ISNUMBER(SEARCH("electronic",E751)),ISNUMBER(SEARCH("zapper",E751))),"Electronic Traps",
OR(ISNUMBER(SEARCH("live catch",E751)),ISNUMBER(SEARCH("multi-catch",E751)),ISNUMBER(SEARCH("catch &amp; hold",E751)),ISNUMBER(SEARCH("tin cat",E751))),"Live Catch Traps",
OR(ISNUMBER(SEARCH("bait",E751)),ISNUMBER(SEARCH("poison",E751))),"Bait &amp; Poison",
ISNUMBER(SEARCH("repellent",E751)),"Repellents",
OR(ISNUMBER(SEARCH("fly trap",E751)),ISNUMBER(SEARCH("fly ribbon",E751)),ISNUMBER(SEARCH("fly stick",E751)),ISNUMBER(SEARCH("window fly",E751)),ISNUMBER(SEARCH("fly magnet",E751))),"Fly Traps",
OR(ISNUMBER(SEARCH("uv",E751)),ISNUMBER(SEARCH("fly light",E751)),ISNUMBER(SEARCH("plug-in",E751))),"UV Fly Traps",
ISNUMBER(SEARCH("roach",E751)),"Roach Traps",
ISNUMBER(SEARCH("ant",E751)),"Ant Traps",
ISNUMBER(SEARCH("spider",E751)),"Spider Traps",
ISNUMBER(SEARCH("mosquito",E751)),"Mosquito Traps",
ISNUMBER(SEARCH("beetle",E751)),"Beetle Traps",
ISNUMBER(SEARCH("lantern",E751)),"Lanternfly Control",
OR(ISNUMBER(SEARCH("tree shield",E751)),ISNUMBER(SEARCH("tree banding",E751)),ISNUMBER(SEARCH("insect barrier",E751))),"Tree Barriers",
OR(ISNUMBER(SEARCH("sun &amp; shade",E751)),ISNUMBER(SEARCH("sun and shade",E751))),"Sun &amp; Shade Mix",
ISNUMBER(SEARCH("tall fescue",E751)),"Tall Fescue",
ISNUMBER(SEARCH("bermudagrass",E751)),"Bermudagrass",
ISNUMBER(SEARCH("kentucky",E751)),"Kentucky Bluegrass",
ISNUMBER(SEARCH("zoysia",E751)),"Zoysia",
ISNUMBER(SEARCH("ryegrass",E751)),"Perennial Ryegrass",
ISNUMBER(SEARCH("centipede",E751)),"Centipede Grass",
ISNUMBER(SEARCH("dense shade",E751)),"Dense Shade Mix",
ISNUMBER(SEARCH("southern gold",E751)),"Southern Gold Mix",
ISNUMBER(SEARCH("heat-tolerant blue",E751)),"Heat-Tolerant Blue Mix",
ISNUMBER(SEARCH("high traffic",E751)),"High Traffic Mix",
ISNUMBER(SEARCH("quick fix",E751)),"Quick Fix Mix",
ISNUMBER(SEARCH("starter",E751)),"Starter Fertilizer",
ISNUMBER(SEARCH("weed &amp; feed",E751)),"Weed &amp; Feed",
ISNUMBER(SEARCH("lawn food",E751)),"Lawn Food",
ISNUMBER(SEARCH("triple action",E751)),"Triple Action Fertilizer",
ISNUMBER(SEARCH("green max",E751)),"Green Max Lawn Food",
ISNUMBER(SEARCH("patchmaster",E751)),"PatchMaster Repair",
ISNUMBER(SEARCH("ez seed",E751)),"EZ Seed Repair",
ISNUMBER(SEARCH("rapid grass",E751)),"Rapid Grass",
ISNUMBER(SEARCH("thick'r lawn",E751)),"Thick'R Lawn",
ISNUMBER(SEARCH("fungicide",E751)),"Fungicide",
ISNUMBER(SEARCH("moss",E751)),"Moss Control",
ISNUMBER(SEARCH("perlite",E751)),"Perlite",
ISNUMBER(SEARCH("plant food",E751)),"Plant Food",
ISNUMBER(SEARCH("spreader",E751)),"Spreader",
ISNUMBER(SEARCH("sprayer",E751)),"Sprayer",
ISNUMBER(SEARCH("mower",E751)),"Lawn Mower",
ISNUMBER(SEARCH("sweeper",E751)),"Lawn Sweeper",
OR(ISNUMBER(SEARCH("pruner",E751)),ISNUMBER(SEARCH("trimmer",E751)),ISNUMBER(SEARCH("pole saw",E751))),"Pruning Tools",
TRUE,"Other"
)</f>
        <v>Other</v>
      </c>
      <c r="J751" s="7" t="str">
        <f t="shared" si="228"/>
        <v>Other - Other</v>
      </c>
      <c r="K751" s="4">
        <v>100</v>
      </c>
      <c r="L751" s="4">
        <v>4.4000000000000004</v>
      </c>
      <c r="M751" s="4">
        <v>26</v>
      </c>
      <c r="N751" s="4" t="s">
        <v>3475</v>
      </c>
      <c r="O751" s="4">
        <f>VLOOKUP(A751,[14]Sheet1!$A:$M,2,0)</f>
        <v>0</v>
      </c>
      <c r="P751" s="4">
        <f>VLOOKUP(A751,[14]Sheet1!$A:$M,3,0)</f>
        <v>0</v>
      </c>
      <c r="Q751" s="4">
        <f>VLOOKUP(A751,[14]Sheet1!$A:$M,4,0)</f>
        <v>50</v>
      </c>
      <c r="R751" s="4">
        <f>VLOOKUP(A751,[14]Sheet1!$A:$M,5,0)</f>
        <v>100</v>
      </c>
      <c r="S751" s="4">
        <f>VLOOKUP(A751,[14]Sheet1!$A:$M,6,0)</f>
        <v>100</v>
      </c>
      <c r="T751" s="4">
        <f>VLOOKUP(A751,[14]Sheet1!$A:$M,7,0)</f>
        <v>100</v>
      </c>
      <c r="U751" s="4">
        <f>VLOOKUP(A751,[14]Sheet1!$A:$M,8,0)</f>
        <v>100</v>
      </c>
      <c r="V751" s="4">
        <f>VLOOKUP(A751,[14]Sheet1!$A:$M,9,0)</f>
        <v>100</v>
      </c>
      <c r="W751" s="4">
        <f>VLOOKUP(A751,[14]Sheet1!$A:$M,10,0)</f>
        <v>100</v>
      </c>
      <c r="X751" s="4">
        <f>VLOOKUP(A751,[14]Sheet1!$A:$M,11,0)</f>
        <v>50</v>
      </c>
      <c r="Y751" s="4">
        <f>VLOOKUP(A751,[14]Sheet1!$A:$M,12,0)</f>
        <v>0</v>
      </c>
      <c r="Z751" s="4">
        <f>VLOOKUP(A751,[14]Sheet1!$A:$M,13,0)</f>
        <v>0</v>
      </c>
      <c r="AA751" s="4">
        <f t="shared" si="221"/>
        <v>700</v>
      </c>
      <c r="AB751" s="7">
        <f t="shared" si="222"/>
        <v>58</v>
      </c>
      <c r="AC751" s="15">
        <f t="shared" si="223"/>
        <v>58.333333333333336</v>
      </c>
      <c r="AD751" s="16">
        <f t="shared" si="224"/>
        <v>62048</v>
      </c>
      <c r="AE751" s="16">
        <f t="shared" si="225"/>
        <v>5170.666666666667</v>
      </c>
      <c r="AF751" s="21">
        <v>4.62</v>
      </c>
      <c r="AG751" s="21">
        <v>88.64</v>
      </c>
      <c r="AH751" s="15">
        <f t="shared" si="226"/>
        <v>1.9890666666666665</v>
      </c>
      <c r="AI751" s="15">
        <f t="shared" si="227"/>
        <v>6.9617333333333322</v>
      </c>
      <c r="AJ751" s="10">
        <v>0.5</v>
      </c>
      <c r="AK751" s="10">
        <v>0.5</v>
      </c>
      <c r="AL751" s="21">
        <v>4.62</v>
      </c>
      <c r="AM751" s="9">
        <f t="shared" si="213"/>
        <v>13.295999999999999</v>
      </c>
      <c r="AN751" s="9">
        <f t="shared" si="214"/>
        <v>2.6591999999999998</v>
      </c>
      <c r="AO751" s="9">
        <f t="shared" si="215"/>
        <v>17.728000000000002</v>
      </c>
      <c r="AP751" s="9">
        <f t="shared" si="216"/>
        <v>1.7728000000000002</v>
      </c>
      <c r="AQ751" s="9">
        <f t="shared" si="217"/>
        <v>17.728000000000002</v>
      </c>
      <c r="AR751" s="9">
        <f t="shared" si="218"/>
        <v>22.16</v>
      </c>
      <c r="AS751" s="11">
        <f t="shared" si="219"/>
        <v>19.890666666666664</v>
      </c>
      <c r="AT751" s="12">
        <f t="shared" si="220"/>
        <v>16.936</v>
      </c>
    </row>
    <row r="752" spans="1:46" ht="16.5" x14ac:dyDescent="0.4">
      <c r="A752" s="4" t="s">
        <v>3294</v>
      </c>
      <c r="B752" s="4" t="s">
        <v>3312</v>
      </c>
      <c r="C752" s="4" t="s">
        <v>3312</v>
      </c>
      <c r="D752" s="4" t="s">
        <v>3344</v>
      </c>
      <c r="E752" s="4" t="s">
        <v>3390</v>
      </c>
      <c r="F752" s="4" t="s">
        <v>3440</v>
      </c>
      <c r="G752" s="7" t="str">
        <f>VLOOKUP(A752,[1]done!$A:$I,9,0)</f>
        <v>Other crawling insects</v>
      </c>
      <c r="H752" s="7" t="str" cm="1">
        <f t="array" ref="H752">_xlfn.IFS(
OR(ISNUMBER(SEARCH("mouse",E752)),ISNUMBER(SEARCH("rat",E752)),ISNUMBER(SEARCH("mice",E752)),ISNUMBER(SEARCH("rodent",E752))),"Rodent Control",
OR(ISNUMBER(SEARCH("fly",E752)),ISNUMBER(SEARCH("gnat",E752)),ISNUMBER(SEARCH("insect",E752)),ISNUMBER(SEARCH("mosquito",E752))),"Flying Insect Control",
OR(ISNUMBER(SEARCH("roach",E752)),ISNUMBER(SEARCH("ant",E752)),ISNUMBER(SEARCH("spider",E752)),ISNUMBER(SEARCH("cricket",E752)),ISNUMBER(SEARCH("scorpion",E752)),ISNUMBER(SEARCH("centipede",E752)),ISNUMBER(SEARCH("beetle",E752))),"Crawling Insect Control",
OR(ISNUMBER(SEARCH("tree",E752)),ISNUMBER(SEARCH("lantern",E752)),ISNUMBER(SEARCH("garden",E752)),ISNUMBER(SEARCH("plant",E752))),"Garden Pest Control",
OR(ISNUMBER(SEARCH("grass seed",E752)),ISNUMBER(SEARCH("seed mix",E752))),"Grass Seed",
OR(ISNUMBER(SEARCH("lawn food",E752)),ISNUMBER(SEARCH("fertilizer",E752))),"Lawn Fertilizer",
OR(ISNUMBER(SEARCH("patch",E752)),ISNUMBER(SEARCH("repair",E752)),ISNUMBER(SEARCH("thick'r",E752)),ISNUMBER(SEARCH("thick'r lawn",E752)),ISNUMBER(SEARCH("rapid grass",E752))),"Lawn Repair",
OR(ISNUMBER(SEARCH("weed",E752)),ISNUMBER(SEARCH("crabgrass",E752))),"Weed Control",
OR(ISNUMBER(SEARCH("fungicide",E752)),ISNUMBER(SEARCH("moss",E752))),"Disease &amp; Moss Control",
OR(ISNUMBER(SEARCH("plant food",E752)),ISNUMBER(SEARCH("miracid",E752))),"Plant Nutrition",
OR(ISNUMBER(SEARCH("perlite",E752))),"Soil Amendment",
OR(ISNUMBER(SEARCH("spreader",E752)),ISNUMBER(SEARCH("sprayer",E752)),ISNUMBER(SEARCH("mower",E752)),ISNUMBER(SEARCH("sweeper",E752)),ISNUMBER(SEARCH("pruner",E752)),ISNUMBER(SEARCH("trimmer",E752)),ISNUMBER(SEARCH("pole saw",E752))),"Garden Equipment",
TRUE,"Other"
)</f>
        <v>Flying Insect Control</v>
      </c>
      <c r="I752" s="7" t="str" cm="1">
        <f t="array" ref="I752">_xlfn.IFS(
OR(ISNUMBER(SEARCH("glue trap",E752)),ISNUMBER(SEARCH("glue board",E752))),"Glue Traps",
OR(ISNUMBER(SEARCH("snap trap",E752)),ISNUMBER(SEARCH("power-kill",E752)),ISNUMBER(SEARCH("wide pedal",E752)),ISNUMBER(SEARCH("metal pedal",E752))),"Snap Traps",
OR(ISNUMBER(SEARCH("electronic",E752)),ISNUMBER(SEARCH("zapper",E752))),"Electronic Traps",
OR(ISNUMBER(SEARCH("live catch",E752)),ISNUMBER(SEARCH("multi-catch",E752)),ISNUMBER(SEARCH("catch &amp; hold",E752)),ISNUMBER(SEARCH("tin cat",E752))),"Live Catch Traps",
OR(ISNUMBER(SEARCH("bait",E752)),ISNUMBER(SEARCH("poison",E752))),"Bait &amp; Poison",
ISNUMBER(SEARCH("repellent",E752)),"Repellents",
OR(ISNUMBER(SEARCH("fly trap",E752)),ISNUMBER(SEARCH("fly ribbon",E752)),ISNUMBER(SEARCH("fly stick",E752)),ISNUMBER(SEARCH("window fly",E752)),ISNUMBER(SEARCH("fly magnet",E752))),"Fly Traps",
OR(ISNUMBER(SEARCH("uv",E752)),ISNUMBER(SEARCH("fly light",E752)),ISNUMBER(SEARCH("plug-in",E752))),"UV Fly Traps",
ISNUMBER(SEARCH("roach",E752)),"Roach Traps",
ISNUMBER(SEARCH("ant",E752)),"Ant Traps",
ISNUMBER(SEARCH("spider",E752)),"Spider Traps",
ISNUMBER(SEARCH("mosquito",E752)),"Mosquito Traps",
ISNUMBER(SEARCH("beetle",E752)),"Beetle Traps",
ISNUMBER(SEARCH("lantern",E752)),"Lanternfly Control",
OR(ISNUMBER(SEARCH("tree shield",E752)),ISNUMBER(SEARCH("tree banding",E752)),ISNUMBER(SEARCH("insect barrier",E752))),"Tree Barriers",
OR(ISNUMBER(SEARCH("sun &amp; shade",E752)),ISNUMBER(SEARCH("sun and shade",E752))),"Sun &amp; Shade Mix",
ISNUMBER(SEARCH("tall fescue",E752)),"Tall Fescue",
ISNUMBER(SEARCH("bermudagrass",E752)),"Bermudagrass",
ISNUMBER(SEARCH("kentucky",E752)),"Kentucky Bluegrass",
ISNUMBER(SEARCH("zoysia",E752)),"Zoysia",
ISNUMBER(SEARCH("ryegrass",E752)),"Perennial Ryegrass",
ISNUMBER(SEARCH("centipede",E752)),"Centipede Grass",
ISNUMBER(SEARCH("dense shade",E752)),"Dense Shade Mix",
ISNUMBER(SEARCH("southern gold",E752)),"Southern Gold Mix",
ISNUMBER(SEARCH("heat-tolerant blue",E752)),"Heat-Tolerant Blue Mix",
ISNUMBER(SEARCH("high traffic",E752)),"High Traffic Mix",
ISNUMBER(SEARCH("quick fix",E752)),"Quick Fix Mix",
ISNUMBER(SEARCH("starter",E752)),"Starter Fertilizer",
ISNUMBER(SEARCH("weed &amp; feed",E752)),"Weed &amp; Feed",
ISNUMBER(SEARCH("lawn food",E752)),"Lawn Food",
ISNUMBER(SEARCH("triple action",E752)),"Triple Action Fertilizer",
ISNUMBER(SEARCH("green max",E752)),"Green Max Lawn Food",
ISNUMBER(SEARCH("patchmaster",E752)),"PatchMaster Repair",
ISNUMBER(SEARCH("ez seed",E752)),"EZ Seed Repair",
ISNUMBER(SEARCH("rapid grass",E752)),"Rapid Grass",
ISNUMBER(SEARCH("thick'r lawn",E752)),"Thick'R Lawn",
ISNUMBER(SEARCH("fungicide",E752)),"Fungicide",
ISNUMBER(SEARCH("moss",E752)),"Moss Control",
ISNUMBER(SEARCH("perlite",E752)),"Perlite",
ISNUMBER(SEARCH("plant food",E752)),"Plant Food",
ISNUMBER(SEARCH("spreader",E752)),"Spreader",
ISNUMBER(SEARCH("sprayer",E752)),"Sprayer",
ISNUMBER(SEARCH("mower",E752)),"Lawn Mower",
ISNUMBER(SEARCH("sweeper",E752)),"Lawn Sweeper",
OR(ISNUMBER(SEARCH("pruner",E752)),ISNUMBER(SEARCH("trimmer",E752)),ISNUMBER(SEARCH("pole saw",E752))),"Pruning Tools",
TRUE,"Other"
)</f>
        <v>Bait &amp; Poison</v>
      </c>
      <c r="J752" s="7" t="str">
        <f t="shared" si="228"/>
        <v>Flying Insect Control - Bait &amp; Poison</v>
      </c>
      <c r="K752" s="4">
        <v>100</v>
      </c>
      <c r="L752" s="4">
        <v>4.3</v>
      </c>
      <c r="M752" s="4">
        <v>44</v>
      </c>
      <c r="O752" s="4">
        <f>VLOOKUP(A752,[14]Sheet1!$A:$M,2,0)</f>
        <v>0</v>
      </c>
      <c r="P752" s="4">
        <f>VLOOKUP(A752,[14]Sheet1!$A:$M,3,0)</f>
        <v>0</v>
      </c>
      <c r="Q752" s="4">
        <f>VLOOKUP(A752,[14]Sheet1!$A:$M,4,0)</f>
        <v>50</v>
      </c>
      <c r="R752" s="4">
        <f>VLOOKUP(A752,[14]Sheet1!$A:$M,5,0)</f>
        <v>50</v>
      </c>
      <c r="S752" s="4">
        <f>VLOOKUP(A752,[14]Sheet1!$A:$M,6,0)</f>
        <v>50</v>
      </c>
      <c r="T752" s="4">
        <f>VLOOKUP(A752,[14]Sheet1!$A:$M,7,0)</f>
        <v>50</v>
      </c>
      <c r="U752" s="4">
        <f>VLOOKUP(A752,[14]Sheet1!$A:$M,8,0)</f>
        <v>50</v>
      </c>
      <c r="V752" s="4">
        <f>VLOOKUP(A752,[14]Sheet1!$A:$M,9,0)</f>
        <v>600</v>
      </c>
      <c r="W752" s="4">
        <f>VLOOKUP(A752,[14]Sheet1!$A:$M,10,0)</f>
        <v>100</v>
      </c>
      <c r="X752" s="4">
        <f>VLOOKUP(A752,[14]Sheet1!$A:$M,11,0)</f>
        <v>0</v>
      </c>
      <c r="Y752" s="4">
        <f>VLOOKUP(A752,[14]Sheet1!$A:$M,12,0)</f>
        <v>0</v>
      </c>
      <c r="Z752" s="4">
        <f>VLOOKUP(A752,[14]Sheet1!$A:$M,13,0)</f>
        <v>0</v>
      </c>
      <c r="AA752" s="4">
        <f t="shared" si="221"/>
        <v>950</v>
      </c>
      <c r="AB752" s="7">
        <f t="shared" si="222"/>
        <v>79</v>
      </c>
      <c r="AC752" s="15">
        <f t="shared" si="223"/>
        <v>79.166666666666671</v>
      </c>
      <c r="AD752" s="16">
        <f t="shared" si="224"/>
        <v>26552.5</v>
      </c>
      <c r="AE752" s="16">
        <f t="shared" si="225"/>
        <v>2212.7083333333335</v>
      </c>
      <c r="AF752" s="21">
        <v>7.79</v>
      </c>
      <c r="AG752" s="21">
        <v>27.95</v>
      </c>
      <c r="AH752" s="15">
        <f t="shared" si="226"/>
        <v>0.15933333333333333</v>
      </c>
      <c r="AI752" s="15">
        <f t="shared" si="227"/>
        <v>0.55766666666666653</v>
      </c>
      <c r="AJ752" s="10">
        <v>0.5</v>
      </c>
      <c r="AK752" s="10">
        <v>0.5</v>
      </c>
      <c r="AL752" s="21">
        <v>7.79</v>
      </c>
      <c r="AM752" s="9">
        <f t="shared" si="213"/>
        <v>4.1924999999999999</v>
      </c>
      <c r="AN752" s="9">
        <f t="shared" si="214"/>
        <v>0.83849999999999991</v>
      </c>
      <c r="AO752" s="9">
        <f t="shared" si="215"/>
        <v>5.59</v>
      </c>
      <c r="AP752" s="9">
        <f t="shared" si="216"/>
        <v>0.55900000000000005</v>
      </c>
      <c r="AQ752" s="9">
        <f t="shared" si="217"/>
        <v>5.59</v>
      </c>
      <c r="AR752" s="9">
        <f t="shared" si="218"/>
        <v>6.9874999999999998</v>
      </c>
      <c r="AS752" s="11">
        <f t="shared" si="219"/>
        <v>1.593333333333333</v>
      </c>
      <c r="AT752" s="12">
        <f t="shared" si="220"/>
        <v>0.66166666666666651</v>
      </c>
    </row>
    <row r="753" spans="1:46" ht="16.5" x14ac:dyDescent="0.4">
      <c r="A753" s="4" t="s">
        <v>3295</v>
      </c>
      <c r="B753" s="4" t="s">
        <v>3312</v>
      </c>
      <c r="C753" s="4" t="s">
        <v>3312</v>
      </c>
      <c r="D753" s="4" t="s">
        <v>3345</v>
      </c>
      <c r="E753" s="4" t="s">
        <v>3391</v>
      </c>
      <c r="F753" s="4" t="s">
        <v>3441</v>
      </c>
      <c r="G753" s="7" t="str">
        <f>VLOOKUP(A753,[1]done!$A:$I,9,0)</f>
        <v>Insecticide/Fungicide</v>
      </c>
      <c r="H753" s="7" t="str" cm="1">
        <f t="array" ref="H753">_xlfn.IFS(
OR(ISNUMBER(SEARCH("mouse",E753)),ISNUMBER(SEARCH("rat",E753)),ISNUMBER(SEARCH("mice",E753)),ISNUMBER(SEARCH("rodent",E753))),"Rodent Control",
OR(ISNUMBER(SEARCH("fly",E753)),ISNUMBER(SEARCH("gnat",E753)),ISNUMBER(SEARCH("insect",E753)),ISNUMBER(SEARCH("mosquito",E753))),"Flying Insect Control",
OR(ISNUMBER(SEARCH("roach",E753)),ISNUMBER(SEARCH("ant",E753)),ISNUMBER(SEARCH("spider",E753)),ISNUMBER(SEARCH("cricket",E753)),ISNUMBER(SEARCH("scorpion",E753)),ISNUMBER(SEARCH("centipede",E753)),ISNUMBER(SEARCH("beetle",E753))),"Crawling Insect Control",
OR(ISNUMBER(SEARCH("tree",E753)),ISNUMBER(SEARCH("lantern",E753)),ISNUMBER(SEARCH("garden",E753)),ISNUMBER(SEARCH("plant",E753))),"Garden Pest Control",
OR(ISNUMBER(SEARCH("grass seed",E753)),ISNUMBER(SEARCH("seed mix",E753))),"Grass Seed",
OR(ISNUMBER(SEARCH("lawn food",E753)),ISNUMBER(SEARCH("fertilizer",E753))),"Lawn Fertilizer",
OR(ISNUMBER(SEARCH("patch",E753)),ISNUMBER(SEARCH("repair",E753)),ISNUMBER(SEARCH("thick'r",E753)),ISNUMBER(SEARCH("thick'r lawn",E753)),ISNUMBER(SEARCH("rapid grass",E753))),"Lawn Repair",
OR(ISNUMBER(SEARCH("weed",E753)),ISNUMBER(SEARCH("crabgrass",E753))),"Weed Control",
OR(ISNUMBER(SEARCH("fungicide",E753)),ISNUMBER(SEARCH("moss",E753))),"Disease &amp; Moss Control",
OR(ISNUMBER(SEARCH("plant food",E753)),ISNUMBER(SEARCH("miracid",E753))),"Plant Nutrition",
OR(ISNUMBER(SEARCH("perlite",E753))),"Soil Amendment",
OR(ISNUMBER(SEARCH("spreader",E753)),ISNUMBER(SEARCH("sprayer",E753)),ISNUMBER(SEARCH("mower",E753)),ISNUMBER(SEARCH("sweeper",E753)),ISNUMBER(SEARCH("pruner",E753)),ISNUMBER(SEARCH("trimmer",E753)),ISNUMBER(SEARCH("pole saw",E753))),"Garden Equipment",
TRUE,"Other"
)</f>
        <v>Flying Insect Control</v>
      </c>
      <c r="I753" s="7" t="str" cm="1">
        <f t="array" ref="I753">_xlfn.IFS(
OR(ISNUMBER(SEARCH("glue trap",E753)),ISNUMBER(SEARCH("glue board",E753))),"Glue Traps",
OR(ISNUMBER(SEARCH("snap trap",E753)),ISNUMBER(SEARCH("power-kill",E753)),ISNUMBER(SEARCH("wide pedal",E753)),ISNUMBER(SEARCH("metal pedal",E753))),"Snap Traps",
OR(ISNUMBER(SEARCH("electronic",E753)),ISNUMBER(SEARCH("zapper",E753))),"Electronic Traps",
OR(ISNUMBER(SEARCH("live catch",E753)),ISNUMBER(SEARCH("multi-catch",E753)),ISNUMBER(SEARCH("catch &amp; hold",E753)),ISNUMBER(SEARCH("tin cat",E753))),"Live Catch Traps",
OR(ISNUMBER(SEARCH("bait",E753)),ISNUMBER(SEARCH("poison",E753))),"Bait &amp; Poison",
ISNUMBER(SEARCH("repellent",E753)),"Repellents",
OR(ISNUMBER(SEARCH("fly trap",E753)),ISNUMBER(SEARCH("fly ribbon",E753)),ISNUMBER(SEARCH("fly stick",E753)),ISNUMBER(SEARCH("window fly",E753)),ISNUMBER(SEARCH("fly magnet",E753))),"Fly Traps",
OR(ISNUMBER(SEARCH("uv",E753)),ISNUMBER(SEARCH("fly light",E753)),ISNUMBER(SEARCH("plug-in",E753))),"UV Fly Traps",
ISNUMBER(SEARCH("roach",E753)),"Roach Traps",
ISNUMBER(SEARCH("ant",E753)),"Ant Traps",
ISNUMBER(SEARCH("spider",E753)),"Spider Traps",
ISNUMBER(SEARCH("mosquito",E753)),"Mosquito Traps",
ISNUMBER(SEARCH("beetle",E753)),"Beetle Traps",
ISNUMBER(SEARCH("lantern",E753)),"Lanternfly Control",
OR(ISNUMBER(SEARCH("tree shield",E753)),ISNUMBER(SEARCH("tree banding",E753)),ISNUMBER(SEARCH("insect barrier",E753))),"Tree Barriers",
OR(ISNUMBER(SEARCH("sun &amp; shade",E753)),ISNUMBER(SEARCH("sun and shade",E753))),"Sun &amp; Shade Mix",
ISNUMBER(SEARCH("tall fescue",E753)),"Tall Fescue",
ISNUMBER(SEARCH("bermudagrass",E753)),"Bermudagrass",
ISNUMBER(SEARCH("kentucky",E753)),"Kentucky Bluegrass",
ISNUMBER(SEARCH("zoysia",E753)),"Zoysia",
ISNUMBER(SEARCH("ryegrass",E753)),"Perennial Ryegrass",
ISNUMBER(SEARCH("centipede",E753)),"Centipede Grass",
ISNUMBER(SEARCH("dense shade",E753)),"Dense Shade Mix",
ISNUMBER(SEARCH("southern gold",E753)),"Southern Gold Mix",
ISNUMBER(SEARCH("heat-tolerant blue",E753)),"Heat-Tolerant Blue Mix",
ISNUMBER(SEARCH("high traffic",E753)),"High Traffic Mix",
ISNUMBER(SEARCH("quick fix",E753)),"Quick Fix Mix",
ISNUMBER(SEARCH("starter",E753)),"Starter Fertilizer",
ISNUMBER(SEARCH("weed &amp; feed",E753)),"Weed &amp; Feed",
ISNUMBER(SEARCH("lawn food",E753)),"Lawn Food",
ISNUMBER(SEARCH("triple action",E753)),"Triple Action Fertilizer",
ISNUMBER(SEARCH("green max",E753)),"Green Max Lawn Food",
ISNUMBER(SEARCH("patchmaster",E753)),"PatchMaster Repair",
ISNUMBER(SEARCH("ez seed",E753)),"EZ Seed Repair",
ISNUMBER(SEARCH("rapid grass",E753)),"Rapid Grass",
ISNUMBER(SEARCH("thick'r lawn",E753)),"Thick'R Lawn",
ISNUMBER(SEARCH("fungicide",E753)),"Fungicide",
ISNUMBER(SEARCH("moss",E753)),"Moss Control",
ISNUMBER(SEARCH("perlite",E753)),"Perlite",
ISNUMBER(SEARCH("plant food",E753)),"Plant Food",
ISNUMBER(SEARCH("spreader",E753)),"Spreader",
ISNUMBER(SEARCH("sprayer",E753)),"Sprayer",
ISNUMBER(SEARCH("mower",E753)),"Lawn Mower",
ISNUMBER(SEARCH("sweeper",E753)),"Lawn Sweeper",
OR(ISNUMBER(SEARCH("pruner",E753)),ISNUMBER(SEARCH("trimmer",E753)),ISNUMBER(SEARCH("pole saw",E753))),"Pruning Tools",
TRUE,"Other"
)</f>
        <v>Fungicide</v>
      </c>
      <c r="J753" s="7" t="str">
        <f t="shared" si="228"/>
        <v>Flying Insect Control - Fungicide</v>
      </c>
      <c r="K753" s="4">
        <v>100</v>
      </c>
      <c r="L753" s="4">
        <v>4.5</v>
      </c>
      <c r="M753" s="4">
        <v>178</v>
      </c>
      <c r="N753" s="4" t="s">
        <v>3471</v>
      </c>
      <c r="O753" s="4">
        <f>VLOOKUP(A753,[14]Sheet1!$A:$M,2,0)</f>
        <v>0</v>
      </c>
      <c r="P753" s="4">
        <f>VLOOKUP(A753,[14]Sheet1!$A:$M,3,0)</f>
        <v>0</v>
      </c>
      <c r="Q753" s="4">
        <f>VLOOKUP(A753,[14]Sheet1!$A:$M,4,0)</f>
        <v>100</v>
      </c>
      <c r="R753" s="4">
        <f>VLOOKUP(A753,[14]Sheet1!$A:$M,5,0)</f>
        <v>100</v>
      </c>
      <c r="S753" s="4">
        <f>VLOOKUP(A753,[14]Sheet1!$A:$M,6,0)</f>
        <v>100</v>
      </c>
      <c r="T753" s="4">
        <f>VLOOKUP(A753,[14]Sheet1!$A:$M,7,0)</f>
        <v>100</v>
      </c>
      <c r="U753" s="4">
        <f>VLOOKUP(A753,[14]Sheet1!$A:$M,8,0)</f>
        <v>100</v>
      </c>
      <c r="V753" s="4">
        <f>VLOOKUP(A753,[14]Sheet1!$A:$M,9,0)</f>
        <v>100</v>
      </c>
      <c r="W753" s="4">
        <f>VLOOKUP(A753,[14]Sheet1!$A:$M,10,0)</f>
        <v>100</v>
      </c>
      <c r="X753" s="4">
        <f>VLOOKUP(A753,[14]Sheet1!$A:$M,11,0)</f>
        <v>100</v>
      </c>
      <c r="Y753" s="4">
        <f>VLOOKUP(A753,[14]Sheet1!$A:$M,12,0)</f>
        <v>50</v>
      </c>
      <c r="Z753" s="4">
        <f>VLOOKUP(A753,[14]Sheet1!$A:$M,13,0)</f>
        <v>0</v>
      </c>
      <c r="AA753" s="4">
        <f t="shared" si="221"/>
        <v>850</v>
      </c>
      <c r="AB753" s="7">
        <f t="shared" si="222"/>
        <v>71</v>
      </c>
      <c r="AC753" s="15">
        <f t="shared" si="223"/>
        <v>70.833333333333329</v>
      </c>
      <c r="AD753" s="16">
        <f t="shared" si="224"/>
        <v>74579</v>
      </c>
      <c r="AE753" s="16">
        <f t="shared" si="225"/>
        <v>6214.9166666666661</v>
      </c>
      <c r="AF753" s="21">
        <v>87.74</v>
      </c>
      <c r="AG753" s="21">
        <v>87.74</v>
      </c>
      <c r="AH753" s="15">
        <f t="shared" si="226"/>
        <v>-3.5762666666666663</v>
      </c>
      <c r="AI753" s="15">
        <f t="shared" si="227"/>
        <v>-12.516933333333331</v>
      </c>
      <c r="AJ753" s="10">
        <v>0.5</v>
      </c>
      <c r="AK753" s="10">
        <v>0.5</v>
      </c>
      <c r="AL753" s="21">
        <v>87.74</v>
      </c>
      <c r="AM753" s="9">
        <f t="shared" si="213"/>
        <v>13.161</v>
      </c>
      <c r="AN753" s="9">
        <f t="shared" si="214"/>
        <v>2.6321999999999997</v>
      </c>
      <c r="AO753" s="9">
        <f t="shared" si="215"/>
        <v>17.547999999999998</v>
      </c>
      <c r="AP753" s="9">
        <f t="shared" si="216"/>
        <v>1.7547999999999999</v>
      </c>
      <c r="AQ753" s="9">
        <f t="shared" si="217"/>
        <v>17.547999999999998</v>
      </c>
      <c r="AR753" s="9">
        <f t="shared" si="218"/>
        <v>21.934999999999999</v>
      </c>
      <c r="AS753" s="11">
        <f t="shared" si="219"/>
        <v>-35.762666666666661</v>
      </c>
      <c r="AT753" s="12">
        <f t="shared" si="220"/>
        <v>-38.687333333333328</v>
      </c>
    </row>
    <row r="754" spans="1:46" ht="16.5" x14ac:dyDescent="0.4">
      <c r="A754" s="4" t="s">
        <v>3296</v>
      </c>
      <c r="B754" s="4" t="s">
        <v>3312</v>
      </c>
      <c r="C754" s="4" t="s">
        <v>3312</v>
      </c>
      <c r="D754" s="4" t="s">
        <v>3346</v>
      </c>
      <c r="E754" s="4" t="s">
        <v>3392</v>
      </c>
      <c r="F754" s="4" t="s">
        <v>3442</v>
      </c>
      <c r="G754" s="7" t="str">
        <f>VLOOKUP(A754,[1]done!$A:$I,9,0)</f>
        <v>All Other products</v>
      </c>
      <c r="H754" s="7" t="str" cm="1">
        <f t="array" ref="H754">_xlfn.IFS(
OR(ISNUMBER(SEARCH("mouse",E754)),ISNUMBER(SEARCH("rat",E754)),ISNUMBER(SEARCH("mice",E754)),ISNUMBER(SEARCH("rodent",E754))),"Rodent Control",
OR(ISNUMBER(SEARCH("fly",E754)),ISNUMBER(SEARCH("gnat",E754)),ISNUMBER(SEARCH("insect",E754)),ISNUMBER(SEARCH("mosquito",E754))),"Flying Insect Control",
OR(ISNUMBER(SEARCH("roach",E754)),ISNUMBER(SEARCH("ant",E754)),ISNUMBER(SEARCH("spider",E754)),ISNUMBER(SEARCH("cricket",E754)),ISNUMBER(SEARCH("scorpion",E754)),ISNUMBER(SEARCH("centipede",E754)),ISNUMBER(SEARCH("beetle",E754))),"Crawling Insect Control",
OR(ISNUMBER(SEARCH("tree",E754)),ISNUMBER(SEARCH("lantern",E754)),ISNUMBER(SEARCH("garden",E754)),ISNUMBER(SEARCH("plant",E754))),"Garden Pest Control",
OR(ISNUMBER(SEARCH("grass seed",E754)),ISNUMBER(SEARCH("seed mix",E754))),"Grass Seed",
OR(ISNUMBER(SEARCH("lawn food",E754)),ISNUMBER(SEARCH("fertilizer",E754))),"Lawn Fertilizer",
OR(ISNUMBER(SEARCH("patch",E754)),ISNUMBER(SEARCH("repair",E754)),ISNUMBER(SEARCH("thick'r",E754)),ISNUMBER(SEARCH("thick'r lawn",E754)),ISNUMBER(SEARCH("rapid grass",E754))),"Lawn Repair",
OR(ISNUMBER(SEARCH("weed",E754)),ISNUMBER(SEARCH("crabgrass",E754))),"Weed Control",
OR(ISNUMBER(SEARCH("fungicide",E754)),ISNUMBER(SEARCH("moss",E754))),"Disease &amp; Moss Control",
OR(ISNUMBER(SEARCH("plant food",E754)),ISNUMBER(SEARCH("miracid",E754))),"Plant Nutrition",
OR(ISNUMBER(SEARCH("perlite",E754))),"Soil Amendment",
OR(ISNUMBER(SEARCH("spreader",E754)),ISNUMBER(SEARCH("sprayer",E754)),ISNUMBER(SEARCH("mower",E754)),ISNUMBER(SEARCH("sweeper",E754)),ISNUMBER(SEARCH("pruner",E754)),ISNUMBER(SEARCH("trimmer",E754)),ISNUMBER(SEARCH("pole saw",E754))),"Garden Equipment",
TRUE,"Other"
)</f>
        <v>Other</v>
      </c>
      <c r="I754" s="7" t="str" cm="1">
        <f t="array" ref="I754">_xlfn.IFS(
OR(ISNUMBER(SEARCH("glue trap",E754)),ISNUMBER(SEARCH("glue board",E754))),"Glue Traps",
OR(ISNUMBER(SEARCH("snap trap",E754)),ISNUMBER(SEARCH("power-kill",E754)),ISNUMBER(SEARCH("wide pedal",E754)),ISNUMBER(SEARCH("metal pedal",E754))),"Snap Traps",
OR(ISNUMBER(SEARCH("electronic",E754)),ISNUMBER(SEARCH("zapper",E754))),"Electronic Traps",
OR(ISNUMBER(SEARCH("live catch",E754)),ISNUMBER(SEARCH("multi-catch",E754)),ISNUMBER(SEARCH("catch &amp; hold",E754)),ISNUMBER(SEARCH("tin cat",E754))),"Live Catch Traps",
OR(ISNUMBER(SEARCH("bait",E754)),ISNUMBER(SEARCH("poison",E754))),"Bait &amp; Poison",
ISNUMBER(SEARCH("repellent",E754)),"Repellents",
OR(ISNUMBER(SEARCH("fly trap",E754)),ISNUMBER(SEARCH("fly ribbon",E754)),ISNUMBER(SEARCH("fly stick",E754)),ISNUMBER(SEARCH("window fly",E754)),ISNUMBER(SEARCH("fly magnet",E754))),"Fly Traps",
OR(ISNUMBER(SEARCH("uv",E754)),ISNUMBER(SEARCH("fly light",E754)),ISNUMBER(SEARCH("plug-in",E754))),"UV Fly Traps",
ISNUMBER(SEARCH("roach",E754)),"Roach Traps",
ISNUMBER(SEARCH("ant",E754)),"Ant Traps",
ISNUMBER(SEARCH("spider",E754)),"Spider Traps",
ISNUMBER(SEARCH("mosquito",E754)),"Mosquito Traps",
ISNUMBER(SEARCH("beetle",E754)),"Beetle Traps",
ISNUMBER(SEARCH("lantern",E754)),"Lanternfly Control",
OR(ISNUMBER(SEARCH("tree shield",E754)),ISNUMBER(SEARCH("tree banding",E754)),ISNUMBER(SEARCH("insect barrier",E754))),"Tree Barriers",
OR(ISNUMBER(SEARCH("sun &amp; shade",E754)),ISNUMBER(SEARCH("sun and shade",E754))),"Sun &amp; Shade Mix",
ISNUMBER(SEARCH("tall fescue",E754)),"Tall Fescue",
ISNUMBER(SEARCH("bermudagrass",E754)),"Bermudagrass",
ISNUMBER(SEARCH("kentucky",E754)),"Kentucky Bluegrass",
ISNUMBER(SEARCH("zoysia",E754)),"Zoysia",
ISNUMBER(SEARCH("ryegrass",E754)),"Perennial Ryegrass",
ISNUMBER(SEARCH("centipede",E754)),"Centipede Grass",
ISNUMBER(SEARCH("dense shade",E754)),"Dense Shade Mix",
ISNUMBER(SEARCH("southern gold",E754)),"Southern Gold Mix",
ISNUMBER(SEARCH("heat-tolerant blue",E754)),"Heat-Tolerant Blue Mix",
ISNUMBER(SEARCH("high traffic",E754)),"High Traffic Mix",
ISNUMBER(SEARCH("quick fix",E754)),"Quick Fix Mix",
ISNUMBER(SEARCH("starter",E754)),"Starter Fertilizer",
ISNUMBER(SEARCH("weed &amp; feed",E754)),"Weed &amp; Feed",
ISNUMBER(SEARCH("lawn food",E754)),"Lawn Food",
ISNUMBER(SEARCH("triple action",E754)),"Triple Action Fertilizer",
ISNUMBER(SEARCH("green max",E754)),"Green Max Lawn Food",
ISNUMBER(SEARCH("patchmaster",E754)),"PatchMaster Repair",
ISNUMBER(SEARCH("ez seed",E754)),"EZ Seed Repair",
ISNUMBER(SEARCH("rapid grass",E754)),"Rapid Grass",
ISNUMBER(SEARCH("thick'r lawn",E754)),"Thick'R Lawn",
ISNUMBER(SEARCH("fungicide",E754)),"Fungicide",
ISNUMBER(SEARCH("moss",E754)),"Moss Control",
ISNUMBER(SEARCH("perlite",E754)),"Perlite",
ISNUMBER(SEARCH("plant food",E754)),"Plant Food",
ISNUMBER(SEARCH("spreader",E754)),"Spreader",
ISNUMBER(SEARCH("sprayer",E754)),"Sprayer",
ISNUMBER(SEARCH("mower",E754)),"Lawn Mower",
ISNUMBER(SEARCH("sweeper",E754)),"Lawn Sweeper",
OR(ISNUMBER(SEARCH("pruner",E754)),ISNUMBER(SEARCH("trimmer",E754)),ISNUMBER(SEARCH("pole saw",E754))),"Pruning Tools",
TRUE,"Other"
)</f>
        <v>Other</v>
      </c>
      <c r="J754" s="7" t="str">
        <f t="shared" si="228"/>
        <v>Other - Other</v>
      </c>
      <c r="K754" s="4">
        <v>100</v>
      </c>
      <c r="L754" s="4">
        <v>4.5999999999999996</v>
      </c>
      <c r="M754" s="4">
        <v>152</v>
      </c>
      <c r="O754" s="4">
        <f>VLOOKUP(A754,[14]Sheet1!$A:$M,2,0)</f>
        <v>0</v>
      </c>
      <c r="P754" s="4">
        <f>VLOOKUP(A754,[14]Sheet1!$A:$M,3,0)</f>
        <v>0</v>
      </c>
      <c r="Q754" s="4">
        <f>VLOOKUP(A754,[14]Sheet1!$A:$M,4,0)</f>
        <v>50</v>
      </c>
      <c r="R754" s="4">
        <f>VLOOKUP(A754,[14]Sheet1!$A:$M,5,0)</f>
        <v>50</v>
      </c>
      <c r="S754" s="4">
        <f>VLOOKUP(A754,[14]Sheet1!$A:$M,6,0)</f>
        <v>100</v>
      </c>
      <c r="T754" s="4">
        <f>VLOOKUP(A754,[14]Sheet1!$A:$M,7,0)</f>
        <v>200</v>
      </c>
      <c r="U754" s="4">
        <f>VLOOKUP(A754,[14]Sheet1!$A:$M,8,0)</f>
        <v>100</v>
      </c>
      <c r="V754" s="4">
        <f>VLOOKUP(A754,[14]Sheet1!$A:$M,9,0)</f>
        <v>100</v>
      </c>
      <c r="W754" s="4">
        <f>VLOOKUP(A754,[14]Sheet1!$A:$M,10,0)</f>
        <v>50</v>
      </c>
      <c r="X754" s="4">
        <f>VLOOKUP(A754,[14]Sheet1!$A:$M,11,0)</f>
        <v>0</v>
      </c>
      <c r="Y754" s="4">
        <f>VLOOKUP(A754,[14]Sheet1!$A:$M,12,0)</f>
        <v>0</v>
      </c>
      <c r="Z754" s="4">
        <f>VLOOKUP(A754,[14]Sheet1!$A:$M,13,0)</f>
        <v>0</v>
      </c>
      <c r="AA754" s="4">
        <f t="shared" si="221"/>
        <v>650</v>
      </c>
      <c r="AB754" s="7">
        <f t="shared" si="222"/>
        <v>54</v>
      </c>
      <c r="AC754" s="15">
        <f t="shared" si="223"/>
        <v>54.166666666666664</v>
      </c>
      <c r="AD754" s="16">
        <f t="shared" si="224"/>
        <v>42893.5</v>
      </c>
      <c r="AE754" s="16">
        <f t="shared" si="225"/>
        <v>3574.458333333333</v>
      </c>
      <c r="AF754" s="21">
        <v>5.49</v>
      </c>
      <c r="AG754" s="21">
        <v>65.989999999999995</v>
      </c>
      <c r="AH754" s="15">
        <f t="shared" si="226"/>
        <v>1.3270666666666662</v>
      </c>
      <c r="AI754" s="15">
        <f t="shared" si="227"/>
        <v>4.6447333333333312</v>
      </c>
      <c r="AJ754" s="10">
        <v>0.5</v>
      </c>
      <c r="AK754" s="10">
        <v>0.5</v>
      </c>
      <c r="AL754" s="21">
        <v>5.49</v>
      </c>
      <c r="AM754" s="9">
        <f t="shared" si="213"/>
        <v>9.8984999999999985</v>
      </c>
      <c r="AN754" s="9">
        <f t="shared" si="214"/>
        <v>1.9796999999999998</v>
      </c>
      <c r="AO754" s="9">
        <f t="shared" si="215"/>
        <v>13.198</v>
      </c>
      <c r="AP754" s="9">
        <f t="shared" si="216"/>
        <v>1.3197999999999999</v>
      </c>
      <c r="AQ754" s="9">
        <f t="shared" si="217"/>
        <v>13.198</v>
      </c>
      <c r="AR754" s="9">
        <f t="shared" si="218"/>
        <v>16.497499999999999</v>
      </c>
      <c r="AS754" s="11">
        <f t="shared" si="219"/>
        <v>13.270666666666662</v>
      </c>
      <c r="AT754" s="12">
        <f t="shared" si="220"/>
        <v>11.070999999999996</v>
      </c>
    </row>
    <row r="755" spans="1:46" ht="16.5" x14ac:dyDescent="0.4">
      <c r="A755" s="4" t="s">
        <v>3297</v>
      </c>
      <c r="B755" s="4" t="s">
        <v>3312</v>
      </c>
      <c r="C755" s="4" t="s">
        <v>3312</v>
      </c>
      <c r="D755" s="4" t="s">
        <v>3347</v>
      </c>
      <c r="E755" s="4" t="s">
        <v>3393</v>
      </c>
      <c r="F755" s="4" t="s">
        <v>3443</v>
      </c>
      <c r="G755" s="7" t="str">
        <f>VLOOKUP(A755,[1]done!$A:$I,9,0)</f>
        <v>Insecticide/Fungicide</v>
      </c>
      <c r="H755" s="7" t="str" cm="1">
        <f t="array" ref="H755">_xlfn.IFS(
OR(ISNUMBER(SEARCH("mouse",E755)),ISNUMBER(SEARCH("rat",E755)),ISNUMBER(SEARCH("mice",E755)),ISNUMBER(SEARCH("rodent",E755))),"Rodent Control",
OR(ISNUMBER(SEARCH("fly",E755)),ISNUMBER(SEARCH("gnat",E755)),ISNUMBER(SEARCH("insect",E755)),ISNUMBER(SEARCH("mosquito",E755))),"Flying Insect Control",
OR(ISNUMBER(SEARCH("roach",E755)),ISNUMBER(SEARCH("ant",E755)),ISNUMBER(SEARCH("spider",E755)),ISNUMBER(SEARCH("cricket",E755)),ISNUMBER(SEARCH("scorpion",E755)),ISNUMBER(SEARCH("centipede",E755)),ISNUMBER(SEARCH("beetle",E755))),"Crawling Insect Control",
OR(ISNUMBER(SEARCH("tree",E755)),ISNUMBER(SEARCH("lantern",E755)),ISNUMBER(SEARCH("garden",E755)),ISNUMBER(SEARCH("plant",E755))),"Garden Pest Control",
OR(ISNUMBER(SEARCH("grass seed",E755)),ISNUMBER(SEARCH("seed mix",E755))),"Grass Seed",
OR(ISNUMBER(SEARCH("lawn food",E755)),ISNUMBER(SEARCH("fertilizer",E755))),"Lawn Fertilizer",
OR(ISNUMBER(SEARCH("patch",E755)),ISNUMBER(SEARCH("repair",E755)),ISNUMBER(SEARCH("thick'r",E755)),ISNUMBER(SEARCH("thick'r lawn",E755)),ISNUMBER(SEARCH("rapid grass",E755))),"Lawn Repair",
OR(ISNUMBER(SEARCH("weed",E755)),ISNUMBER(SEARCH("crabgrass",E755))),"Weed Control",
OR(ISNUMBER(SEARCH("fungicide",E755)),ISNUMBER(SEARCH("moss",E755))),"Disease &amp; Moss Control",
OR(ISNUMBER(SEARCH("plant food",E755)),ISNUMBER(SEARCH("miracid",E755))),"Plant Nutrition",
OR(ISNUMBER(SEARCH("perlite",E755))),"Soil Amendment",
OR(ISNUMBER(SEARCH("spreader",E755)),ISNUMBER(SEARCH("sprayer",E755)),ISNUMBER(SEARCH("mower",E755)),ISNUMBER(SEARCH("sweeper",E755)),ISNUMBER(SEARCH("pruner",E755)),ISNUMBER(SEARCH("trimmer",E755)),ISNUMBER(SEARCH("pole saw",E755))),"Garden Equipment",
TRUE,"Other"
)</f>
        <v>Flying Insect Control</v>
      </c>
      <c r="I755" s="7" t="str" cm="1">
        <f t="array" ref="I755">_xlfn.IFS(
OR(ISNUMBER(SEARCH("glue trap",E755)),ISNUMBER(SEARCH("glue board",E755))),"Glue Traps",
OR(ISNUMBER(SEARCH("snap trap",E755)),ISNUMBER(SEARCH("power-kill",E755)),ISNUMBER(SEARCH("wide pedal",E755)),ISNUMBER(SEARCH("metal pedal",E755))),"Snap Traps",
OR(ISNUMBER(SEARCH("electronic",E755)),ISNUMBER(SEARCH("zapper",E755))),"Electronic Traps",
OR(ISNUMBER(SEARCH("live catch",E755)),ISNUMBER(SEARCH("multi-catch",E755)),ISNUMBER(SEARCH("catch &amp; hold",E755)),ISNUMBER(SEARCH("tin cat",E755))),"Live Catch Traps",
OR(ISNUMBER(SEARCH("bait",E755)),ISNUMBER(SEARCH("poison",E755))),"Bait &amp; Poison",
ISNUMBER(SEARCH("repellent",E755)),"Repellents",
OR(ISNUMBER(SEARCH("fly trap",E755)),ISNUMBER(SEARCH("fly ribbon",E755)),ISNUMBER(SEARCH("fly stick",E755)),ISNUMBER(SEARCH("window fly",E755)),ISNUMBER(SEARCH("fly magnet",E755))),"Fly Traps",
OR(ISNUMBER(SEARCH("uv",E755)),ISNUMBER(SEARCH("fly light",E755)),ISNUMBER(SEARCH("plug-in",E755))),"UV Fly Traps",
ISNUMBER(SEARCH("roach",E755)),"Roach Traps",
ISNUMBER(SEARCH("ant",E755)),"Ant Traps",
ISNUMBER(SEARCH("spider",E755)),"Spider Traps",
ISNUMBER(SEARCH("mosquito",E755)),"Mosquito Traps",
ISNUMBER(SEARCH("beetle",E755)),"Beetle Traps",
ISNUMBER(SEARCH("lantern",E755)),"Lanternfly Control",
OR(ISNUMBER(SEARCH("tree shield",E755)),ISNUMBER(SEARCH("tree banding",E755)),ISNUMBER(SEARCH("insect barrier",E755))),"Tree Barriers",
OR(ISNUMBER(SEARCH("sun &amp; shade",E755)),ISNUMBER(SEARCH("sun and shade",E755))),"Sun &amp; Shade Mix",
ISNUMBER(SEARCH("tall fescue",E755)),"Tall Fescue",
ISNUMBER(SEARCH("bermudagrass",E755)),"Bermudagrass",
ISNUMBER(SEARCH("kentucky",E755)),"Kentucky Bluegrass",
ISNUMBER(SEARCH("zoysia",E755)),"Zoysia",
ISNUMBER(SEARCH("ryegrass",E755)),"Perennial Ryegrass",
ISNUMBER(SEARCH("centipede",E755)),"Centipede Grass",
ISNUMBER(SEARCH("dense shade",E755)),"Dense Shade Mix",
ISNUMBER(SEARCH("southern gold",E755)),"Southern Gold Mix",
ISNUMBER(SEARCH("heat-tolerant blue",E755)),"Heat-Tolerant Blue Mix",
ISNUMBER(SEARCH("high traffic",E755)),"High Traffic Mix",
ISNUMBER(SEARCH("quick fix",E755)),"Quick Fix Mix",
ISNUMBER(SEARCH("starter",E755)),"Starter Fertilizer",
ISNUMBER(SEARCH("weed &amp; feed",E755)),"Weed &amp; Feed",
ISNUMBER(SEARCH("lawn food",E755)),"Lawn Food",
ISNUMBER(SEARCH("triple action",E755)),"Triple Action Fertilizer",
ISNUMBER(SEARCH("green max",E755)),"Green Max Lawn Food",
ISNUMBER(SEARCH("patchmaster",E755)),"PatchMaster Repair",
ISNUMBER(SEARCH("ez seed",E755)),"EZ Seed Repair",
ISNUMBER(SEARCH("rapid grass",E755)),"Rapid Grass",
ISNUMBER(SEARCH("thick'r lawn",E755)),"Thick'R Lawn",
ISNUMBER(SEARCH("fungicide",E755)),"Fungicide",
ISNUMBER(SEARCH("moss",E755)),"Moss Control",
ISNUMBER(SEARCH("perlite",E755)),"Perlite",
ISNUMBER(SEARCH("plant food",E755)),"Plant Food",
ISNUMBER(SEARCH("spreader",E755)),"Spreader",
ISNUMBER(SEARCH("sprayer",E755)),"Sprayer",
ISNUMBER(SEARCH("mower",E755)),"Lawn Mower",
ISNUMBER(SEARCH("sweeper",E755)),"Lawn Sweeper",
OR(ISNUMBER(SEARCH("pruner",E755)),ISNUMBER(SEARCH("trimmer",E755)),ISNUMBER(SEARCH("pole saw",E755))),"Pruning Tools",
TRUE,"Other"
)</f>
        <v>Other</v>
      </c>
      <c r="J755" s="7" t="str">
        <f t="shared" si="228"/>
        <v>Flying Insect Control - Other</v>
      </c>
      <c r="K755" s="4">
        <v>100</v>
      </c>
      <c r="L755" s="4">
        <v>4.5</v>
      </c>
      <c r="M755" s="4">
        <v>505</v>
      </c>
      <c r="N755" s="4" t="s">
        <v>3476</v>
      </c>
      <c r="O755" s="4">
        <f>VLOOKUP(A755,[14]Sheet1!$A:$M,2,0)</f>
        <v>50</v>
      </c>
      <c r="P755" s="4">
        <f>VLOOKUP(A755,[14]Sheet1!$A:$M,3,0)</f>
        <v>50</v>
      </c>
      <c r="Q755" s="4">
        <f>VLOOKUP(A755,[14]Sheet1!$A:$M,4,0)</f>
        <v>50</v>
      </c>
      <c r="R755" s="4">
        <f>VLOOKUP(A755,[14]Sheet1!$A:$M,5,0)</f>
        <v>100</v>
      </c>
      <c r="S755" s="4">
        <f>VLOOKUP(A755,[14]Sheet1!$A:$M,6,0)</f>
        <v>100</v>
      </c>
      <c r="T755" s="4">
        <f>VLOOKUP(A755,[14]Sheet1!$A:$M,7,0)</f>
        <v>100</v>
      </c>
      <c r="U755" s="4">
        <f>VLOOKUP(A755,[14]Sheet1!$A:$M,8,0)</f>
        <v>100</v>
      </c>
      <c r="V755" s="4">
        <f>VLOOKUP(A755,[14]Sheet1!$A:$M,9,0)</f>
        <v>100</v>
      </c>
      <c r="W755" s="4">
        <f>VLOOKUP(A755,[14]Sheet1!$A:$M,10,0)</f>
        <v>100</v>
      </c>
      <c r="X755" s="4">
        <f>VLOOKUP(A755,[14]Sheet1!$A:$M,11,0)</f>
        <v>50</v>
      </c>
      <c r="Y755" s="4">
        <f>VLOOKUP(A755,[14]Sheet1!$A:$M,12,0)</f>
        <v>50</v>
      </c>
      <c r="Z755" s="4">
        <f>VLOOKUP(A755,[14]Sheet1!$A:$M,13,0)</f>
        <v>50</v>
      </c>
      <c r="AA755" s="4">
        <f t="shared" si="221"/>
        <v>900</v>
      </c>
      <c r="AB755" s="7">
        <f t="shared" si="222"/>
        <v>75</v>
      </c>
      <c r="AC755" s="15">
        <f t="shared" si="223"/>
        <v>75</v>
      </c>
      <c r="AD755" s="16">
        <f t="shared" si="224"/>
        <v>63396</v>
      </c>
      <c r="AE755" s="16">
        <f t="shared" si="225"/>
        <v>5283</v>
      </c>
      <c r="AF755" s="21">
        <v>5.43</v>
      </c>
      <c r="AG755" s="21">
        <v>70.44</v>
      </c>
      <c r="AH755" s="15">
        <f t="shared" si="226"/>
        <v>1.4497333333333331</v>
      </c>
      <c r="AI755" s="15">
        <f t="shared" si="227"/>
        <v>5.0740666666666652</v>
      </c>
      <c r="AJ755" s="10">
        <v>0.5</v>
      </c>
      <c r="AK755" s="10">
        <v>0.5</v>
      </c>
      <c r="AL755" s="21">
        <v>5.43</v>
      </c>
      <c r="AM755" s="9">
        <f t="shared" si="213"/>
        <v>10.565999999999999</v>
      </c>
      <c r="AN755" s="9">
        <f t="shared" si="214"/>
        <v>2.1132</v>
      </c>
      <c r="AO755" s="9">
        <f t="shared" si="215"/>
        <v>14.088000000000001</v>
      </c>
      <c r="AP755" s="9">
        <f t="shared" si="216"/>
        <v>1.4088000000000001</v>
      </c>
      <c r="AQ755" s="9">
        <f t="shared" si="217"/>
        <v>14.088000000000001</v>
      </c>
      <c r="AR755" s="9">
        <f t="shared" si="218"/>
        <v>17.61</v>
      </c>
      <c r="AS755" s="11">
        <f t="shared" si="219"/>
        <v>14.49733333333333</v>
      </c>
      <c r="AT755" s="12">
        <f t="shared" si="220"/>
        <v>12.149333333333331</v>
      </c>
    </row>
    <row r="756" spans="1:46" ht="16.5" x14ac:dyDescent="0.4">
      <c r="A756" s="4" t="s">
        <v>3298</v>
      </c>
      <c r="B756" s="4" t="s">
        <v>3312</v>
      </c>
      <c r="C756" s="4" t="s">
        <v>3312</v>
      </c>
      <c r="D756" s="4" t="s">
        <v>3348</v>
      </c>
      <c r="E756" s="4" t="s">
        <v>3394</v>
      </c>
      <c r="F756" s="4" t="s">
        <v>3444</v>
      </c>
      <c r="G756" s="7" t="str">
        <f>VLOOKUP(A756,[1]done!$A:$I,9,0)</f>
        <v>Weed Control</v>
      </c>
      <c r="H756" s="7" t="str" cm="1">
        <f t="array" ref="H756">_xlfn.IFS(
OR(ISNUMBER(SEARCH("mouse",E756)),ISNUMBER(SEARCH("rat",E756)),ISNUMBER(SEARCH("mice",E756)),ISNUMBER(SEARCH("rodent",E756))),"Rodent Control",
OR(ISNUMBER(SEARCH("fly",E756)),ISNUMBER(SEARCH("gnat",E756)),ISNUMBER(SEARCH("insect",E756)),ISNUMBER(SEARCH("mosquito",E756))),"Flying Insect Control",
OR(ISNUMBER(SEARCH("roach",E756)),ISNUMBER(SEARCH("ant",E756)),ISNUMBER(SEARCH("spider",E756)),ISNUMBER(SEARCH("cricket",E756)),ISNUMBER(SEARCH("scorpion",E756)),ISNUMBER(SEARCH("centipede",E756)),ISNUMBER(SEARCH("beetle",E756))),"Crawling Insect Control",
OR(ISNUMBER(SEARCH("tree",E756)),ISNUMBER(SEARCH("lantern",E756)),ISNUMBER(SEARCH("garden",E756)),ISNUMBER(SEARCH("plant",E756))),"Garden Pest Control",
OR(ISNUMBER(SEARCH("grass seed",E756)),ISNUMBER(SEARCH("seed mix",E756))),"Grass Seed",
OR(ISNUMBER(SEARCH("lawn food",E756)),ISNUMBER(SEARCH("fertilizer",E756))),"Lawn Fertilizer",
OR(ISNUMBER(SEARCH("patch",E756)),ISNUMBER(SEARCH("repair",E756)),ISNUMBER(SEARCH("thick'r",E756)),ISNUMBER(SEARCH("thick'r lawn",E756)),ISNUMBER(SEARCH("rapid grass",E756))),"Lawn Repair",
OR(ISNUMBER(SEARCH("weed",E756)),ISNUMBER(SEARCH("crabgrass",E756))),"Weed Control",
OR(ISNUMBER(SEARCH("fungicide",E756)),ISNUMBER(SEARCH("moss",E756))),"Disease &amp; Moss Control",
OR(ISNUMBER(SEARCH("plant food",E756)),ISNUMBER(SEARCH("miracid",E756))),"Plant Nutrition",
OR(ISNUMBER(SEARCH("perlite",E756))),"Soil Amendment",
OR(ISNUMBER(SEARCH("spreader",E756)),ISNUMBER(SEARCH("sprayer",E756)),ISNUMBER(SEARCH("mower",E756)),ISNUMBER(SEARCH("sweeper",E756)),ISNUMBER(SEARCH("pruner",E756)),ISNUMBER(SEARCH("trimmer",E756)),ISNUMBER(SEARCH("pole saw",E756))),"Garden Equipment",
TRUE,"Other"
)</f>
        <v>Weed Control</v>
      </c>
      <c r="I756" s="7" t="str" cm="1">
        <f t="array" ref="I756">_xlfn.IFS(
OR(ISNUMBER(SEARCH("glue trap",E756)),ISNUMBER(SEARCH("glue board",E756))),"Glue Traps",
OR(ISNUMBER(SEARCH("snap trap",E756)),ISNUMBER(SEARCH("power-kill",E756)),ISNUMBER(SEARCH("wide pedal",E756)),ISNUMBER(SEARCH("metal pedal",E756))),"Snap Traps",
OR(ISNUMBER(SEARCH("electronic",E756)),ISNUMBER(SEARCH("zapper",E756))),"Electronic Traps",
OR(ISNUMBER(SEARCH("live catch",E756)),ISNUMBER(SEARCH("multi-catch",E756)),ISNUMBER(SEARCH("catch &amp; hold",E756)),ISNUMBER(SEARCH("tin cat",E756))),"Live Catch Traps",
OR(ISNUMBER(SEARCH("bait",E756)),ISNUMBER(SEARCH("poison",E756))),"Bait &amp; Poison",
ISNUMBER(SEARCH("repellent",E756)),"Repellents",
OR(ISNUMBER(SEARCH("fly trap",E756)),ISNUMBER(SEARCH("fly ribbon",E756)),ISNUMBER(SEARCH("fly stick",E756)),ISNUMBER(SEARCH("window fly",E756)),ISNUMBER(SEARCH("fly magnet",E756))),"Fly Traps",
OR(ISNUMBER(SEARCH("uv",E756)),ISNUMBER(SEARCH("fly light",E756)),ISNUMBER(SEARCH("plug-in",E756))),"UV Fly Traps",
ISNUMBER(SEARCH("roach",E756)),"Roach Traps",
ISNUMBER(SEARCH("ant",E756)),"Ant Traps",
ISNUMBER(SEARCH("spider",E756)),"Spider Traps",
ISNUMBER(SEARCH("mosquito",E756)),"Mosquito Traps",
ISNUMBER(SEARCH("beetle",E756)),"Beetle Traps",
ISNUMBER(SEARCH("lantern",E756)),"Lanternfly Control",
OR(ISNUMBER(SEARCH("tree shield",E756)),ISNUMBER(SEARCH("tree banding",E756)),ISNUMBER(SEARCH("insect barrier",E756))),"Tree Barriers",
OR(ISNUMBER(SEARCH("sun &amp; shade",E756)),ISNUMBER(SEARCH("sun and shade",E756))),"Sun &amp; Shade Mix",
ISNUMBER(SEARCH("tall fescue",E756)),"Tall Fescue",
ISNUMBER(SEARCH("bermudagrass",E756)),"Bermudagrass",
ISNUMBER(SEARCH("kentucky",E756)),"Kentucky Bluegrass",
ISNUMBER(SEARCH("zoysia",E756)),"Zoysia",
ISNUMBER(SEARCH("ryegrass",E756)),"Perennial Ryegrass",
ISNUMBER(SEARCH("centipede",E756)),"Centipede Grass",
ISNUMBER(SEARCH("dense shade",E756)),"Dense Shade Mix",
ISNUMBER(SEARCH("southern gold",E756)),"Southern Gold Mix",
ISNUMBER(SEARCH("heat-tolerant blue",E756)),"Heat-Tolerant Blue Mix",
ISNUMBER(SEARCH("high traffic",E756)),"High Traffic Mix",
ISNUMBER(SEARCH("quick fix",E756)),"Quick Fix Mix",
ISNUMBER(SEARCH("starter",E756)),"Starter Fertilizer",
ISNUMBER(SEARCH("weed &amp; feed",E756)),"Weed &amp; Feed",
ISNUMBER(SEARCH("lawn food",E756)),"Lawn Food",
ISNUMBER(SEARCH("triple action",E756)),"Triple Action Fertilizer",
ISNUMBER(SEARCH("green max",E756)),"Green Max Lawn Food",
ISNUMBER(SEARCH("patchmaster",E756)),"PatchMaster Repair",
ISNUMBER(SEARCH("ez seed",E756)),"EZ Seed Repair",
ISNUMBER(SEARCH("rapid grass",E756)),"Rapid Grass",
ISNUMBER(SEARCH("thick'r lawn",E756)),"Thick'R Lawn",
ISNUMBER(SEARCH("fungicide",E756)),"Fungicide",
ISNUMBER(SEARCH("moss",E756)),"Moss Control",
ISNUMBER(SEARCH("perlite",E756)),"Perlite",
ISNUMBER(SEARCH("plant food",E756)),"Plant Food",
ISNUMBER(SEARCH("spreader",E756)),"Spreader",
ISNUMBER(SEARCH("sprayer",E756)),"Sprayer",
ISNUMBER(SEARCH("mower",E756)),"Lawn Mower",
ISNUMBER(SEARCH("sweeper",E756)),"Lawn Sweeper",
OR(ISNUMBER(SEARCH("pruner",E756)),ISNUMBER(SEARCH("trimmer",E756)),ISNUMBER(SEARCH("pole saw",E756))),"Pruning Tools",
TRUE,"Other"
)</f>
        <v>Other</v>
      </c>
      <c r="J756" s="7" t="str">
        <f t="shared" si="228"/>
        <v>Weed Control - Other</v>
      </c>
      <c r="K756" s="4">
        <v>100</v>
      </c>
      <c r="L756" s="4">
        <v>4.5</v>
      </c>
      <c r="M756" s="4">
        <v>19</v>
      </c>
      <c r="N756" s="4" t="s">
        <v>3477</v>
      </c>
      <c r="O756" s="4">
        <f>VLOOKUP(A756,[14]Sheet1!$A:$M,2,0)</f>
        <v>0</v>
      </c>
      <c r="P756" s="4">
        <f>VLOOKUP(A756,[14]Sheet1!$A:$M,3,0)</f>
        <v>0</v>
      </c>
      <c r="Q756" s="4">
        <f>VLOOKUP(A756,[14]Sheet1!$A:$M,4,0)</f>
        <v>100</v>
      </c>
      <c r="R756" s="4">
        <f>VLOOKUP(A756,[14]Sheet1!$A:$M,5,0)</f>
        <v>100</v>
      </c>
      <c r="S756" s="4">
        <f>VLOOKUP(A756,[14]Sheet1!$A:$M,6,0)</f>
        <v>100</v>
      </c>
      <c r="T756" s="4">
        <f>VLOOKUP(A756,[14]Sheet1!$A:$M,7,0)</f>
        <v>100</v>
      </c>
      <c r="U756" s="4">
        <f>VLOOKUP(A756,[14]Sheet1!$A:$M,8,0)</f>
        <v>100</v>
      </c>
      <c r="V756" s="4">
        <f>VLOOKUP(A756,[14]Sheet1!$A:$M,9,0)</f>
        <v>100</v>
      </c>
      <c r="W756" s="4">
        <f>VLOOKUP(A756,[14]Sheet1!$A:$M,10,0)</f>
        <v>100</v>
      </c>
      <c r="X756" s="4">
        <f>VLOOKUP(A756,[14]Sheet1!$A:$M,11,0)</f>
        <v>0</v>
      </c>
      <c r="Y756" s="4">
        <f>VLOOKUP(A756,[14]Sheet1!$A:$M,12,0)</f>
        <v>0</v>
      </c>
      <c r="Z756" s="4">
        <f>VLOOKUP(A756,[14]Sheet1!$A:$M,13,0)</f>
        <v>0</v>
      </c>
      <c r="AA756" s="4">
        <f t="shared" si="221"/>
        <v>700</v>
      </c>
      <c r="AB756" s="7">
        <f t="shared" si="222"/>
        <v>58</v>
      </c>
      <c r="AC756" s="15">
        <f t="shared" si="223"/>
        <v>58.333333333333336</v>
      </c>
      <c r="AD756" s="16">
        <f t="shared" si="224"/>
        <v>41272</v>
      </c>
      <c r="AE756" s="16">
        <f t="shared" si="225"/>
        <v>3439.3333333333335</v>
      </c>
      <c r="AF756" s="21">
        <v>4.13</v>
      </c>
      <c r="AG756" s="21">
        <v>58.96</v>
      </c>
      <c r="AH756" s="15">
        <f t="shared" si="226"/>
        <v>1.2302666666666666</v>
      </c>
      <c r="AI756" s="15">
        <f t="shared" si="227"/>
        <v>4.3059333333333329</v>
      </c>
      <c r="AJ756" s="10">
        <v>0.5</v>
      </c>
      <c r="AK756" s="10">
        <v>0.5</v>
      </c>
      <c r="AL756" s="21">
        <v>4.13</v>
      </c>
      <c r="AM756" s="9">
        <f t="shared" si="213"/>
        <v>8.8439999999999994</v>
      </c>
      <c r="AN756" s="9">
        <f t="shared" si="214"/>
        <v>1.7687999999999999</v>
      </c>
      <c r="AO756" s="9">
        <f t="shared" si="215"/>
        <v>11.792000000000002</v>
      </c>
      <c r="AP756" s="9">
        <f t="shared" si="216"/>
        <v>1.1792</v>
      </c>
      <c r="AQ756" s="9">
        <f t="shared" si="217"/>
        <v>11.792000000000002</v>
      </c>
      <c r="AR756" s="9">
        <f t="shared" si="218"/>
        <v>14.74</v>
      </c>
      <c r="AS756" s="11">
        <f t="shared" si="219"/>
        <v>12.302666666666665</v>
      </c>
      <c r="AT756" s="12">
        <f t="shared" si="220"/>
        <v>10.337333333333332</v>
      </c>
    </row>
    <row r="757" spans="1:46" ht="16.5" x14ac:dyDescent="0.4">
      <c r="A757" s="4" t="s">
        <v>3299</v>
      </c>
      <c r="B757" s="4" t="s">
        <v>3312</v>
      </c>
      <c r="C757" s="4" t="s">
        <v>3312</v>
      </c>
      <c r="D757" s="4" t="s">
        <v>3324</v>
      </c>
      <c r="E757" s="4" t="s">
        <v>3395</v>
      </c>
      <c r="F757" s="4" t="s">
        <v>3445</v>
      </c>
      <c r="G757" s="7" t="str">
        <f>VLOOKUP(A757,[1]done!$A:$I,9,0)</f>
        <v>Insecticide/Fungicide</v>
      </c>
      <c r="H757" s="7" t="str" cm="1">
        <f t="array" ref="H757">_xlfn.IFS(
OR(ISNUMBER(SEARCH("mouse",E757)),ISNUMBER(SEARCH("rat",E757)),ISNUMBER(SEARCH("mice",E757)),ISNUMBER(SEARCH("rodent",E757))),"Rodent Control",
OR(ISNUMBER(SEARCH("fly",E757)),ISNUMBER(SEARCH("gnat",E757)),ISNUMBER(SEARCH("insect",E757)),ISNUMBER(SEARCH("mosquito",E757))),"Flying Insect Control",
OR(ISNUMBER(SEARCH("roach",E757)),ISNUMBER(SEARCH("ant",E757)),ISNUMBER(SEARCH("spider",E757)),ISNUMBER(SEARCH("cricket",E757)),ISNUMBER(SEARCH("scorpion",E757)),ISNUMBER(SEARCH("centipede",E757)),ISNUMBER(SEARCH("beetle",E757))),"Crawling Insect Control",
OR(ISNUMBER(SEARCH("tree",E757)),ISNUMBER(SEARCH("lantern",E757)),ISNUMBER(SEARCH("garden",E757)),ISNUMBER(SEARCH("plant",E757))),"Garden Pest Control",
OR(ISNUMBER(SEARCH("grass seed",E757)),ISNUMBER(SEARCH("seed mix",E757))),"Grass Seed",
OR(ISNUMBER(SEARCH("lawn food",E757)),ISNUMBER(SEARCH("fertilizer",E757))),"Lawn Fertilizer",
OR(ISNUMBER(SEARCH("patch",E757)),ISNUMBER(SEARCH("repair",E757)),ISNUMBER(SEARCH("thick'r",E757)),ISNUMBER(SEARCH("thick'r lawn",E757)),ISNUMBER(SEARCH("rapid grass",E757))),"Lawn Repair",
OR(ISNUMBER(SEARCH("weed",E757)),ISNUMBER(SEARCH("crabgrass",E757))),"Weed Control",
OR(ISNUMBER(SEARCH("fungicide",E757)),ISNUMBER(SEARCH("moss",E757))),"Disease &amp; Moss Control",
OR(ISNUMBER(SEARCH("plant food",E757)),ISNUMBER(SEARCH("miracid",E757))),"Plant Nutrition",
OR(ISNUMBER(SEARCH("perlite",E757))),"Soil Amendment",
OR(ISNUMBER(SEARCH("spreader",E757)),ISNUMBER(SEARCH("sprayer",E757)),ISNUMBER(SEARCH("mower",E757)),ISNUMBER(SEARCH("sweeper",E757)),ISNUMBER(SEARCH("pruner",E757)),ISNUMBER(SEARCH("trimmer",E757)),ISNUMBER(SEARCH("pole saw",E757))),"Garden Equipment",
TRUE,"Other"
)</f>
        <v>Flying Insect Control</v>
      </c>
      <c r="I757" s="7" t="str" cm="1">
        <f t="array" ref="I757">_xlfn.IFS(
OR(ISNUMBER(SEARCH("glue trap",E757)),ISNUMBER(SEARCH("glue board",E757))),"Glue Traps",
OR(ISNUMBER(SEARCH("snap trap",E757)),ISNUMBER(SEARCH("power-kill",E757)),ISNUMBER(SEARCH("wide pedal",E757)),ISNUMBER(SEARCH("metal pedal",E757))),"Snap Traps",
OR(ISNUMBER(SEARCH("electronic",E757)),ISNUMBER(SEARCH("zapper",E757))),"Electronic Traps",
OR(ISNUMBER(SEARCH("live catch",E757)),ISNUMBER(SEARCH("multi-catch",E757)),ISNUMBER(SEARCH("catch &amp; hold",E757)),ISNUMBER(SEARCH("tin cat",E757))),"Live Catch Traps",
OR(ISNUMBER(SEARCH("bait",E757)),ISNUMBER(SEARCH("poison",E757))),"Bait &amp; Poison",
ISNUMBER(SEARCH("repellent",E757)),"Repellents",
OR(ISNUMBER(SEARCH("fly trap",E757)),ISNUMBER(SEARCH("fly ribbon",E757)),ISNUMBER(SEARCH("fly stick",E757)),ISNUMBER(SEARCH("window fly",E757)),ISNUMBER(SEARCH("fly magnet",E757))),"Fly Traps",
OR(ISNUMBER(SEARCH("uv",E757)),ISNUMBER(SEARCH("fly light",E757)),ISNUMBER(SEARCH("plug-in",E757))),"UV Fly Traps",
ISNUMBER(SEARCH("roach",E757)),"Roach Traps",
ISNUMBER(SEARCH("ant",E757)),"Ant Traps",
ISNUMBER(SEARCH("spider",E757)),"Spider Traps",
ISNUMBER(SEARCH("mosquito",E757)),"Mosquito Traps",
ISNUMBER(SEARCH("beetle",E757)),"Beetle Traps",
ISNUMBER(SEARCH("lantern",E757)),"Lanternfly Control",
OR(ISNUMBER(SEARCH("tree shield",E757)),ISNUMBER(SEARCH("tree banding",E757)),ISNUMBER(SEARCH("insect barrier",E757))),"Tree Barriers",
OR(ISNUMBER(SEARCH("sun &amp; shade",E757)),ISNUMBER(SEARCH("sun and shade",E757))),"Sun &amp; Shade Mix",
ISNUMBER(SEARCH("tall fescue",E757)),"Tall Fescue",
ISNUMBER(SEARCH("bermudagrass",E757)),"Bermudagrass",
ISNUMBER(SEARCH("kentucky",E757)),"Kentucky Bluegrass",
ISNUMBER(SEARCH("zoysia",E757)),"Zoysia",
ISNUMBER(SEARCH("ryegrass",E757)),"Perennial Ryegrass",
ISNUMBER(SEARCH("centipede",E757)),"Centipede Grass",
ISNUMBER(SEARCH("dense shade",E757)),"Dense Shade Mix",
ISNUMBER(SEARCH("southern gold",E757)),"Southern Gold Mix",
ISNUMBER(SEARCH("heat-tolerant blue",E757)),"Heat-Tolerant Blue Mix",
ISNUMBER(SEARCH("high traffic",E757)),"High Traffic Mix",
ISNUMBER(SEARCH("quick fix",E757)),"Quick Fix Mix",
ISNUMBER(SEARCH("starter",E757)),"Starter Fertilizer",
ISNUMBER(SEARCH("weed &amp; feed",E757)),"Weed &amp; Feed",
ISNUMBER(SEARCH("lawn food",E757)),"Lawn Food",
ISNUMBER(SEARCH("triple action",E757)),"Triple Action Fertilizer",
ISNUMBER(SEARCH("green max",E757)),"Green Max Lawn Food",
ISNUMBER(SEARCH("patchmaster",E757)),"PatchMaster Repair",
ISNUMBER(SEARCH("ez seed",E757)),"EZ Seed Repair",
ISNUMBER(SEARCH("rapid grass",E757)),"Rapid Grass",
ISNUMBER(SEARCH("thick'r lawn",E757)),"Thick'R Lawn",
ISNUMBER(SEARCH("fungicide",E757)),"Fungicide",
ISNUMBER(SEARCH("moss",E757)),"Moss Control",
ISNUMBER(SEARCH("perlite",E757)),"Perlite",
ISNUMBER(SEARCH("plant food",E757)),"Plant Food",
ISNUMBER(SEARCH("spreader",E757)),"Spreader",
ISNUMBER(SEARCH("sprayer",E757)),"Sprayer",
ISNUMBER(SEARCH("mower",E757)),"Lawn Mower",
ISNUMBER(SEARCH("sweeper",E757)),"Lawn Sweeper",
OR(ISNUMBER(SEARCH("pruner",E757)),ISNUMBER(SEARCH("trimmer",E757)),ISNUMBER(SEARCH("pole saw",E757))),"Pruning Tools",
TRUE,"Other"
)</f>
        <v>Other</v>
      </c>
      <c r="J757" s="7" t="str">
        <f t="shared" si="228"/>
        <v>Flying Insect Control - Other</v>
      </c>
      <c r="K757" s="4">
        <v>100</v>
      </c>
      <c r="L757" s="4">
        <v>4.3</v>
      </c>
      <c r="M757" s="4">
        <v>299</v>
      </c>
      <c r="O757" s="4">
        <f>VLOOKUP(A757,[14]Sheet1!$A:$M,2,0)</f>
        <v>50</v>
      </c>
      <c r="P757" s="4">
        <f>VLOOKUP(A757,[14]Sheet1!$A:$M,3,0)</f>
        <v>0</v>
      </c>
      <c r="Q757" s="4">
        <f>VLOOKUP(A757,[14]Sheet1!$A:$M,4,0)</f>
        <v>50</v>
      </c>
      <c r="R757" s="4">
        <f>VLOOKUP(A757,[14]Sheet1!$A:$M,5,0)</f>
        <v>50</v>
      </c>
      <c r="S757" s="4">
        <f>VLOOKUP(A757,[14]Sheet1!$A:$M,6,0)</f>
        <v>50</v>
      </c>
      <c r="T757" s="4">
        <f>VLOOKUP(A757,[14]Sheet1!$A:$M,7,0)</f>
        <v>100</v>
      </c>
      <c r="U757" s="4">
        <f>VLOOKUP(A757,[14]Sheet1!$A:$M,8,0)</f>
        <v>100</v>
      </c>
      <c r="V757" s="4">
        <f>VLOOKUP(A757,[14]Sheet1!$A:$M,9,0)</f>
        <v>100</v>
      </c>
      <c r="W757" s="4">
        <f>VLOOKUP(A757,[14]Sheet1!$A:$M,10,0)</f>
        <v>100</v>
      </c>
      <c r="X757" s="4">
        <f>VLOOKUP(A757,[14]Sheet1!$A:$M,11,0)</f>
        <v>50</v>
      </c>
      <c r="Y757" s="4">
        <f>VLOOKUP(A757,[14]Sheet1!$A:$M,12,0)</f>
        <v>50</v>
      </c>
      <c r="Z757" s="4">
        <f>VLOOKUP(A757,[14]Sheet1!$A:$M,13,0)</f>
        <v>50</v>
      </c>
      <c r="AA757" s="4">
        <f t="shared" si="221"/>
        <v>750</v>
      </c>
      <c r="AB757" s="7">
        <f t="shared" si="222"/>
        <v>63</v>
      </c>
      <c r="AC757" s="15">
        <f t="shared" si="223"/>
        <v>62.5</v>
      </c>
      <c r="AD757" s="16">
        <f t="shared" si="224"/>
        <v>29512.5</v>
      </c>
      <c r="AE757" s="16">
        <f t="shared" si="225"/>
        <v>2459.375</v>
      </c>
      <c r="AF757" s="21">
        <v>4.09</v>
      </c>
      <c r="AG757" s="21">
        <v>39.35</v>
      </c>
      <c r="AH757" s="15">
        <f t="shared" si="226"/>
        <v>0.71</v>
      </c>
      <c r="AI757" s="15">
        <f t="shared" si="227"/>
        <v>2.4849999999999994</v>
      </c>
      <c r="AJ757" s="10">
        <v>0.5</v>
      </c>
      <c r="AK757" s="10">
        <v>0.5</v>
      </c>
      <c r="AL757" s="21">
        <v>4.09</v>
      </c>
      <c r="AM757" s="9">
        <f t="shared" si="213"/>
        <v>5.9024999999999999</v>
      </c>
      <c r="AN757" s="9">
        <f t="shared" si="214"/>
        <v>1.1805000000000001</v>
      </c>
      <c r="AO757" s="9">
        <f t="shared" si="215"/>
        <v>7.870000000000001</v>
      </c>
      <c r="AP757" s="9">
        <f t="shared" si="216"/>
        <v>0.78700000000000003</v>
      </c>
      <c r="AQ757" s="9">
        <f t="shared" si="217"/>
        <v>7.870000000000001</v>
      </c>
      <c r="AR757" s="9">
        <f t="shared" si="218"/>
        <v>9.8375000000000004</v>
      </c>
      <c r="AS757" s="11">
        <f t="shared" si="219"/>
        <v>7.0999999999999988</v>
      </c>
      <c r="AT757" s="12">
        <f t="shared" si="220"/>
        <v>5.7883333333333331</v>
      </c>
    </row>
    <row r="758" spans="1:46" ht="16.5" x14ac:dyDescent="0.4">
      <c r="A758" s="4" t="s">
        <v>3300</v>
      </c>
      <c r="B758" s="4" t="s">
        <v>3312</v>
      </c>
      <c r="C758" s="4" t="s">
        <v>3312</v>
      </c>
      <c r="D758" s="4" t="s">
        <v>3323</v>
      </c>
      <c r="E758" s="4" t="s">
        <v>3396</v>
      </c>
      <c r="F758" s="4" t="s">
        <v>3446</v>
      </c>
      <c r="G758" s="7" t="str">
        <f>VLOOKUP(A758,[1]done!$A:$I,9,0)</f>
        <v>Lawn Fertilizer</v>
      </c>
      <c r="H758" s="7" t="str" cm="1">
        <f t="array" ref="H758">_xlfn.IFS(
OR(ISNUMBER(SEARCH("mouse",E758)),ISNUMBER(SEARCH("rat",E758)),ISNUMBER(SEARCH("mice",E758)),ISNUMBER(SEARCH("rodent",E758))),"Rodent Control",
OR(ISNUMBER(SEARCH("fly",E758)),ISNUMBER(SEARCH("gnat",E758)),ISNUMBER(SEARCH("insect",E758)),ISNUMBER(SEARCH("mosquito",E758))),"Flying Insect Control",
OR(ISNUMBER(SEARCH("roach",E758)),ISNUMBER(SEARCH("ant",E758)),ISNUMBER(SEARCH("spider",E758)),ISNUMBER(SEARCH("cricket",E758)),ISNUMBER(SEARCH("scorpion",E758)),ISNUMBER(SEARCH("centipede",E758)),ISNUMBER(SEARCH("beetle",E758))),"Crawling Insect Control",
OR(ISNUMBER(SEARCH("tree",E758)),ISNUMBER(SEARCH("lantern",E758)),ISNUMBER(SEARCH("garden",E758)),ISNUMBER(SEARCH("plant",E758))),"Garden Pest Control",
OR(ISNUMBER(SEARCH("grass seed",E758)),ISNUMBER(SEARCH("seed mix",E758))),"Grass Seed",
OR(ISNUMBER(SEARCH("lawn food",E758)),ISNUMBER(SEARCH("fertilizer",E758))),"Lawn Fertilizer",
OR(ISNUMBER(SEARCH("patch",E758)),ISNUMBER(SEARCH("repair",E758)),ISNUMBER(SEARCH("thick'r",E758)),ISNUMBER(SEARCH("thick'r lawn",E758)),ISNUMBER(SEARCH("rapid grass",E758))),"Lawn Repair",
OR(ISNUMBER(SEARCH("weed",E758)),ISNUMBER(SEARCH("crabgrass",E758))),"Weed Control",
OR(ISNUMBER(SEARCH("fungicide",E758)),ISNUMBER(SEARCH("moss",E758))),"Disease &amp; Moss Control",
OR(ISNUMBER(SEARCH("plant food",E758)),ISNUMBER(SEARCH("miracid",E758))),"Plant Nutrition",
OR(ISNUMBER(SEARCH("perlite",E758))),"Soil Amendment",
OR(ISNUMBER(SEARCH("spreader",E758)),ISNUMBER(SEARCH("sprayer",E758)),ISNUMBER(SEARCH("mower",E758)),ISNUMBER(SEARCH("sweeper",E758)),ISNUMBER(SEARCH("pruner",E758)),ISNUMBER(SEARCH("trimmer",E758)),ISNUMBER(SEARCH("pole saw",E758))),"Garden Equipment",
TRUE,"Other"
)</f>
        <v>Weed Control</v>
      </c>
      <c r="I758" s="7" t="str" cm="1">
        <f t="array" ref="I758">_xlfn.IFS(
OR(ISNUMBER(SEARCH("glue trap",E758)),ISNUMBER(SEARCH("glue board",E758))),"Glue Traps",
OR(ISNUMBER(SEARCH("snap trap",E758)),ISNUMBER(SEARCH("power-kill",E758)),ISNUMBER(SEARCH("wide pedal",E758)),ISNUMBER(SEARCH("metal pedal",E758))),"Snap Traps",
OR(ISNUMBER(SEARCH("electronic",E758)),ISNUMBER(SEARCH("zapper",E758))),"Electronic Traps",
OR(ISNUMBER(SEARCH("live catch",E758)),ISNUMBER(SEARCH("multi-catch",E758)),ISNUMBER(SEARCH("catch &amp; hold",E758)),ISNUMBER(SEARCH("tin cat",E758))),"Live Catch Traps",
OR(ISNUMBER(SEARCH("bait",E758)),ISNUMBER(SEARCH("poison",E758))),"Bait &amp; Poison",
ISNUMBER(SEARCH("repellent",E758)),"Repellents",
OR(ISNUMBER(SEARCH("fly trap",E758)),ISNUMBER(SEARCH("fly ribbon",E758)),ISNUMBER(SEARCH("fly stick",E758)),ISNUMBER(SEARCH("window fly",E758)),ISNUMBER(SEARCH("fly magnet",E758))),"Fly Traps",
OR(ISNUMBER(SEARCH("uv",E758)),ISNUMBER(SEARCH("fly light",E758)),ISNUMBER(SEARCH("plug-in",E758))),"UV Fly Traps",
ISNUMBER(SEARCH("roach",E758)),"Roach Traps",
ISNUMBER(SEARCH("ant",E758)),"Ant Traps",
ISNUMBER(SEARCH("spider",E758)),"Spider Traps",
ISNUMBER(SEARCH("mosquito",E758)),"Mosquito Traps",
ISNUMBER(SEARCH("beetle",E758)),"Beetle Traps",
ISNUMBER(SEARCH("lantern",E758)),"Lanternfly Control",
OR(ISNUMBER(SEARCH("tree shield",E758)),ISNUMBER(SEARCH("tree banding",E758)),ISNUMBER(SEARCH("insect barrier",E758))),"Tree Barriers",
OR(ISNUMBER(SEARCH("sun &amp; shade",E758)),ISNUMBER(SEARCH("sun and shade",E758))),"Sun &amp; Shade Mix",
ISNUMBER(SEARCH("tall fescue",E758)),"Tall Fescue",
ISNUMBER(SEARCH("bermudagrass",E758)),"Bermudagrass",
ISNUMBER(SEARCH("kentucky",E758)),"Kentucky Bluegrass",
ISNUMBER(SEARCH("zoysia",E758)),"Zoysia",
ISNUMBER(SEARCH("ryegrass",E758)),"Perennial Ryegrass",
ISNUMBER(SEARCH("centipede",E758)),"Centipede Grass",
ISNUMBER(SEARCH("dense shade",E758)),"Dense Shade Mix",
ISNUMBER(SEARCH("southern gold",E758)),"Southern Gold Mix",
ISNUMBER(SEARCH("heat-tolerant blue",E758)),"Heat-Tolerant Blue Mix",
ISNUMBER(SEARCH("high traffic",E758)),"High Traffic Mix",
ISNUMBER(SEARCH("quick fix",E758)),"Quick Fix Mix",
ISNUMBER(SEARCH("starter",E758)),"Starter Fertilizer",
ISNUMBER(SEARCH("weed &amp; feed",E758)),"Weed &amp; Feed",
ISNUMBER(SEARCH("lawn food",E758)),"Lawn Food",
ISNUMBER(SEARCH("triple action",E758)),"Triple Action Fertilizer",
ISNUMBER(SEARCH("green max",E758)),"Green Max Lawn Food",
ISNUMBER(SEARCH("patchmaster",E758)),"PatchMaster Repair",
ISNUMBER(SEARCH("ez seed",E758)),"EZ Seed Repair",
ISNUMBER(SEARCH("rapid grass",E758)),"Rapid Grass",
ISNUMBER(SEARCH("thick'r lawn",E758)),"Thick'R Lawn",
ISNUMBER(SEARCH("fungicide",E758)),"Fungicide",
ISNUMBER(SEARCH("moss",E758)),"Moss Control",
ISNUMBER(SEARCH("perlite",E758)),"Perlite",
ISNUMBER(SEARCH("plant food",E758)),"Plant Food",
ISNUMBER(SEARCH("spreader",E758)),"Spreader",
ISNUMBER(SEARCH("sprayer",E758)),"Sprayer",
ISNUMBER(SEARCH("mower",E758)),"Lawn Mower",
ISNUMBER(SEARCH("sweeper",E758)),"Lawn Sweeper",
OR(ISNUMBER(SEARCH("pruner",E758)),ISNUMBER(SEARCH("trimmer",E758)),ISNUMBER(SEARCH("pole saw",E758))),"Pruning Tools",
TRUE,"Other"
)</f>
        <v>Other</v>
      </c>
      <c r="J758" s="7" t="str">
        <f t="shared" si="228"/>
        <v>Weed Control - Other</v>
      </c>
      <c r="K758" s="4">
        <v>100</v>
      </c>
      <c r="L758" s="4">
        <v>4.4000000000000004</v>
      </c>
      <c r="M758" s="4">
        <v>25</v>
      </c>
      <c r="N758" s="4" t="s">
        <v>242</v>
      </c>
      <c r="O758" s="4">
        <f>VLOOKUP(A758,[14]Sheet1!$A:$M,2,0)</f>
        <v>0</v>
      </c>
      <c r="P758" s="4">
        <f>VLOOKUP(A758,[14]Sheet1!$A:$M,3,0)</f>
        <v>0</v>
      </c>
      <c r="Q758" s="4">
        <f>VLOOKUP(A758,[14]Sheet1!$A:$M,4,0)</f>
        <v>100</v>
      </c>
      <c r="R758" s="4">
        <f>VLOOKUP(A758,[14]Sheet1!$A:$M,5,0)</f>
        <v>100</v>
      </c>
      <c r="S758" s="4">
        <f>VLOOKUP(A758,[14]Sheet1!$A:$M,6,0)</f>
        <v>100</v>
      </c>
      <c r="T758" s="4">
        <f>VLOOKUP(A758,[14]Sheet1!$A:$M,7,0)</f>
        <v>50</v>
      </c>
      <c r="U758" s="4">
        <f>VLOOKUP(A758,[14]Sheet1!$A:$M,8,0)</f>
        <v>0</v>
      </c>
      <c r="V758" s="4">
        <f>VLOOKUP(A758,[14]Sheet1!$A:$M,9,0)</f>
        <v>0</v>
      </c>
      <c r="W758" s="4">
        <f>VLOOKUP(A758,[14]Sheet1!$A:$M,10,0)</f>
        <v>100</v>
      </c>
      <c r="X758" s="4">
        <f>VLOOKUP(A758,[14]Sheet1!$A:$M,11,0)</f>
        <v>0</v>
      </c>
      <c r="Y758" s="4">
        <f>VLOOKUP(A758,[14]Sheet1!$A:$M,12,0)</f>
        <v>0</v>
      </c>
      <c r="Z758" s="4">
        <f>VLOOKUP(A758,[14]Sheet1!$A:$M,13,0)</f>
        <v>0</v>
      </c>
      <c r="AA758" s="4">
        <f t="shared" si="221"/>
        <v>450</v>
      </c>
      <c r="AB758" s="7">
        <f t="shared" si="222"/>
        <v>38</v>
      </c>
      <c r="AC758" s="15">
        <f t="shared" si="223"/>
        <v>37.5</v>
      </c>
      <c r="AD758" s="16">
        <f t="shared" si="224"/>
        <v>57757.5</v>
      </c>
      <c r="AE758" s="16">
        <f t="shared" si="225"/>
        <v>4813.125</v>
      </c>
      <c r="AF758" s="21">
        <v>6.03</v>
      </c>
      <c r="AG758" s="21">
        <v>128.35</v>
      </c>
      <c r="AH758" s="15">
        <f t="shared" si="226"/>
        <v>2.9539999999999993</v>
      </c>
      <c r="AI758" s="15">
        <f t="shared" si="227"/>
        <v>10.338999999999997</v>
      </c>
      <c r="AJ758" s="10">
        <v>0.5</v>
      </c>
      <c r="AK758" s="10">
        <v>0.5</v>
      </c>
      <c r="AL758" s="21">
        <v>6.03</v>
      </c>
      <c r="AM758" s="9">
        <f t="shared" si="213"/>
        <v>19.252499999999998</v>
      </c>
      <c r="AN758" s="9">
        <f t="shared" si="214"/>
        <v>3.8504999999999998</v>
      </c>
      <c r="AO758" s="9">
        <f t="shared" si="215"/>
        <v>25.67</v>
      </c>
      <c r="AP758" s="9">
        <f t="shared" si="216"/>
        <v>2.5669999999999997</v>
      </c>
      <c r="AQ758" s="9">
        <f t="shared" si="217"/>
        <v>25.67</v>
      </c>
      <c r="AR758" s="9">
        <f t="shared" si="218"/>
        <v>32.087499999999999</v>
      </c>
      <c r="AS758" s="11">
        <f t="shared" si="219"/>
        <v>29.539999999999992</v>
      </c>
      <c r="AT758" s="12">
        <f t="shared" si="220"/>
        <v>25.26166666666666</v>
      </c>
    </row>
    <row r="759" spans="1:46" ht="16.5" x14ac:dyDescent="0.4">
      <c r="A759" s="4" t="s">
        <v>3301</v>
      </c>
      <c r="B759" s="4" t="s">
        <v>3312</v>
      </c>
      <c r="C759" s="4" t="s">
        <v>3312</v>
      </c>
      <c r="D759" s="4" t="s">
        <v>3349</v>
      </c>
      <c r="E759" s="4" t="s">
        <v>3397</v>
      </c>
      <c r="F759" s="4" t="s">
        <v>3447</v>
      </c>
      <c r="G759" s="7" t="str">
        <f>VLOOKUP(A759,[1]done!$A:$I,9,0)</f>
        <v>Cockroach</v>
      </c>
      <c r="H759" s="7" t="str" cm="1">
        <f t="array" ref="H759">_xlfn.IFS(
OR(ISNUMBER(SEARCH("mouse",E759)),ISNUMBER(SEARCH("rat",E759)),ISNUMBER(SEARCH("mice",E759)),ISNUMBER(SEARCH("rodent",E759))),"Rodent Control",
OR(ISNUMBER(SEARCH("fly",E759)),ISNUMBER(SEARCH("gnat",E759)),ISNUMBER(SEARCH("insect",E759)),ISNUMBER(SEARCH("mosquito",E759))),"Flying Insect Control",
OR(ISNUMBER(SEARCH("roach",E759)),ISNUMBER(SEARCH("ant",E759)),ISNUMBER(SEARCH("spider",E759)),ISNUMBER(SEARCH("cricket",E759)),ISNUMBER(SEARCH("scorpion",E759)),ISNUMBER(SEARCH("centipede",E759)),ISNUMBER(SEARCH("beetle",E759))),"Crawling Insect Control",
OR(ISNUMBER(SEARCH("tree",E759)),ISNUMBER(SEARCH("lantern",E759)),ISNUMBER(SEARCH("garden",E759)),ISNUMBER(SEARCH("plant",E759))),"Garden Pest Control",
OR(ISNUMBER(SEARCH("grass seed",E759)),ISNUMBER(SEARCH("seed mix",E759))),"Grass Seed",
OR(ISNUMBER(SEARCH("lawn food",E759)),ISNUMBER(SEARCH("fertilizer",E759))),"Lawn Fertilizer",
OR(ISNUMBER(SEARCH("patch",E759)),ISNUMBER(SEARCH("repair",E759)),ISNUMBER(SEARCH("thick'r",E759)),ISNUMBER(SEARCH("thick'r lawn",E759)),ISNUMBER(SEARCH("rapid grass",E759))),"Lawn Repair",
OR(ISNUMBER(SEARCH("weed",E759)),ISNUMBER(SEARCH("crabgrass",E759))),"Weed Control",
OR(ISNUMBER(SEARCH("fungicide",E759)),ISNUMBER(SEARCH("moss",E759))),"Disease &amp; Moss Control",
OR(ISNUMBER(SEARCH("plant food",E759)),ISNUMBER(SEARCH("miracid",E759))),"Plant Nutrition",
OR(ISNUMBER(SEARCH("perlite",E759))),"Soil Amendment",
OR(ISNUMBER(SEARCH("spreader",E759)),ISNUMBER(SEARCH("sprayer",E759)),ISNUMBER(SEARCH("mower",E759)),ISNUMBER(SEARCH("sweeper",E759)),ISNUMBER(SEARCH("pruner",E759)),ISNUMBER(SEARCH("trimmer",E759)),ISNUMBER(SEARCH("pole saw",E759))),"Garden Equipment",
TRUE,"Other"
)</f>
        <v>Flying Insect Control</v>
      </c>
      <c r="I759" s="7" t="str" cm="1">
        <f t="array" ref="I759">_xlfn.IFS(
OR(ISNUMBER(SEARCH("glue trap",E759)),ISNUMBER(SEARCH("glue board",E759))),"Glue Traps",
OR(ISNUMBER(SEARCH("snap trap",E759)),ISNUMBER(SEARCH("power-kill",E759)),ISNUMBER(SEARCH("wide pedal",E759)),ISNUMBER(SEARCH("metal pedal",E759))),"Snap Traps",
OR(ISNUMBER(SEARCH("electronic",E759)),ISNUMBER(SEARCH("zapper",E759))),"Electronic Traps",
OR(ISNUMBER(SEARCH("live catch",E759)),ISNUMBER(SEARCH("multi-catch",E759)),ISNUMBER(SEARCH("catch &amp; hold",E759)),ISNUMBER(SEARCH("tin cat",E759))),"Live Catch Traps",
OR(ISNUMBER(SEARCH("bait",E759)),ISNUMBER(SEARCH("poison",E759))),"Bait &amp; Poison",
ISNUMBER(SEARCH("repellent",E759)),"Repellents",
OR(ISNUMBER(SEARCH("fly trap",E759)),ISNUMBER(SEARCH("fly ribbon",E759)),ISNUMBER(SEARCH("fly stick",E759)),ISNUMBER(SEARCH("window fly",E759)),ISNUMBER(SEARCH("fly magnet",E759))),"Fly Traps",
OR(ISNUMBER(SEARCH("uv",E759)),ISNUMBER(SEARCH("fly light",E759)),ISNUMBER(SEARCH("plug-in",E759))),"UV Fly Traps",
ISNUMBER(SEARCH("roach",E759)),"Roach Traps",
ISNUMBER(SEARCH("ant",E759)),"Ant Traps",
ISNUMBER(SEARCH("spider",E759)),"Spider Traps",
ISNUMBER(SEARCH("mosquito",E759)),"Mosquito Traps",
ISNUMBER(SEARCH("beetle",E759)),"Beetle Traps",
ISNUMBER(SEARCH("lantern",E759)),"Lanternfly Control",
OR(ISNUMBER(SEARCH("tree shield",E759)),ISNUMBER(SEARCH("tree banding",E759)),ISNUMBER(SEARCH("insect barrier",E759))),"Tree Barriers",
OR(ISNUMBER(SEARCH("sun &amp; shade",E759)),ISNUMBER(SEARCH("sun and shade",E759))),"Sun &amp; Shade Mix",
ISNUMBER(SEARCH("tall fescue",E759)),"Tall Fescue",
ISNUMBER(SEARCH("bermudagrass",E759)),"Bermudagrass",
ISNUMBER(SEARCH("kentucky",E759)),"Kentucky Bluegrass",
ISNUMBER(SEARCH("zoysia",E759)),"Zoysia",
ISNUMBER(SEARCH("ryegrass",E759)),"Perennial Ryegrass",
ISNUMBER(SEARCH("centipede",E759)),"Centipede Grass",
ISNUMBER(SEARCH("dense shade",E759)),"Dense Shade Mix",
ISNUMBER(SEARCH("southern gold",E759)),"Southern Gold Mix",
ISNUMBER(SEARCH("heat-tolerant blue",E759)),"Heat-Tolerant Blue Mix",
ISNUMBER(SEARCH("high traffic",E759)),"High Traffic Mix",
ISNUMBER(SEARCH("quick fix",E759)),"Quick Fix Mix",
ISNUMBER(SEARCH("starter",E759)),"Starter Fertilizer",
ISNUMBER(SEARCH("weed &amp; feed",E759)),"Weed &amp; Feed",
ISNUMBER(SEARCH("lawn food",E759)),"Lawn Food",
ISNUMBER(SEARCH("triple action",E759)),"Triple Action Fertilizer",
ISNUMBER(SEARCH("green max",E759)),"Green Max Lawn Food",
ISNUMBER(SEARCH("patchmaster",E759)),"PatchMaster Repair",
ISNUMBER(SEARCH("ez seed",E759)),"EZ Seed Repair",
ISNUMBER(SEARCH("rapid grass",E759)),"Rapid Grass",
ISNUMBER(SEARCH("thick'r lawn",E759)),"Thick'R Lawn",
ISNUMBER(SEARCH("fungicide",E759)),"Fungicide",
ISNUMBER(SEARCH("moss",E759)),"Moss Control",
ISNUMBER(SEARCH("perlite",E759)),"Perlite",
ISNUMBER(SEARCH("plant food",E759)),"Plant Food",
ISNUMBER(SEARCH("spreader",E759)),"Spreader",
ISNUMBER(SEARCH("sprayer",E759)),"Sprayer",
ISNUMBER(SEARCH("mower",E759)),"Lawn Mower",
ISNUMBER(SEARCH("sweeper",E759)),"Lawn Sweeper",
OR(ISNUMBER(SEARCH("pruner",E759)),ISNUMBER(SEARCH("trimmer",E759)),ISNUMBER(SEARCH("pole saw",E759))),"Pruning Tools",
TRUE,"Other"
)</f>
        <v>Bait &amp; Poison</v>
      </c>
      <c r="J759" s="7" t="str">
        <f t="shared" si="228"/>
        <v>Flying Insect Control - Bait &amp; Poison</v>
      </c>
      <c r="K759" s="4">
        <v>100</v>
      </c>
      <c r="L759" s="4">
        <v>4.5999999999999996</v>
      </c>
      <c r="M759" s="4">
        <v>911</v>
      </c>
      <c r="N759" s="4" t="s">
        <v>3478</v>
      </c>
      <c r="O759" s="4">
        <f>VLOOKUP(A759,[14]Sheet1!$A:$M,2,0)</f>
        <v>0</v>
      </c>
      <c r="P759" s="4">
        <f>VLOOKUP(A759,[14]Sheet1!$A:$M,3,0)</f>
        <v>0</v>
      </c>
      <c r="Q759" s="4">
        <f>VLOOKUP(A759,[14]Sheet1!$A:$M,4,0)</f>
        <v>0</v>
      </c>
      <c r="R759" s="4">
        <f>VLOOKUP(A759,[14]Sheet1!$A:$M,5,0)</f>
        <v>0</v>
      </c>
      <c r="S759" s="4">
        <f>VLOOKUP(A759,[14]Sheet1!$A:$M,6,0)</f>
        <v>0</v>
      </c>
      <c r="T759" s="4">
        <f>VLOOKUP(A759,[14]Sheet1!$A:$M,7,0)</f>
        <v>0</v>
      </c>
      <c r="U759" s="4">
        <f>VLOOKUP(A759,[14]Sheet1!$A:$M,8,0)</f>
        <v>0</v>
      </c>
      <c r="V759" s="4">
        <f>VLOOKUP(A759,[14]Sheet1!$A:$M,9,0)</f>
        <v>100</v>
      </c>
      <c r="W759" s="4">
        <f>VLOOKUP(A759,[14]Sheet1!$A:$M,10,0)</f>
        <v>100</v>
      </c>
      <c r="X759" s="4">
        <f>VLOOKUP(A759,[14]Sheet1!$A:$M,11,0)</f>
        <v>50</v>
      </c>
      <c r="Y759" s="4">
        <f>VLOOKUP(A759,[14]Sheet1!$A:$M,12,0)</f>
        <v>0</v>
      </c>
      <c r="Z759" s="4">
        <f>VLOOKUP(A759,[14]Sheet1!$A:$M,13,0)</f>
        <v>0</v>
      </c>
      <c r="AA759" s="4">
        <f t="shared" si="221"/>
        <v>250</v>
      </c>
      <c r="AB759" s="7">
        <f t="shared" si="222"/>
        <v>21</v>
      </c>
      <c r="AC759" s="15">
        <f t="shared" si="223"/>
        <v>20.833333333333332</v>
      </c>
      <c r="AD759" s="16">
        <f t="shared" si="224"/>
        <v>13285</v>
      </c>
      <c r="AE759" s="16">
        <f t="shared" si="225"/>
        <v>1107.0833333333333</v>
      </c>
      <c r="AF759" s="21">
        <v>4.62</v>
      </c>
      <c r="AG759" s="21">
        <v>53.14</v>
      </c>
      <c r="AH759" s="15">
        <f t="shared" si="226"/>
        <v>1.0424</v>
      </c>
      <c r="AI759" s="15">
        <f t="shared" si="227"/>
        <v>3.6483999999999996</v>
      </c>
      <c r="AJ759" s="10">
        <v>0.5</v>
      </c>
      <c r="AK759" s="10">
        <v>0.5</v>
      </c>
      <c r="AL759" s="21">
        <v>4.62</v>
      </c>
      <c r="AM759" s="9">
        <f t="shared" si="213"/>
        <v>7.9710000000000001</v>
      </c>
      <c r="AN759" s="9">
        <f t="shared" si="214"/>
        <v>1.5942000000000001</v>
      </c>
      <c r="AO759" s="9">
        <f t="shared" si="215"/>
        <v>10.628</v>
      </c>
      <c r="AP759" s="9">
        <f t="shared" si="216"/>
        <v>1.0628</v>
      </c>
      <c r="AQ759" s="9">
        <f t="shared" si="217"/>
        <v>10.628</v>
      </c>
      <c r="AR759" s="9">
        <f t="shared" si="218"/>
        <v>13.285</v>
      </c>
      <c r="AS759" s="11">
        <f t="shared" si="219"/>
        <v>10.423999999999999</v>
      </c>
      <c r="AT759" s="12">
        <f t="shared" si="220"/>
        <v>8.6526666666666667</v>
      </c>
    </row>
    <row r="760" spans="1:46" ht="16.5" x14ac:dyDescent="0.4">
      <c r="A760" s="4" t="s">
        <v>3302</v>
      </c>
      <c r="B760" s="4" t="s">
        <v>3312</v>
      </c>
      <c r="C760" s="4" t="s">
        <v>3312</v>
      </c>
      <c r="D760" s="4" t="s">
        <v>3350</v>
      </c>
      <c r="E760" s="4" t="s">
        <v>3398</v>
      </c>
      <c r="F760" s="4" t="s">
        <v>3448</v>
      </c>
      <c r="G760" s="7" t="str">
        <f>VLOOKUP(A760,[1]done!$A:$I,9,0)</f>
        <v>Insecticide/Fungicide</v>
      </c>
      <c r="H760" s="7" t="str" cm="1">
        <f t="array" ref="H760">_xlfn.IFS(
OR(ISNUMBER(SEARCH("mouse",E760)),ISNUMBER(SEARCH("rat",E760)),ISNUMBER(SEARCH("mice",E760)),ISNUMBER(SEARCH("rodent",E760))),"Rodent Control",
OR(ISNUMBER(SEARCH("fly",E760)),ISNUMBER(SEARCH("gnat",E760)),ISNUMBER(SEARCH("insect",E760)),ISNUMBER(SEARCH("mosquito",E760))),"Flying Insect Control",
OR(ISNUMBER(SEARCH("roach",E760)),ISNUMBER(SEARCH("ant",E760)),ISNUMBER(SEARCH("spider",E760)),ISNUMBER(SEARCH("cricket",E760)),ISNUMBER(SEARCH("scorpion",E760)),ISNUMBER(SEARCH("centipede",E760)),ISNUMBER(SEARCH("beetle",E760))),"Crawling Insect Control",
OR(ISNUMBER(SEARCH("tree",E760)),ISNUMBER(SEARCH("lantern",E760)),ISNUMBER(SEARCH("garden",E760)),ISNUMBER(SEARCH("plant",E760))),"Garden Pest Control",
OR(ISNUMBER(SEARCH("grass seed",E760)),ISNUMBER(SEARCH("seed mix",E760))),"Grass Seed",
OR(ISNUMBER(SEARCH("lawn food",E760)),ISNUMBER(SEARCH("fertilizer",E760))),"Lawn Fertilizer",
OR(ISNUMBER(SEARCH("patch",E760)),ISNUMBER(SEARCH("repair",E760)),ISNUMBER(SEARCH("thick'r",E760)),ISNUMBER(SEARCH("thick'r lawn",E760)),ISNUMBER(SEARCH("rapid grass",E760))),"Lawn Repair",
OR(ISNUMBER(SEARCH("weed",E760)),ISNUMBER(SEARCH("crabgrass",E760))),"Weed Control",
OR(ISNUMBER(SEARCH("fungicide",E760)),ISNUMBER(SEARCH("moss",E760))),"Disease &amp; Moss Control",
OR(ISNUMBER(SEARCH("plant food",E760)),ISNUMBER(SEARCH("miracid",E760))),"Plant Nutrition",
OR(ISNUMBER(SEARCH("perlite",E760))),"Soil Amendment",
OR(ISNUMBER(SEARCH("spreader",E760)),ISNUMBER(SEARCH("sprayer",E760)),ISNUMBER(SEARCH("mower",E760)),ISNUMBER(SEARCH("sweeper",E760)),ISNUMBER(SEARCH("pruner",E760)),ISNUMBER(SEARCH("trimmer",E760)),ISNUMBER(SEARCH("pole saw",E760))),"Garden Equipment",
TRUE,"Other"
)</f>
        <v>Disease &amp; Moss Control</v>
      </c>
      <c r="I760" s="7" t="str" cm="1">
        <f t="array" ref="I760">_xlfn.IFS(
OR(ISNUMBER(SEARCH("glue trap",E760)),ISNUMBER(SEARCH("glue board",E760))),"Glue Traps",
OR(ISNUMBER(SEARCH("snap trap",E760)),ISNUMBER(SEARCH("power-kill",E760)),ISNUMBER(SEARCH("wide pedal",E760)),ISNUMBER(SEARCH("metal pedal",E760))),"Snap Traps",
OR(ISNUMBER(SEARCH("electronic",E760)),ISNUMBER(SEARCH("zapper",E760))),"Electronic Traps",
OR(ISNUMBER(SEARCH("live catch",E760)),ISNUMBER(SEARCH("multi-catch",E760)),ISNUMBER(SEARCH("catch &amp; hold",E760)),ISNUMBER(SEARCH("tin cat",E760))),"Live Catch Traps",
OR(ISNUMBER(SEARCH("bait",E760)),ISNUMBER(SEARCH("poison",E760))),"Bait &amp; Poison",
ISNUMBER(SEARCH("repellent",E760)),"Repellents",
OR(ISNUMBER(SEARCH("fly trap",E760)),ISNUMBER(SEARCH("fly ribbon",E760)),ISNUMBER(SEARCH("fly stick",E760)),ISNUMBER(SEARCH("window fly",E760)),ISNUMBER(SEARCH("fly magnet",E760))),"Fly Traps",
OR(ISNUMBER(SEARCH("uv",E760)),ISNUMBER(SEARCH("fly light",E760)),ISNUMBER(SEARCH("plug-in",E760))),"UV Fly Traps",
ISNUMBER(SEARCH("roach",E760)),"Roach Traps",
ISNUMBER(SEARCH("ant",E760)),"Ant Traps",
ISNUMBER(SEARCH("spider",E760)),"Spider Traps",
ISNUMBER(SEARCH("mosquito",E760)),"Mosquito Traps",
ISNUMBER(SEARCH("beetle",E760)),"Beetle Traps",
ISNUMBER(SEARCH("lantern",E760)),"Lanternfly Control",
OR(ISNUMBER(SEARCH("tree shield",E760)),ISNUMBER(SEARCH("tree banding",E760)),ISNUMBER(SEARCH("insect barrier",E760))),"Tree Barriers",
OR(ISNUMBER(SEARCH("sun &amp; shade",E760)),ISNUMBER(SEARCH("sun and shade",E760))),"Sun &amp; Shade Mix",
ISNUMBER(SEARCH("tall fescue",E760)),"Tall Fescue",
ISNUMBER(SEARCH("bermudagrass",E760)),"Bermudagrass",
ISNUMBER(SEARCH("kentucky",E760)),"Kentucky Bluegrass",
ISNUMBER(SEARCH("zoysia",E760)),"Zoysia",
ISNUMBER(SEARCH("ryegrass",E760)),"Perennial Ryegrass",
ISNUMBER(SEARCH("centipede",E760)),"Centipede Grass",
ISNUMBER(SEARCH("dense shade",E760)),"Dense Shade Mix",
ISNUMBER(SEARCH("southern gold",E760)),"Southern Gold Mix",
ISNUMBER(SEARCH("heat-tolerant blue",E760)),"Heat-Tolerant Blue Mix",
ISNUMBER(SEARCH("high traffic",E760)),"High Traffic Mix",
ISNUMBER(SEARCH("quick fix",E760)),"Quick Fix Mix",
ISNUMBER(SEARCH("starter",E760)),"Starter Fertilizer",
ISNUMBER(SEARCH("weed &amp; feed",E760)),"Weed &amp; Feed",
ISNUMBER(SEARCH("lawn food",E760)),"Lawn Food",
ISNUMBER(SEARCH("triple action",E760)),"Triple Action Fertilizer",
ISNUMBER(SEARCH("green max",E760)),"Green Max Lawn Food",
ISNUMBER(SEARCH("patchmaster",E760)),"PatchMaster Repair",
ISNUMBER(SEARCH("ez seed",E760)),"EZ Seed Repair",
ISNUMBER(SEARCH("rapid grass",E760)),"Rapid Grass",
ISNUMBER(SEARCH("thick'r lawn",E760)),"Thick'R Lawn",
ISNUMBER(SEARCH("fungicide",E760)),"Fungicide",
ISNUMBER(SEARCH("moss",E760)),"Moss Control",
ISNUMBER(SEARCH("perlite",E760)),"Perlite",
ISNUMBER(SEARCH("plant food",E760)),"Plant Food",
ISNUMBER(SEARCH("spreader",E760)),"Spreader",
ISNUMBER(SEARCH("sprayer",E760)),"Sprayer",
ISNUMBER(SEARCH("mower",E760)),"Lawn Mower",
ISNUMBER(SEARCH("sweeper",E760)),"Lawn Sweeper",
OR(ISNUMBER(SEARCH("pruner",E760)),ISNUMBER(SEARCH("trimmer",E760)),ISNUMBER(SEARCH("pole saw",E760))),"Pruning Tools",
TRUE,"Other"
)</f>
        <v>Fungicide</v>
      </c>
      <c r="J760" s="7" t="str">
        <f t="shared" si="228"/>
        <v>Disease &amp; Moss Control - Fungicide</v>
      </c>
      <c r="K760" s="4">
        <v>100</v>
      </c>
      <c r="L760" s="4">
        <v>4.3</v>
      </c>
      <c r="M760" s="4">
        <v>38</v>
      </c>
      <c r="N760" s="4" t="s">
        <v>3479</v>
      </c>
      <c r="O760" s="4">
        <f>VLOOKUP(A760,[14]Sheet1!$A:$M,2,0)</f>
        <v>0</v>
      </c>
      <c r="P760" s="4">
        <f>VLOOKUP(A760,[14]Sheet1!$A:$M,3,0)</f>
        <v>0</v>
      </c>
      <c r="Q760" s="4">
        <f>VLOOKUP(A760,[14]Sheet1!$A:$M,4,0)</f>
        <v>0</v>
      </c>
      <c r="R760" s="4">
        <f>VLOOKUP(A760,[14]Sheet1!$A:$M,5,0)</f>
        <v>50</v>
      </c>
      <c r="S760" s="4">
        <f>VLOOKUP(A760,[14]Sheet1!$A:$M,6,0)</f>
        <v>50</v>
      </c>
      <c r="T760" s="4">
        <f>VLOOKUP(A760,[14]Sheet1!$A:$M,7,0)</f>
        <v>100</v>
      </c>
      <c r="U760" s="4">
        <f>VLOOKUP(A760,[14]Sheet1!$A:$M,8,0)</f>
        <v>100</v>
      </c>
      <c r="V760" s="4">
        <f>VLOOKUP(A760,[14]Sheet1!$A:$M,9,0)</f>
        <v>100</v>
      </c>
      <c r="W760" s="4">
        <f>VLOOKUP(A760,[14]Sheet1!$A:$M,10,0)</f>
        <v>100</v>
      </c>
      <c r="X760" s="4">
        <f>VLOOKUP(A760,[14]Sheet1!$A:$M,11,0)</f>
        <v>100</v>
      </c>
      <c r="Y760" s="4">
        <f>VLOOKUP(A760,[14]Sheet1!$A:$M,12,0)</f>
        <v>50</v>
      </c>
      <c r="Z760" s="4">
        <f>VLOOKUP(A760,[14]Sheet1!$A:$M,13,0)</f>
        <v>0</v>
      </c>
      <c r="AA760" s="4">
        <f t="shared" si="221"/>
        <v>650</v>
      </c>
      <c r="AB760" s="7">
        <f t="shared" si="222"/>
        <v>54</v>
      </c>
      <c r="AC760" s="15">
        <f t="shared" si="223"/>
        <v>54.166666666666664</v>
      </c>
      <c r="AD760" s="16">
        <f t="shared" si="224"/>
        <v>19493.5</v>
      </c>
      <c r="AE760" s="16">
        <f t="shared" si="225"/>
        <v>1624.4583333333333</v>
      </c>
      <c r="AF760" s="21">
        <v>4.09</v>
      </c>
      <c r="AG760" s="21">
        <v>29.99</v>
      </c>
      <c r="AH760" s="15">
        <f t="shared" si="226"/>
        <v>0.46040000000000003</v>
      </c>
      <c r="AI760" s="15">
        <f t="shared" si="227"/>
        <v>1.6113999999999999</v>
      </c>
      <c r="AJ760" s="10">
        <v>0.5</v>
      </c>
      <c r="AK760" s="10">
        <v>0.5</v>
      </c>
      <c r="AL760" s="21">
        <v>4.09</v>
      </c>
      <c r="AM760" s="9">
        <f t="shared" si="213"/>
        <v>4.4984999999999999</v>
      </c>
      <c r="AN760" s="9">
        <f t="shared" si="214"/>
        <v>0.89969999999999994</v>
      </c>
      <c r="AO760" s="9">
        <f t="shared" si="215"/>
        <v>5.9980000000000002</v>
      </c>
      <c r="AP760" s="9">
        <f t="shared" si="216"/>
        <v>0.5998</v>
      </c>
      <c r="AQ760" s="9">
        <f t="shared" si="217"/>
        <v>5.9980000000000002</v>
      </c>
      <c r="AR760" s="9">
        <f t="shared" si="218"/>
        <v>7.4974999999999996</v>
      </c>
      <c r="AS760" s="11">
        <f t="shared" si="219"/>
        <v>4.6040000000000001</v>
      </c>
      <c r="AT760" s="12">
        <f t="shared" si="220"/>
        <v>3.6043333333333334</v>
      </c>
    </row>
    <row r="761" spans="1:46" ht="16.5" x14ac:dyDescent="0.4">
      <c r="A761" s="4" t="s">
        <v>3303</v>
      </c>
      <c r="B761" s="4" t="s">
        <v>3312</v>
      </c>
      <c r="C761" s="4" t="s">
        <v>3313</v>
      </c>
      <c r="D761" s="4" t="s">
        <v>3351</v>
      </c>
      <c r="E761" s="4" t="s">
        <v>3399</v>
      </c>
      <c r="F761" s="4" t="s">
        <v>3449</v>
      </c>
      <c r="G761" s="7" t="str">
        <f>VLOOKUP(A761,[1]done!$A:$I,9,0)</f>
        <v>Insecticide/Fungicide</v>
      </c>
      <c r="H761" s="7" t="str" cm="1">
        <f t="array" ref="H761">_xlfn.IFS(
OR(ISNUMBER(SEARCH("mouse",E761)),ISNUMBER(SEARCH("rat",E761)),ISNUMBER(SEARCH("mice",E761)),ISNUMBER(SEARCH("rodent",E761))),"Rodent Control",
OR(ISNUMBER(SEARCH("fly",E761)),ISNUMBER(SEARCH("gnat",E761)),ISNUMBER(SEARCH("insect",E761)),ISNUMBER(SEARCH("mosquito",E761))),"Flying Insect Control",
OR(ISNUMBER(SEARCH("roach",E761)),ISNUMBER(SEARCH("ant",E761)),ISNUMBER(SEARCH("spider",E761)),ISNUMBER(SEARCH("cricket",E761)),ISNUMBER(SEARCH("scorpion",E761)),ISNUMBER(SEARCH("centipede",E761)),ISNUMBER(SEARCH("beetle",E761))),"Crawling Insect Control",
OR(ISNUMBER(SEARCH("tree",E761)),ISNUMBER(SEARCH("lantern",E761)),ISNUMBER(SEARCH("garden",E761)),ISNUMBER(SEARCH("plant",E761))),"Garden Pest Control",
OR(ISNUMBER(SEARCH("grass seed",E761)),ISNUMBER(SEARCH("seed mix",E761))),"Grass Seed",
OR(ISNUMBER(SEARCH("lawn food",E761)),ISNUMBER(SEARCH("fertilizer",E761))),"Lawn Fertilizer",
OR(ISNUMBER(SEARCH("patch",E761)),ISNUMBER(SEARCH("repair",E761)),ISNUMBER(SEARCH("thick'r",E761)),ISNUMBER(SEARCH("thick'r lawn",E761)),ISNUMBER(SEARCH("rapid grass",E761))),"Lawn Repair",
OR(ISNUMBER(SEARCH("weed",E761)),ISNUMBER(SEARCH("crabgrass",E761))),"Weed Control",
OR(ISNUMBER(SEARCH("fungicide",E761)),ISNUMBER(SEARCH("moss",E761))),"Disease &amp; Moss Control",
OR(ISNUMBER(SEARCH("plant food",E761)),ISNUMBER(SEARCH("miracid",E761))),"Plant Nutrition",
OR(ISNUMBER(SEARCH("perlite",E761))),"Soil Amendment",
OR(ISNUMBER(SEARCH("spreader",E761)),ISNUMBER(SEARCH("sprayer",E761)),ISNUMBER(SEARCH("mower",E761)),ISNUMBER(SEARCH("sweeper",E761)),ISNUMBER(SEARCH("pruner",E761)),ISNUMBER(SEARCH("trimmer",E761)),ISNUMBER(SEARCH("pole saw",E761))),"Garden Equipment",
TRUE,"Other"
)</f>
        <v>Flying Insect Control</v>
      </c>
      <c r="I761" s="7" t="str" cm="1">
        <f t="array" ref="I761">_xlfn.IFS(
OR(ISNUMBER(SEARCH("glue trap",E761)),ISNUMBER(SEARCH("glue board",E761))),"Glue Traps",
OR(ISNUMBER(SEARCH("snap trap",E761)),ISNUMBER(SEARCH("power-kill",E761)),ISNUMBER(SEARCH("wide pedal",E761)),ISNUMBER(SEARCH("metal pedal",E761))),"Snap Traps",
OR(ISNUMBER(SEARCH("electronic",E761)),ISNUMBER(SEARCH("zapper",E761))),"Electronic Traps",
OR(ISNUMBER(SEARCH("live catch",E761)),ISNUMBER(SEARCH("multi-catch",E761)),ISNUMBER(SEARCH("catch &amp; hold",E761)),ISNUMBER(SEARCH("tin cat",E761))),"Live Catch Traps",
OR(ISNUMBER(SEARCH("bait",E761)),ISNUMBER(SEARCH("poison",E761))),"Bait &amp; Poison",
ISNUMBER(SEARCH("repellent",E761)),"Repellents",
OR(ISNUMBER(SEARCH("fly trap",E761)),ISNUMBER(SEARCH("fly ribbon",E761)),ISNUMBER(SEARCH("fly stick",E761)),ISNUMBER(SEARCH("window fly",E761)),ISNUMBER(SEARCH("fly magnet",E761))),"Fly Traps",
OR(ISNUMBER(SEARCH("uv",E761)),ISNUMBER(SEARCH("fly light",E761)),ISNUMBER(SEARCH("plug-in",E761))),"UV Fly Traps",
ISNUMBER(SEARCH("roach",E761)),"Roach Traps",
ISNUMBER(SEARCH("ant",E761)),"Ant Traps",
ISNUMBER(SEARCH("spider",E761)),"Spider Traps",
ISNUMBER(SEARCH("mosquito",E761)),"Mosquito Traps",
ISNUMBER(SEARCH("beetle",E761)),"Beetle Traps",
ISNUMBER(SEARCH("lantern",E761)),"Lanternfly Control",
OR(ISNUMBER(SEARCH("tree shield",E761)),ISNUMBER(SEARCH("tree banding",E761)),ISNUMBER(SEARCH("insect barrier",E761))),"Tree Barriers",
OR(ISNUMBER(SEARCH("sun &amp; shade",E761)),ISNUMBER(SEARCH("sun and shade",E761))),"Sun &amp; Shade Mix",
ISNUMBER(SEARCH("tall fescue",E761)),"Tall Fescue",
ISNUMBER(SEARCH("bermudagrass",E761)),"Bermudagrass",
ISNUMBER(SEARCH("kentucky",E761)),"Kentucky Bluegrass",
ISNUMBER(SEARCH("zoysia",E761)),"Zoysia",
ISNUMBER(SEARCH("ryegrass",E761)),"Perennial Ryegrass",
ISNUMBER(SEARCH("centipede",E761)),"Centipede Grass",
ISNUMBER(SEARCH("dense shade",E761)),"Dense Shade Mix",
ISNUMBER(SEARCH("southern gold",E761)),"Southern Gold Mix",
ISNUMBER(SEARCH("heat-tolerant blue",E761)),"Heat-Tolerant Blue Mix",
ISNUMBER(SEARCH("high traffic",E761)),"High Traffic Mix",
ISNUMBER(SEARCH("quick fix",E761)),"Quick Fix Mix",
ISNUMBER(SEARCH("starter",E761)),"Starter Fertilizer",
ISNUMBER(SEARCH("weed &amp; feed",E761)),"Weed &amp; Feed",
ISNUMBER(SEARCH("lawn food",E761)),"Lawn Food",
ISNUMBER(SEARCH("triple action",E761)),"Triple Action Fertilizer",
ISNUMBER(SEARCH("green max",E761)),"Green Max Lawn Food",
ISNUMBER(SEARCH("patchmaster",E761)),"PatchMaster Repair",
ISNUMBER(SEARCH("ez seed",E761)),"EZ Seed Repair",
ISNUMBER(SEARCH("rapid grass",E761)),"Rapid Grass",
ISNUMBER(SEARCH("thick'r lawn",E761)),"Thick'R Lawn",
ISNUMBER(SEARCH("fungicide",E761)),"Fungicide",
ISNUMBER(SEARCH("moss",E761)),"Moss Control",
ISNUMBER(SEARCH("perlite",E761)),"Perlite",
ISNUMBER(SEARCH("plant food",E761)),"Plant Food",
ISNUMBER(SEARCH("spreader",E761)),"Spreader",
ISNUMBER(SEARCH("sprayer",E761)),"Sprayer",
ISNUMBER(SEARCH("mower",E761)),"Lawn Mower",
ISNUMBER(SEARCH("sweeper",E761)),"Lawn Sweeper",
OR(ISNUMBER(SEARCH("pruner",E761)),ISNUMBER(SEARCH("trimmer",E761)),ISNUMBER(SEARCH("pole saw",E761))),"Pruning Tools",
TRUE,"Other"
)</f>
        <v>Other</v>
      </c>
      <c r="J761" s="7" t="str">
        <f t="shared" si="228"/>
        <v>Flying Insect Control - Other</v>
      </c>
      <c r="K761" s="4">
        <v>100</v>
      </c>
      <c r="L761" s="4">
        <v>4.5999999999999996</v>
      </c>
      <c r="M761" s="4">
        <v>508</v>
      </c>
      <c r="N761" s="4" t="s">
        <v>3480</v>
      </c>
      <c r="O761" s="4">
        <f>VLOOKUP(A761,[14]Sheet1!$A:$M,2,0)</f>
        <v>50</v>
      </c>
      <c r="P761" s="4">
        <f>VLOOKUP(A761,[14]Sheet1!$A:$M,3,0)</f>
        <v>50</v>
      </c>
      <c r="Q761" s="4">
        <f>VLOOKUP(A761,[14]Sheet1!$A:$M,4,0)</f>
        <v>100</v>
      </c>
      <c r="R761" s="4">
        <f>VLOOKUP(A761,[14]Sheet1!$A:$M,5,0)</f>
        <v>100</v>
      </c>
      <c r="S761" s="4">
        <f>VLOOKUP(A761,[14]Sheet1!$A:$M,6,0)</f>
        <v>300</v>
      </c>
      <c r="T761" s="4">
        <f>VLOOKUP(A761,[14]Sheet1!$A:$M,7,0)</f>
        <v>200</v>
      </c>
      <c r="U761" s="4">
        <f>VLOOKUP(A761,[14]Sheet1!$A:$M,8,0)</f>
        <v>200</v>
      </c>
      <c r="V761" s="4">
        <f>VLOOKUP(A761,[14]Sheet1!$A:$M,9,0)</f>
        <v>100</v>
      </c>
      <c r="W761" s="4">
        <f>VLOOKUP(A761,[14]Sheet1!$A:$M,10,0)</f>
        <v>100</v>
      </c>
      <c r="X761" s="4">
        <f>VLOOKUP(A761,[14]Sheet1!$A:$M,11,0)</f>
        <v>300</v>
      </c>
      <c r="Y761" s="4">
        <f>VLOOKUP(A761,[14]Sheet1!$A:$M,12,0)</f>
        <v>100</v>
      </c>
      <c r="Z761" s="4">
        <f>VLOOKUP(A761,[14]Sheet1!$A:$M,13,0)</f>
        <v>50</v>
      </c>
      <c r="AA761" s="4">
        <f t="shared" si="221"/>
        <v>1650</v>
      </c>
      <c r="AB761" s="7">
        <f t="shared" si="222"/>
        <v>138</v>
      </c>
      <c r="AC761" s="15">
        <f t="shared" si="223"/>
        <v>137.5</v>
      </c>
      <c r="AD761" s="16">
        <f t="shared" si="224"/>
        <v>192588</v>
      </c>
      <c r="AE761" s="16">
        <f t="shared" si="225"/>
        <v>16049</v>
      </c>
      <c r="AF761" s="21">
        <v>6.58</v>
      </c>
      <c r="AG761" s="21">
        <v>116.72</v>
      </c>
      <c r="AH761" s="15">
        <f t="shared" si="226"/>
        <v>2.6072000000000002</v>
      </c>
      <c r="AI761" s="15">
        <f t="shared" si="227"/>
        <v>9.1251999999999995</v>
      </c>
      <c r="AJ761" s="10">
        <v>0.5</v>
      </c>
      <c r="AK761" s="10">
        <v>0.5</v>
      </c>
      <c r="AL761" s="21">
        <v>6.58</v>
      </c>
      <c r="AM761" s="9">
        <f t="shared" si="213"/>
        <v>17.507999999999999</v>
      </c>
      <c r="AN761" s="9">
        <f t="shared" si="214"/>
        <v>3.5015999999999998</v>
      </c>
      <c r="AO761" s="9">
        <f t="shared" si="215"/>
        <v>23.344000000000001</v>
      </c>
      <c r="AP761" s="9">
        <f t="shared" si="216"/>
        <v>2.3344</v>
      </c>
      <c r="AQ761" s="9">
        <f t="shared" si="217"/>
        <v>23.344000000000001</v>
      </c>
      <c r="AR761" s="9">
        <f t="shared" si="218"/>
        <v>29.18</v>
      </c>
      <c r="AS761" s="11">
        <f t="shared" si="219"/>
        <v>26.071999999999999</v>
      </c>
      <c r="AT761" s="12">
        <f t="shared" si="220"/>
        <v>22.181333333333331</v>
      </c>
    </row>
    <row r="762" spans="1:46" ht="16.5" x14ac:dyDescent="0.4">
      <c r="A762" s="4" t="s">
        <v>3304</v>
      </c>
      <c r="B762" s="4" t="s">
        <v>3312</v>
      </c>
      <c r="C762" s="4" t="s">
        <v>3312</v>
      </c>
      <c r="D762" s="4" t="s">
        <v>3352</v>
      </c>
      <c r="E762" s="4" t="s">
        <v>3400</v>
      </c>
      <c r="F762" s="4" t="s">
        <v>3450</v>
      </c>
      <c r="G762" s="7" t="str">
        <f>VLOOKUP(A762,[1]done!$A:$I,9,0)</f>
        <v>Insecticide/Fungicide</v>
      </c>
      <c r="H762" s="7" t="str" cm="1">
        <f t="array" ref="H762">_xlfn.IFS(
OR(ISNUMBER(SEARCH("mouse",E762)),ISNUMBER(SEARCH("rat",E762)),ISNUMBER(SEARCH("mice",E762)),ISNUMBER(SEARCH("rodent",E762))),"Rodent Control",
OR(ISNUMBER(SEARCH("fly",E762)),ISNUMBER(SEARCH("gnat",E762)),ISNUMBER(SEARCH("insect",E762)),ISNUMBER(SEARCH("mosquito",E762))),"Flying Insect Control",
OR(ISNUMBER(SEARCH("roach",E762)),ISNUMBER(SEARCH("ant",E762)),ISNUMBER(SEARCH("spider",E762)),ISNUMBER(SEARCH("cricket",E762)),ISNUMBER(SEARCH("scorpion",E762)),ISNUMBER(SEARCH("centipede",E762)),ISNUMBER(SEARCH("beetle",E762))),"Crawling Insect Control",
OR(ISNUMBER(SEARCH("tree",E762)),ISNUMBER(SEARCH("lantern",E762)),ISNUMBER(SEARCH("garden",E762)),ISNUMBER(SEARCH("plant",E762))),"Garden Pest Control",
OR(ISNUMBER(SEARCH("grass seed",E762)),ISNUMBER(SEARCH("seed mix",E762))),"Grass Seed",
OR(ISNUMBER(SEARCH("lawn food",E762)),ISNUMBER(SEARCH("fertilizer",E762))),"Lawn Fertilizer",
OR(ISNUMBER(SEARCH("patch",E762)),ISNUMBER(SEARCH("repair",E762)),ISNUMBER(SEARCH("thick'r",E762)),ISNUMBER(SEARCH("thick'r lawn",E762)),ISNUMBER(SEARCH("rapid grass",E762))),"Lawn Repair",
OR(ISNUMBER(SEARCH("weed",E762)),ISNUMBER(SEARCH("crabgrass",E762))),"Weed Control",
OR(ISNUMBER(SEARCH("fungicide",E762)),ISNUMBER(SEARCH("moss",E762))),"Disease &amp; Moss Control",
OR(ISNUMBER(SEARCH("plant food",E762)),ISNUMBER(SEARCH("miracid",E762))),"Plant Nutrition",
OR(ISNUMBER(SEARCH("perlite",E762))),"Soil Amendment",
OR(ISNUMBER(SEARCH("spreader",E762)),ISNUMBER(SEARCH("sprayer",E762)),ISNUMBER(SEARCH("mower",E762)),ISNUMBER(SEARCH("sweeper",E762)),ISNUMBER(SEARCH("pruner",E762)),ISNUMBER(SEARCH("trimmer",E762)),ISNUMBER(SEARCH("pole saw",E762))),"Garden Equipment",
TRUE,"Other"
)</f>
        <v>Flying Insect Control</v>
      </c>
      <c r="I762" s="7" t="str" cm="1">
        <f t="array" ref="I762">_xlfn.IFS(
OR(ISNUMBER(SEARCH("glue trap",E762)),ISNUMBER(SEARCH("glue board",E762))),"Glue Traps",
OR(ISNUMBER(SEARCH("snap trap",E762)),ISNUMBER(SEARCH("power-kill",E762)),ISNUMBER(SEARCH("wide pedal",E762)),ISNUMBER(SEARCH("metal pedal",E762))),"Snap Traps",
OR(ISNUMBER(SEARCH("electronic",E762)),ISNUMBER(SEARCH("zapper",E762))),"Electronic Traps",
OR(ISNUMBER(SEARCH("live catch",E762)),ISNUMBER(SEARCH("multi-catch",E762)),ISNUMBER(SEARCH("catch &amp; hold",E762)),ISNUMBER(SEARCH("tin cat",E762))),"Live Catch Traps",
OR(ISNUMBER(SEARCH("bait",E762)),ISNUMBER(SEARCH("poison",E762))),"Bait &amp; Poison",
ISNUMBER(SEARCH("repellent",E762)),"Repellents",
OR(ISNUMBER(SEARCH("fly trap",E762)),ISNUMBER(SEARCH("fly ribbon",E762)),ISNUMBER(SEARCH("fly stick",E762)),ISNUMBER(SEARCH("window fly",E762)),ISNUMBER(SEARCH("fly magnet",E762))),"Fly Traps",
OR(ISNUMBER(SEARCH("uv",E762)),ISNUMBER(SEARCH("fly light",E762)),ISNUMBER(SEARCH("plug-in",E762))),"UV Fly Traps",
ISNUMBER(SEARCH("roach",E762)),"Roach Traps",
ISNUMBER(SEARCH("ant",E762)),"Ant Traps",
ISNUMBER(SEARCH("spider",E762)),"Spider Traps",
ISNUMBER(SEARCH("mosquito",E762)),"Mosquito Traps",
ISNUMBER(SEARCH("beetle",E762)),"Beetle Traps",
ISNUMBER(SEARCH("lantern",E762)),"Lanternfly Control",
OR(ISNUMBER(SEARCH("tree shield",E762)),ISNUMBER(SEARCH("tree banding",E762)),ISNUMBER(SEARCH("insect barrier",E762))),"Tree Barriers",
OR(ISNUMBER(SEARCH("sun &amp; shade",E762)),ISNUMBER(SEARCH("sun and shade",E762))),"Sun &amp; Shade Mix",
ISNUMBER(SEARCH("tall fescue",E762)),"Tall Fescue",
ISNUMBER(SEARCH("bermudagrass",E762)),"Bermudagrass",
ISNUMBER(SEARCH("kentucky",E762)),"Kentucky Bluegrass",
ISNUMBER(SEARCH("zoysia",E762)),"Zoysia",
ISNUMBER(SEARCH("ryegrass",E762)),"Perennial Ryegrass",
ISNUMBER(SEARCH("centipede",E762)),"Centipede Grass",
ISNUMBER(SEARCH("dense shade",E762)),"Dense Shade Mix",
ISNUMBER(SEARCH("southern gold",E762)),"Southern Gold Mix",
ISNUMBER(SEARCH("heat-tolerant blue",E762)),"Heat-Tolerant Blue Mix",
ISNUMBER(SEARCH("high traffic",E762)),"High Traffic Mix",
ISNUMBER(SEARCH("quick fix",E762)),"Quick Fix Mix",
ISNUMBER(SEARCH("starter",E762)),"Starter Fertilizer",
ISNUMBER(SEARCH("weed &amp; feed",E762)),"Weed &amp; Feed",
ISNUMBER(SEARCH("lawn food",E762)),"Lawn Food",
ISNUMBER(SEARCH("triple action",E762)),"Triple Action Fertilizer",
ISNUMBER(SEARCH("green max",E762)),"Green Max Lawn Food",
ISNUMBER(SEARCH("patchmaster",E762)),"PatchMaster Repair",
ISNUMBER(SEARCH("ez seed",E762)),"EZ Seed Repair",
ISNUMBER(SEARCH("rapid grass",E762)),"Rapid Grass",
ISNUMBER(SEARCH("thick'r lawn",E762)),"Thick'R Lawn",
ISNUMBER(SEARCH("fungicide",E762)),"Fungicide",
ISNUMBER(SEARCH("moss",E762)),"Moss Control",
ISNUMBER(SEARCH("perlite",E762)),"Perlite",
ISNUMBER(SEARCH("plant food",E762)),"Plant Food",
ISNUMBER(SEARCH("spreader",E762)),"Spreader",
ISNUMBER(SEARCH("sprayer",E762)),"Sprayer",
ISNUMBER(SEARCH("mower",E762)),"Lawn Mower",
ISNUMBER(SEARCH("sweeper",E762)),"Lawn Sweeper",
OR(ISNUMBER(SEARCH("pruner",E762)),ISNUMBER(SEARCH("trimmer",E762)),ISNUMBER(SEARCH("pole saw",E762))),"Pruning Tools",
TRUE,"Other"
)</f>
        <v>Other</v>
      </c>
      <c r="J762" s="7" t="str">
        <f t="shared" si="228"/>
        <v>Flying Insect Control - Other</v>
      </c>
      <c r="K762" s="4">
        <v>50</v>
      </c>
      <c r="L762" s="4">
        <v>4.3</v>
      </c>
      <c r="M762" s="4">
        <v>96</v>
      </c>
      <c r="O762" s="4">
        <f>VLOOKUP(A762,[14]Sheet1!$A:$M,2,0)</f>
        <v>0</v>
      </c>
      <c r="P762" s="4">
        <f>VLOOKUP(A762,[14]Sheet1!$A:$M,3,0)</f>
        <v>0</v>
      </c>
      <c r="Q762" s="4">
        <f>VLOOKUP(A762,[14]Sheet1!$A:$M,4,0)</f>
        <v>100</v>
      </c>
      <c r="R762" s="4">
        <f>VLOOKUP(A762,[14]Sheet1!$A:$M,5,0)</f>
        <v>200</v>
      </c>
      <c r="S762" s="4">
        <f>VLOOKUP(A762,[14]Sheet1!$A:$M,6,0)</f>
        <v>200</v>
      </c>
      <c r="T762" s="4">
        <f>VLOOKUP(A762,[14]Sheet1!$A:$M,7,0)</f>
        <v>100</v>
      </c>
      <c r="U762" s="4">
        <f>VLOOKUP(A762,[14]Sheet1!$A:$M,8,0)</f>
        <v>100</v>
      </c>
      <c r="V762" s="4">
        <f>VLOOKUP(A762,[14]Sheet1!$A:$M,9,0)</f>
        <v>100</v>
      </c>
      <c r="W762" s="4">
        <f>VLOOKUP(A762,[14]Sheet1!$A:$M,10,0)</f>
        <v>50</v>
      </c>
      <c r="X762" s="4">
        <f>VLOOKUP(A762,[14]Sheet1!$A:$M,11,0)</f>
        <v>100</v>
      </c>
      <c r="Y762" s="4">
        <f>VLOOKUP(A762,[14]Sheet1!$A:$M,12,0)</f>
        <v>50</v>
      </c>
      <c r="Z762" s="4">
        <f>VLOOKUP(A762,[14]Sheet1!$A:$M,13,0)</f>
        <v>0</v>
      </c>
      <c r="AA762" s="4">
        <f t="shared" si="221"/>
        <v>1000</v>
      </c>
      <c r="AB762" s="7">
        <f t="shared" si="222"/>
        <v>83</v>
      </c>
      <c r="AC762" s="15">
        <f t="shared" si="223"/>
        <v>83.333333333333329</v>
      </c>
      <c r="AD762" s="16">
        <f t="shared" si="224"/>
        <v>68210</v>
      </c>
      <c r="AE762" s="16">
        <f t="shared" si="225"/>
        <v>5684.1666666666661</v>
      </c>
      <c r="AF762" s="21">
        <v>4.3600000000000003</v>
      </c>
      <c r="AG762" s="21">
        <v>68.209999999999994</v>
      </c>
      <c r="AH762" s="15">
        <f t="shared" si="226"/>
        <v>1.4615999999999998</v>
      </c>
      <c r="AI762" s="15">
        <f t="shared" si="227"/>
        <v>5.1155999999999988</v>
      </c>
      <c r="AJ762" s="10">
        <v>0.5</v>
      </c>
      <c r="AK762" s="10">
        <v>0.5</v>
      </c>
      <c r="AL762" s="21">
        <v>4.3600000000000003</v>
      </c>
      <c r="AM762" s="9">
        <f t="shared" si="213"/>
        <v>10.231499999999999</v>
      </c>
      <c r="AN762" s="9">
        <f t="shared" si="214"/>
        <v>2.0462999999999996</v>
      </c>
      <c r="AO762" s="9">
        <f t="shared" si="215"/>
        <v>13.641999999999999</v>
      </c>
      <c r="AP762" s="9">
        <f t="shared" si="216"/>
        <v>1.3641999999999999</v>
      </c>
      <c r="AQ762" s="9">
        <f t="shared" si="217"/>
        <v>13.641999999999999</v>
      </c>
      <c r="AR762" s="9">
        <f t="shared" si="218"/>
        <v>17.052499999999998</v>
      </c>
      <c r="AS762" s="11">
        <f t="shared" si="219"/>
        <v>14.615999999999998</v>
      </c>
      <c r="AT762" s="12">
        <f t="shared" si="220"/>
        <v>12.342333333333331</v>
      </c>
    </row>
    <row r="763" spans="1:46" ht="16.5" x14ac:dyDescent="0.4">
      <c r="A763" s="4" t="s">
        <v>3305</v>
      </c>
      <c r="B763" s="4" t="s">
        <v>3312</v>
      </c>
      <c r="C763" s="4" t="s">
        <v>3312</v>
      </c>
      <c r="D763" s="4" t="s">
        <v>3353</v>
      </c>
      <c r="E763" s="4" t="s">
        <v>3401</v>
      </c>
      <c r="F763" s="4" t="s">
        <v>3451</v>
      </c>
      <c r="G763" s="7" t="str">
        <f>VLOOKUP(A763,[1]done!$A:$I,9,0)</f>
        <v>All Other products</v>
      </c>
      <c r="H763" s="7" t="str" cm="1">
        <f t="array" ref="H763">_xlfn.IFS(
OR(ISNUMBER(SEARCH("mouse",E763)),ISNUMBER(SEARCH("rat",E763)),ISNUMBER(SEARCH("mice",E763)),ISNUMBER(SEARCH("rodent",E763))),"Rodent Control",
OR(ISNUMBER(SEARCH("fly",E763)),ISNUMBER(SEARCH("gnat",E763)),ISNUMBER(SEARCH("insect",E763)),ISNUMBER(SEARCH("mosquito",E763))),"Flying Insect Control",
OR(ISNUMBER(SEARCH("roach",E763)),ISNUMBER(SEARCH("ant",E763)),ISNUMBER(SEARCH("spider",E763)),ISNUMBER(SEARCH("cricket",E763)),ISNUMBER(SEARCH("scorpion",E763)),ISNUMBER(SEARCH("centipede",E763)),ISNUMBER(SEARCH("beetle",E763))),"Crawling Insect Control",
OR(ISNUMBER(SEARCH("tree",E763)),ISNUMBER(SEARCH("lantern",E763)),ISNUMBER(SEARCH("garden",E763)),ISNUMBER(SEARCH("plant",E763))),"Garden Pest Control",
OR(ISNUMBER(SEARCH("grass seed",E763)),ISNUMBER(SEARCH("seed mix",E763))),"Grass Seed",
OR(ISNUMBER(SEARCH("lawn food",E763)),ISNUMBER(SEARCH("fertilizer",E763))),"Lawn Fertilizer",
OR(ISNUMBER(SEARCH("patch",E763)),ISNUMBER(SEARCH("repair",E763)),ISNUMBER(SEARCH("thick'r",E763)),ISNUMBER(SEARCH("thick'r lawn",E763)),ISNUMBER(SEARCH("rapid grass",E763))),"Lawn Repair",
OR(ISNUMBER(SEARCH("weed",E763)),ISNUMBER(SEARCH("crabgrass",E763))),"Weed Control",
OR(ISNUMBER(SEARCH("fungicide",E763)),ISNUMBER(SEARCH("moss",E763))),"Disease &amp; Moss Control",
OR(ISNUMBER(SEARCH("plant food",E763)),ISNUMBER(SEARCH("miracid",E763))),"Plant Nutrition",
OR(ISNUMBER(SEARCH("perlite",E763))),"Soil Amendment",
OR(ISNUMBER(SEARCH("spreader",E763)),ISNUMBER(SEARCH("sprayer",E763)),ISNUMBER(SEARCH("mower",E763)),ISNUMBER(SEARCH("sweeper",E763)),ISNUMBER(SEARCH("pruner",E763)),ISNUMBER(SEARCH("trimmer",E763)),ISNUMBER(SEARCH("pole saw",E763))),"Garden Equipment",
TRUE,"Other"
)</f>
        <v>Other</v>
      </c>
      <c r="I763" s="7" t="str" cm="1">
        <f t="array" ref="I763">_xlfn.IFS(
OR(ISNUMBER(SEARCH("glue trap",E763)),ISNUMBER(SEARCH("glue board",E763))),"Glue Traps",
OR(ISNUMBER(SEARCH("snap trap",E763)),ISNUMBER(SEARCH("power-kill",E763)),ISNUMBER(SEARCH("wide pedal",E763)),ISNUMBER(SEARCH("metal pedal",E763))),"Snap Traps",
OR(ISNUMBER(SEARCH("electronic",E763)),ISNUMBER(SEARCH("zapper",E763))),"Electronic Traps",
OR(ISNUMBER(SEARCH("live catch",E763)),ISNUMBER(SEARCH("multi-catch",E763)),ISNUMBER(SEARCH("catch &amp; hold",E763)),ISNUMBER(SEARCH("tin cat",E763))),"Live Catch Traps",
OR(ISNUMBER(SEARCH("bait",E763)),ISNUMBER(SEARCH("poison",E763))),"Bait &amp; Poison",
ISNUMBER(SEARCH("repellent",E763)),"Repellents",
OR(ISNUMBER(SEARCH("fly trap",E763)),ISNUMBER(SEARCH("fly ribbon",E763)),ISNUMBER(SEARCH("fly stick",E763)),ISNUMBER(SEARCH("window fly",E763)),ISNUMBER(SEARCH("fly magnet",E763))),"Fly Traps",
OR(ISNUMBER(SEARCH("uv",E763)),ISNUMBER(SEARCH("fly light",E763)),ISNUMBER(SEARCH("plug-in",E763))),"UV Fly Traps",
ISNUMBER(SEARCH("roach",E763)),"Roach Traps",
ISNUMBER(SEARCH("ant",E763)),"Ant Traps",
ISNUMBER(SEARCH("spider",E763)),"Spider Traps",
ISNUMBER(SEARCH("mosquito",E763)),"Mosquito Traps",
ISNUMBER(SEARCH("beetle",E763)),"Beetle Traps",
ISNUMBER(SEARCH("lantern",E763)),"Lanternfly Control",
OR(ISNUMBER(SEARCH("tree shield",E763)),ISNUMBER(SEARCH("tree banding",E763)),ISNUMBER(SEARCH("insect barrier",E763))),"Tree Barriers",
OR(ISNUMBER(SEARCH("sun &amp; shade",E763)),ISNUMBER(SEARCH("sun and shade",E763))),"Sun &amp; Shade Mix",
ISNUMBER(SEARCH("tall fescue",E763)),"Tall Fescue",
ISNUMBER(SEARCH("bermudagrass",E763)),"Bermudagrass",
ISNUMBER(SEARCH("kentucky",E763)),"Kentucky Bluegrass",
ISNUMBER(SEARCH("zoysia",E763)),"Zoysia",
ISNUMBER(SEARCH("ryegrass",E763)),"Perennial Ryegrass",
ISNUMBER(SEARCH("centipede",E763)),"Centipede Grass",
ISNUMBER(SEARCH("dense shade",E763)),"Dense Shade Mix",
ISNUMBER(SEARCH("southern gold",E763)),"Southern Gold Mix",
ISNUMBER(SEARCH("heat-tolerant blue",E763)),"Heat-Tolerant Blue Mix",
ISNUMBER(SEARCH("high traffic",E763)),"High Traffic Mix",
ISNUMBER(SEARCH("quick fix",E763)),"Quick Fix Mix",
ISNUMBER(SEARCH("starter",E763)),"Starter Fertilizer",
ISNUMBER(SEARCH("weed &amp; feed",E763)),"Weed &amp; Feed",
ISNUMBER(SEARCH("lawn food",E763)),"Lawn Food",
ISNUMBER(SEARCH("triple action",E763)),"Triple Action Fertilizer",
ISNUMBER(SEARCH("green max",E763)),"Green Max Lawn Food",
ISNUMBER(SEARCH("patchmaster",E763)),"PatchMaster Repair",
ISNUMBER(SEARCH("ez seed",E763)),"EZ Seed Repair",
ISNUMBER(SEARCH("rapid grass",E763)),"Rapid Grass",
ISNUMBER(SEARCH("thick'r lawn",E763)),"Thick'R Lawn",
ISNUMBER(SEARCH("fungicide",E763)),"Fungicide",
ISNUMBER(SEARCH("moss",E763)),"Moss Control",
ISNUMBER(SEARCH("perlite",E763)),"Perlite",
ISNUMBER(SEARCH("plant food",E763)),"Plant Food",
ISNUMBER(SEARCH("spreader",E763)),"Spreader",
ISNUMBER(SEARCH("sprayer",E763)),"Sprayer",
ISNUMBER(SEARCH("mower",E763)),"Lawn Mower",
ISNUMBER(SEARCH("sweeper",E763)),"Lawn Sweeper",
OR(ISNUMBER(SEARCH("pruner",E763)),ISNUMBER(SEARCH("trimmer",E763)),ISNUMBER(SEARCH("pole saw",E763))),"Pruning Tools",
TRUE,"Other"
)</f>
        <v>Other</v>
      </c>
      <c r="J763" s="7" t="str">
        <f t="shared" si="228"/>
        <v>Other - Other</v>
      </c>
      <c r="K763" s="4">
        <v>50</v>
      </c>
      <c r="L763" s="4">
        <v>4.8</v>
      </c>
      <c r="M763" s="4">
        <v>6</v>
      </c>
      <c r="N763" s="4" t="s">
        <v>3481</v>
      </c>
      <c r="O763" s="4">
        <f>VLOOKUP(A763,[14]Sheet1!$A:$M,2,0)</f>
        <v>0</v>
      </c>
      <c r="P763" s="4">
        <f>VLOOKUP(A763,[14]Sheet1!$A:$M,3,0)</f>
        <v>0</v>
      </c>
      <c r="Q763" s="4">
        <f>VLOOKUP(A763,[14]Sheet1!$A:$M,4,0)</f>
        <v>0</v>
      </c>
      <c r="R763" s="4">
        <f>VLOOKUP(A763,[14]Sheet1!$A:$M,5,0)</f>
        <v>0</v>
      </c>
      <c r="S763" s="4">
        <f>VLOOKUP(A763,[14]Sheet1!$A:$M,6,0)</f>
        <v>0</v>
      </c>
      <c r="T763" s="4">
        <f>VLOOKUP(A763,[14]Sheet1!$A:$M,7,0)</f>
        <v>0</v>
      </c>
      <c r="U763" s="4">
        <f>VLOOKUP(A763,[14]Sheet1!$A:$M,8,0)</f>
        <v>0</v>
      </c>
      <c r="V763" s="4">
        <f>VLOOKUP(A763,[14]Sheet1!$A:$M,9,0)</f>
        <v>0</v>
      </c>
      <c r="W763" s="4">
        <f>VLOOKUP(A763,[14]Sheet1!$A:$M,10,0)</f>
        <v>50</v>
      </c>
      <c r="X763" s="4">
        <f>VLOOKUP(A763,[14]Sheet1!$A:$M,11,0)</f>
        <v>0</v>
      </c>
      <c r="Y763" s="4">
        <f>VLOOKUP(A763,[14]Sheet1!$A:$M,12,0)</f>
        <v>0</v>
      </c>
      <c r="Z763" s="4">
        <f>VLOOKUP(A763,[14]Sheet1!$A:$M,13,0)</f>
        <v>0</v>
      </c>
      <c r="AA763" s="4">
        <f t="shared" si="221"/>
        <v>50</v>
      </c>
      <c r="AB763" s="7">
        <f t="shared" si="222"/>
        <v>4</v>
      </c>
      <c r="AC763" s="15">
        <f t="shared" si="223"/>
        <v>4.166666666666667</v>
      </c>
      <c r="AD763" s="16">
        <f t="shared" si="224"/>
        <v>4725</v>
      </c>
      <c r="AE763" s="16">
        <f t="shared" si="225"/>
        <v>393.75</v>
      </c>
      <c r="AF763" s="21">
        <v>8.31</v>
      </c>
      <c r="AG763" s="21">
        <v>94.5</v>
      </c>
      <c r="AH763" s="15">
        <f t="shared" si="226"/>
        <v>1.8993333333333329</v>
      </c>
      <c r="AI763" s="15">
        <f t="shared" si="227"/>
        <v>6.6476666666666651</v>
      </c>
      <c r="AJ763" s="10">
        <v>0.5</v>
      </c>
      <c r="AK763" s="10">
        <v>0.5</v>
      </c>
      <c r="AL763" s="21">
        <v>8.31</v>
      </c>
      <c r="AM763" s="9">
        <f t="shared" si="213"/>
        <v>14.174999999999999</v>
      </c>
      <c r="AN763" s="9">
        <f t="shared" si="214"/>
        <v>2.835</v>
      </c>
      <c r="AO763" s="9">
        <f t="shared" si="215"/>
        <v>18.900000000000002</v>
      </c>
      <c r="AP763" s="9">
        <f t="shared" si="216"/>
        <v>1.8900000000000001</v>
      </c>
      <c r="AQ763" s="9">
        <f t="shared" si="217"/>
        <v>18.900000000000002</v>
      </c>
      <c r="AR763" s="9">
        <f t="shared" si="218"/>
        <v>23.625</v>
      </c>
      <c r="AS763" s="11">
        <f t="shared" si="219"/>
        <v>18.993333333333329</v>
      </c>
      <c r="AT763" s="12">
        <f t="shared" si="220"/>
        <v>15.843333333333328</v>
      </c>
    </row>
    <row r="764" spans="1:46" ht="16.5" x14ac:dyDescent="0.4">
      <c r="A764" s="4" t="s">
        <v>3306</v>
      </c>
      <c r="B764" s="4" t="s">
        <v>3312</v>
      </c>
      <c r="C764" s="4" t="s">
        <v>3312</v>
      </c>
      <c r="D764" s="4" t="s">
        <v>3354</v>
      </c>
      <c r="E764" s="4" t="s">
        <v>3402</v>
      </c>
      <c r="F764" s="4" t="s">
        <v>3452</v>
      </c>
      <c r="G764" s="7" t="str">
        <f>VLOOKUP(A764,[1]done!$A:$I,9,0)</f>
        <v>Other crawling insects</v>
      </c>
      <c r="H764" s="7" t="str" cm="1">
        <f t="array" ref="H764">_xlfn.IFS(
OR(ISNUMBER(SEARCH("mouse",E764)),ISNUMBER(SEARCH("rat",E764)),ISNUMBER(SEARCH("mice",E764)),ISNUMBER(SEARCH("rodent",E764))),"Rodent Control",
OR(ISNUMBER(SEARCH("fly",E764)),ISNUMBER(SEARCH("gnat",E764)),ISNUMBER(SEARCH("insect",E764)),ISNUMBER(SEARCH("mosquito",E764))),"Flying Insect Control",
OR(ISNUMBER(SEARCH("roach",E764)),ISNUMBER(SEARCH("ant",E764)),ISNUMBER(SEARCH("spider",E764)),ISNUMBER(SEARCH("cricket",E764)),ISNUMBER(SEARCH("scorpion",E764)),ISNUMBER(SEARCH("centipede",E764)),ISNUMBER(SEARCH("beetle",E764))),"Crawling Insect Control",
OR(ISNUMBER(SEARCH("tree",E764)),ISNUMBER(SEARCH("lantern",E764)),ISNUMBER(SEARCH("garden",E764)),ISNUMBER(SEARCH("plant",E764))),"Garden Pest Control",
OR(ISNUMBER(SEARCH("grass seed",E764)),ISNUMBER(SEARCH("seed mix",E764))),"Grass Seed",
OR(ISNUMBER(SEARCH("lawn food",E764)),ISNUMBER(SEARCH("fertilizer",E764))),"Lawn Fertilizer",
OR(ISNUMBER(SEARCH("patch",E764)),ISNUMBER(SEARCH("repair",E764)),ISNUMBER(SEARCH("thick'r",E764)),ISNUMBER(SEARCH("thick'r lawn",E764)),ISNUMBER(SEARCH("rapid grass",E764))),"Lawn Repair",
OR(ISNUMBER(SEARCH("weed",E764)),ISNUMBER(SEARCH("crabgrass",E764))),"Weed Control",
OR(ISNUMBER(SEARCH("fungicide",E764)),ISNUMBER(SEARCH("moss",E764))),"Disease &amp; Moss Control",
OR(ISNUMBER(SEARCH("plant food",E764)),ISNUMBER(SEARCH("miracid",E764))),"Plant Nutrition",
OR(ISNUMBER(SEARCH("perlite",E764))),"Soil Amendment",
OR(ISNUMBER(SEARCH("spreader",E764)),ISNUMBER(SEARCH("sprayer",E764)),ISNUMBER(SEARCH("mower",E764)),ISNUMBER(SEARCH("sweeper",E764)),ISNUMBER(SEARCH("pruner",E764)),ISNUMBER(SEARCH("trimmer",E764)),ISNUMBER(SEARCH("pole saw",E764))),"Garden Equipment",
TRUE,"Other"
)</f>
        <v>Crawling Insect Control</v>
      </c>
      <c r="I764" s="7" t="str" cm="1">
        <f t="array" ref="I764">_xlfn.IFS(
OR(ISNUMBER(SEARCH("glue trap",E764)),ISNUMBER(SEARCH("glue board",E764))),"Glue Traps",
OR(ISNUMBER(SEARCH("snap trap",E764)),ISNUMBER(SEARCH("power-kill",E764)),ISNUMBER(SEARCH("wide pedal",E764)),ISNUMBER(SEARCH("metal pedal",E764))),"Snap Traps",
OR(ISNUMBER(SEARCH("electronic",E764)),ISNUMBER(SEARCH("zapper",E764))),"Electronic Traps",
OR(ISNUMBER(SEARCH("live catch",E764)),ISNUMBER(SEARCH("multi-catch",E764)),ISNUMBER(SEARCH("catch &amp; hold",E764)),ISNUMBER(SEARCH("tin cat",E764))),"Live Catch Traps",
OR(ISNUMBER(SEARCH("bait",E764)),ISNUMBER(SEARCH("poison",E764))),"Bait &amp; Poison",
ISNUMBER(SEARCH("repellent",E764)),"Repellents",
OR(ISNUMBER(SEARCH("fly trap",E764)),ISNUMBER(SEARCH("fly ribbon",E764)),ISNUMBER(SEARCH("fly stick",E764)),ISNUMBER(SEARCH("window fly",E764)),ISNUMBER(SEARCH("fly magnet",E764))),"Fly Traps",
OR(ISNUMBER(SEARCH("uv",E764)),ISNUMBER(SEARCH("fly light",E764)),ISNUMBER(SEARCH("plug-in",E764))),"UV Fly Traps",
ISNUMBER(SEARCH("roach",E764)),"Roach Traps",
ISNUMBER(SEARCH("ant",E764)),"Ant Traps",
ISNUMBER(SEARCH("spider",E764)),"Spider Traps",
ISNUMBER(SEARCH("mosquito",E764)),"Mosquito Traps",
ISNUMBER(SEARCH("beetle",E764)),"Beetle Traps",
ISNUMBER(SEARCH("lantern",E764)),"Lanternfly Control",
OR(ISNUMBER(SEARCH("tree shield",E764)),ISNUMBER(SEARCH("tree banding",E764)),ISNUMBER(SEARCH("insect barrier",E764))),"Tree Barriers",
OR(ISNUMBER(SEARCH("sun &amp; shade",E764)),ISNUMBER(SEARCH("sun and shade",E764))),"Sun &amp; Shade Mix",
ISNUMBER(SEARCH("tall fescue",E764)),"Tall Fescue",
ISNUMBER(SEARCH("bermudagrass",E764)),"Bermudagrass",
ISNUMBER(SEARCH("kentucky",E764)),"Kentucky Bluegrass",
ISNUMBER(SEARCH("zoysia",E764)),"Zoysia",
ISNUMBER(SEARCH("ryegrass",E764)),"Perennial Ryegrass",
ISNUMBER(SEARCH("centipede",E764)),"Centipede Grass",
ISNUMBER(SEARCH("dense shade",E764)),"Dense Shade Mix",
ISNUMBER(SEARCH("southern gold",E764)),"Southern Gold Mix",
ISNUMBER(SEARCH("heat-tolerant blue",E764)),"Heat-Tolerant Blue Mix",
ISNUMBER(SEARCH("high traffic",E764)),"High Traffic Mix",
ISNUMBER(SEARCH("quick fix",E764)),"Quick Fix Mix",
ISNUMBER(SEARCH("starter",E764)),"Starter Fertilizer",
ISNUMBER(SEARCH("weed &amp; feed",E764)),"Weed &amp; Feed",
ISNUMBER(SEARCH("lawn food",E764)),"Lawn Food",
ISNUMBER(SEARCH("triple action",E764)),"Triple Action Fertilizer",
ISNUMBER(SEARCH("green max",E764)),"Green Max Lawn Food",
ISNUMBER(SEARCH("patchmaster",E764)),"PatchMaster Repair",
ISNUMBER(SEARCH("ez seed",E764)),"EZ Seed Repair",
ISNUMBER(SEARCH("rapid grass",E764)),"Rapid Grass",
ISNUMBER(SEARCH("thick'r lawn",E764)),"Thick'R Lawn",
ISNUMBER(SEARCH("fungicide",E764)),"Fungicide",
ISNUMBER(SEARCH("moss",E764)),"Moss Control",
ISNUMBER(SEARCH("perlite",E764)),"Perlite",
ISNUMBER(SEARCH("plant food",E764)),"Plant Food",
ISNUMBER(SEARCH("spreader",E764)),"Spreader",
ISNUMBER(SEARCH("sprayer",E764)),"Sprayer",
ISNUMBER(SEARCH("mower",E764)),"Lawn Mower",
ISNUMBER(SEARCH("sweeper",E764)),"Lawn Sweeper",
OR(ISNUMBER(SEARCH("pruner",E764)),ISNUMBER(SEARCH("trimmer",E764)),ISNUMBER(SEARCH("pole saw",E764))),"Pruning Tools",
TRUE,"Other"
)</f>
        <v>Bait &amp; Poison</v>
      </c>
      <c r="J764" s="7" t="str">
        <f t="shared" si="228"/>
        <v>Crawling Insect Control - Bait &amp; Poison</v>
      </c>
      <c r="K764" s="4">
        <v>50</v>
      </c>
      <c r="L764" s="4">
        <v>4.7</v>
      </c>
      <c r="M764" s="4">
        <v>23</v>
      </c>
      <c r="N764" s="4">
        <v>2</v>
      </c>
      <c r="O764" s="4">
        <f>VLOOKUP(A764,[14]Sheet1!$A:$M,2,0)</f>
        <v>0</v>
      </c>
      <c r="P764" s="4">
        <f>VLOOKUP(A764,[14]Sheet1!$A:$M,3,0)</f>
        <v>0</v>
      </c>
      <c r="Q764" s="4">
        <f>VLOOKUP(A764,[14]Sheet1!$A:$M,4,0)</f>
        <v>0</v>
      </c>
      <c r="R764" s="4">
        <f>VLOOKUP(A764,[14]Sheet1!$A:$M,5,0)</f>
        <v>50</v>
      </c>
      <c r="S764" s="4">
        <f>VLOOKUP(A764,[14]Sheet1!$A:$M,6,0)</f>
        <v>50</v>
      </c>
      <c r="T764" s="4">
        <f>VLOOKUP(A764,[14]Sheet1!$A:$M,7,0)</f>
        <v>50</v>
      </c>
      <c r="U764" s="4">
        <f>VLOOKUP(A764,[14]Sheet1!$A:$M,8,0)</f>
        <v>100</v>
      </c>
      <c r="V764" s="4">
        <f>VLOOKUP(A764,[14]Sheet1!$A:$M,9,0)</f>
        <v>100</v>
      </c>
      <c r="W764" s="4">
        <f>VLOOKUP(A764,[14]Sheet1!$A:$M,10,0)</f>
        <v>50</v>
      </c>
      <c r="X764" s="4">
        <f>VLOOKUP(A764,[14]Sheet1!$A:$M,11,0)</f>
        <v>50</v>
      </c>
      <c r="Y764" s="4">
        <f>VLOOKUP(A764,[14]Sheet1!$A:$M,12,0)</f>
        <v>50</v>
      </c>
      <c r="Z764" s="4">
        <f>VLOOKUP(A764,[14]Sheet1!$A:$M,13,0)</f>
        <v>0</v>
      </c>
      <c r="AA764" s="4">
        <f t="shared" si="221"/>
        <v>500</v>
      </c>
      <c r="AB764" s="7">
        <f t="shared" si="222"/>
        <v>42</v>
      </c>
      <c r="AC764" s="15">
        <f t="shared" si="223"/>
        <v>41.666666666666664</v>
      </c>
      <c r="AD764" s="16">
        <f t="shared" si="224"/>
        <v>32995</v>
      </c>
      <c r="AE764" s="16">
        <f t="shared" si="225"/>
        <v>2749.583333333333</v>
      </c>
      <c r="AF764" s="21">
        <v>5.88</v>
      </c>
      <c r="AG764" s="21">
        <v>65.989999999999995</v>
      </c>
      <c r="AH764" s="15">
        <f t="shared" si="226"/>
        <v>1.3010666666666661</v>
      </c>
      <c r="AI764" s="15">
        <f t="shared" si="227"/>
        <v>4.553733333333331</v>
      </c>
      <c r="AJ764" s="10">
        <v>0.5</v>
      </c>
      <c r="AK764" s="10">
        <v>0.5</v>
      </c>
      <c r="AL764" s="21">
        <v>5.88</v>
      </c>
      <c r="AM764" s="9">
        <f t="shared" si="213"/>
        <v>9.8984999999999985</v>
      </c>
      <c r="AN764" s="9">
        <f t="shared" si="214"/>
        <v>1.9796999999999998</v>
      </c>
      <c r="AO764" s="9">
        <f t="shared" si="215"/>
        <v>13.198</v>
      </c>
      <c r="AP764" s="9">
        <f t="shared" si="216"/>
        <v>1.3197999999999999</v>
      </c>
      <c r="AQ764" s="9">
        <f t="shared" si="217"/>
        <v>13.198</v>
      </c>
      <c r="AR764" s="9">
        <f t="shared" si="218"/>
        <v>16.497499999999999</v>
      </c>
      <c r="AS764" s="11">
        <f t="shared" si="219"/>
        <v>13.01066666666666</v>
      </c>
      <c r="AT764" s="12">
        <f t="shared" si="220"/>
        <v>10.810999999999995</v>
      </c>
    </row>
    <row r="765" spans="1:46" ht="16.5" x14ac:dyDescent="0.4">
      <c r="A765" s="4" t="s">
        <v>3307</v>
      </c>
      <c r="B765" s="4" t="s">
        <v>3312</v>
      </c>
      <c r="C765" s="4" t="s">
        <v>3312</v>
      </c>
      <c r="D765" s="4" t="s">
        <v>3355</v>
      </c>
      <c r="E765" s="4" t="s">
        <v>3403</v>
      </c>
      <c r="F765" s="4" t="s">
        <v>3453</v>
      </c>
      <c r="G765" s="7" t="str">
        <f>VLOOKUP(A765,[1]done!$A:$I,9,0)</f>
        <v>Cockroach</v>
      </c>
      <c r="H765" s="7" t="str" cm="1">
        <f t="array" ref="H765">_xlfn.IFS(
OR(ISNUMBER(SEARCH("mouse",E765)),ISNUMBER(SEARCH("rat",E765)),ISNUMBER(SEARCH("mice",E765)),ISNUMBER(SEARCH("rodent",E765))),"Rodent Control",
OR(ISNUMBER(SEARCH("fly",E765)),ISNUMBER(SEARCH("gnat",E765)),ISNUMBER(SEARCH("insect",E765)),ISNUMBER(SEARCH("mosquito",E765))),"Flying Insect Control",
OR(ISNUMBER(SEARCH("roach",E765)),ISNUMBER(SEARCH("ant",E765)),ISNUMBER(SEARCH("spider",E765)),ISNUMBER(SEARCH("cricket",E765)),ISNUMBER(SEARCH("scorpion",E765)),ISNUMBER(SEARCH("centipede",E765)),ISNUMBER(SEARCH("beetle",E765))),"Crawling Insect Control",
OR(ISNUMBER(SEARCH("tree",E765)),ISNUMBER(SEARCH("lantern",E765)),ISNUMBER(SEARCH("garden",E765)),ISNUMBER(SEARCH("plant",E765))),"Garden Pest Control",
OR(ISNUMBER(SEARCH("grass seed",E765)),ISNUMBER(SEARCH("seed mix",E765))),"Grass Seed",
OR(ISNUMBER(SEARCH("lawn food",E765)),ISNUMBER(SEARCH("fertilizer",E765))),"Lawn Fertilizer",
OR(ISNUMBER(SEARCH("patch",E765)),ISNUMBER(SEARCH("repair",E765)),ISNUMBER(SEARCH("thick'r",E765)),ISNUMBER(SEARCH("thick'r lawn",E765)),ISNUMBER(SEARCH("rapid grass",E765))),"Lawn Repair",
OR(ISNUMBER(SEARCH("weed",E765)),ISNUMBER(SEARCH("crabgrass",E765))),"Weed Control",
OR(ISNUMBER(SEARCH("fungicide",E765)),ISNUMBER(SEARCH("moss",E765))),"Disease &amp; Moss Control",
OR(ISNUMBER(SEARCH("plant food",E765)),ISNUMBER(SEARCH("miracid",E765))),"Plant Nutrition",
OR(ISNUMBER(SEARCH("perlite",E765))),"Soil Amendment",
OR(ISNUMBER(SEARCH("spreader",E765)),ISNUMBER(SEARCH("sprayer",E765)),ISNUMBER(SEARCH("mower",E765)),ISNUMBER(SEARCH("sweeper",E765)),ISNUMBER(SEARCH("pruner",E765)),ISNUMBER(SEARCH("trimmer",E765)),ISNUMBER(SEARCH("pole saw",E765))),"Garden Equipment",
TRUE,"Other"
)</f>
        <v>Crawling Insect Control</v>
      </c>
      <c r="I765" s="7" t="str" cm="1">
        <f t="array" ref="I765">_xlfn.IFS(
OR(ISNUMBER(SEARCH("glue trap",E765)),ISNUMBER(SEARCH("glue board",E765))),"Glue Traps",
OR(ISNUMBER(SEARCH("snap trap",E765)),ISNUMBER(SEARCH("power-kill",E765)),ISNUMBER(SEARCH("wide pedal",E765)),ISNUMBER(SEARCH("metal pedal",E765))),"Snap Traps",
OR(ISNUMBER(SEARCH("electronic",E765)),ISNUMBER(SEARCH("zapper",E765))),"Electronic Traps",
OR(ISNUMBER(SEARCH("live catch",E765)),ISNUMBER(SEARCH("multi-catch",E765)),ISNUMBER(SEARCH("catch &amp; hold",E765)),ISNUMBER(SEARCH("tin cat",E765))),"Live Catch Traps",
OR(ISNUMBER(SEARCH("bait",E765)),ISNUMBER(SEARCH("poison",E765))),"Bait &amp; Poison",
ISNUMBER(SEARCH("repellent",E765)),"Repellents",
OR(ISNUMBER(SEARCH("fly trap",E765)),ISNUMBER(SEARCH("fly ribbon",E765)),ISNUMBER(SEARCH("fly stick",E765)),ISNUMBER(SEARCH("window fly",E765)),ISNUMBER(SEARCH("fly magnet",E765))),"Fly Traps",
OR(ISNUMBER(SEARCH("uv",E765)),ISNUMBER(SEARCH("fly light",E765)),ISNUMBER(SEARCH("plug-in",E765))),"UV Fly Traps",
ISNUMBER(SEARCH("roach",E765)),"Roach Traps",
ISNUMBER(SEARCH("ant",E765)),"Ant Traps",
ISNUMBER(SEARCH("spider",E765)),"Spider Traps",
ISNUMBER(SEARCH("mosquito",E765)),"Mosquito Traps",
ISNUMBER(SEARCH("beetle",E765)),"Beetle Traps",
ISNUMBER(SEARCH("lantern",E765)),"Lanternfly Control",
OR(ISNUMBER(SEARCH("tree shield",E765)),ISNUMBER(SEARCH("tree banding",E765)),ISNUMBER(SEARCH("insect barrier",E765))),"Tree Barriers",
OR(ISNUMBER(SEARCH("sun &amp; shade",E765)),ISNUMBER(SEARCH("sun and shade",E765))),"Sun &amp; Shade Mix",
ISNUMBER(SEARCH("tall fescue",E765)),"Tall Fescue",
ISNUMBER(SEARCH("bermudagrass",E765)),"Bermudagrass",
ISNUMBER(SEARCH("kentucky",E765)),"Kentucky Bluegrass",
ISNUMBER(SEARCH("zoysia",E765)),"Zoysia",
ISNUMBER(SEARCH("ryegrass",E765)),"Perennial Ryegrass",
ISNUMBER(SEARCH("centipede",E765)),"Centipede Grass",
ISNUMBER(SEARCH("dense shade",E765)),"Dense Shade Mix",
ISNUMBER(SEARCH("southern gold",E765)),"Southern Gold Mix",
ISNUMBER(SEARCH("heat-tolerant blue",E765)),"Heat-Tolerant Blue Mix",
ISNUMBER(SEARCH("high traffic",E765)),"High Traffic Mix",
ISNUMBER(SEARCH("quick fix",E765)),"Quick Fix Mix",
ISNUMBER(SEARCH("starter",E765)),"Starter Fertilizer",
ISNUMBER(SEARCH("weed &amp; feed",E765)),"Weed &amp; Feed",
ISNUMBER(SEARCH("lawn food",E765)),"Lawn Food",
ISNUMBER(SEARCH("triple action",E765)),"Triple Action Fertilizer",
ISNUMBER(SEARCH("green max",E765)),"Green Max Lawn Food",
ISNUMBER(SEARCH("patchmaster",E765)),"PatchMaster Repair",
ISNUMBER(SEARCH("ez seed",E765)),"EZ Seed Repair",
ISNUMBER(SEARCH("rapid grass",E765)),"Rapid Grass",
ISNUMBER(SEARCH("thick'r lawn",E765)),"Thick'R Lawn",
ISNUMBER(SEARCH("fungicide",E765)),"Fungicide",
ISNUMBER(SEARCH("moss",E765)),"Moss Control",
ISNUMBER(SEARCH("perlite",E765)),"Perlite",
ISNUMBER(SEARCH("plant food",E765)),"Plant Food",
ISNUMBER(SEARCH("spreader",E765)),"Spreader",
ISNUMBER(SEARCH("sprayer",E765)),"Sprayer",
ISNUMBER(SEARCH("mower",E765)),"Lawn Mower",
ISNUMBER(SEARCH("sweeper",E765)),"Lawn Sweeper",
OR(ISNUMBER(SEARCH("pruner",E765)),ISNUMBER(SEARCH("trimmer",E765)),ISNUMBER(SEARCH("pole saw",E765))),"Pruning Tools",
TRUE,"Other"
)</f>
        <v>Bait &amp; Poison</v>
      </c>
      <c r="J765" s="7" t="str">
        <f t="shared" si="228"/>
        <v>Crawling Insect Control - Bait &amp; Poison</v>
      </c>
      <c r="K765" s="4">
        <v>50</v>
      </c>
      <c r="L765" s="4">
        <v>5</v>
      </c>
      <c r="M765" s="4">
        <v>4</v>
      </c>
      <c r="O765" s="4">
        <f>VLOOKUP(A765,[14]Sheet1!$A:$M,2,0)</f>
        <v>0</v>
      </c>
      <c r="P765" s="4">
        <f>VLOOKUP(A765,[14]Sheet1!$A:$M,3,0)</f>
        <v>0</v>
      </c>
      <c r="Q765" s="4">
        <f>VLOOKUP(A765,[14]Sheet1!$A:$M,4,0)</f>
        <v>0</v>
      </c>
      <c r="R765" s="4">
        <f>VLOOKUP(A765,[14]Sheet1!$A:$M,5,0)</f>
        <v>0</v>
      </c>
      <c r="S765" s="4">
        <f>VLOOKUP(A765,[14]Sheet1!$A:$M,6,0)</f>
        <v>0</v>
      </c>
      <c r="T765" s="4">
        <f>VLOOKUP(A765,[14]Sheet1!$A:$M,7,0)</f>
        <v>0</v>
      </c>
      <c r="U765" s="4">
        <f>VLOOKUP(A765,[14]Sheet1!$A:$M,8,0)</f>
        <v>0</v>
      </c>
      <c r="V765" s="4">
        <f>VLOOKUP(A765,[14]Sheet1!$A:$M,9,0)</f>
        <v>50</v>
      </c>
      <c r="W765" s="4">
        <f>VLOOKUP(A765,[14]Sheet1!$A:$M,10,0)</f>
        <v>50</v>
      </c>
      <c r="X765" s="4">
        <f>VLOOKUP(A765,[14]Sheet1!$A:$M,11,0)</f>
        <v>0</v>
      </c>
      <c r="Y765" s="4">
        <f>VLOOKUP(A765,[14]Sheet1!$A:$M,12,0)</f>
        <v>0</v>
      </c>
      <c r="Z765" s="4">
        <f>VLOOKUP(A765,[14]Sheet1!$A:$M,13,0)</f>
        <v>0</v>
      </c>
      <c r="AA765" s="4">
        <f t="shared" si="221"/>
        <v>100</v>
      </c>
      <c r="AB765" s="7">
        <f t="shared" si="222"/>
        <v>8</v>
      </c>
      <c r="AC765" s="15">
        <f t="shared" si="223"/>
        <v>8.3333333333333339</v>
      </c>
      <c r="AD765" s="16">
        <f t="shared" si="224"/>
        <v>4595</v>
      </c>
      <c r="AE765" s="16">
        <f t="shared" si="225"/>
        <v>382.91666666666674</v>
      </c>
      <c r="AF765" s="21">
        <v>4.09</v>
      </c>
      <c r="AG765" s="21">
        <v>45.95</v>
      </c>
      <c r="AH765" s="15">
        <f t="shared" si="226"/>
        <v>0.88600000000000001</v>
      </c>
      <c r="AI765" s="15">
        <f t="shared" si="227"/>
        <v>3.1009999999999995</v>
      </c>
      <c r="AJ765" s="10">
        <v>0.5</v>
      </c>
      <c r="AK765" s="10">
        <v>0.5</v>
      </c>
      <c r="AL765" s="21">
        <v>4.09</v>
      </c>
      <c r="AM765" s="9">
        <f t="shared" si="213"/>
        <v>6.8925000000000001</v>
      </c>
      <c r="AN765" s="9">
        <f t="shared" si="214"/>
        <v>1.3785000000000001</v>
      </c>
      <c r="AO765" s="9">
        <f t="shared" si="215"/>
        <v>9.1900000000000013</v>
      </c>
      <c r="AP765" s="9">
        <f t="shared" si="216"/>
        <v>0.91900000000000004</v>
      </c>
      <c r="AQ765" s="9">
        <f t="shared" si="217"/>
        <v>9.1900000000000013</v>
      </c>
      <c r="AR765" s="9">
        <f t="shared" si="218"/>
        <v>11.487500000000001</v>
      </c>
      <c r="AS765" s="11">
        <f t="shared" si="219"/>
        <v>8.86</v>
      </c>
      <c r="AT765" s="12">
        <f t="shared" si="220"/>
        <v>7.3283333333333331</v>
      </c>
    </row>
    <row r="766" spans="1:46" ht="16.5" x14ac:dyDescent="0.4">
      <c r="A766" s="4" t="s">
        <v>3308</v>
      </c>
      <c r="B766" s="4" t="s">
        <v>3312</v>
      </c>
      <c r="D766" s="4" t="s">
        <v>3322</v>
      </c>
      <c r="E766" s="4" t="s">
        <v>3404</v>
      </c>
      <c r="F766" s="4" t="s">
        <v>3454</v>
      </c>
      <c r="G766" s="7" t="str">
        <f>VLOOKUP(A766,[1]done!$A:$I,9,0)</f>
        <v>Other crawling insects</v>
      </c>
      <c r="H766" s="7" t="str" cm="1">
        <f t="array" ref="H766">_xlfn.IFS(
OR(ISNUMBER(SEARCH("mouse",E766)),ISNUMBER(SEARCH("rat",E766)),ISNUMBER(SEARCH("mice",E766)),ISNUMBER(SEARCH("rodent",E766))),"Rodent Control",
OR(ISNUMBER(SEARCH("fly",E766)),ISNUMBER(SEARCH("gnat",E766)),ISNUMBER(SEARCH("insect",E766)),ISNUMBER(SEARCH("mosquito",E766))),"Flying Insect Control",
OR(ISNUMBER(SEARCH("roach",E766)),ISNUMBER(SEARCH("ant",E766)),ISNUMBER(SEARCH("spider",E766)),ISNUMBER(SEARCH("cricket",E766)),ISNUMBER(SEARCH("scorpion",E766)),ISNUMBER(SEARCH("centipede",E766)),ISNUMBER(SEARCH("beetle",E766))),"Crawling Insect Control",
OR(ISNUMBER(SEARCH("tree",E766)),ISNUMBER(SEARCH("lantern",E766)),ISNUMBER(SEARCH("garden",E766)),ISNUMBER(SEARCH("plant",E766))),"Garden Pest Control",
OR(ISNUMBER(SEARCH("grass seed",E766)),ISNUMBER(SEARCH("seed mix",E766))),"Grass Seed",
OR(ISNUMBER(SEARCH("lawn food",E766)),ISNUMBER(SEARCH("fertilizer",E766))),"Lawn Fertilizer",
OR(ISNUMBER(SEARCH("patch",E766)),ISNUMBER(SEARCH("repair",E766)),ISNUMBER(SEARCH("thick'r",E766)),ISNUMBER(SEARCH("thick'r lawn",E766)),ISNUMBER(SEARCH("rapid grass",E766))),"Lawn Repair",
OR(ISNUMBER(SEARCH("weed",E766)),ISNUMBER(SEARCH("crabgrass",E766))),"Weed Control",
OR(ISNUMBER(SEARCH("fungicide",E766)),ISNUMBER(SEARCH("moss",E766))),"Disease &amp; Moss Control",
OR(ISNUMBER(SEARCH("plant food",E766)),ISNUMBER(SEARCH("miracid",E766))),"Plant Nutrition",
OR(ISNUMBER(SEARCH("perlite",E766))),"Soil Amendment",
OR(ISNUMBER(SEARCH("spreader",E766)),ISNUMBER(SEARCH("sprayer",E766)),ISNUMBER(SEARCH("mower",E766)),ISNUMBER(SEARCH("sweeper",E766)),ISNUMBER(SEARCH("pruner",E766)),ISNUMBER(SEARCH("trimmer",E766)),ISNUMBER(SEARCH("pole saw",E766))),"Garden Equipment",
TRUE,"Other"
)</f>
        <v>Crawling Insect Control</v>
      </c>
      <c r="I766" s="7" t="str" cm="1">
        <f t="array" ref="I766">_xlfn.IFS(
OR(ISNUMBER(SEARCH("glue trap",E766)),ISNUMBER(SEARCH("glue board",E766))),"Glue Traps",
OR(ISNUMBER(SEARCH("snap trap",E766)),ISNUMBER(SEARCH("power-kill",E766)),ISNUMBER(SEARCH("wide pedal",E766)),ISNUMBER(SEARCH("metal pedal",E766))),"Snap Traps",
OR(ISNUMBER(SEARCH("electronic",E766)),ISNUMBER(SEARCH("zapper",E766))),"Electronic Traps",
OR(ISNUMBER(SEARCH("live catch",E766)),ISNUMBER(SEARCH("multi-catch",E766)),ISNUMBER(SEARCH("catch &amp; hold",E766)),ISNUMBER(SEARCH("tin cat",E766))),"Live Catch Traps",
OR(ISNUMBER(SEARCH("bait",E766)),ISNUMBER(SEARCH("poison",E766))),"Bait &amp; Poison",
ISNUMBER(SEARCH("repellent",E766)),"Repellents",
OR(ISNUMBER(SEARCH("fly trap",E766)),ISNUMBER(SEARCH("fly ribbon",E766)),ISNUMBER(SEARCH("fly stick",E766)),ISNUMBER(SEARCH("window fly",E766)),ISNUMBER(SEARCH("fly magnet",E766))),"Fly Traps",
OR(ISNUMBER(SEARCH("uv",E766)),ISNUMBER(SEARCH("fly light",E766)),ISNUMBER(SEARCH("plug-in",E766))),"UV Fly Traps",
ISNUMBER(SEARCH("roach",E766)),"Roach Traps",
ISNUMBER(SEARCH("ant",E766)),"Ant Traps",
ISNUMBER(SEARCH("spider",E766)),"Spider Traps",
ISNUMBER(SEARCH("mosquito",E766)),"Mosquito Traps",
ISNUMBER(SEARCH("beetle",E766)),"Beetle Traps",
ISNUMBER(SEARCH("lantern",E766)),"Lanternfly Control",
OR(ISNUMBER(SEARCH("tree shield",E766)),ISNUMBER(SEARCH("tree banding",E766)),ISNUMBER(SEARCH("insect barrier",E766))),"Tree Barriers",
OR(ISNUMBER(SEARCH("sun &amp; shade",E766)),ISNUMBER(SEARCH("sun and shade",E766))),"Sun &amp; Shade Mix",
ISNUMBER(SEARCH("tall fescue",E766)),"Tall Fescue",
ISNUMBER(SEARCH("bermudagrass",E766)),"Bermudagrass",
ISNUMBER(SEARCH("kentucky",E766)),"Kentucky Bluegrass",
ISNUMBER(SEARCH("zoysia",E766)),"Zoysia",
ISNUMBER(SEARCH("ryegrass",E766)),"Perennial Ryegrass",
ISNUMBER(SEARCH("centipede",E766)),"Centipede Grass",
ISNUMBER(SEARCH("dense shade",E766)),"Dense Shade Mix",
ISNUMBER(SEARCH("southern gold",E766)),"Southern Gold Mix",
ISNUMBER(SEARCH("heat-tolerant blue",E766)),"Heat-Tolerant Blue Mix",
ISNUMBER(SEARCH("high traffic",E766)),"High Traffic Mix",
ISNUMBER(SEARCH("quick fix",E766)),"Quick Fix Mix",
ISNUMBER(SEARCH("starter",E766)),"Starter Fertilizer",
ISNUMBER(SEARCH("weed &amp; feed",E766)),"Weed &amp; Feed",
ISNUMBER(SEARCH("lawn food",E766)),"Lawn Food",
ISNUMBER(SEARCH("triple action",E766)),"Triple Action Fertilizer",
ISNUMBER(SEARCH("green max",E766)),"Green Max Lawn Food",
ISNUMBER(SEARCH("patchmaster",E766)),"PatchMaster Repair",
ISNUMBER(SEARCH("ez seed",E766)),"EZ Seed Repair",
ISNUMBER(SEARCH("rapid grass",E766)),"Rapid Grass",
ISNUMBER(SEARCH("thick'r lawn",E766)),"Thick'R Lawn",
ISNUMBER(SEARCH("fungicide",E766)),"Fungicide",
ISNUMBER(SEARCH("moss",E766)),"Moss Control",
ISNUMBER(SEARCH("perlite",E766)),"Perlite",
ISNUMBER(SEARCH("plant food",E766)),"Plant Food",
ISNUMBER(SEARCH("spreader",E766)),"Spreader",
ISNUMBER(SEARCH("sprayer",E766)),"Sprayer",
ISNUMBER(SEARCH("mower",E766)),"Lawn Mower",
ISNUMBER(SEARCH("sweeper",E766)),"Lawn Sweeper",
OR(ISNUMBER(SEARCH("pruner",E766)),ISNUMBER(SEARCH("trimmer",E766)),ISNUMBER(SEARCH("pole saw",E766))),"Pruning Tools",
TRUE,"Other"
)</f>
        <v>Bait &amp; Poison</v>
      </c>
      <c r="J766" s="7" t="str">
        <f t="shared" si="228"/>
        <v>Crawling Insect Control - Bait &amp; Poison</v>
      </c>
      <c r="K766" s="4">
        <v>50</v>
      </c>
      <c r="L766" s="4">
        <v>4.7</v>
      </c>
      <c r="M766" s="4">
        <v>1135</v>
      </c>
      <c r="O766" s="4">
        <f>VLOOKUP(A766,[14]Sheet1!$A:$M,2,0)</f>
        <v>50</v>
      </c>
      <c r="P766" s="4">
        <f>VLOOKUP(A766,[14]Sheet1!$A:$M,3,0)</f>
        <v>50</v>
      </c>
      <c r="Q766" s="4">
        <f>VLOOKUP(A766,[14]Sheet1!$A:$M,4,0)</f>
        <v>50</v>
      </c>
      <c r="R766" s="4">
        <f>VLOOKUP(A766,[14]Sheet1!$A:$M,5,0)</f>
        <v>100</v>
      </c>
      <c r="S766" s="4">
        <f>VLOOKUP(A766,[14]Sheet1!$A:$M,6,0)</f>
        <v>50</v>
      </c>
      <c r="T766" s="4">
        <f>VLOOKUP(A766,[14]Sheet1!$A:$M,7,0)</f>
        <v>0</v>
      </c>
      <c r="U766" s="4">
        <f>VLOOKUP(A766,[14]Sheet1!$A:$M,8,0)</f>
        <v>100</v>
      </c>
      <c r="V766" s="4">
        <f>VLOOKUP(A766,[14]Sheet1!$A:$M,9,0)</f>
        <v>100</v>
      </c>
      <c r="W766" s="4">
        <f>VLOOKUP(A766,[14]Sheet1!$A:$M,10,0)</f>
        <v>50</v>
      </c>
      <c r="X766" s="4">
        <f>VLOOKUP(A766,[14]Sheet1!$A:$M,11,0)</f>
        <v>50</v>
      </c>
      <c r="Y766" s="4">
        <f>VLOOKUP(A766,[14]Sheet1!$A:$M,12,0)</f>
        <v>50</v>
      </c>
      <c r="Z766" s="4">
        <f>VLOOKUP(A766,[14]Sheet1!$A:$M,13,0)</f>
        <v>50</v>
      </c>
      <c r="AA766" s="4">
        <f t="shared" si="221"/>
        <v>700</v>
      </c>
      <c r="AB766" s="7">
        <f t="shared" si="222"/>
        <v>58</v>
      </c>
      <c r="AC766" s="15">
        <f t="shared" si="223"/>
        <v>58.333333333333336</v>
      </c>
      <c r="AD766" s="16">
        <f t="shared" si="224"/>
        <v>24465.000000000004</v>
      </c>
      <c r="AE766" s="16">
        <f t="shared" si="225"/>
        <v>2038.7500000000002</v>
      </c>
      <c r="AF766" s="21">
        <v>4.09</v>
      </c>
      <c r="AG766" s="21">
        <v>34.950000000000003</v>
      </c>
      <c r="AH766" s="15">
        <f t="shared" si="226"/>
        <v>0.59266666666666667</v>
      </c>
      <c r="AI766" s="15">
        <f t="shared" si="227"/>
        <v>2.0743333333333331</v>
      </c>
      <c r="AJ766" s="10">
        <v>0.5</v>
      </c>
      <c r="AK766" s="10">
        <v>0.5</v>
      </c>
      <c r="AL766" s="21">
        <v>4.09</v>
      </c>
      <c r="AM766" s="9">
        <f t="shared" si="213"/>
        <v>5.2425000000000006</v>
      </c>
      <c r="AN766" s="9">
        <f t="shared" si="214"/>
        <v>1.0485</v>
      </c>
      <c r="AO766" s="9">
        <f t="shared" si="215"/>
        <v>6.9900000000000011</v>
      </c>
      <c r="AP766" s="9">
        <f t="shared" si="216"/>
        <v>0.69900000000000007</v>
      </c>
      <c r="AQ766" s="9">
        <f t="shared" si="217"/>
        <v>6.9900000000000011</v>
      </c>
      <c r="AR766" s="9">
        <f t="shared" si="218"/>
        <v>8.7375000000000007</v>
      </c>
      <c r="AS766" s="11">
        <f t="shared" si="219"/>
        <v>5.9266666666666667</v>
      </c>
      <c r="AT766" s="12">
        <f t="shared" si="220"/>
        <v>4.7616666666666676</v>
      </c>
    </row>
    <row r="767" spans="1:46" ht="16.5" x14ac:dyDescent="0.4">
      <c r="A767" s="4" t="s">
        <v>3309</v>
      </c>
      <c r="B767" s="4" t="s">
        <v>3312</v>
      </c>
      <c r="C767" s="4" t="s">
        <v>3312</v>
      </c>
      <c r="D767" s="4" t="s">
        <v>3356</v>
      </c>
      <c r="E767" s="4" t="s">
        <v>3405</v>
      </c>
      <c r="F767" s="4" t="s">
        <v>3455</v>
      </c>
      <c r="G767" s="7" t="str">
        <f>VLOOKUP(A767,[1]done!$A:$I,9,0)</f>
        <v>All Other products</v>
      </c>
      <c r="H767" s="7" t="str" cm="1">
        <f t="array" ref="H767">_xlfn.IFS(
OR(ISNUMBER(SEARCH("mouse",E767)),ISNUMBER(SEARCH("rat",E767)),ISNUMBER(SEARCH("mice",E767)),ISNUMBER(SEARCH("rodent",E767))),"Rodent Control",
OR(ISNUMBER(SEARCH("fly",E767)),ISNUMBER(SEARCH("gnat",E767)),ISNUMBER(SEARCH("insect",E767)),ISNUMBER(SEARCH("mosquito",E767))),"Flying Insect Control",
OR(ISNUMBER(SEARCH("roach",E767)),ISNUMBER(SEARCH("ant",E767)),ISNUMBER(SEARCH("spider",E767)),ISNUMBER(SEARCH("cricket",E767)),ISNUMBER(SEARCH("scorpion",E767)),ISNUMBER(SEARCH("centipede",E767)),ISNUMBER(SEARCH("beetle",E767))),"Crawling Insect Control",
OR(ISNUMBER(SEARCH("tree",E767)),ISNUMBER(SEARCH("lantern",E767)),ISNUMBER(SEARCH("garden",E767)),ISNUMBER(SEARCH("plant",E767))),"Garden Pest Control",
OR(ISNUMBER(SEARCH("grass seed",E767)),ISNUMBER(SEARCH("seed mix",E767))),"Grass Seed",
OR(ISNUMBER(SEARCH("lawn food",E767)),ISNUMBER(SEARCH("fertilizer",E767))),"Lawn Fertilizer",
OR(ISNUMBER(SEARCH("patch",E767)),ISNUMBER(SEARCH("repair",E767)),ISNUMBER(SEARCH("thick'r",E767)),ISNUMBER(SEARCH("thick'r lawn",E767)),ISNUMBER(SEARCH("rapid grass",E767))),"Lawn Repair",
OR(ISNUMBER(SEARCH("weed",E767)),ISNUMBER(SEARCH("crabgrass",E767))),"Weed Control",
OR(ISNUMBER(SEARCH("fungicide",E767)),ISNUMBER(SEARCH("moss",E767))),"Disease &amp; Moss Control",
OR(ISNUMBER(SEARCH("plant food",E767)),ISNUMBER(SEARCH("miracid",E767))),"Plant Nutrition",
OR(ISNUMBER(SEARCH("perlite",E767))),"Soil Amendment",
OR(ISNUMBER(SEARCH("spreader",E767)),ISNUMBER(SEARCH("sprayer",E767)),ISNUMBER(SEARCH("mower",E767)),ISNUMBER(SEARCH("sweeper",E767)),ISNUMBER(SEARCH("pruner",E767)),ISNUMBER(SEARCH("trimmer",E767)),ISNUMBER(SEARCH("pole saw",E767))),"Garden Equipment",
TRUE,"Other"
)</f>
        <v>Other</v>
      </c>
      <c r="I767" s="7" t="str" cm="1">
        <f t="array" ref="I767">_xlfn.IFS(
OR(ISNUMBER(SEARCH("glue trap",E767)),ISNUMBER(SEARCH("glue board",E767))),"Glue Traps",
OR(ISNUMBER(SEARCH("snap trap",E767)),ISNUMBER(SEARCH("power-kill",E767)),ISNUMBER(SEARCH("wide pedal",E767)),ISNUMBER(SEARCH("metal pedal",E767))),"Snap Traps",
OR(ISNUMBER(SEARCH("electronic",E767)),ISNUMBER(SEARCH("zapper",E767))),"Electronic Traps",
OR(ISNUMBER(SEARCH("live catch",E767)),ISNUMBER(SEARCH("multi-catch",E767)),ISNUMBER(SEARCH("catch &amp; hold",E767)),ISNUMBER(SEARCH("tin cat",E767))),"Live Catch Traps",
OR(ISNUMBER(SEARCH("bait",E767)),ISNUMBER(SEARCH("poison",E767))),"Bait &amp; Poison",
ISNUMBER(SEARCH("repellent",E767)),"Repellents",
OR(ISNUMBER(SEARCH("fly trap",E767)),ISNUMBER(SEARCH("fly ribbon",E767)),ISNUMBER(SEARCH("fly stick",E767)),ISNUMBER(SEARCH("window fly",E767)),ISNUMBER(SEARCH("fly magnet",E767))),"Fly Traps",
OR(ISNUMBER(SEARCH("uv",E767)),ISNUMBER(SEARCH("fly light",E767)),ISNUMBER(SEARCH("plug-in",E767))),"UV Fly Traps",
ISNUMBER(SEARCH("roach",E767)),"Roach Traps",
ISNUMBER(SEARCH("ant",E767)),"Ant Traps",
ISNUMBER(SEARCH("spider",E767)),"Spider Traps",
ISNUMBER(SEARCH("mosquito",E767)),"Mosquito Traps",
ISNUMBER(SEARCH("beetle",E767)),"Beetle Traps",
ISNUMBER(SEARCH("lantern",E767)),"Lanternfly Control",
OR(ISNUMBER(SEARCH("tree shield",E767)),ISNUMBER(SEARCH("tree banding",E767)),ISNUMBER(SEARCH("insect barrier",E767))),"Tree Barriers",
OR(ISNUMBER(SEARCH("sun &amp; shade",E767)),ISNUMBER(SEARCH("sun and shade",E767))),"Sun &amp; Shade Mix",
ISNUMBER(SEARCH("tall fescue",E767)),"Tall Fescue",
ISNUMBER(SEARCH("bermudagrass",E767)),"Bermudagrass",
ISNUMBER(SEARCH("kentucky",E767)),"Kentucky Bluegrass",
ISNUMBER(SEARCH("zoysia",E767)),"Zoysia",
ISNUMBER(SEARCH("ryegrass",E767)),"Perennial Ryegrass",
ISNUMBER(SEARCH("centipede",E767)),"Centipede Grass",
ISNUMBER(SEARCH("dense shade",E767)),"Dense Shade Mix",
ISNUMBER(SEARCH("southern gold",E767)),"Southern Gold Mix",
ISNUMBER(SEARCH("heat-tolerant blue",E767)),"Heat-Tolerant Blue Mix",
ISNUMBER(SEARCH("high traffic",E767)),"High Traffic Mix",
ISNUMBER(SEARCH("quick fix",E767)),"Quick Fix Mix",
ISNUMBER(SEARCH("starter",E767)),"Starter Fertilizer",
ISNUMBER(SEARCH("weed &amp; feed",E767)),"Weed &amp; Feed",
ISNUMBER(SEARCH("lawn food",E767)),"Lawn Food",
ISNUMBER(SEARCH("triple action",E767)),"Triple Action Fertilizer",
ISNUMBER(SEARCH("green max",E767)),"Green Max Lawn Food",
ISNUMBER(SEARCH("patchmaster",E767)),"PatchMaster Repair",
ISNUMBER(SEARCH("ez seed",E767)),"EZ Seed Repair",
ISNUMBER(SEARCH("rapid grass",E767)),"Rapid Grass",
ISNUMBER(SEARCH("thick'r lawn",E767)),"Thick'R Lawn",
ISNUMBER(SEARCH("fungicide",E767)),"Fungicide",
ISNUMBER(SEARCH("moss",E767)),"Moss Control",
ISNUMBER(SEARCH("perlite",E767)),"Perlite",
ISNUMBER(SEARCH("plant food",E767)),"Plant Food",
ISNUMBER(SEARCH("spreader",E767)),"Spreader",
ISNUMBER(SEARCH("sprayer",E767)),"Sprayer",
ISNUMBER(SEARCH("mower",E767)),"Lawn Mower",
ISNUMBER(SEARCH("sweeper",E767)),"Lawn Sweeper",
OR(ISNUMBER(SEARCH("pruner",E767)),ISNUMBER(SEARCH("trimmer",E767)),ISNUMBER(SEARCH("pole saw",E767))),"Pruning Tools",
TRUE,"Other"
)</f>
        <v>Other</v>
      </c>
      <c r="J767" s="7" t="str">
        <f t="shared" si="228"/>
        <v>Other - Other</v>
      </c>
      <c r="K767" s="4">
        <v>50</v>
      </c>
      <c r="L767" s="4">
        <v>4.7</v>
      </c>
      <c r="M767" s="4">
        <v>9</v>
      </c>
      <c r="N767" s="4" t="s">
        <v>3219</v>
      </c>
      <c r="O767" s="4">
        <f>VLOOKUP(A767,[14]Sheet1!$A:$M,2,0)</f>
        <v>0</v>
      </c>
      <c r="P767" s="4">
        <f>VLOOKUP(A767,[14]Sheet1!$A:$M,3,0)</f>
        <v>0</v>
      </c>
      <c r="Q767" s="4">
        <f>VLOOKUP(A767,[14]Sheet1!$A:$M,4,0)</f>
        <v>0</v>
      </c>
      <c r="R767" s="4">
        <f>VLOOKUP(A767,[14]Sheet1!$A:$M,5,0)</f>
        <v>0</v>
      </c>
      <c r="S767" s="4">
        <f>VLOOKUP(A767,[14]Sheet1!$A:$M,6,0)</f>
        <v>50</v>
      </c>
      <c r="T767" s="4">
        <f>VLOOKUP(A767,[14]Sheet1!$A:$M,7,0)</f>
        <v>50</v>
      </c>
      <c r="U767" s="4">
        <f>VLOOKUP(A767,[14]Sheet1!$A:$M,8,0)</f>
        <v>50</v>
      </c>
      <c r="V767" s="4">
        <f>VLOOKUP(A767,[14]Sheet1!$A:$M,9,0)</f>
        <v>50</v>
      </c>
      <c r="W767" s="4">
        <f>VLOOKUP(A767,[14]Sheet1!$A:$M,10,0)</f>
        <v>50</v>
      </c>
      <c r="X767" s="4">
        <f>VLOOKUP(A767,[14]Sheet1!$A:$M,11,0)</f>
        <v>0</v>
      </c>
      <c r="Y767" s="4">
        <f>VLOOKUP(A767,[14]Sheet1!$A:$M,12,0)</f>
        <v>0</v>
      </c>
      <c r="Z767" s="4">
        <f>VLOOKUP(A767,[14]Sheet1!$A:$M,13,0)</f>
        <v>0</v>
      </c>
      <c r="AA767" s="4">
        <f t="shared" si="221"/>
        <v>250</v>
      </c>
      <c r="AB767" s="7">
        <f t="shared" si="222"/>
        <v>21</v>
      </c>
      <c r="AC767" s="15">
        <f t="shared" si="223"/>
        <v>20.833333333333332</v>
      </c>
      <c r="AD767" s="16">
        <f t="shared" si="224"/>
        <v>20747.5</v>
      </c>
      <c r="AE767" s="16">
        <f t="shared" si="225"/>
        <v>1728.958333333333</v>
      </c>
      <c r="AF767" s="21">
        <v>10.53</v>
      </c>
      <c r="AG767" s="21">
        <v>82.99</v>
      </c>
      <c r="AH767" s="15">
        <f t="shared" si="226"/>
        <v>1.4443999999999999</v>
      </c>
      <c r="AI767" s="15">
        <f t="shared" si="227"/>
        <v>5.0553999999999988</v>
      </c>
      <c r="AJ767" s="10">
        <v>0.5</v>
      </c>
      <c r="AK767" s="10">
        <v>0.5</v>
      </c>
      <c r="AL767" s="21">
        <v>10.53</v>
      </c>
      <c r="AM767" s="9">
        <f t="shared" si="213"/>
        <v>12.448499999999999</v>
      </c>
      <c r="AN767" s="9">
        <f t="shared" si="214"/>
        <v>2.4896999999999996</v>
      </c>
      <c r="AO767" s="9">
        <f t="shared" si="215"/>
        <v>16.597999999999999</v>
      </c>
      <c r="AP767" s="9">
        <f t="shared" si="216"/>
        <v>1.6597999999999999</v>
      </c>
      <c r="AQ767" s="9">
        <f t="shared" si="217"/>
        <v>16.597999999999999</v>
      </c>
      <c r="AR767" s="9">
        <f t="shared" si="218"/>
        <v>20.747499999999999</v>
      </c>
      <c r="AS767" s="11">
        <f t="shared" si="219"/>
        <v>14.443999999999997</v>
      </c>
      <c r="AT767" s="12">
        <f t="shared" si="220"/>
        <v>11.677666666666665</v>
      </c>
    </row>
    <row r="768" spans="1:46" ht="16.5" x14ac:dyDescent="0.4">
      <c r="A768" s="4" t="s">
        <v>3310</v>
      </c>
      <c r="B768" s="4" t="s">
        <v>3312</v>
      </c>
      <c r="C768" s="4" t="s">
        <v>3312</v>
      </c>
      <c r="D768" s="4" t="s">
        <v>3326</v>
      </c>
      <c r="E768" s="4" t="s">
        <v>3406</v>
      </c>
      <c r="F768" s="4" t="s">
        <v>3456</v>
      </c>
      <c r="G768" s="7" t="str">
        <f>VLOOKUP(A768,[1]done!$A:$I,9,0)</f>
        <v>Other crawling insects</v>
      </c>
      <c r="H768" s="7" t="str" cm="1">
        <f t="array" ref="H768">_xlfn.IFS(
OR(ISNUMBER(SEARCH("mouse",E768)),ISNUMBER(SEARCH("rat",E768)),ISNUMBER(SEARCH("mice",E768)),ISNUMBER(SEARCH("rodent",E768))),"Rodent Control",
OR(ISNUMBER(SEARCH("fly",E768)),ISNUMBER(SEARCH("gnat",E768)),ISNUMBER(SEARCH("insect",E768)),ISNUMBER(SEARCH("mosquito",E768))),"Flying Insect Control",
OR(ISNUMBER(SEARCH("roach",E768)),ISNUMBER(SEARCH("ant",E768)),ISNUMBER(SEARCH("spider",E768)),ISNUMBER(SEARCH("cricket",E768)),ISNUMBER(SEARCH("scorpion",E768)),ISNUMBER(SEARCH("centipede",E768)),ISNUMBER(SEARCH("beetle",E768))),"Crawling Insect Control",
OR(ISNUMBER(SEARCH("tree",E768)),ISNUMBER(SEARCH("lantern",E768)),ISNUMBER(SEARCH("garden",E768)),ISNUMBER(SEARCH("plant",E768))),"Garden Pest Control",
OR(ISNUMBER(SEARCH("grass seed",E768)),ISNUMBER(SEARCH("seed mix",E768))),"Grass Seed",
OR(ISNUMBER(SEARCH("lawn food",E768)),ISNUMBER(SEARCH("fertilizer",E768))),"Lawn Fertilizer",
OR(ISNUMBER(SEARCH("patch",E768)),ISNUMBER(SEARCH("repair",E768)),ISNUMBER(SEARCH("thick'r",E768)),ISNUMBER(SEARCH("thick'r lawn",E768)),ISNUMBER(SEARCH("rapid grass",E768))),"Lawn Repair",
OR(ISNUMBER(SEARCH("weed",E768)),ISNUMBER(SEARCH("crabgrass",E768))),"Weed Control",
OR(ISNUMBER(SEARCH("fungicide",E768)),ISNUMBER(SEARCH("moss",E768))),"Disease &amp; Moss Control",
OR(ISNUMBER(SEARCH("plant food",E768)),ISNUMBER(SEARCH("miracid",E768))),"Plant Nutrition",
OR(ISNUMBER(SEARCH("perlite",E768))),"Soil Amendment",
OR(ISNUMBER(SEARCH("spreader",E768)),ISNUMBER(SEARCH("sprayer",E768)),ISNUMBER(SEARCH("mower",E768)),ISNUMBER(SEARCH("sweeper",E768)),ISNUMBER(SEARCH("pruner",E768)),ISNUMBER(SEARCH("trimmer",E768)),ISNUMBER(SEARCH("pole saw",E768))),"Garden Equipment",
TRUE,"Other"
)</f>
        <v>Crawling Insect Control</v>
      </c>
      <c r="I768" s="7" t="str" cm="1">
        <f t="array" ref="I768">_xlfn.IFS(
OR(ISNUMBER(SEARCH("glue trap",E768)),ISNUMBER(SEARCH("glue board",E768))),"Glue Traps",
OR(ISNUMBER(SEARCH("snap trap",E768)),ISNUMBER(SEARCH("power-kill",E768)),ISNUMBER(SEARCH("wide pedal",E768)),ISNUMBER(SEARCH("metal pedal",E768))),"Snap Traps",
OR(ISNUMBER(SEARCH("electronic",E768)),ISNUMBER(SEARCH("zapper",E768))),"Electronic Traps",
OR(ISNUMBER(SEARCH("live catch",E768)),ISNUMBER(SEARCH("multi-catch",E768)),ISNUMBER(SEARCH("catch &amp; hold",E768)),ISNUMBER(SEARCH("tin cat",E768))),"Live Catch Traps",
OR(ISNUMBER(SEARCH("bait",E768)),ISNUMBER(SEARCH("poison",E768))),"Bait &amp; Poison",
ISNUMBER(SEARCH("repellent",E768)),"Repellents",
OR(ISNUMBER(SEARCH("fly trap",E768)),ISNUMBER(SEARCH("fly ribbon",E768)),ISNUMBER(SEARCH("fly stick",E768)),ISNUMBER(SEARCH("window fly",E768)),ISNUMBER(SEARCH("fly magnet",E768))),"Fly Traps",
OR(ISNUMBER(SEARCH("uv",E768)),ISNUMBER(SEARCH("fly light",E768)),ISNUMBER(SEARCH("plug-in",E768))),"UV Fly Traps",
ISNUMBER(SEARCH("roach",E768)),"Roach Traps",
ISNUMBER(SEARCH("ant",E768)),"Ant Traps",
ISNUMBER(SEARCH("spider",E768)),"Spider Traps",
ISNUMBER(SEARCH("mosquito",E768)),"Mosquito Traps",
ISNUMBER(SEARCH("beetle",E768)),"Beetle Traps",
ISNUMBER(SEARCH("lantern",E768)),"Lanternfly Control",
OR(ISNUMBER(SEARCH("tree shield",E768)),ISNUMBER(SEARCH("tree banding",E768)),ISNUMBER(SEARCH("insect barrier",E768))),"Tree Barriers",
OR(ISNUMBER(SEARCH("sun &amp; shade",E768)),ISNUMBER(SEARCH("sun and shade",E768))),"Sun &amp; Shade Mix",
ISNUMBER(SEARCH("tall fescue",E768)),"Tall Fescue",
ISNUMBER(SEARCH("bermudagrass",E768)),"Bermudagrass",
ISNUMBER(SEARCH("kentucky",E768)),"Kentucky Bluegrass",
ISNUMBER(SEARCH("zoysia",E768)),"Zoysia",
ISNUMBER(SEARCH("ryegrass",E768)),"Perennial Ryegrass",
ISNUMBER(SEARCH("centipede",E768)),"Centipede Grass",
ISNUMBER(SEARCH("dense shade",E768)),"Dense Shade Mix",
ISNUMBER(SEARCH("southern gold",E768)),"Southern Gold Mix",
ISNUMBER(SEARCH("heat-tolerant blue",E768)),"Heat-Tolerant Blue Mix",
ISNUMBER(SEARCH("high traffic",E768)),"High Traffic Mix",
ISNUMBER(SEARCH("quick fix",E768)),"Quick Fix Mix",
ISNUMBER(SEARCH("starter",E768)),"Starter Fertilizer",
ISNUMBER(SEARCH("weed &amp; feed",E768)),"Weed &amp; Feed",
ISNUMBER(SEARCH("lawn food",E768)),"Lawn Food",
ISNUMBER(SEARCH("triple action",E768)),"Triple Action Fertilizer",
ISNUMBER(SEARCH("green max",E768)),"Green Max Lawn Food",
ISNUMBER(SEARCH("patchmaster",E768)),"PatchMaster Repair",
ISNUMBER(SEARCH("ez seed",E768)),"EZ Seed Repair",
ISNUMBER(SEARCH("rapid grass",E768)),"Rapid Grass",
ISNUMBER(SEARCH("thick'r lawn",E768)),"Thick'R Lawn",
ISNUMBER(SEARCH("fungicide",E768)),"Fungicide",
ISNUMBER(SEARCH("moss",E768)),"Moss Control",
ISNUMBER(SEARCH("perlite",E768)),"Perlite",
ISNUMBER(SEARCH("plant food",E768)),"Plant Food",
ISNUMBER(SEARCH("spreader",E768)),"Spreader",
ISNUMBER(SEARCH("sprayer",E768)),"Sprayer",
ISNUMBER(SEARCH("mower",E768)),"Lawn Mower",
ISNUMBER(SEARCH("sweeper",E768)),"Lawn Sweeper",
OR(ISNUMBER(SEARCH("pruner",E768)),ISNUMBER(SEARCH("trimmer",E768)),ISNUMBER(SEARCH("pole saw",E768))),"Pruning Tools",
TRUE,"Other"
)</f>
        <v>Bait &amp; Poison</v>
      </c>
      <c r="J768" s="7" t="str">
        <f t="shared" si="228"/>
        <v>Crawling Insect Control - Bait &amp; Poison</v>
      </c>
      <c r="K768" s="4">
        <v>50</v>
      </c>
      <c r="L768" s="4">
        <v>4.3</v>
      </c>
      <c r="M768" s="4">
        <v>1961</v>
      </c>
      <c r="N768" s="4" t="s">
        <v>3482</v>
      </c>
      <c r="O768" s="4">
        <f>VLOOKUP(A768,[14]Sheet1!$A:$M,2,0)</f>
        <v>0</v>
      </c>
      <c r="P768" s="4">
        <f>VLOOKUP(A768,[14]Sheet1!$A:$M,3,0)</f>
        <v>0</v>
      </c>
      <c r="Q768" s="4">
        <f>VLOOKUP(A768,[14]Sheet1!$A:$M,4,0)</f>
        <v>0</v>
      </c>
      <c r="R768" s="4">
        <f>VLOOKUP(A768,[14]Sheet1!$A:$M,5,0)</f>
        <v>0</v>
      </c>
      <c r="S768" s="4">
        <f>VLOOKUP(A768,[14]Sheet1!$A:$M,6,0)</f>
        <v>0</v>
      </c>
      <c r="T768" s="4">
        <f>VLOOKUP(A768,[14]Sheet1!$A:$M,7,0)</f>
        <v>0</v>
      </c>
      <c r="U768" s="4">
        <f>VLOOKUP(A768,[14]Sheet1!$A:$M,8,0)</f>
        <v>0</v>
      </c>
      <c r="V768" s="4">
        <f>VLOOKUP(A768,[14]Sheet1!$A:$M,9,0)</f>
        <v>0</v>
      </c>
      <c r="W768" s="4">
        <f>VLOOKUP(A768,[14]Sheet1!$A:$M,10,0)</f>
        <v>50</v>
      </c>
      <c r="X768" s="4">
        <f>VLOOKUP(A768,[14]Sheet1!$A:$M,11,0)</f>
        <v>0</v>
      </c>
      <c r="Y768" s="4">
        <f>VLOOKUP(A768,[14]Sheet1!$A:$M,12,0)</f>
        <v>0</v>
      </c>
      <c r="Z768" s="4">
        <f>VLOOKUP(A768,[14]Sheet1!$A:$M,13,0)</f>
        <v>0</v>
      </c>
      <c r="AA768" s="4">
        <f t="shared" si="221"/>
        <v>50</v>
      </c>
      <c r="AB768" s="7">
        <f t="shared" si="222"/>
        <v>4</v>
      </c>
      <c r="AC768" s="15">
        <f t="shared" si="223"/>
        <v>4.166666666666667</v>
      </c>
      <c r="AD768" s="16">
        <f t="shared" si="224"/>
        <v>4647.5</v>
      </c>
      <c r="AE768" s="16">
        <f t="shared" si="225"/>
        <v>387.29166666666669</v>
      </c>
      <c r="AF768" s="21">
        <v>8.48</v>
      </c>
      <c r="AG768" s="21">
        <v>92.95</v>
      </c>
      <c r="AH768" s="15">
        <f t="shared" si="226"/>
        <v>1.8466666666666673</v>
      </c>
      <c r="AI768" s="15">
        <f t="shared" si="227"/>
        <v>6.4633333333333347</v>
      </c>
      <c r="AJ768" s="10">
        <v>0.5</v>
      </c>
      <c r="AK768" s="10">
        <v>0.5</v>
      </c>
      <c r="AL768" s="21">
        <v>8.48</v>
      </c>
      <c r="AM768" s="9">
        <f t="shared" si="213"/>
        <v>13.942500000000001</v>
      </c>
      <c r="AN768" s="9">
        <f t="shared" si="214"/>
        <v>2.7885</v>
      </c>
      <c r="AO768" s="9">
        <f t="shared" si="215"/>
        <v>18.59</v>
      </c>
      <c r="AP768" s="9">
        <f t="shared" si="216"/>
        <v>1.859</v>
      </c>
      <c r="AQ768" s="9">
        <f t="shared" si="217"/>
        <v>18.59</v>
      </c>
      <c r="AR768" s="9">
        <f t="shared" si="218"/>
        <v>23.237500000000001</v>
      </c>
      <c r="AS768" s="11">
        <f t="shared" si="219"/>
        <v>18.466666666666672</v>
      </c>
      <c r="AT768" s="12">
        <f t="shared" si="220"/>
        <v>15.368333333333338</v>
      </c>
    </row>
    <row r="769" spans="1:46" ht="16.5" x14ac:dyDescent="0.4">
      <c r="A769" s="4" t="s">
        <v>3311</v>
      </c>
      <c r="B769" s="4" t="s">
        <v>3312</v>
      </c>
      <c r="C769" s="4" t="s">
        <v>3312</v>
      </c>
      <c r="D769" s="4" t="s">
        <v>3357</v>
      </c>
      <c r="E769" s="4" t="s">
        <v>3407</v>
      </c>
      <c r="F769" s="4" t="s">
        <v>3457</v>
      </c>
      <c r="G769" s="7" t="str">
        <f>VLOOKUP(A769,[1]done!$A:$I,9,0)</f>
        <v>All Other products</v>
      </c>
      <c r="H769" s="7" t="str" cm="1">
        <f t="array" ref="H769">_xlfn.IFS(
OR(ISNUMBER(SEARCH("mouse",E769)),ISNUMBER(SEARCH("rat",E769)),ISNUMBER(SEARCH("mice",E769)),ISNUMBER(SEARCH("rodent",E769))),"Rodent Control",
OR(ISNUMBER(SEARCH("fly",E769)),ISNUMBER(SEARCH("gnat",E769)),ISNUMBER(SEARCH("insect",E769)),ISNUMBER(SEARCH("mosquito",E769))),"Flying Insect Control",
OR(ISNUMBER(SEARCH("roach",E769)),ISNUMBER(SEARCH("ant",E769)),ISNUMBER(SEARCH("spider",E769)),ISNUMBER(SEARCH("cricket",E769)),ISNUMBER(SEARCH("scorpion",E769)),ISNUMBER(SEARCH("centipede",E769)),ISNUMBER(SEARCH("beetle",E769))),"Crawling Insect Control",
OR(ISNUMBER(SEARCH("tree",E769)),ISNUMBER(SEARCH("lantern",E769)),ISNUMBER(SEARCH("garden",E769)),ISNUMBER(SEARCH("plant",E769))),"Garden Pest Control",
OR(ISNUMBER(SEARCH("grass seed",E769)),ISNUMBER(SEARCH("seed mix",E769))),"Grass Seed",
OR(ISNUMBER(SEARCH("lawn food",E769)),ISNUMBER(SEARCH("fertilizer",E769))),"Lawn Fertilizer",
OR(ISNUMBER(SEARCH("patch",E769)),ISNUMBER(SEARCH("repair",E769)),ISNUMBER(SEARCH("thick'r",E769)),ISNUMBER(SEARCH("thick'r lawn",E769)),ISNUMBER(SEARCH("rapid grass",E769))),"Lawn Repair",
OR(ISNUMBER(SEARCH("weed",E769)),ISNUMBER(SEARCH("crabgrass",E769))),"Weed Control",
OR(ISNUMBER(SEARCH("fungicide",E769)),ISNUMBER(SEARCH("moss",E769))),"Disease &amp; Moss Control",
OR(ISNUMBER(SEARCH("plant food",E769)),ISNUMBER(SEARCH("miracid",E769))),"Plant Nutrition",
OR(ISNUMBER(SEARCH("perlite",E769))),"Soil Amendment",
OR(ISNUMBER(SEARCH("spreader",E769)),ISNUMBER(SEARCH("sprayer",E769)),ISNUMBER(SEARCH("mower",E769)),ISNUMBER(SEARCH("sweeper",E769)),ISNUMBER(SEARCH("pruner",E769)),ISNUMBER(SEARCH("trimmer",E769)),ISNUMBER(SEARCH("pole saw",E769))),"Garden Equipment",
TRUE,"Other"
)</f>
        <v>Other</v>
      </c>
      <c r="I769" s="7" t="str" cm="1">
        <f t="array" ref="I769">_xlfn.IFS(
OR(ISNUMBER(SEARCH("glue trap",E769)),ISNUMBER(SEARCH("glue board",E769))),"Glue Traps",
OR(ISNUMBER(SEARCH("snap trap",E769)),ISNUMBER(SEARCH("power-kill",E769)),ISNUMBER(SEARCH("wide pedal",E769)),ISNUMBER(SEARCH("metal pedal",E769))),"Snap Traps",
OR(ISNUMBER(SEARCH("electronic",E769)),ISNUMBER(SEARCH("zapper",E769))),"Electronic Traps",
OR(ISNUMBER(SEARCH("live catch",E769)),ISNUMBER(SEARCH("multi-catch",E769)),ISNUMBER(SEARCH("catch &amp; hold",E769)),ISNUMBER(SEARCH("tin cat",E769))),"Live Catch Traps",
OR(ISNUMBER(SEARCH("bait",E769)),ISNUMBER(SEARCH("poison",E769))),"Bait &amp; Poison",
ISNUMBER(SEARCH("repellent",E769)),"Repellents",
OR(ISNUMBER(SEARCH("fly trap",E769)),ISNUMBER(SEARCH("fly ribbon",E769)),ISNUMBER(SEARCH("fly stick",E769)),ISNUMBER(SEARCH("window fly",E769)),ISNUMBER(SEARCH("fly magnet",E769))),"Fly Traps",
OR(ISNUMBER(SEARCH("uv",E769)),ISNUMBER(SEARCH("fly light",E769)),ISNUMBER(SEARCH("plug-in",E769))),"UV Fly Traps",
ISNUMBER(SEARCH("roach",E769)),"Roach Traps",
ISNUMBER(SEARCH("ant",E769)),"Ant Traps",
ISNUMBER(SEARCH("spider",E769)),"Spider Traps",
ISNUMBER(SEARCH("mosquito",E769)),"Mosquito Traps",
ISNUMBER(SEARCH("beetle",E769)),"Beetle Traps",
ISNUMBER(SEARCH("lantern",E769)),"Lanternfly Control",
OR(ISNUMBER(SEARCH("tree shield",E769)),ISNUMBER(SEARCH("tree banding",E769)),ISNUMBER(SEARCH("insect barrier",E769))),"Tree Barriers",
OR(ISNUMBER(SEARCH("sun &amp; shade",E769)),ISNUMBER(SEARCH("sun and shade",E769))),"Sun &amp; Shade Mix",
ISNUMBER(SEARCH("tall fescue",E769)),"Tall Fescue",
ISNUMBER(SEARCH("bermudagrass",E769)),"Bermudagrass",
ISNUMBER(SEARCH("kentucky",E769)),"Kentucky Bluegrass",
ISNUMBER(SEARCH("zoysia",E769)),"Zoysia",
ISNUMBER(SEARCH("ryegrass",E769)),"Perennial Ryegrass",
ISNUMBER(SEARCH("centipede",E769)),"Centipede Grass",
ISNUMBER(SEARCH("dense shade",E769)),"Dense Shade Mix",
ISNUMBER(SEARCH("southern gold",E769)),"Southern Gold Mix",
ISNUMBER(SEARCH("heat-tolerant blue",E769)),"Heat-Tolerant Blue Mix",
ISNUMBER(SEARCH("high traffic",E769)),"High Traffic Mix",
ISNUMBER(SEARCH("quick fix",E769)),"Quick Fix Mix",
ISNUMBER(SEARCH("starter",E769)),"Starter Fertilizer",
ISNUMBER(SEARCH("weed &amp; feed",E769)),"Weed &amp; Feed",
ISNUMBER(SEARCH("lawn food",E769)),"Lawn Food",
ISNUMBER(SEARCH("triple action",E769)),"Triple Action Fertilizer",
ISNUMBER(SEARCH("green max",E769)),"Green Max Lawn Food",
ISNUMBER(SEARCH("patchmaster",E769)),"PatchMaster Repair",
ISNUMBER(SEARCH("ez seed",E769)),"EZ Seed Repair",
ISNUMBER(SEARCH("rapid grass",E769)),"Rapid Grass",
ISNUMBER(SEARCH("thick'r lawn",E769)),"Thick'R Lawn",
ISNUMBER(SEARCH("fungicide",E769)),"Fungicide",
ISNUMBER(SEARCH("moss",E769)),"Moss Control",
ISNUMBER(SEARCH("perlite",E769)),"Perlite",
ISNUMBER(SEARCH("plant food",E769)),"Plant Food",
ISNUMBER(SEARCH("spreader",E769)),"Spreader",
ISNUMBER(SEARCH("sprayer",E769)),"Sprayer",
ISNUMBER(SEARCH("mower",E769)),"Lawn Mower",
ISNUMBER(SEARCH("sweeper",E769)),"Lawn Sweeper",
OR(ISNUMBER(SEARCH("pruner",E769)),ISNUMBER(SEARCH("trimmer",E769)),ISNUMBER(SEARCH("pole saw",E769))),"Pruning Tools",
TRUE,"Other"
)</f>
        <v>Other</v>
      </c>
      <c r="J769" s="7" t="str">
        <f t="shared" si="228"/>
        <v>Other - Other</v>
      </c>
      <c r="K769" s="4">
        <v>50</v>
      </c>
      <c r="L769" s="4">
        <v>4.3</v>
      </c>
      <c r="M769" s="4">
        <v>89</v>
      </c>
      <c r="N769" s="4" t="s">
        <v>3483</v>
      </c>
      <c r="O769" s="4">
        <f>VLOOKUP(A769,[14]Sheet1!$A:$M,2,0)</f>
        <v>0</v>
      </c>
      <c r="P769" s="4">
        <f>VLOOKUP(A769,[14]Sheet1!$A:$M,3,0)</f>
        <v>0</v>
      </c>
      <c r="Q769" s="4">
        <f>VLOOKUP(A769,[14]Sheet1!$A:$M,4,0)</f>
        <v>50</v>
      </c>
      <c r="R769" s="4">
        <f>VLOOKUP(A769,[14]Sheet1!$A:$M,5,0)</f>
        <v>50</v>
      </c>
      <c r="S769" s="4">
        <f>VLOOKUP(A769,[14]Sheet1!$A:$M,6,0)</f>
        <v>50</v>
      </c>
      <c r="T769" s="4">
        <f>VLOOKUP(A769,[14]Sheet1!$A:$M,7,0)</f>
        <v>50</v>
      </c>
      <c r="U769" s="4">
        <f>VLOOKUP(A769,[14]Sheet1!$A:$M,8,0)</f>
        <v>50</v>
      </c>
      <c r="V769" s="4">
        <f>VLOOKUP(A769,[14]Sheet1!$A:$M,9,0)</f>
        <v>50</v>
      </c>
      <c r="W769" s="4">
        <f>VLOOKUP(A769,[14]Sheet1!$A:$M,10,0)</f>
        <v>50</v>
      </c>
      <c r="X769" s="4">
        <f>VLOOKUP(A769,[14]Sheet1!$A:$M,11,0)</f>
        <v>50</v>
      </c>
      <c r="Y769" s="4">
        <f>VLOOKUP(A769,[14]Sheet1!$A:$M,12,0)</f>
        <v>0</v>
      </c>
      <c r="Z769" s="4">
        <f>VLOOKUP(A769,[14]Sheet1!$A:$M,13,0)</f>
        <v>0</v>
      </c>
      <c r="AA769" s="4">
        <f t="shared" si="221"/>
        <v>400</v>
      </c>
      <c r="AB769" s="7">
        <f t="shared" si="222"/>
        <v>33</v>
      </c>
      <c r="AC769" s="15">
        <f t="shared" si="223"/>
        <v>33.333333333333336</v>
      </c>
      <c r="AD769" s="16">
        <f t="shared" si="224"/>
        <v>48792</v>
      </c>
      <c r="AE769" s="16">
        <f t="shared" si="225"/>
        <v>4066.0000000000005</v>
      </c>
      <c r="AF769" s="21">
        <v>20.64</v>
      </c>
      <c r="AG769" s="21">
        <v>121.98</v>
      </c>
      <c r="AH769" s="15">
        <f t="shared" si="226"/>
        <v>1.8101333333333334</v>
      </c>
      <c r="AI769" s="15">
        <f t="shared" si="227"/>
        <v>6.3354666666666661</v>
      </c>
      <c r="AJ769" s="10">
        <v>0.5</v>
      </c>
      <c r="AK769" s="10">
        <v>0.5</v>
      </c>
      <c r="AL769" s="21">
        <v>20.64</v>
      </c>
      <c r="AM769" s="9">
        <f t="shared" si="213"/>
        <v>18.297000000000001</v>
      </c>
      <c r="AN769" s="9">
        <f t="shared" si="214"/>
        <v>3.6593999999999998</v>
      </c>
      <c r="AO769" s="9">
        <f t="shared" si="215"/>
        <v>24.396000000000001</v>
      </c>
      <c r="AP769" s="9">
        <f t="shared" si="216"/>
        <v>2.4396</v>
      </c>
      <c r="AQ769" s="9">
        <f t="shared" si="217"/>
        <v>24.396000000000001</v>
      </c>
      <c r="AR769" s="9">
        <f t="shared" si="218"/>
        <v>30.495000000000001</v>
      </c>
      <c r="AS769" s="11">
        <f t="shared" si="219"/>
        <v>18.101333333333333</v>
      </c>
      <c r="AT769" s="12">
        <f t="shared" si="220"/>
        <v>14.035333333333334</v>
      </c>
    </row>
    <row r="770" spans="1:46" ht="16.5" x14ac:dyDescent="0.4">
      <c r="A770" s="4" t="s">
        <v>3484</v>
      </c>
      <c r="B770" s="4" t="s">
        <v>3526</v>
      </c>
      <c r="C770" s="4" t="s">
        <v>3527</v>
      </c>
      <c r="D770" s="4" t="s">
        <v>3534</v>
      </c>
      <c r="E770" s="4" t="s">
        <v>3576</v>
      </c>
      <c r="F770" s="4" t="s">
        <v>3618</v>
      </c>
      <c r="G770" s="7" t="str">
        <f>VLOOKUP(A770,[1]done!$A:$I,9,0)</f>
        <v>Cockroach</v>
      </c>
      <c r="H770" s="7" t="str" cm="1">
        <f t="array" ref="H770">_xlfn.IFS(
OR(ISNUMBER(SEARCH("mouse",E770)),ISNUMBER(SEARCH("rat",E770)),ISNUMBER(SEARCH("mice",E770)),ISNUMBER(SEARCH("rodent",E770))),"Rodent Control",
OR(ISNUMBER(SEARCH("fly",E770)),ISNUMBER(SEARCH("gnat",E770)),ISNUMBER(SEARCH("insect",E770)),ISNUMBER(SEARCH("mosquito",E770))),"Flying Insect Control",
OR(ISNUMBER(SEARCH("roach",E770)),ISNUMBER(SEARCH("ant",E770)),ISNUMBER(SEARCH("spider",E770)),ISNUMBER(SEARCH("cricket",E770)),ISNUMBER(SEARCH("scorpion",E770)),ISNUMBER(SEARCH("centipede",E770)),ISNUMBER(SEARCH("beetle",E770))),"Crawling Insect Control",
OR(ISNUMBER(SEARCH("tree",E770)),ISNUMBER(SEARCH("lantern",E770)),ISNUMBER(SEARCH("garden",E770)),ISNUMBER(SEARCH("plant",E770))),"Garden Pest Control",
OR(ISNUMBER(SEARCH("grass seed",E770)),ISNUMBER(SEARCH("seed mix",E770))),"Grass Seed",
OR(ISNUMBER(SEARCH("lawn food",E770)),ISNUMBER(SEARCH("fertilizer",E770))),"Lawn Fertilizer",
OR(ISNUMBER(SEARCH("patch",E770)),ISNUMBER(SEARCH("repair",E770)),ISNUMBER(SEARCH("thick'r",E770)),ISNUMBER(SEARCH("thick'r lawn",E770)),ISNUMBER(SEARCH("rapid grass",E770))),"Lawn Repair",
OR(ISNUMBER(SEARCH("weed",E770)),ISNUMBER(SEARCH("crabgrass",E770))),"Weed Control",
OR(ISNUMBER(SEARCH("fungicide",E770)),ISNUMBER(SEARCH("moss",E770))),"Disease &amp; Moss Control",
OR(ISNUMBER(SEARCH("plant food",E770)),ISNUMBER(SEARCH("miracid",E770))),"Plant Nutrition",
OR(ISNUMBER(SEARCH("perlite",E770))),"Soil Amendment",
OR(ISNUMBER(SEARCH("spreader",E770)),ISNUMBER(SEARCH("sprayer",E770)),ISNUMBER(SEARCH("mower",E770)),ISNUMBER(SEARCH("sweeper",E770)),ISNUMBER(SEARCH("pruner",E770)),ISNUMBER(SEARCH("trimmer",E770)),ISNUMBER(SEARCH("pole saw",E770))),"Garden Equipment",
TRUE,"Other"
)</f>
        <v>Flying Insect Control</v>
      </c>
      <c r="I770" s="7" t="str" cm="1">
        <f t="array" ref="I770">_xlfn.IFS(
OR(ISNUMBER(SEARCH("glue trap",E770)),ISNUMBER(SEARCH("glue board",E770))),"Glue Traps",
OR(ISNUMBER(SEARCH("snap trap",E770)),ISNUMBER(SEARCH("power-kill",E770)),ISNUMBER(SEARCH("wide pedal",E770)),ISNUMBER(SEARCH("metal pedal",E770))),"Snap Traps",
OR(ISNUMBER(SEARCH("electronic",E770)),ISNUMBER(SEARCH("zapper",E770))),"Electronic Traps",
OR(ISNUMBER(SEARCH("live catch",E770)),ISNUMBER(SEARCH("multi-catch",E770)),ISNUMBER(SEARCH("catch &amp; hold",E770)),ISNUMBER(SEARCH("tin cat",E770))),"Live Catch Traps",
OR(ISNUMBER(SEARCH("bait",E770)),ISNUMBER(SEARCH("poison",E770))),"Bait &amp; Poison",
ISNUMBER(SEARCH("repellent",E770)),"Repellents",
OR(ISNUMBER(SEARCH("fly trap",E770)),ISNUMBER(SEARCH("fly ribbon",E770)),ISNUMBER(SEARCH("fly stick",E770)),ISNUMBER(SEARCH("window fly",E770)),ISNUMBER(SEARCH("fly magnet",E770))),"Fly Traps",
OR(ISNUMBER(SEARCH("uv",E770)),ISNUMBER(SEARCH("fly light",E770)),ISNUMBER(SEARCH("plug-in",E770))),"UV Fly Traps",
ISNUMBER(SEARCH("roach",E770)),"Roach Traps",
ISNUMBER(SEARCH("ant",E770)),"Ant Traps",
ISNUMBER(SEARCH("spider",E770)),"Spider Traps",
ISNUMBER(SEARCH("mosquito",E770)),"Mosquito Traps",
ISNUMBER(SEARCH("beetle",E770)),"Beetle Traps",
ISNUMBER(SEARCH("lantern",E770)),"Lanternfly Control",
OR(ISNUMBER(SEARCH("tree shield",E770)),ISNUMBER(SEARCH("tree banding",E770)),ISNUMBER(SEARCH("insect barrier",E770))),"Tree Barriers",
OR(ISNUMBER(SEARCH("sun &amp; shade",E770)),ISNUMBER(SEARCH("sun and shade",E770))),"Sun &amp; Shade Mix",
ISNUMBER(SEARCH("tall fescue",E770)),"Tall Fescue",
ISNUMBER(SEARCH("bermudagrass",E770)),"Bermudagrass",
ISNUMBER(SEARCH("kentucky",E770)),"Kentucky Bluegrass",
ISNUMBER(SEARCH("zoysia",E770)),"Zoysia",
ISNUMBER(SEARCH("ryegrass",E770)),"Perennial Ryegrass",
ISNUMBER(SEARCH("centipede",E770)),"Centipede Grass",
ISNUMBER(SEARCH("dense shade",E770)),"Dense Shade Mix",
ISNUMBER(SEARCH("southern gold",E770)),"Southern Gold Mix",
ISNUMBER(SEARCH("heat-tolerant blue",E770)),"Heat-Tolerant Blue Mix",
ISNUMBER(SEARCH("high traffic",E770)),"High Traffic Mix",
ISNUMBER(SEARCH("quick fix",E770)),"Quick Fix Mix",
ISNUMBER(SEARCH("starter",E770)),"Starter Fertilizer",
ISNUMBER(SEARCH("weed &amp; feed",E770)),"Weed &amp; Feed",
ISNUMBER(SEARCH("lawn food",E770)),"Lawn Food",
ISNUMBER(SEARCH("triple action",E770)),"Triple Action Fertilizer",
ISNUMBER(SEARCH("green max",E770)),"Green Max Lawn Food",
ISNUMBER(SEARCH("patchmaster",E770)),"PatchMaster Repair",
ISNUMBER(SEARCH("ez seed",E770)),"EZ Seed Repair",
ISNUMBER(SEARCH("rapid grass",E770)),"Rapid Grass",
ISNUMBER(SEARCH("thick'r lawn",E770)),"Thick'R Lawn",
ISNUMBER(SEARCH("fungicide",E770)),"Fungicide",
ISNUMBER(SEARCH("moss",E770)),"Moss Control",
ISNUMBER(SEARCH("perlite",E770)),"Perlite",
ISNUMBER(SEARCH("plant food",E770)),"Plant Food",
ISNUMBER(SEARCH("spreader",E770)),"Spreader",
ISNUMBER(SEARCH("sprayer",E770)),"Sprayer",
ISNUMBER(SEARCH("mower",E770)),"Lawn Mower",
ISNUMBER(SEARCH("sweeper",E770)),"Lawn Sweeper",
OR(ISNUMBER(SEARCH("pruner",E770)),ISNUMBER(SEARCH("trimmer",E770)),ISNUMBER(SEARCH("pole saw",E770))),"Pruning Tools",
TRUE,"Other"
)</f>
        <v>Roach Traps</v>
      </c>
      <c r="J770" s="7" t="str">
        <f t="shared" si="228"/>
        <v>Flying Insect Control - Roach Traps</v>
      </c>
      <c r="K770" s="4">
        <v>20000</v>
      </c>
      <c r="L770" s="4">
        <v>4.3</v>
      </c>
      <c r="M770" s="4">
        <v>31021</v>
      </c>
      <c r="N770" s="4" t="s">
        <v>1545</v>
      </c>
      <c r="O770" s="4">
        <f>VLOOKUP(A770,[15]Sheet1!$A:$M,2,0)</f>
        <v>8000</v>
      </c>
      <c r="P770" s="4">
        <f>VLOOKUP(A770,[15]Sheet1!$A:$M,3,0)</f>
        <v>7600</v>
      </c>
      <c r="Q770" s="4">
        <f>VLOOKUP(A770,[15]Sheet1!$A:$M,4,0)</f>
        <v>10000</v>
      </c>
      <c r="R770" s="4">
        <f>VLOOKUP(A770,[15]Sheet1!$A:$M,5,0)</f>
        <v>10000</v>
      </c>
      <c r="S770" s="4">
        <f>VLOOKUP(A770,[15]Sheet1!$A:$M,6,0)</f>
        <v>10000</v>
      </c>
      <c r="T770" s="4">
        <f>VLOOKUP(A770,[15]Sheet1!$A:$M,7,0)</f>
        <v>10000</v>
      </c>
      <c r="U770" s="4">
        <f>VLOOKUP(A770,[15]Sheet1!$A:$M,8,0)</f>
        <v>10000</v>
      </c>
      <c r="V770" s="4">
        <f>VLOOKUP(A770,[15]Sheet1!$A:$M,9,0)</f>
        <v>15000</v>
      </c>
      <c r="W770" s="4">
        <f>VLOOKUP(A770,[15]Sheet1!$A:$M,10,0)</f>
        <v>20000</v>
      </c>
      <c r="X770" s="4">
        <f>VLOOKUP(A770,[15]Sheet1!$A:$M,11,0)</f>
        <v>10000</v>
      </c>
      <c r="Y770" s="4">
        <f>VLOOKUP(A770,[15]Sheet1!$A:$M,12,0)</f>
        <v>10000</v>
      </c>
      <c r="Z770" s="4">
        <f>VLOOKUP(A770,[15]Sheet1!$A:$M,13,0)</f>
        <v>10000</v>
      </c>
      <c r="AA770" s="4">
        <f t="shared" ref="AA770:AA811" si="229">SUM(O770:Z770)</f>
        <v>130600</v>
      </c>
      <c r="AB770" s="7">
        <f t="shared" ref="AB770:AB811" si="230">ROUND(AA770/12,0)</f>
        <v>10883</v>
      </c>
      <c r="AC770" s="15">
        <f t="shared" ref="AC770:AC811" si="231">AVERAGE(O770:Z770)</f>
        <v>10883.333333333334</v>
      </c>
      <c r="AD770" s="16">
        <f t="shared" ref="AD770:AD811" si="232">AG770*AA770</f>
        <v>844982</v>
      </c>
      <c r="AE770" s="16">
        <f t="shared" ref="AE770:AE811" si="233">AG770*AC770</f>
        <v>70415.166666666672</v>
      </c>
      <c r="AF770" s="21">
        <v>4.37</v>
      </c>
      <c r="AG770" s="21">
        <v>6.47</v>
      </c>
      <c r="AH770" s="15">
        <f t="shared" si="226"/>
        <v>-0.1854666666666667</v>
      </c>
      <c r="AI770" s="15">
        <f t="shared" si="227"/>
        <v>-0.64913333333333334</v>
      </c>
      <c r="AJ770" s="10">
        <v>0.5</v>
      </c>
      <c r="AK770" s="10">
        <v>0.5</v>
      </c>
      <c r="AL770" s="21">
        <v>4.37</v>
      </c>
      <c r="AM770" s="9">
        <f t="shared" si="213"/>
        <v>0.97049999999999992</v>
      </c>
      <c r="AN770" s="9">
        <f t="shared" si="214"/>
        <v>0.19409999999999999</v>
      </c>
      <c r="AO770" s="9">
        <f t="shared" si="215"/>
        <v>1.294</v>
      </c>
      <c r="AP770" s="9">
        <f t="shared" si="216"/>
        <v>0.12939999999999999</v>
      </c>
      <c r="AQ770" s="9">
        <f t="shared" si="217"/>
        <v>1.294</v>
      </c>
      <c r="AR770" s="9">
        <f t="shared" si="218"/>
        <v>1.6174999999999999</v>
      </c>
      <c r="AS770" s="11">
        <f t="shared" si="219"/>
        <v>-1.8546666666666669</v>
      </c>
      <c r="AT770" s="12">
        <f t="shared" si="220"/>
        <v>-2.0703333333333336</v>
      </c>
    </row>
    <row r="771" spans="1:46" ht="16.5" x14ac:dyDescent="0.4">
      <c r="A771" s="4" t="s">
        <v>3485</v>
      </c>
      <c r="B771" s="4" t="s">
        <v>3526</v>
      </c>
      <c r="C771" s="4" t="s">
        <v>3528</v>
      </c>
      <c r="D771" s="4" t="s">
        <v>3535</v>
      </c>
      <c r="E771" s="4" t="s">
        <v>3577</v>
      </c>
      <c r="F771" s="4" t="s">
        <v>3619</v>
      </c>
      <c r="G771" s="7" t="str">
        <f>VLOOKUP(A771,[1]done!$A:$I,9,0)</f>
        <v>Other Harris</v>
      </c>
      <c r="H771" s="7" t="str" cm="1">
        <f t="array" ref="H771">_xlfn.IFS(
OR(ISNUMBER(SEARCH("mouse",E771)),ISNUMBER(SEARCH("rat",E771)),ISNUMBER(SEARCH("mice",E771)),ISNUMBER(SEARCH("rodent",E771))),"Rodent Control",
OR(ISNUMBER(SEARCH("fly",E771)),ISNUMBER(SEARCH("gnat",E771)),ISNUMBER(SEARCH("insect",E771)),ISNUMBER(SEARCH("mosquito",E771))),"Flying Insect Control",
OR(ISNUMBER(SEARCH("roach",E771)),ISNUMBER(SEARCH("ant",E771)),ISNUMBER(SEARCH("spider",E771)),ISNUMBER(SEARCH("cricket",E771)),ISNUMBER(SEARCH("scorpion",E771)),ISNUMBER(SEARCH("centipede",E771)),ISNUMBER(SEARCH("beetle",E771))),"Crawling Insect Control",
OR(ISNUMBER(SEARCH("tree",E771)),ISNUMBER(SEARCH("lantern",E771)),ISNUMBER(SEARCH("garden",E771)),ISNUMBER(SEARCH("plant",E771))),"Garden Pest Control",
OR(ISNUMBER(SEARCH("grass seed",E771)),ISNUMBER(SEARCH("seed mix",E771))),"Grass Seed",
OR(ISNUMBER(SEARCH("lawn food",E771)),ISNUMBER(SEARCH("fertilizer",E771))),"Lawn Fertilizer",
OR(ISNUMBER(SEARCH("patch",E771)),ISNUMBER(SEARCH("repair",E771)),ISNUMBER(SEARCH("thick'r",E771)),ISNUMBER(SEARCH("thick'r lawn",E771)),ISNUMBER(SEARCH("rapid grass",E771))),"Lawn Repair",
OR(ISNUMBER(SEARCH("weed",E771)),ISNUMBER(SEARCH("crabgrass",E771))),"Weed Control",
OR(ISNUMBER(SEARCH("fungicide",E771)),ISNUMBER(SEARCH("moss",E771))),"Disease &amp; Moss Control",
OR(ISNUMBER(SEARCH("plant food",E771)),ISNUMBER(SEARCH("miracid",E771))),"Plant Nutrition",
OR(ISNUMBER(SEARCH("perlite",E771))),"Soil Amendment",
OR(ISNUMBER(SEARCH("spreader",E771)),ISNUMBER(SEARCH("sprayer",E771)),ISNUMBER(SEARCH("mower",E771)),ISNUMBER(SEARCH("sweeper",E771)),ISNUMBER(SEARCH("pruner",E771)),ISNUMBER(SEARCH("trimmer",E771)),ISNUMBER(SEARCH("pole saw",E771))),"Garden Equipment",
TRUE,"Other"
)</f>
        <v>Other</v>
      </c>
      <c r="I771" s="7" t="str" cm="1">
        <f t="array" ref="I771">_xlfn.IFS(
OR(ISNUMBER(SEARCH("glue trap",E771)),ISNUMBER(SEARCH("glue board",E771))),"Glue Traps",
OR(ISNUMBER(SEARCH("snap trap",E771)),ISNUMBER(SEARCH("power-kill",E771)),ISNUMBER(SEARCH("wide pedal",E771)),ISNUMBER(SEARCH("metal pedal",E771))),"Snap Traps",
OR(ISNUMBER(SEARCH("electronic",E771)),ISNUMBER(SEARCH("zapper",E771))),"Electronic Traps",
OR(ISNUMBER(SEARCH("live catch",E771)),ISNUMBER(SEARCH("multi-catch",E771)),ISNUMBER(SEARCH("catch &amp; hold",E771)),ISNUMBER(SEARCH("tin cat",E771))),"Live Catch Traps",
OR(ISNUMBER(SEARCH("bait",E771)),ISNUMBER(SEARCH("poison",E771))),"Bait &amp; Poison",
ISNUMBER(SEARCH("repellent",E771)),"Repellents",
OR(ISNUMBER(SEARCH("fly trap",E771)),ISNUMBER(SEARCH("fly ribbon",E771)),ISNUMBER(SEARCH("fly stick",E771)),ISNUMBER(SEARCH("window fly",E771)),ISNUMBER(SEARCH("fly magnet",E771))),"Fly Traps",
OR(ISNUMBER(SEARCH("uv",E771)),ISNUMBER(SEARCH("fly light",E771)),ISNUMBER(SEARCH("plug-in",E771))),"UV Fly Traps",
ISNUMBER(SEARCH("roach",E771)),"Roach Traps",
ISNUMBER(SEARCH("ant",E771)),"Ant Traps",
ISNUMBER(SEARCH("spider",E771)),"Spider Traps",
ISNUMBER(SEARCH("mosquito",E771)),"Mosquito Traps",
ISNUMBER(SEARCH("beetle",E771)),"Beetle Traps",
ISNUMBER(SEARCH("lantern",E771)),"Lanternfly Control",
OR(ISNUMBER(SEARCH("tree shield",E771)),ISNUMBER(SEARCH("tree banding",E771)),ISNUMBER(SEARCH("insect barrier",E771))),"Tree Barriers",
OR(ISNUMBER(SEARCH("sun &amp; shade",E771)),ISNUMBER(SEARCH("sun and shade",E771))),"Sun &amp; Shade Mix",
ISNUMBER(SEARCH("tall fescue",E771)),"Tall Fescue",
ISNUMBER(SEARCH("bermudagrass",E771)),"Bermudagrass",
ISNUMBER(SEARCH("kentucky",E771)),"Kentucky Bluegrass",
ISNUMBER(SEARCH("zoysia",E771)),"Zoysia",
ISNUMBER(SEARCH("ryegrass",E771)),"Perennial Ryegrass",
ISNUMBER(SEARCH("centipede",E771)),"Centipede Grass",
ISNUMBER(SEARCH("dense shade",E771)),"Dense Shade Mix",
ISNUMBER(SEARCH("southern gold",E771)),"Southern Gold Mix",
ISNUMBER(SEARCH("heat-tolerant blue",E771)),"Heat-Tolerant Blue Mix",
ISNUMBER(SEARCH("high traffic",E771)),"High Traffic Mix",
ISNUMBER(SEARCH("quick fix",E771)),"Quick Fix Mix",
ISNUMBER(SEARCH("starter",E771)),"Starter Fertilizer",
ISNUMBER(SEARCH("weed &amp; feed",E771)),"Weed &amp; Feed",
ISNUMBER(SEARCH("lawn food",E771)),"Lawn Food",
ISNUMBER(SEARCH("triple action",E771)),"Triple Action Fertilizer",
ISNUMBER(SEARCH("green max",E771)),"Green Max Lawn Food",
ISNUMBER(SEARCH("patchmaster",E771)),"PatchMaster Repair",
ISNUMBER(SEARCH("ez seed",E771)),"EZ Seed Repair",
ISNUMBER(SEARCH("rapid grass",E771)),"Rapid Grass",
ISNUMBER(SEARCH("thick'r lawn",E771)),"Thick'R Lawn",
ISNUMBER(SEARCH("fungicide",E771)),"Fungicide",
ISNUMBER(SEARCH("moss",E771)),"Moss Control",
ISNUMBER(SEARCH("perlite",E771)),"Perlite",
ISNUMBER(SEARCH("plant food",E771)),"Plant Food",
ISNUMBER(SEARCH("spreader",E771)),"Spreader",
ISNUMBER(SEARCH("sprayer",E771)),"Sprayer",
ISNUMBER(SEARCH("mower",E771)),"Lawn Mower",
ISNUMBER(SEARCH("sweeper",E771)),"Lawn Sweeper",
OR(ISNUMBER(SEARCH("pruner",E771)),ISNUMBER(SEARCH("trimmer",E771)),ISNUMBER(SEARCH("pole saw",E771))),"Pruning Tools",
TRUE,"Other"
)</f>
        <v>Other</v>
      </c>
      <c r="J771" s="7" t="str">
        <f t="shared" si="228"/>
        <v>Other - Other</v>
      </c>
      <c r="K771" s="4">
        <v>10000</v>
      </c>
      <c r="L771" s="4">
        <v>4.5</v>
      </c>
      <c r="M771" s="4">
        <v>15471</v>
      </c>
      <c r="N771" s="4" t="s">
        <v>3462</v>
      </c>
      <c r="O771" s="4">
        <f>VLOOKUP(A771,[15]Sheet1!$A:$M,2,0)</f>
        <v>6500</v>
      </c>
      <c r="P771" s="4">
        <f>VLOOKUP(A771,[15]Sheet1!$A:$M,3,0)</f>
        <v>5000</v>
      </c>
      <c r="Q771" s="4">
        <f>VLOOKUP(A771,[15]Sheet1!$A:$M,4,0)</f>
        <v>3000</v>
      </c>
      <c r="R771" s="4">
        <f>VLOOKUP(A771,[15]Sheet1!$A:$M,5,0)</f>
        <v>10000</v>
      </c>
      <c r="S771" s="4">
        <f>VLOOKUP(A771,[15]Sheet1!$A:$M,6,0)</f>
        <v>10000</v>
      </c>
      <c r="T771" s="4">
        <f>VLOOKUP(A771,[15]Sheet1!$A:$M,7,0)</f>
        <v>20000</v>
      </c>
      <c r="U771" s="4">
        <f>VLOOKUP(A771,[15]Sheet1!$A:$M,8,0)</f>
        <v>15000</v>
      </c>
      <c r="V771" s="4">
        <f>VLOOKUP(A771,[15]Sheet1!$A:$M,9,0)</f>
        <v>10000</v>
      </c>
      <c r="W771" s="4">
        <f>VLOOKUP(A771,[15]Sheet1!$A:$M,10,0)</f>
        <v>10000</v>
      </c>
      <c r="X771" s="4">
        <f>VLOOKUP(A771,[15]Sheet1!$A:$M,11,0)</f>
        <v>10000</v>
      </c>
      <c r="Y771" s="4">
        <f>VLOOKUP(A771,[15]Sheet1!$A:$M,12,0)</f>
        <v>10000</v>
      </c>
      <c r="Z771" s="4">
        <f>VLOOKUP(A771,[15]Sheet1!$A:$M,13,0)</f>
        <v>8000</v>
      </c>
      <c r="AA771" s="4">
        <f t="shared" si="229"/>
        <v>117500</v>
      </c>
      <c r="AB771" s="7">
        <f t="shared" si="230"/>
        <v>9792</v>
      </c>
      <c r="AC771" s="15">
        <f t="shared" si="231"/>
        <v>9791.6666666666661</v>
      </c>
      <c r="AD771" s="16">
        <f t="shared" si="232"/>
        <v>1173825</v>
      </c>
      <c r="AE771" s="16">
        <f t="shared" si="233"/>
        <v>97818.75</v>
      </c>
      <c r="AF771" s="21">
        <v>3.5</v>
      </c>
      <c r="AG771" s="21">
        <v>9.99</v>
      </c>
      <c r="AH771" s="15">
        <f t="shared" si="226"/>
        <v>-3.3600000000000033E-2</v>
      </c>
      <c r="AI771" s="15">
        <f t="shared" si="227"/>
        <v>-0.11760000000000009</v>
      </c>
      <c r="AJ771" s="10">
        <v>0.5</v>
      </c>
      <c r="AK771" s="10">
        <v>0.5</v>
      </c>
      <c r="AL771" s="21">
        <v>3.5</v>
      </c>
      <c r="AM771" s="9">
        <f t="shared" ref="AM771:AM834" si="234">0.15*AG771</f>
        <v>1.4984999999999999</v>
      </c>
      <c r="AN771" s="9">
        <f t="shared" ref="AN771:AN834" si="235">0.03*AG771</f>
        <v>0.29970000000000002</v>
      </c>
      <c r="AO771" s="9">
        <f t="shared" ref="AO771:AO834" si="236">0.2*AG771</f>
        <v>1.9980000000000002</v>
      </c>
      <c r="AP771" s="9">
        <f t="shared" ref="AP771:AP834" si="237">0.02*AG771</f>
        <v>0.19980000000000001</v>
      </c>
      <c r="AQ771" s="9">
        <f t="shared" ref="AQ771:AQ834" si="238">0.2*AG771</f>
        <v>1.9980000000000002</v>
      </c>
      <c r="AR771" s="9">
        <f t="shared" ref="AR771:AR834" si="239">0.25*AG771</f>
        <v>2.4975000000000001</v>
      </c>
      <c r="AS771" s="11">
        <f t="shared" ref="AS771:AS834" si="240">(AG771*(1-(0.15+0.03+0.2+0.02))-AJ771-AK771-AL771-AQ771)/(1+0.1+0.4)</f>
        <v>-0.3360000000000003</v>
      </c>
      <c r="AT771" s="12">
        <f t="shared" ref="AT771:AT834" si="241">(AG771*(1-(0.15+0.03+0.2+0.02))-AJ771-AK771-AL771-AR771)/(1+0.1+0.4)</f>
        <v>-0.66900000000000015</v>
      </c>
    </row>
    <row r="772" spans="1:46" ht="16.5" x14ac:dyDescent="0.4">
      <c r="A772" s="4" t="s">
        <v>3486</v>
      </c>
      <c r="B772" s="4" t="s">
        <v>3526</v>
      </c>
      <c r="C772" s="4" t="s">
        <v>3528</v>
      </c>
      <c r="D772" s="4" t="s">
        <v>3536</v>
      </c>
      <c r="E772" s="4" t="s">
        <v>3578</v>
      </c>
      <c r="F772" s="4" t="s">
        <v>3620</v>
      </c>
      <c r="G772" s="7" t="str">
        <f>VLOOKUP(A772,[1]done!$A:$I,9,0)</f>
        <v>Other crawling insects</v>
      </c>
      <c r="H772" s="7" t="str" cm="1">
        <f t="array" ref="H772">_xlfn.IFS(
OR(ISNUMBER(SEARCH("mouse",E772)),ISNUMBER(SEARCH("rat",E772)),ISNUMBER(SEARCH("mice",E772)),ISNUMBER(SEARCH("rodent",E772))),"Rodent Control",
OR(ISNUMBER(SEARCH("fly",E772)),ISNUMBER(SEARCH("gnat",E772)),ISNUMBER(SEARCH("insect",E772)),ISNUMBER(SEARCH("mosquito",E772))),"Flying Insect Control",
OR(ISNUMBER(SEARCH("roach",E772)),ISNUMBER(SEARCH("ant",E772)),ISNUMBER(SEARCH("spider",E772)),ISNUMBER(SEARCH("cricket",E772)),ISNUMBER(SEARCH("scorpion",E772)),ISNUMBER(SEARCH("centipede",E772)),ISNUMBER(SEARCH("beetle",E772))),"Crawling Insect Control",
OR(ISNUMBER(SEARCH("tree",E772)),ISNUMBER(SEARCH("lantern",E772)),ISNUMBER(SEARCH("garden",E772)),ISNUMBER(SEARCH("plant",E772))),"Garden Pest Control",
OR(ISNUMBER(SEARCH("grass seed",E772)),ISNUMBER(SEARCH("seed mix",E772))),"Grass Seed",
OR(ISNUMBER(SEARCH("lawn food",E772)),ISNUMBER(SEARCH("fertilizer",E772))),"Lawn Fertilizer",
OR(ISNUMBER(SEARCH("patch",E772)),ISNUMBER(SEARCH("repair",E772)),ISNUMBER(SEARCH("thick'r",E772)),ISNUMBER(SEARCH("thick'r lawn",E772)),ISNUMBER(SEARCH("rapid grass",E772))),"Lawn Repair",
OR(ISNUMBER(SEARCH("weed",E772)),ISNUMBER(SEARCH("crabgrass",E772))),"Weed Control",
OR(ISNUMBER(SEARCH("fungicide",E772)),ISNUMBER(SEARCH("moss",E772))),"Disease &amp; Moss Control",
OR(ISNUMBER(SEARCH("plant food",E772)),ISNUMBER(SEARCH("miracid",E772))),"Plant Nutrition",
OR(ISNUMBER(SEARCH("perlite",E772))),"Soil Amendment",
OR(ISNUMBER(SEARCH("spreader",E772)),ISNUMBER(SEARCH("sprayer",E772)),ISNUMBER(SEARCH("mower",E772)),ISNUMBER(SEARCH("sweeper",E772)),ISNUMBER(SEARCH("pruner",E772)),ISNUMBER(SEARCH("trimmer",E772)),ISNUMBER(SEARCH("pole saw",E772))),"Garden Equipment",
TRUE,"Other"
)</f>
        <v>Flying Insect Control</v>
      </c>
      <c r="I772" s="7" t="str" cm="1">
        <f t="array" ref="I772">_xlfn.IFS(
OR(ISNUMBER(SEARCH("glue trap",E772)),ISNUMBER(SEARCH("glue board",E772))),"Glue Traps",
OR(ISNUMBER(SEARCH("snap trap",E772)),ISNUMBER(SEARCH("power-kill",E772)),ISNUMBER(SEARCH("wide pedal",E772)),ISNUMBER(SEARCH("metal pedal",E772))),"Snap Traps",
OR(ISNUMBER(SEARCH("electronic",E772)),ISNUMBER(SEARCH("zapper",E772))),"Electronic Traps",
OR(ISNUMBER(SEARCH("live catch",E772)),ISNUMBER(SEARCH("multi-catch",E772)),ISNUMBER(SEARCH("catch &amp; hold",E772)),ISNUMBER(SEARCH("tin cat",E772))),"Live Catch Traps",
OR(ISNUMBER(SEARCH("bait",E772)),ISNUMBER(SEARCH("poison",E772))),"Bait &amp; Poison",
ISNUMBER(SEARCH("repellent",E772)),"Repellents",
OR(ISNUMBER(SEARCH("fly trap",E772)),ISNUMBER(SEARCH("fly ribbon",E772)),ISNUMBER(SEARCH("fly stick",E772)),ISNUMBER(SEARCH("window fly",E772)),ISNUMBER(SEARCH("fly magnet",E772))),"Fly Traps",
OR(ISNUMBER(SEARCH("uv",E772)),ISNUMBER(SEARCH("fly light",E772)),ISNUMBER(SEARCH("plug-in",E772))),"UV Fly Traps",
ISNUMBER(SEARCH("roach",E772)),"Roach Traps",
ISNUMBER(SEARCH("ant",E772)),"Ant Traps",
ISNUMBER(SEARCH("spider",E772)),"Spider Traps",
ISNUMBER(SEARCH("mosquito",E772)),"Mosquito Traps",
ISNUMBER(SEARCH("beetle",E772)),"Beetle Traps",
ISNUMBER(SEARCH("lantern",E772)),"Lanternfly Control",
OR(ISNUMBER(SEARCH("tree shield",E772)),ISNUMBER(SEARCH("tree banding",E772)),ISNUMBER(SEARCH("insect barrier",E772))),"Tree Barriers",
OR(ISNUMBER(SEARCH("sun &amp; shade",E772)),ISNUMBER(SEARCH("sun and shade",E772))),"Sun &amp; Shade Mix",
ISNUMBER(SEARCH("tall fescue",E772)),"Tall Fescue",
ISNUMBER(SEARCH("bermudagrass",E772)),"Bermudagrass",
ISNUMBER(SEARCH("kentucky",E772)),"Kentucky Bluegrass",
ISNUMBER(SEARCH("zoysia",E772)),"Zoysia",
ISNUMBER(SEARCH("ryegrass",E772)),"Perennial Ryegrass",
ISNUMBER(SEARCH("centipede",E772)),"Centipede Grass",
ISNUMBER(SEARCH("dense shade",E772)),"Dense Shade Mix",
ISNUMBER(SEARCH("southern gold",E772)),"Southern Gold Mix",
ISNUMBER(SEARCH("heat-tolerant blue",E772)),"Heat-Tolerant Blue Mix",
ISNUMBER(SEARCH("high traffic",E772)),"High Traffic Mix",
ISNUMBER(SEARCH("quick fix",E772)),"Quick Fix Mix",
ISNUMBER(SEARCH("starter",E772)),"Starter Fertilizer",
ISNUMBER(SEARCH("weed &amp; feed",E772)),"Weed &amp; Feed",
ISNUMBER(SEARCH("lawn food",E772)),"Lawn Food",
ISNUMBER(SEARCH("triple action",E772)),"Triple Action Fertilizer",
ISNUMBER(SEARCH("green max",E772)),"Green Max Lawn Food",
ISNUMBER(SEARCH("patchmaster",E772)),"PatchMaster Repair",
ISNUMBER(SEARCH("ez seed",E772)),"EZ Seed Repair",
ISNUMBER(SEARCH("rapid grass",E772)),"Rapid Grass",
ISNUMBER(SEARCH("thick'r lawn",E772)),"Thick'R Lawn",
ISNUMBER(SEARCH("fungicide",E772)),"Fungicide",
ISNUMBER(SEARCH("moss",E772)),"Moss Control",
ISNUMBER(SEARCH("perlite",E772)),"Perlite",
ISNUMBER(SEARCH("plant food",E772)),"Plant Food",
ISNUMBER(SEARCH("spreader",E772)),"Spreader",
ISNUMBER(SEARCH("sprayer",E772)),"Sprayer",
ISNUMBER(SEARCH("mower",E772)),"Lawn Mower",
ISNUMBER(SEARCH("sweeper",E772)),"Lawn Sweeper",
OR(ISNUMBER(SEARCH("pruner",E772)),ISNUMBER(SEARCH("trimmer",E772)),ISNUMBER(SEARCH("pole saw",E772))),"Pruning Tools",
TRUE,"Other"
)</f>
        <v>Roach Traps</v>
      </c>
      <c r="J772" s="7" t="str">
        <f t="shared" si="228"/>
        <v>Flying Insect Control - Roach Traps</v>
      </c>
      <c r="K772" s="4">
        <v>7000</v>
      </c>
      <c r="L772" s="4">
        <v>4.4000000000000004</v>
      </c>
      <c r="M772" s="4">
        <v>19330</v>
      </c>
      <c r="N772" s="4" t="s">
        <v>3224</v>
      </c>
      <c r="O772" s="4">
        <f>VLOOKUP(A772,[15]Sheet1!$A:$M,2,0)</f>
        <v>2000</v>
      </c>
      <c r="P772" s="4">
        <f>VLOOKUP(A772,[15]Sheet1!$A:$M,3,0)</f>
        <v>2000</v>
      </c>
      <c r="Q772" s="4">
        <f>VLOOKUP(A772,[15]Sheet1!$A:$M,4,0)</f>
        <v>2000</v>
      </c>
      <c r="R772" s="4">
        <f>VLOOKUP(A772,[15]Sheet1!$A:$M,5,0)</f>
        <v>6000</v>
      </c>
      <c r="S772" s="4">
        <f>VLOOKUP(A772,[15]Sheet1!$A:$M,6,0)</f>
        <v>6000</v>
      </c>
      <c r="T772" s="4">
        <f>VLOOKUP(A772,[15]Sheet1!$A:$M,7,0)</f>
        <v>8000</v>
      </c>
      <c r="U772" s="4">
        <f>VLOOKUP(A772,[15]Sheet1!$A:$M,8,0)</f>
        <v>8000</v>
      </c>
      <c r="V772" s="4">
        <f>VLOOKUP(A772,[15]Sheet1!$A:$M,9,0)</f>
        <v>10000</v>
      </c>
      <c r="W772" s="4">
        <f>VLOOKUP(A772,[15]Sheet1!$A:$M,10,0)</f>
        <v>7000</v>
      </c>
      <c r="X772" s="4">
        <f>VLOOKUP(A772,[15]Sheet1!$A:$M,11,0)</f>
        <v>3000</v>
      </c>
      <c r="Y772" s="4">
        <f>VLOOKUP(A772,[15]Sheet1!$A:$M,12,0)</f>
        <v>5000</v>
      </c>
      <c r="Z772" s="4">
        <f>VLOOKUP(A772,[15]Sheet1!$A:$M,13,0)</f>
        <v>4000</v>
      </c>
      <c r="AA772" s="4">
        <f t="shared" si="229"/>
        <v>63000</v>
      </c>
      <c r="AB772" s="7">
        <f t="shared" si="230"/>
        <v>5250</v>
      </c>
      <c r="AC772" s="15">
        <f t="shared" si="231"/>
        <v>5250</v>
      </c>
      <c r="AD772" s="16">
        <f t="shared" si="232"/>
        <v>629370</v>
      </c>
      <c r="AE772" s="16">
        <f t="shared" si="233"/>
        <v>52447.5</v>
      </c>
      <c r="AF772" s="21">
        <v>3.5</v>
      </c>
      <c r="AG772" s="21">
        <v>9.99</v>
      </c>
      <c r="AH772" s="15">
        <f t="shared" si="226"/>
        <v>-3.3600000000000033E-2</v>
      </c>
      <c r="AI772" s="15">
        <f t="shared" si="227"/>
        <v>-0.11760000000000009</v>
      </c>
      <c r="AJ772" s="10">
        <v>0.5</v>
      </c>
      <c r="AK772" s="10">
        <v>0.5</v>
      </c>
      <c r="AL772" s="21">
        <v>3.5</v>
      </c>
      <c r="AM772" s="9">
        <f t="shared" si="234"/>
        <v>1.4984999999999999</v>
      </c>
      <c r="AN772" s="9">
        <f t="shared" si="235"/>
        <v>0.29970000000000002</v>
      </c>
      <c r="AO772" s="9">
        <f t="shared" si="236"/>
        <v>1.9980000000000002</v>
      </c>
      <c r="AP772" s="9">
        <f t="shared" si="237"/>
        <v>0.19980000000000001</v>
      </c>
      <c r="AQ772" s="9">
        <f t="shared" si="238"/>
        <v>1.9980000000000002</v>
      </c>
      <c r="AR772" s="9">
        <f t="shared" si="239"/>
        <v>2.4975000000000001</v>
      </c>
      <c r="AS772" s="11">
        <f t="shared" si="240"/>
        <v>-0.3360000000000003</v>
      </c>
      <c r="AT772" s="12">
        <f t="shared" si="241"/>
        <v>-0.66900000000000015</v>
      </c>
    </row>
    <row r="773" spans="1:46" ht="16.5" x14ac:dyDescent="0.4">
      <c r="A773" s="4" t="s">
        <v>3487</v>
      </c>
      <c r="B773" s="4" t="s">
        <v>3526</v>
      </c>
      <c r="C773" s="4" t="s">
        <v>3529</v>
      </c>
      <c r="D773" s="4" t="s">
        <v>3537</v>
      </c>
      <c r="E773" s="4" t="s">
        <v>3579</v>
      </c>
      <c r="F773" s="4" t="s">
        <v>3621</v>
      </c>
      <c r="G773" s="7" t="str">
        <f>VLOOKUP(A773,[1]done!$A:$I,9,0)</f>
        <v>Cockroach</v>
      </c>
      <c r="H773" s="7" t="str" cm="1">
        <f t="array" ref="H773">_xlfn.IFS(
OR(ISNUMBER(SEARCH("mouse",E773)),ISNUMBER(SEARCH("rat",E773)),ISNUMBER(SEARCH("mice",E773)),ISNUMBER(SEARCH("rodent",E773))),"Rodent Control",
OR(ISNUMBER(SEARCH("fly",E773)),ISNUMBER(SEARCH("gnat",E773)),ISNUMBER(SEARCH("insect",E773)),ISNUMBER(SEARCH("mosquito",E773))),"Flying Insect Control",
OR(ISNUMBER(SEARCH("roach",E773)),ISNUMBER(SEARCH("ant",E773)),ISNUMBER(SEARCH("spider",E773)),ISNUMBER(SEARCH("cricket",E773)),ISNUMBER(SEARCH("scorpion",E773)),ISNUMBER(SEARCH("centipede",E773)),ISNUMBER(SEARCH("beetle",E773))),"Crawling Insect Control",
OR(ISNUMBER(SEARCH("tree",E773)),ISNUMBER(SEARCH("lantern",E773)),ISNUMBER(SEARCH("garden",E773)),ISNUMBER(SEARCH("plant",E773))),"Garden Pest Control",
OR(ISNUMBER(SEARCH("grass seed",E773)),ISNUMBER(SEARCH("seed mix",E773))),"Grass Seed",
OR(ISNUMBER(SEARCH("lawn food",E773)),ISNUMBER(SEARCH("fertilizer",E773))),"Lawn Fertilizer",
OR(ISNUMBER(SEARCH("patch",E773)),ISNUMBER(SEARCH("repair",E773)),ISNUMBER(SEARCH("thick'r",E773)),ISNUMBER(SEARCH("thick'r lawn",E773)),ISNUMBER(SEARCH("rapid grass",E773))),"Lawn Repair",
OR(ISNUMBER(SEARCH("weed",E773)),ISNUMBER(SEARCH("crabgrass",E773))),"Weed Control",
OR(ISNUMBER(SEARCH("fungicide",E773)),ISNUMBER(SEARCH("moss",E773))),"Disease &amp; Moss Control",
OR(ISNUMBER(SEARCH("plant food",E773)),ISNUMBER(SEARCH("miracid",E773))),"Plant Nutrition",
OR(ISNUMBER(SEARCH("perlite",E773))),"Soil Amendment",
OR(ISNUMBER(SEARCH("spreader",E773)),ISNUMBER(SEARCH("sprayer",E773)),ISNUMBER(SEARCH("mower",E773)),ISNUMBER(SEARCH("sweeper",E773)),ISNUMBER(SEARCH("pruner",E773)),ISNUMBER(SEARCH("trimmer",E773)),ISNUMBER(SEARCH("pole saw",E773))),"Garden Equipment",
TRUE,"Other"
)</f>
        <v>Flying Insect Control</v>
      </c>
      <c r="I773" s="7" t="str" cm="1">
        <f t="array" ref="I773">_xlfn.IFS(
OR(ISNUMBER(SEARCH("glue trap",E773)),ISNUMBER(SEARCH("glue board",E773))),"Glue Traps",
OR(ISNUMBER(SEARCH("snap trap",E773)),ISNUMBER(SEARCH("power-kill",E773)),ISNUMBER(SEARCH("wide pedal",E773)),ISNUMBER(SEARCH("metal pedal",E773))),"Snap Traps",
OR(ISNUMBER(SEARCH("electronic",E773)),ISNUMBER(SEARCH("zapper",E773))),"Electronic Traps",
OR(ISNUMBER(SEARCH("live catch",E773)),ISNUMBER(SEARCH("multi-catch",E773)),ISNUMBER(SEARCH("catch &amp; hold",E773)),ISNUMBER(SEARCH("tin cat",E773))),"Live Catch Traps",
OR(ISNUMBER(SEARCH("bait",E773)),ISNUMBER(SEARCH("poison",E773))),"Bait &amp; Poison",
ISNUMBER(SEARCH("repellent",E773)),"Repellents",
OR(ISNUMBER(SEARCH("fly trap",E773)),ISNUMBER(SEARCH("fly ribbon",E773)),ISNUMBER(SEARCH("fly stick",E773)),ISNUMBER(SEARCH("window fly",E773)),ISNUMBER(SEARCH("fly magnet",E773))),"Fly Traps",
OR(ISNUMBER(SEARCH("uv",E773)),ISNUMBER(SEARCH("fly light",E773)),ISNUMBER(SEARCH("plug-in",E773))),"UV Fly Traps",
ISNUMBER(SEARCH("roach",E773)),"Roach Traps",
ISNUMBER(SEARCH("ant",E773)),"Ant Traps",
ISNUMBER(SEARCH("spider",E773)),"Spider Traps",
ISNUMBER(SEARCH("mosquito",E773)),"Mosquito Traps",
ISNUMBER(SEARCH("beetle",E773)),"Beetle Traps",
ISNUMBER(SEARCH("lantern",E773)),"Lanternfly Control",
OR(ISNUMBER(SEARCH("tree shield",E773)),ISNUMBER(SEARCH("tree banding",E773)),ISNUMBER(SEARCH("insect barrier",E773))),"Tree Barriers",
OR(ISNUMBER(SEARCH("sun &amp; shade",E773)),ISNUMBER(SEARCH("sun and shade",E773))),"Sun &amp; Shade Mix",
ISNUMBER(SEARCH("tall fescue",E773)),"Tall Fescue",
ISNUMBER(SEARCH("bermudagrass",E773)),"Bermudagrass",
ISNUMBER(SEARCH("kentucky",E773)),"Kentucky Bluegrass",
ISNUMBER(SEARCH("zoysia",E773)),"Zoysia",
ISNUMBER(SEARCH("ryegrass",E773)),"Perennial Ryegrass",
ISNUMBER(SEARCH("centipede",E773)),"Centipede Grass",
ISNUMBER(SEARCH("dense shade",E773)),"Dense Shade Mix",
ISNUMBER(SEARCH("southern gold",E773)),"Southern Gold Mix",
ISNUMBER(SEARCH("heat-tolerant blue",E773)),"Heat-Tolerant Blue Mix",
ISNUMBER(SEARCH("high traffic",E773)),"High Traffic Mix",
ISNUMBER(SEARCH("quick fix",E773)),"Quick Fix Mix",
ISNUMBER(SEARCH("starter",E773)),"Starter Fertilizer",
ISNUMBER(SEARCH("weed &amp; feed",E773)),"Weed &amp; Feed",
ISNUMBER(SEARCH("lawn food",E773)),"Lawn Food",
ISNUMBER(SEARCH("triple action",E773)),"Triple Action Fertilizer",
ISNUMBER(SEARCH("green max",E773)),"Green Max Lawn Food",
ISNUMBER(SEARCH("patchmaster",E773)),"PatchMaster Repair",
ISNUMBER(SEARCH("ez seed",E773)),"EZ Seed Repair",
ISNUMBER(SEARCH("rapid grass",E773)),"Rapid Grass",
ISNUMBER(SEARCH("thick'r lawn",E773)),"Thick'R Lawn",
ISNUMBER(SEARCH("fungicide",E773)),"Fungicide",
ISNUMBER(SEARCH("moss",E773)),"Moss Control",
ISNUMBER(SEARCH("perlite",E773)),"Perlite",
ISNUMBER(SEARCH("plant food",E773)),"Plant Food",
ISNUMBER(SEARCH("spreader",E773)),"Spreader",
ISNUMBER(SEARCH("sprayer",E773)),"Sprayer",
ISNUMBER(SEARCH("mower",E773)),"Lawn Mower",
ISNUMBER(SEARCH("sweeper",E773)),"Lawn Sweeper",
OR(ISNUMBER(SEARCH("pruner",E773)),ISNUMBER(SEARCH("trimmer",E773)),ISNUMBER(SEARCH("pole saw",E773))),"Pruning Tools",
TRUE,"Other"
)</f>
        <v>Bait &amp; Poison</v>
      </c>
      <c r="J773" s="7" t="str">
        <f t="shared" si="228"/>
        <v>Flying Insect Control - Bait &amp; Poison</v>
      </c>
      <c r="K773" s="4">
        <v>7000</v>
      </c>
      <c r="L773" s="4">
        <v>4</v>
      </c>
      <c r="M773" s="4">
        <v>29556</v>
      </c>
      <c r="N773" s="4" t="s">
        <v>3660</v>
      </c>
      <c r="O773" s="4">
        <f>VLOOKUP(A773,[15]Sheet1!$A:$M,2,0)</f>
        <v>3000</v>
      </c>
      <c r="P773" s="4">
        <f>VLOOKUP(A773,[15]Sheet1!$A:$M,3,0)</f>
        <v>3000</v>
      </c>
      <c r="Q773" s="4">
        <f>VLOOKUP(A773,[15]Sheet1!$A:$M,4,0)</f>
        <v>3000</v>
      </c>
      <c r="R773" s="4">
        <f>VLOOKUP(A773,[15]Sheet1!$A:$M,5,0)</f>
        <v>3000</v>
      </c>
      <c r="S773" s="4">
        <f>VLOOKUP(A773,[15]Sheet1!$A:$M,6,0)</f>
        <v>4000</v>
      </c>
      <c r="T773" s="4">
        <f>VLOOKUP(A773,[15]Sheet1!$A:$M,7,0)</f>
        <v>5000</v>
      </c>
      <c r="U773" s="4">
        <f>VLOOKUP(A773,[15]Sheet1!$A:$M,8,0)</f>
        <v>5000</v>
      </c>
      <c r="V773" s="4">
        <f>VLOOKUP(A773,[15]Sheet1!$A:$M,9,0)</f>
        <v>5000</v>
      </c>
      <c r="W773" s="4">
        <f>VLOOKUP(A773,[15]Sheet1!$A:$M,10,0)</f>
        <v>6000</v>
      </c>
      <c r="X773" s="4">
        <f>VLOOKUP(A773,[15]Sheet1!$A:$M,11,0)</f>
        <v>7000</v>
      </c>
      <c r="Y773" s="4">
        <f>VLOOKUP(A773,[15]Sheet1!$A:$M,12,0)</f>
        <v>7000</v>
      </c>
      <c r="Z773" s="4">
        <f>VLOOKUP(A773,[15]Sheet1!$A:$M,13,0)</f>
        <v>4000</v>
      </c>
      <c r="AA773" s="4">
        <f t="shared" si="229"/>
        <v>55000</v>
      </c>
      <c r="AB773" s="7">
        <f t="shared" si="230"/>
        <v>4583</v>
      </c>
      <c r="AC773" s="15">
        <f t="shared" si="231"/>
        <v>4583.333333333333</v>
      </c>
      <c r="AD773" s="16">
        <f t="shared" si="232"/>
        <v>289850</v>
      </c>
      <c r="AE773" s="16">
        <f t="shared" si="233"/>
        <v>24154.166666666664</v>
      </c>
      <c r="AF773" s="21">
        <v>3.24</v>
      </c>
      <c r="AG773" s="21">
        <v>5.27</v>
      </c>
      <c r="AH773" s="15">
        <f t="shared" si="226"/>
        <v>-0.14213333333333339</v>
      </c>
      <c r="AI773" s="15">
        <f t="shared" si="227"/>
        <v>-0.49746666666666678</v>
      </c>
      <c r="AJ773" s="10">
        <v>0.5</v>
      </c>
      <c r="AK773" s="10">
        <v>0.5</v>
      </c>
      <c r="AL773" s="21">
        <v>3.24</v>
      </c>
      <c r="AM773" s="9">
        <f t="shared" si="234"/>
        <v>0.79049999999999987</v>
      </c>
      <c r="AN773" s="9">
        <f t="shared" si="235"/>
        <v>0.15809999999999999</v>
      </c>
      <c r="AO773" s="9">
        <f t="shared" si="236"/>
        <v>1.054</v>
      </c>
      <c r="AP773" s="9">
        <f t="shared" si="237"/>
        <v>0.10539999999999999</v>
      </c>
      <c r="AQ773" s="9">
        <f t="shared" si="238"/>
        <v>1.054</v>
      </c>
      <c r="AR773" s="9">
        <f t="shared" si="239"/>
        <v>1.3174999999999999</v>
      </c>
      <c r="AS773" s="11">
        <f t="shared" si="240"/>
        <v>-1.4213333333333338</v>
      </c>
      <c r="AT773" s="12">
        <f t="shared" si="241"/>
        <v>-1.5970000000000004</v>
      </c>
    </row>
    <row r="774" spans="1:46" ht="16.5" x14ac:dyDescent="0.4">
      <c r="A774" s="4" t="s">
        <v>3488</v>
      </c>
      <c r="B774" s="4" t="s">
        <v>3526</v>
      </c>
      <c r="C774" s="4" t="s">
        <v>3528</v>
      </c>
      <c r="D774" s="4" t="s">
        <v>3538</v>
      </c>
      <c r="E774" s="4" t="s">
        <v>3580</v>
      </c>
      <c r="F774" s="4" t="s">
        <v>3622</v>
      </c>
      <c r="G774" s="7" t="str">
        <f>VLOOKUP(A774,[1]done!$A:$I,9,0)</f>
        <v>Other Harris</v>
      </c>
      <c r="H774" s="7" t="str" cm="1">
        <f t="array" ref="H774">_xlfn.IFS(
OR(ISNUMBER(SEARCH("mouse",E774)),ISNUMBER(SEARCH("rat",E774)),ISNUMBER(SEARCH("mice",E774)),ISNUMBER(SEARCH("rodent",E774))),"Rodent Control",
OR(ISNUMBER(SEARCH("fly",E774)),ISNUMBER(SEARCH("gnat",E774)),ISNUMBER(SEARCH("insect",E774)),ISNUMBER(SEARCH("mosquito",E774))),"Flying Insect Control",
OR(ISNUMBER(SEARCH("roach",E774)),ISNUMBER(SEARCH("ant",E774)),ISNUMBER(SEARCH("spider",E774)),ISNUMBER(SEARCH("cricket",E774)),ISNUMBER(SEARCH("scorpion",E774)),ISNUMBER(SEARCH("centipede",E774)),ISNUMBER(SEARCH("beetle",E774))),"Crawling Insect Control",
OR(ISNUMBER(SEARCH("tree",E774)),ISNUMBER(SEARCH("lantern",E774)),ISNUMBER(SEARCH("garden",E774)),ISNUMBER(SEARCH("plant",E774))),"Garden Pest Control",
OR(ISNUMBER(SEARCH("grass seed",E774)),ISNUMBER(SEARCH("seed mix",E774))),"Grass Seed",
OR(ISNUMBER(SEARCH("lawn food",E774)),ISNUMBER(SEARCH("fertilizer",E774))),"Lawn Fertilizer",
OR(ISNUMBER(SEARCH("patch",E774)),ISNUMBER(SEARCH("repair",E774)),ISNUMBER(SEARCH("thick'r",E774)),ISNUMBER(SEARCH("thick'r lawn",E774)),ISNUMBER(SEARCH("rapid grass",E774))),"Lawn Repair",
OR(ISNUMBER(SEARCH("weed",E774)),ISNUMBER(SEARCH("crabgrass",E774))),"Weed Control",
OR(ISNUMBER(SEARCH("fungicide",E774)),ISNUMBER(SEARCH("moss",E774))),"Disease &amp; Moss Control",
OR(ISNUMBER(SEARCH("plant food",E774)),ISNUMBER(SEARCH("miracid",E774))),"Plant Nutrition",
OR(ISNUMBER(SEARCH("perlite",E774))),"Soil Amendment",
OR(ISNUMBER(SEARCH("spreader",E774)),ISNUMBER(SEARCH("sprayer",E774)),ISNUMBER(SEARCH("mower",E774)),ISNUMBER(SEARCH("sweeper",E774)),ISNUMBER(SEARCH("pruner",E774)),ISNUMBER(SEARCH("trimmer",E774)),ISNUMBER(SEARCH("pole saw",E774))),"Garden Equipment",
TRUE,"Other"
)</f>
        <v>Other</v>
      </c>
      <c r="I774" s="7" t="str" cm="1">
        <f t="array" ref="I774">_xlfn.IFS(
OR(ISNUMBER(SEARCH("glue trap",E774)),ISNUMBER(SEARCH("glue board",E774))),"Glue Traps",
OR(ISNUMBER(SEARCH("snap trap",E774)),ISNUMBER(SEARCH("power-kill",E774)),ISNUMBER(SEARCH("wide pedal",E774)),ISNUMBER(SEARCH("metal pedal",E774))),"Snap Traps",
OR(ISNUMBER(SEARCH("electronic",E774)),ISNUMBER(SEARCH("zapper",E774))),"Electronic Traps",
OR(ISNUMBER(SEARCH("live catch",E774)),ISNUMBER(SEARCH("multi-catch",E774)),ISNUMBER(SEARCH("catch &amp; hold",E774)),ISNUMBER(SEARCH("tin cat",E774))),"Live Catch Traps",
OR(ISNUMBER(SEARCH("bait",E774)),ISNUMBER(SEARCH("poison",E774))),"Bait &amp; Poison",
ISNUMBER(SEARCH("repellent",E774)),"Repellents",
OR(ISNUMBER(SEARCH("fly trap",E774)),ISNUMBER(SEARCH("fly ribbon",E774)),ISNUMBER(SEARCH("fly stick",E774)),ISNUMBER(SEARCH("window fly",E774)),ISNUMBER(SEARCH("fly magnet",E774))),"Fly Traps",
OR(ISNUMBER(SEARCH("uv",E774)),ISNUMBER(SEARCH("fly light",E774)),ISNUMBER(SEARCH("plug-in",E774))),"UV Fly Traps",
ISNUMBER(SEARCH("roach",E774)),"Roach Traps",
ISNUMBER(SEARCH("ant",E774)),"Ant Traps",
ISNUMBER(SEARCH("spider",E774)),"Spider Traps",
ISNUMBER(SEARCH("mosquito",E774)),"Mosquito Traps",
ISNUMBER(SEARCH("beetle",E774)),"Beetle Traps",
ISNUMBER(SEARCH("lantern",E774)),"Lanternfly Control",
OR(ISNUMBER(SEARCH("tree shield",E774)),ISNUMBER(SEARCH("tree banding",E774)),ISNUMBER(SEARCH("insect barrier",E774))),"Tree Barriers",
OR(ISNUMBER(SEARCH("sun &amp; shade",E774)),ISNUMBER(SEARCH("sun and shade",E774))),"Sun &amp; Shade Mix",
ISNUMBER(SEARCH("tall fescue",E774)),"Tall Fescue",
ISNUMBER(SEARCH("bermudagrass",E774)),"Bermudagrass",
ISNUMBER(SEARCH("kentucky",E774)),"Kentucky Bluegrass",
ISNUMBER(SEARCH("zoysia",E774)),"Zoysia",
ISNUMBER(SEARCH("ryegrass",E774)),"Perennial Ryegrass",
ISNUMBER(SEARCH("centipede",E774)),"Centipede Grass",
ISNUMBER(SEARCH("dense shade",E774)),"Dense Shade Mix",
ISNUMBER(SEARCH("southern gold",E774)),"Southern Gold Mix",
ISNUMBER(SEARCH("heat-tolerant blue",E774)),"Heat-Tolerant Blue Mix",
ISNUMBER(SEARCH("high traffic",E774)),"High Traffic Mix",
ISNUMBER(SEARCH("quick fix",E774)),"Quick Fix Mix",
ISNUMBER(SEARCH("starter",E774)),"Starter Fertilizer",
ISNUMBER(SEARCH("weed &amp; feed",E774)),"Weed &amp; Feed",
ISNUMBER(SEARCH("lawn food",E774)),"Lawn Food",
ISNUMBER(SEARCH("triple action",E774)),"Triple Action Fertilizer",
ISNUMBER(SEARCH("green max",E774)),"Green Max Lawn Food",
ISNUMBER(SEARCH("patchmaster",E774)),"PatchMaster Repair",
ISNUMBER(SEARCH("ez seed",E774)),"EZ Seed Repair",
ISNUMBER(SEARCH("rapid grass",E774)),"Rapid Grass",
ISNUMBER(SEARCH("thick'r lawn",E774)),"Thick'R Lawn",
ISNUMBER(SEARCH("fungicide",E774)),"Fungicide",
ISNUMBER(SEARCH("moss",E774)),"Moss Control",
ISNUMBER(SEARCH("perlite",E774)),"Perlite",
ISNUMBER(SEARCH("plant food",E774)),"Plant Food",
ISNUMBER(SEARCH("spreader",E774)),"Spreader",
ISNUMBER(SEARCH("sprayer",E774)),"Sprayer",
ISNUMBER(SEARCH("mower",E774)),"Lawn Mower",
ISNUMBER(SEARCH("sweeper",E774)),"Lawn Sweeper",
OR(ISNUMBER(SEARCH("pruner",E774)),ISNUMBER(SEARCH("trimmer",E774)),ISNUMBER(SEARCH("pole saw",E774))),"Pruning Tools",
TRUE,"Other"
)</f>
        <v>Other</v>
      </c>
      <c r="J774" s="7" t="str">
        <f t="shared" si="228"/>
        <v>Other - Other</v>
      </c>
      <c r="K774" s="4">
        <v>6000</v>
      </c>
      <c r="L774" s="4">
        <v>4.5999999999999996</v>
      </c>
      <c r="M774" s="4">
        <v>55465</v>
      </c>
      <c r="N774" s="4" t="s">
        <v>3661</v>
      </c>
      <c r="O774" s="4">
        <f>VLOOKUP(A774,[15]Sheet1!$A:$M,2,0)</f>
        <v>1000</v>
      </c>
      <c r="P774" s="4">
        <f>VLOOKUP(A774,[15]Sheet1!$A:$M,3,0)</f>
        <v>1000</v>
      </c>
      <c r="Q774" s="4">
        <f>VLOOKUP(A774,[15]Sheet1!$A:$M,4,0)</f>
        <v>1000</v>
      </c>
      <c r="R774" s="4">
        <f>VLOOKUP(A774,[15]Sheet1!$A:$M,5,0)</f>
        <v>5000</v>
      </c>
      <c r="S774" s="4">
        <f>VLOOKUP(A774,[15]Sheet1!$A:$M,6,0)</f>
        <v>1000</v>
      </c>
      <c r="T774" s="4">
        <f>VLOOKUP(A774,[15]Sheet1!$A:$M,7,0)</f>
        <v>10000</v>
      </c>
      <c r="U774" s="4">
        <f>VLOOKUP(A774,[15]Sheet1!$A:$M,8,0)</f>
        <v>5000</v>
      </c>
      <c r="V774" s="4">
        <f>VLOOKUP(A774,[15]Sheet1!$A:$M,9,0)</f>
        <v>7000</v>
      </c>
      <c r="W774" s="4">
        <f>VLOOKUP(A774,[15]Sheet1!$A:$M,10,0)</f>
        <v>6000</v>
      </c>
      <c r="X774" s="4">
        <f>VLOOKUP(A774,[15]Sheet1!$A:$M,11,0)</f>
        <v>4000</v>
      </c>
      <c r="Y774" s="4">
        <f>VLOOKUP(A774,[15]Sheet1!$A:$M,12,0)</f>
        <v>2000</v>
      </c>
      <c r="Z774" s="4">
        <f>VLOOKUP(A774,[15]Sheet1!$A:$M,13,0)</f>
        <v>1000</v>
      </c>
      <c r="AA774" s="4">
        <f t="shared" si="229"/>
        <v>44000</v>
      </c>
      <c r="AB774" s="7">
        <f t="shared" si="230"/>
        <v>3667</v>
      </c>
      <c r="AC774" s="15">
        <f t="shared" si="231"/>
        <v>3666.6666666666665</v>
      </c>
      <c r="AD774" s="16">
        <f t="shared" si="232"/>
        <v>1319560</v>
      </c>
      <c r="AE774" s="16">
        <f t="shared" si="233"/>
        <v>109963.33333333333</v>
      </c>
      <c r="AF774" s="21">
        <v>9.2799999999999994</v>
      </c>
      <c r="AG774" s="21">
        <v>29.99</v>
      </c>
      <c r="AH774" s="15">
        <f t="shared" si="226"/>
        <v>0.11440000000000002</v>
      </c>
      <c r="AI774" s="15">
        <f t="shared" si="227"/>
        <v>0.40040000000000003</v>
      </c>
      <c r="AJ774" s="10">
        <v>0.5</v>
      </c>
      <c r="AK774" s="10">
        <v>0.5</v>
      </c>
      <c r="AL774" s="21">
        <v>9.2799999999999994</v>
      </c>
      <c r="AM774" s="9">
        <f t="shared" si="234"/>
        <v>4.4984999999999999</v>
      </c>
      <c r="AN774" s="9">
        <f t="shared" si="235"/>
        <v>0.89969999999999994</v>
      </c>
      <c r="AO774" s="9">
        <f t="shared" si="236"/>
        <v>5.9980000000000002</v>
      </c>
      <c r="AP774" s="9">
        <f t="shared" si="237"/>
        <v>0.5998</v>
      </c>
      <c r="AQ774" s="9">
        <f t="shared" si="238"/>
        <v>5.9980000000000002</v>
      </c>
      <c r="AR774" s="9">
        <f t="shared" si="239"/>
        <v>7.4974999999999996</v>
      </c>
      <c r="AS774" s="11">
        <f t="shared" si="240"/>
        <v>1.1440000000000001</v>
      </c>
      <c r="AT774" s="12">
        <f t="shared" si="241"/>
        <v>0.14433333333333387</v>
      </c>
    </row>
    <row r="775" spans="1:46" ht="16.5" x14ac:dyDescent="0.4">
      <c r="A775" s="4" t="s">
        <v>3489</v>
      </c>
      <c r="B775" s="4" t="s">
        <v>3526</v>
      </c>
      <c r="C775" s="4" t="s">
        <v>3528</v>
      </c>
      <c r="D775" s="4" t="s">
        <v>3539</v>
      </c>
      <c r="E775" s="4" t="s">
        <v>3581</v>
      </c>
      <c r="F775" s="4" t="s">
        <v>3623</v>
      </c>
      <c r="G775" s="7" t="str">
        <f>VLOOKUP(A775,[1]done!$A:$I,9,0)</f>
        <v>Other Harris</v>
      </c>
      <c r="H775" s="7" t="str" cm="1">
        <f t="array" ref="H775">_xlfn.IFS(
OR(ISNUMBER(SEARCH("mouse",E775)),ISNUMBER(SEARCH("rat",E775)),ISNUMBER(SEARCH("mice",E775)),ISNUMBER(SEARCH("rodent",E775))),"Rodent Control",
OR(ISNUMBER(SEARCH("fly",E775)),ISNUMBER(SEARCH("gnat",E775)),ISNUMBER(SEARCH("insect",E775)),ISNUMBER(SEARCH("mosquito",E775))),"Flying Insect Control",
OR(ISNUMBER(SEARCH("roach",E775)),ISNUMBER(SEARCH("ant",E775)),ISNUMBER(SEARCH("spider",E775)),ISNUMBER(SEARCH("cricket",E775)),ISNUMBER(SEARCH("scorpion",E775)),ISNUMBER(SEARCH("centipede",E775)),ISNUMBER(SEARCH("beetle",E775))),"Crawling Insect Control",
OR(ISNUMBER(SEARCH("tree",E775)),ISNUMBER(SEARCH("lantern",E775)),ISNUMBER(SEARCH("garden",E775)),ISNUMBER(SEARCH("plant",E775))),"Garden Pest Control",
OR(ISNUMBER(SEARCH("grass seed",E775)),ISNUMBER(SEARCH("seed mix",E775))),"Grass Seed",
OR(ISNUMBER(SEARCH("lawn food",E775)),ISNUMBER(SEARCH("fertilizer",E775))),"Lawn Fertilizer",
OR(ISNUMBER(SEARCH("patch",E775)),ISNUMBER(SEARCH("repair",E775)),ISNUMBER(SEARCH("thick'r",E775)),ISNUMBER(SEARCH("thick'r lawn",E775)),ISNUMBER(SEARCH("rapid grass",E775))),"Lawn Repair",
OR(ISNUMBER(SEARCH("weed",E775)),ISNUMBER(SEARCH("crabgrass",E775))),"Weed Control",
OR(ISNUMBER(SEARCH("fungicide",E775)),ISNUMBER(SEARCH("moss",E775))),"Disease &amp; Moss Control",
OR(ISNUMBER(SEARCH("plant food",E775)),ISNUMBER(SEARCH("miracid",E775))),"Plant Nutrition",
OR(ISNUMBER(SEARCH("perlite",E775))),"Soil Amendment",
OR(ISNUMBER(SEARCH("spreader",E775)),ISNUMBER(SEARCH("sprayer",E775)),ISNUMBER(SEARCH("mower",E775)),ISNUMBER(SEARCH("sweeper",E775)),ISNUMBER(SEARCH("pruner",E775)),ISNUMBER(SEARCH("trimmer",E775)),ISNUMBER(SEARCH("pole saw",E775))),"Garden Equipment",
TRUE,"Other"
)</f>
        <v>Other</v>
      </c>
      <c r="I775" s="7" t="str" cm="1">
        <f t="array" ref="I775">_xlfn.IFS(
OR(ISNUMBER(SEARCH("glue trap",E775)),ISNUMBER(SEARCH("glue board",E775))),"Glue Traps",
OR(ISNUMBER(SEARCH("snap trap",E775)),ISNUMBER(SEARCH("power-kill",E775)),ISNUMBER(SEARCH("wide pedal",E775)),ISNUMBER(SEARCH("metal pedal",E775))),"Snap Traps",
OR(ISNUMBER(SEARCH("electronic",E775)),ISNUMBER(SEARCH("zapper",E775))),"Electronic Traps",
OR(ISNUMBER(SEARCH("live catch",E775)),ISNUMBER(SEARCH("multi-catch",E775)),ISNUMBER(SEARCH("catch &amp; hold",E775)),ISNUMBER(SEARCH("tin cat",E775))),"Live Catch Traps",
OR(ISNUMBER(SEARCH("bait",E775)),ISNUMBER(SEARCH("poison",E775))),"Bait &amp; Poison",
ISNUMBER(SEARCH("repellent",E775)),"Repellents",
OR(ISNUMBER(SEARCH("fly trap",E775)),ISNUMBER(SEARCH("fly ribbon",E775)),ISNUMBER(SEARCH("fly stick",E775)),ISNUMBER(SEARCH("window fly",E775)),ISNUMBER(SEARCH("fly magnet",E775))),"Fly Traps",
OR(ISNUMBER(SEARCH("uv",E775)),ISNUMBER(SEARCH("fly light",E775)),ISNUMBER(SEARCH("plug-in",E775))),"UV Fly Traps",
ISNUMBER(SEARCH("roach",E775)),"Roach Traps",
ISNUMBER(SEARCH("ant",E775)),"Ant Traps",
ISNUMBER(SEARCH("spider",E775)),"Spider Traps",
ISNUMBER(SEARCH("mosquito",E775)),"Mosquito Traps",
ISNUMBER(SEARCH("beetle",E775)),"Beetle Traps",
ISNUMBER(SEARCH("lantern",E775)),"Lanternfly Control",
OR(ISNUMBER(SEARCH("tree shield",E775)),ISNUMBER(SEARCH("tree banding",E775)),ISNUMBER(SEARCH("insect barrier",E775))),"Tree Barriers",
OR(ISNUMBER(SEARCH("sun &amp; shade",E775)),ISNUMBER(SEARCH("sun and shade",E775))),"Sun &amp; Shade Mix",
ISNUMBER(SEARCH("tall fescue",E775)),"Tall Fescue",
ISNUMBER(SEARCH("bermudagrass",E775)),"Bermudagrass",
ISNUMBER(SEARCH("kentucky",E775)),"Kentucky Bluegrass",
ISNUMBER(SEARCH("zoysia",E775)),"Zoysia",
ISNUMBER(SEARCH("ryegrass",E775)),"Perennial Ryegrass",
ISNUMBER(SEARCH("centipede",E775)),"Centipede Grass",
ISNUMBER(SEARCH("dense shade",E775)),"Dense Shade Mix",
ISNUMBER(SEARCH("southern gold",E775)),"Southern Gold Mix",
ISNUMBER(SEARCH("heat-tolerant blue",E775)),"Heat-Tolerant Blue Mix",
ISNUMBER(SEARCH("high traffic",E775)),"High Traffic Mix",
ISNUMBER(SEARCH("quick fix",E775)),"Quick Fix Mix",
ISNUMBER(SEARCH("starter",E775)),"Starter Fertilizer",
ISNUMBER(SEARCH("weed &amp; feed",E775)),"Weed &amp; Feed",
ISNUMBER(SEARCH("lawn food",E775)),"Lawn Food",
ISNUMBER(SEARCH("triple action",E775)),"Triple Action Fertilizer",
ISNUMBER(SEARCH("green max",E775)),"Green Max Lawn Food",
ISNUMBER(SEARCH("patchmaster",E775)),"PatchMaster Repair",
ISNUMBER(SEARCH("ez seed",E775)),"EZ Seed Repair",
ISNUMBER(SEARCH("rapid grass",E775)),"Rapid Grass",
ISNUMBER(SEARCH("thick'r lawn",E775)),"Thick'R Lawn",
ISNUMBER(SEARCH("fungicide",E775)),"Fungicide",
ISNUMBER(SEARCH("moss",E775)),"Moss Control",
ISNUMBER(SEARCH("perlite",E775)),"Perlite",
ISNUMBER(SEARCH("plant food",E775)),"Plant Food",
ISNUMBER(SEARCH("spreader",E775)),"Spreader",
ISNUMBER(SEARCH("sprayer",E775)),"Sprayer",
ISNUMBER(SEARCH("mower",E775)),"Lawn Mower",
ISNUMBER(SEARCH("sweeper",E775)),"Lawn Sweeper",
OR(ISNUMBER(SEARCH("pruner",E775)),ISNUMBER(SEARCH("trimmer",E775)),ISNUMBER(SEARCH("pole saw",E775))),"Pruning Tools",
TRUE,"Other"
)</f>
        <v>Other</v>
      </c>
      <c r="J775" s="7" t="str">
        <f t="shared" si="228"/>
        <v>Other - Other</v>
      </c>
      <c r="K775" s="4">
        <v>6000</v>
      </c>
      <c r="L775" s="4">
        <v>4.5999999999999996</v>
      </c>
      <c r="M775" s="4">
        <v>55465</v>
      </c>
      <c r="N775" s="4" t="s">
        <v>3662</v>
      </c>
      <c r="O775" s="4">
        <f>VLOOKUP(A775,[15]Sheet1!$A:$M,2,0)</f>
        <v>7000</v>
      </c>
      <c r="P775" s="4">
        <f>VLOOKUP(A775,[15]Sheet1!$A:$M,3,0)</f>
        <v>7000</v>
      </c>
      <c r="Q775" s="4">
        <f>VLOOKUP(A775,[15]Sheet1!$A:$M,4,0)</f>
        <v>10000</v>
      </c>
      <c r="R775" s="4">
        <f>VLOOKUP(A775,[15]Sheet1!$A:$M,5,0)</f>
        <v>20000</v>
      </c>
      <c r="S775" s="4">
        <f>VLOOKUP(A775,[15]Sheet1!$A:$M,6,0)</f>
        <v>20000</v>
      </c>
      <c r="T775" s="4">
        <f>VLOOKUP(A775,[15]Sheet1!$A:$M,7,0)</f>
        <v>10000</v>
      </c>
      <c r="U775" s="4">
        <f>VLOOKUP(A775,[15]Sheet1!$A:$M,8,0)</f>
        <v>10000</v>
      </c>
      <c r="V775" s="4">
        <f>VLOOKUP(A775,[15]Sheet1!$A:$M,9,0)</f>
        <v>5000</v>
      </c>
      <c r="W775" s="4">
        <f>VLOOKUP(A775,[15]Sheet1!$A:$M,10,0)</f>
        <v>7000</v>
      </c>
      <c r="X775" s="4">
        <f>VLOOKUP(A775,[15]Sheet1!$A:$M,11,0)</f>
        <v>10000</v>
      </c>
      <c r="Y775" s="4">
        <f>VLOOKUP(A775,[15]Sheet1!$A:$M,12,0)</f>
        <v>10000</v>
      </c>
      <c r="Z775" s="4">
        <f>VLOOKUP(A775,[15]Sheet1!$A:$M,13,0)</f>
        <v>6000</v>
      </c>
      <c r="AA775" s="4">
        <f t="shared" si="229"/>
        <v>122000</v>
      </c>
      <c r="AB775" s="7">
        <f t="shared" si="230"/>
        <v>10167</v>
      </c>
      <c r="AC775" s="15">
        <f t="shared" si="231"/>
        <v>10166.666666666666</v>
      </c>
      <c r="AD775" s="16">
        <f t="shared" si="232"/>
        <v>2194780</v>
      </c>
      <c r="AE775" s="16">
        <f t="shared" si="233"/>
        <v>182898.33333333331</v>
      </c>
      <c r="AF775" s="21">
        <v>8.4600000000000009</v>
      </c>
      <c r="AG775" s="21">
        <v>17.989999999999998</v>
      </c>
      <c r="AH775" s="15">
        <f t="shared" si="226"/>
        <v>-0.15093333333333347</v>
      </c>
      <c r="AI775" s="15">
        <f t="shared" si="227"/>
        <v>-0.52826666666666711</v>
      </c>
      <c r="AJ775" s="10">
        <v>0.5</v>
      </c>
      <c r="AK775" s="10">
        <v>0.5</v>
      </c>
      <c r="AL775" s="21">
        <v>8.4600000000000009</v>
      </c>
      <c r="AM775" s="9">
        <f t="shared" si="234"/>
        <v>2.6984999999999997</v>
      </c>
      <c r="AN775" s="9">
        <f t="shared" si="235"/>
        <v>0.53969999999999996</v>
      </c>
      <c r="AO775" s="9">
        <f t="shared" si="236"/>
        <v>3.5979999999999999</v>
      </c>
      <c r="AP775" s="9">
        <f t="shared" si="237"/>
        <v>0.35979999999999995</v>
      </c>
      <c r="AQ775" s="9">
        <f t="shared" si="238"/>
        <v>3.5979999999999999</v>
      </c>
      <c r="AR775" s="9">
        <f t="shared" si="239"/>
        <v>4.4974999999999996</v>
      </c>
      <c r="AS775" s="11">
        <f t="shared" si="240"/>
        <v>-1.5093333333333347</v>
      </c>
      <c r="AT775" s="12">
        <f t="shared" si="241"/>
        <v>-2.1090000000000013</v>
      </c>
    </row>
    <row r="776" spans="1:46" ht="16.5" x14ac:dyDescent="0.4">
      <c r="A776" s="4" t="s">
        <v>3490</v>
      </c>
      <c r="B776" s="4" t="s">
        <v>3526</v>
      </c>
      <c r="C776" s="4" t="s">
        <v>3528</v>
      </c>
      <c r="D776" s="4" t="s">
        <v>3540</v>
      </c>
      <c r="E776" s="4" t="s">
        <v>3582</v>
      </c>
      <c r="F776" s="4" t="s">
        <v>3624</v>
      </c>
      <c r="G776" s="7" t="str">
        <f>VLOOKUP(A776,[1]done!$A:$I,9,0)</f>
        <v>Other Harris</v>
      </c>
      <c r="H776" s="7" t="str" cm="1">
        <f t="array" ref="H776">_xlfn.IFS(
OR(ISNUMBER(SEARCH("mouse",E776)),ISNUMBER(SEARCH("rat",E776)),ISNUMBER(SEARCH("mice",E776)),ISNUMBER(SEARCH("rodent",E776))),"Rodent Control",
OR(ISNUMBER(SEARCH("fly",E776)),ISNUMBER(SEARCH("gnat",E776)),ISNUMBER(SEARCH("insect",E776)),ISNUMBER(SEARCH("mosquito",E776))),"Flying Insect Control",
OR(ISNUMBER(SEARCH("roach",E776)),ISNUMBER(SEARCH("ant",E776)),ISNUMBER(SEARCH("spider",E776)),ISNUMBER(SEARCH("cricket",E776)),ISNUMBER(SEARCH("scorpion",E776)),ISNUMBER(SEARCH("centipede",E776)),ISNUMBER(SEARCH("beetle",E776))),"Crawling Insect Control",
OR(ISNUMBER(SEARCH("tree",E776)),ISNUMBER(SEARCH("lantern",E776)),ISNUMBER(SEARCH("garden",E776)),ISNUMBER(SEARCH("plant",E776))),"Garden Pest Control",
OR(ISNUMBER(SEARCH("grass seed",E776)),ISNUMBER(SEARCH("seed mix",E776))),"Grass Seed",
OR(ISNUMBER(SEARCH("lawn food",E776)),ISNUMBER(SEARCH("fertilizer",E776))),"Lawn Fertilizer",
OR(ISNUMBER(SEARCH("patch",E776)),ISNUMBER(SEARCH("repair",E776)),ISNUMBER(SEARCH("thick'r",E776)),ISNUMBER(SEARCH("thick'r lawn",E776)),ISNUMBER(SEARCH("rapid grass",E776))),"Lawn Repair",
OR(ISNUMBER(SEARCH("weed",E776)),ISNUMBER(SEARCH("crabgrass",E776))),"Weed Control",
OR(ISNUMBER(SEARCH("fungicide",E776)),ISNUMBER(SEARCH("moss",E776))),"Disease &amp; Moss Control",
OR(ISNUMBER(SEARCH("plant food",E776)),ISNUMBER(SEARCH("miracid",E776))),"Plant Nutrition",
OR(ISNUMBER(SEARCH("perlite",E776))),"Soil Amendment",
OR(ISNUMBER(SEARCH("spreader",E776)),ISNUMBER(SEARCH("sprayer",E776)),ISNUMBER(SEARCH("mower",E776)),ISNUMBER(SEARCH("sweeper",E776)),ISNUMBER(SEARCH("pruner",E776)),ISNUMBER(SEARCH("trimmer",E776)),ISNUMBER(SEARCH("pole saw",E776))),"Garden Equipment",
TRUE,"Other"
)</f>
        <v>Rodent Control</v>
      </c>
      <c r="I776" s="7" t="str" cm="1">
        <f t="array" ref="I776">_xlfn.IFS(
OR(ISNUMBER(SEARCH("glue trap",E776)),ISNUMBER(SEARCH("glue board",E776))),"Glue Traps",
OR(ISNUMBER(SEARCH("snap trap",E776)),ISNUMBER(SEARCH("power-kill",E776)),ISNUMBER(SEARCH("wide pedal",E776)),ISNUMBER(SEARCH("metal pedal",E776))),"Snap Traps",
OR(ISNUMBER(SEARCH("electronic",E776)),ISNUMBER(SEARCH("zapper",E776))),"Electronic Traps",
OR(ISNUMBER(SEARCH("live catch",E776)),ISNUMBER(SEARCH("multi-catch",E776)),ISNUMBER(SEARCH("catch &amp; hold",E776)),ISNUMBER(SEARCH("tin cat",E776))),"Live Catch Traps",
OR(ISNUMBER(SEARCH("bait",E776)),ISNUMBER(SEARCH("poison",E776))),"Bait &amp; Poison",
ISNUMBER(SEARCH("repellent",E776)),"Repellents",
OR(ISNUMBER(SEARCH("fly trap",E776)),ISNUMBER(SEARCH("fly ribbon",E776)),ISNUMBER(SEARCH("fly stick",E776)),ISNUMBER(SEARCH("window fly",E776)),ISNUMBER(SEARCH("fly magnet",E776))),"Fly Traps",
OR(ISNUMBER(SEARCH("uv",E776)),ISNUMBER(SEARCH("fly light",E776)),ISNUMBER(SEARCH("plug-in",E776))),"UV Fly Traps",
ISNUMBER(SEARCH("roach",E776)),"Roach Traps",
ISNUMBER(SEARCH("ant",E776)),"Ant Traps",
ISNUMBER(SEARCH("spider",E776)),"Spider Traps",
ISNUMBER(SEARCH("mosquito",E776)),"Mosquito Traps",
ISNUMBER(SEARCH("beetle",E776)),"Beetle Traps",
ISNUMBER(SEARCH("lantern",E776)),"Lanternfly Control",
OR(ISNUMBER(SEARCH("tree shield",E776)),ISNUMBER(SEARCH("tree banding",E776)),ISNUMBER(SEARCH("insect barrier",E776))),"Tree Barriers",
OR(ISNUMBER(SEARCH("sun &amp; shade",E776)),ISNUMBER(SEARCH("sun and shade",E776))),"Sun &amp; Shade Mix",
ISNUMBER(SEARCH("tall fescue",E776)),"Tall Fescue",
ISNUMBER(SEARCH("bermudagrass",E776)),"Bermudagrass",
ISNUMBER(SEARCH("kentucky",E776)),"Kentucky Bluegrass",
ISNUMBER(SEARCH("zoysia",E776)),"Zoysia",
ISNUMBER(SEARCH("ryegrass",E776)),"Perennial Ryegrass",
ISNUMBER(SEARCH("centipede",E776)),"Centipede Grass",
ISNUMBER(SEARCH("dense shade",E776)),"Dense Shade Mix",
ISNUMBER(SEARCH("southern gold",E776)),"Southern Gold Mix",
ISNUMBER(SEARCH("heat-tolerant blue",E776)),"Heat-Tolerant Blue Mix",
ISNUMBER(SEARCH("high traffic",E776)),"High Traffic Mix",
ISNUMBER(SEARCH("quick fix",E776)),"Quick Fix Mix",
ISNUMBER(SEARCH("starter",E776)),"Starter Fertilizer",
ISNUMBER(SEARCH("weed &amp; feed",E776)),"Weed &amp; Feed",
ISNUMBER(SEARCH("lawn food",E776)),"Lawn Food",
ISNUMBER(SEARCH("triple action",E776)),"Triple Action Fertilizer",
ISNUMBER(SEARCH("green max",E776)),"Green Max Lawn Food",
ISNUMBER(SEARCH("patchmaster",E776)),"PatchMaster Repair",
ISNUMBER(SEARCH("ez seed",E776)),"EZ Seed Repair",
ISNUMBER(SEARCH("rapid grass",E776)),"Rapid Grass",
ISNUMBER(SEARCH("thick'r lawn",E776)),"Thick'R Lawn",
ISNUMBER(SEARCH("fungicide",E776)),"Fungicide",
ISNUMBER(SEARCH("moss",E776)),"Moss Control",
ISNUMBER(SEARCH("perlite",E776)),"Perlite",
ISNUMBER(SEARCH("plant food",E776)),"Plant Food",
ISNUMBER(SEARCH("spreader",E776)),"Spreader",
ISNUMBER(SEARCH("sprayer",E776)),"Sprayer",
ISNUMBER(SEARCH("mower",E776)),"Lawn Mower",
ISNUMBER(SEARCH("sweeper",E776)),"Lawn Sweeper",
OR(ISNUMBER(SEARCH("pruner",E776)),ISNUMBER(SEARCH("trimmer",E776)),ISNUMBER(SEARCH("pole saw",E776))),"Pruning Tools",
TRUE,"Other"
)</f>
        <v>Other</v>
      </c>
      <c r="J776" s="7" t="str">
        <f t="shared" si="228"/>
        <v>Rodent Control - Other</v>
      </c>
      <c r="K776" s="4">
        <v>6000</v>
      </c>
      <c r="L776" s="4">
        <v>4.8</v>
      </c>
      <c r="M776" s="4">
        <v>2992</v>
      </c>
      <c r="N776" s="4" t="s">
        <v>3663</v>
      </c>
      <c r="O776" s="4">
        <f>VLOOKUP(A776,[15]Sheet1!$A:$M,2,0)</f>
        <v>2000</v>
      </c>
      <c r="P776" s="4">
        <f>VLOOKUP(A776,[15]Sheet1!$A:$M,3,0)</f>
        <v>2000</v>
      </c>
      <c r="Q776" s="4">
        <f>VLOOKUP(A776,[15]Sheet1!$A:$M,4,0)</f>
        <v>4000</v>
      </c>
      <c r="R776" s="4">
        <f>VLOOKUP(A776,[15]Sheet1!$A:$M,5,0)</f>
        <v>5000</v>
      </c>
      <c r="S776" s="4">
        <f>VLOOKUP(A776,[15]Sheet1!$A:$M,6,0)</f>
        <v>9600</v>
      </c>
      <c r="T776" s="4">
        <f>VLOOKUP(A776,[15]Sheet1!$A:$M,7,0)</f>
        <v>10000</v>
      </c>
      <c r="U776" s="4">
        <f>VLOOKUP(A776,[15]Sheet1!$A:$M,8,0)</f>
        <v>8000</v>
      </c>
      <c r="V776" s="4">
        <f>VLOOKUP(A776,[15]Sheet1!$A:$M,9,0)</f>
        <v>10000</v>
      </c>
      <c r="W776" s="4">
        <f>VLOOKUP(A776,[15]Sheet1!$A:$M,10,0)</f>
        <v>6000</v>
      </c>
      <c r="X776" s="4">
        <f>VLOOKUP(A776,[15]Sheet1!$A:$M,11,0)</f>
        <v>3000</v>
      </c>
      <c r="Y776" s="4">
        <f>VLOOKUP(A776,[15]Sheet1!$A:$M,12,0)</f>
        <v>2000</v>
      </c>
      <c r="Z776" s="4">
        <f>VLOOKUP(A776,[15]Sheet1!$A:$M,13,0)</f>
        <v>2000</v>
      </c>
      <c r="AA776" s="4">
        <f t="shared" si="229"/>
        <v>63600</v>
      </c>
      <c r="AB776" s="7">
        <f t="shared" si="230"/>
        <v>5300</v>
      </c>
      <c r="AC776" s="15">
        <f t="shared" si="231"/>
        <v>5300</v>
      </c>
      <c r="AD776" s="16">
        <f t="shared" si="232"/>
        <v>1144164</v>
      </c>
      <c r="AE776" s="16">
        <f t="shared" si="233"/>
        <v>95346.999999999985</v>
      </c>
      <c r="AF776" s="21">
        <v>9.68</v>
      </c>
      <c r="AG776" s="21">
        <v>17.989999999999998</v>
      </c>
      <c r="AH776" s="15">
        <f t="shared" si="226"/>
        <v>-0.23226666666666673</v>
      </c>
      <c r="AI776" s="15">
        <f t="shared" si="227"/>
        <v>-0.8129333333333334</v>
      </c>
      <c r="AJ776" s="10">
        <v>0.5</v>
      </c>
      <c r="AK776" s="10">
        <v>0.5</v>
      </c>
      <c r="AL776" s="21">
        <v>9.68</v>
      </c>
      <c r="AM776" s="9">
        <f t="shared" si="234"/>
        <v>2.6984999999999997</v>
      </c>
      <c r="AN776" s="9">
        <f t="shared" si="235"/>
        <v>0.53969999999999996</v>
      </c>
      <c r="AO776" s="9">
        <f t="shared" si="236"/>
        <v>3.5979999999999999</v>
      </c>
      <c r="AP776" s="9">
        <f t="shared" si="237"/>
        <v>0.35979999999999995</v>
      </c>
      <c r="AQ776" s="9">
        <f t="shared" si="238"/>
        <v>3.5979999999999999</v>
      </c>
      <c r="AR776" s="9">
        <f t="shared" si="239"/>
        <v>4.4974999999999996</v>
      </c>
      <c r="AS776" s="11">
        <f t="shared" si="240"/>
        <v>-2.3226666666666671</v>
      </c>
      <c r="AT776" s="12">
        <f t="shared" si="241"/>
        <v>-2.9223333333333339</v>
      </c>
    </row>
    <row r="777" spans="1:46" ht="16.5" x14ac:dyDescent="0.4">
      <c r="A777" s="4" t="s">
        <v>3491</v>
      </c>
      <c r="B777" s="4" t="s">
        <v>3526</v>
      </c>
      <c r="C777" s="4" t="s">
        <v>1797</v>
      </c>
      <c r="D777" s="4" t="s">
        <v>3541</v>
      </c>
      <c r="E777" s="4" t="s">
        <v>3583</v>
      </c>
      <c r="F777" s="4" t="s">
        <v>3625</v>
      </c>
      <c r="G777" s="7" t="str">
        <f>VLOOKUP(A777,[1]done!$A:$I,9,0)</f>
        <v>Other crawling insects</v>
      </c>
      <c r="H777" s="7" t="str" cm="1">
        <f t="array" ref="H777">_xlfn.IFS(
OR(ISNUMBER(SEARCH("mouse",E777)),ISNUMBER(SEARCH("rat",E777)),ISNUMBER(SEARCH("mice",E777)),ISNUMBER(SEARCH("rodent",E777))),"Rodent Control",
OR(ISNUMBER(SEARCH("fly",E777)),ISNUMBER(SEARCH("gnat",E777)),ISNUMBER(SEARCH("insect",E777)),ISNUMBER(SEARCH("mosquito",E777))),"Flying Insect Control",
OR(ISNUMBER(SEARCH("roach",E777)),ISNUMBER(SEARCH("ant",E777)),ISNUMBER(SEARCH("spider",E777)),ISNUMBER(SEARCH("cricket",E777)),ISNUMBER(SEARCH("scorpion",E777)),ISNUMBER(SEARCH("centipede",E777)),ISNUMBER(SEARCH("beetle",E777))),"Crawling Insect Control",
OR(ISNUMBER(SEARCH("tree",E777)),ISNUMBER(SEARCH("lantern",E777)),ISNUMBER(SEARCH("garden",E777)),ISNUMBER(SEARCH("plant",E777))),"Garden Pest Control",
OR(ISNUMBER(SEARCH("grass seed",E777)),ISNUMBER(SEARCH("seed mix",E777))),"Grass Seed",
OR(ISNUMBER(SEARCH("lawn food",E777)),ISNUMBER(SEARCH("fertilizer",E777))),"Lawn Fertilizer",
OR(ISNUMBER(SEARCH("patch",E777)),ISNUMBER(SEARCH("repair",E777)),ISNUMBER(SEARCH("thick'r",E777)),ISNUMBER(SEARCH("thick'r lawn",E777)),ISNUMBER(SEARCH("rapid grass",E777))),"Lawn Repair",
OR(ISNUMBER(SEARCH("weed",E777)),ISNUMBER(SEARCH("crabgrass",E777))),"Weed Control",
OR(ISNUMBER(SEARCH("fungicide",E777)),ISNUMBER(SEARCH("moss",E777))),"Disease &amp; Moss Control",
OR(ISNUMBER(SEARCH("plant food",E777)),ISNUMBER(SEARCH("miracid",E777))),"Plant Nutrition",
OR(ISNUMBER(SEARCH("perlite",E777))),"Soil Amendment",
OR(ISNUMBER(SEARCH("spreader",E777)),ISNUMBER(SEARCH("sprayer",E777)),ISNUMBER(SEARCH("mower",E777)),ISNUMBER(SEARCH("sweeper",E777)),ISNUMBER(SEARCH("pruner",E777)),ISNUMBER(SEARCH("trimmer",E777)),ISNUMBER(SEARCH("pole saw",E777))),"Garden Equipment",
TRUE,"Other"
)</f>
        <v>Crawling Insect Control</v>
      </c>
      <c r="I777" s="7" t="str" cm="1">
        <f t="array" ref="I777">_xlfn.IFS(
OR(ISNUMBER(SEARCH("glue trap",E777)),ISNUMBER(SEARCH("glue board",E777))),"Glue Traps",
OR(ISNUMBER(SEARCH("snap trap",E777)),ISNUMBER(SEARCH("power-kill",E777)),ISNUMBER(SEARCH("wide pedal",E777)),ISNUMBER(SEARCH("metal pedal",E777))),"Snap Traps",
OR(ISNUMBER(SEARCH("electronic",E777)),ISNUMBER(SEARCH("zapper",E777))),"Electronic Traps",
OR(ISNUMBER(SEARCH("live catch",E777)),ISNUMBER(SEARCH("multi-catch",E777)),ISNUMBER(SEARCH("catch &amp; hold",E777)),ISNUMBER(SEARCH("tin cat",E777))),"Live Catch Traps",
OR(ISNUMBER(SEARCH("bait",E777)),ISNUMBER(SEARCH("poison",E777))),"Bait &amp; Poison",
ISNUMBER(SEARCH("repellent",E777)),"Repellents",
OR(ISNUMBER(SEARCH("fly trap",E777)),ISNUMBER(SEARCH("fly ribbon",E777)),ISNUMBER(SEARCH("fly stick",E777)),ISNUMBER(SEARCH("window fly",E777)),ISNUMBER(SEARCH("fly magnet",E777))),"Fly Traps",
OR(ISNUMBER(SEARCH("uv",E777)),ISNUMBER(SEARCH("fly light",E777)),ISNUMBER(SEARCH("plug-in",E777))),"UV Fly Traps",
ISNUMBER(SEARCH("roach",E777)),"Roach Traps",
ISNUMBER(SEARCH("ant",E777)),"Ant Traps",
ISNUMBER(SEARCH("spider",E777)),"Spider Traps",
ISNUMBER(SEARCH("mosquito",E777)),"Mosquito Traps",
ISNUMBER(SEARCH("beetle",E777)),"Beetle Traps",
ISNUMBER(SEARCH("lantern",E777)),"Lanternfly Control",
OR(ISNUMBER(SEARCH("tree shield",E777)),ISNUMBER(SEARCH("tree banding",E777)),ISNUMBER(SEARCH("insect barrier",E777))),"Tree Barriers",
OR(ISNUMBER(SEARCH("sun &amp; shade",E777)),ISNUMBER(SEARCH("sun and shade",E777))),"Sun &amp; Shade Mix",
ISNUMBER(SEARCH("tall fescue",E777)),"Tall Fescue",
ISNUMBER(SEARCH("bermudagrass",E777)),"Bermudagrass",
ISNUMBER(SEARCH("kentucky",E777)),"Kentucky Bluegrass",
ISNUMBER(SEARCH("zoysia",E777)),"Zoysia",
ISNUMBER(SEARCH("ryegrass",E777)),"Perennial Ryegrass",
ISNUMBER(SEARCH("centipede",E777)),"Centipede Grass",
ISNUMBER(SEARCH("dense shade",E777)),"Dense Shade Mix",
ISNUMBER(SEARCH("southern gold",E777)),"Southern Gold Mix",
ISNUMBER(SEARCH("heat-tolerant blue",E777)),"Heat-Tolerant Blue Mix",
ISNUMBER(SEARCH("high traffic",E777)),"High Traffic Mix",
ISNUMBER(SEARCH("quick fix",E777)),"Quick Fix Mix",
ISNUMBER(SEARCH("starter",E777)),"Starter Fertilizer",
ISNUMBER(SEARCH("weed &amp; feed",E777)),"Weed &amp; Feed",
ISNUMBER(SEARCH("lawn food",E777)),"Lawn Food",
ISNUMBER(SEARCH("triple action",E777)),"Triple Action Fertilizer",
ISNUMBER(SEARCH("green max",E777)),"Green Max Lawn Food",
ISNUMBER(SEARCH("patchmaster",E777)),"PatchMaster Repair",
ISNUMBER(SEARCH("ez seed",E777)),"EZ Seed Repair",
ISNUMBER(SEARCH("rapid grass",E777)),"Rapid Grass",
ISNUMBER(SEARCH("thick'r lawn",E777)),"Thick'R Lawn",
ISNUMBER(SEARCH("fungicide",E777)),"Fungicide",
ISNUMBER(SEARCH("moss",E777)),"Moss Control",
ISNUMBER(SEARCH("perlite",E777)),"Perlite",
ISNUMBER(SEARCH("plant food",E777)),"Plant Food",
ISNUMBER(SEARCH("spreader",E777)),"Spreader",
ISNUMBER(SEARCH("sprayer",E777)),"Sprayer",
ISNUMBER(SEARCH("mower",E777)),"Lawn Mower",
ISNUMBER(SEARCH("sweeper",E777)),"Lawn Sweeper",
OR(ISNUMBER(SEARCH("pruner",E777)),ISNUMBER(SEARCH("trimmer",E777)),ISNUMBER(SEARCH("pole saw",E777))),"Pruning Tools",
TRUE,"Other"
)</f>
        <v>Beetle Traps</v>
      </c>
      <c r="J777" s="7" t="str">
        <f t="shared" si="228"/>
        <v>Crawling Insect Control - Beetle Traps</v>
      </c>
      <c r="K777" s="4">
        <v>2000</v>
      </c>
      <c r="L777" s="4">
        <v>4.4000000000000004</v>
      </c>
      <c r="M777" s="4">
        <v>7238</v>
      </c>
      <c r="N777" s="4" t="s">
        <v>3664</v>
      </c>
      <c r="O777" s="4">
        <f>VLOOKUP(A777,[15]Sheet1!$A:$M,2,0)</f>
        <v>0</v>
      </c>
      <c r="P777" s="4">
        <f>VLOOKUP(A777,[15]Sheet1!$A:$M,3,0)</f>
        <v>0</v>
      </c>
      <c r="Q777" s="4">
        <f>VLOOKUP(A777,[15]Sheet1!$A:$M,4,0)</f>
        <v>6000</v>
      </c>
      <c r="R777" s="4">
        <f>VLOOKUP(A777,[15]Sheet1!$A:$M,5,0)</f>
        <v>3000</v>
      </c>
      <c r="S777" s="4">
        <f>VLOOKUP(A777,[15]Sheet1!$A:$M,6,0)</f>
        <v>2000</v>
      </c>
      <c r="T777" s="4">
        <f>VLOOKUP(A777,[15]Sheet1!$A:$M,7,0)</f>
        <v>1000</v>
      </c>
      <c r="U777" s="4">
        <f>VLOOKUP(A777,[15]Sheet1!$A:$M,8,0)</f>
        <v>2000</v>
      </c>
      <c r="V777" s="4">
        <f>VLOOKUP(A777,[15]Sheet1!$A:$M,9,0)</f>
        <v>1000</v>
      </c>
      <c r="W777" s="4">
        <f>VLOOKUP(A777,[15]Sheet1!$A:$M,10,0)</f>
        <v>3000</v>
      </c>
      <c r="X777" s="4">
        <f>VLOOKUP(A777,[15]Sheet1!$A:$M,11,0)</f>
        <v>0</v>
      </c>
      <c r="Y777" s="4">
        <f>VLOOKUP(A777,[15]Sheet1!$A:$M,12,0)</f>
        <v>0</v>
      </c>
      <c r="Z777" s="4">
        <f>VLOOKUP(A777,[15]Sheet1!$A:$M,13,0)</f>
        <v>0</v>
      </c>
      <c r="AA777" s="4">
        <f t="shared" si="229"/>
        <v>18000</v>
      </c>
      <c r="AB777" s="7">
        <f t="shared" si="230"/>
        <v>1500</v>
      </c>
      <c r="AC777" s="15">
        <f t="shared" si="231"/>
        <v>1500</v>
      </c>
      <c r="AD777" s="16">
        <f t="shared" si="232"/>
        <v>503820</v>
      </c>
      <c r="AE777" s="16">
        <f t="shared" si="233"/>
        <v>41985</v>
      </c>
      <c r="AF777" s="21">
        <v>9.1999999999999993</v>
      </c>
      <c r="AG777" s="21">
        <v>27.99</v>
      </c>
      <c r="AH777" s="15">
        <f t="shared" si="226"/>
        <v>6.6399999999999848E-2</v>
      </c>
      <c r="AI777" s="15">
        <f t="shared" si="227"/>
        <v>0.23239999999999944</v>
      </c>
      <c r="AJ777" s="10">
        <v>0.5</v>
      </c>
      <c r="AK777" s="10">
        <v>0.5</v>
      </c>
      <c r="AL777" s="21">
        <v>9.1999999999999993</v>
      </c>
      <c r="AM777" s="9">
        <f t="shared" si="234"/>
        <v>4.1984999999999992</v>
      </c>
      <c r="AN777" s="9">
        <f t="shared" si="235"/>
        <v>0.83969999999999989</v>
      </c>
      <c r="AO777" s="9">
        <f t="shared" si="236"/>
        <v>5.5979999999999999</v>
      </c>
      <c r="AP777" s="9">
        <f t="shared" si="237"/>
        <v>0.55979999999999996</v>
      </c>
      <c r="AQ777" s="9">
        <f t="shared" si="238"/>
        <v>5.5979999999999999</v>
      </c>
      <c r="AR777" s="9">
        <f t="shared" si="239"/>
        <v>6.9974999999999996</v>
      </c>
      <c r="AS777" s="11">
        <f t="shared" si="240"/>
        <v>0.66399999999999848</v>
      </c>
      <c r="AT777" s="12">
        <f t="shared" si="241"/>
        <v>-0.26900000000000129</v>
      </c>
    </row>
    <row r="778" spans="1:46" ht="16.5" x14ac:dyDescent="0.4">
      <c r="A778" s="4" t="s">
        <v>3492</v>
      </c>
      <c r="B778" s="4" t="s">
        <v>3526</v>
      </c>
      <c r="C778" s="4" t="s">
        <v>3528</v>
      </c>
      <c r="D778" s="4" t="s">
        <v>3542</v>
      </c>
      <c r="E778" s="4" t="s">
        <v>3584</v>
      </c>
      <c r="F778" s="4" t="s">
        <v>3626</v>
      </c>
      <c r="G778" s="7" t="str">
        <f>VLOOKUP(A778,[1]done!$A:$I,9,0)</f>
        <v>Cockroach</v>
      </c>
      <c r="H778" s="7" t="str" cm="1">
        <f t="array" ref="H778">_xlfn.IFS(
OR(ISNUMBER(SEARCH("mouse",E778)),ISNUMBER(SEARCH("rat",E778)),ISNUMBER(SEARCH("mice",E778)),ISNUMBER(SEARCH("rodent",E778))),"Rodent Control",
OR(ISNUMBER(SEARCH("fly",E778)),ISNUMBER(SEARCH("gnat",E778)),ISNUMBER(SEARCH("insect",E778)),ISNUMBER(SEARCH("mosquito",E778))),"Flying Insect Control",
OR(ISNUMBER(SEARCH("roach",E778)),ISNUMBER(SEARCH("ant",E778)),ISNUMBER(SEARCH("spider",E778)),ISNUMBER(SEARCH("cricket",E778)),ISNUMBER(SEARCH("scorpion",E778)),ISNUMBER(SEARCH("centipede",E778)),ISNUMBER(SEARCH("beetle",E778))),"Crawling Insect Control",
OR(ISNUMBER(SEARCH("tree",E778)),ISNUMBER(SEARCH("lantern",E778)),ISNUMBER(SEARCH("garden",E778)),ISNUMBER(SEARCH("plant",E778))),"Garden Pest Control",
OR(ISNUMBER(SEARCH("grass seed",E778)),ISNUMBER(SEARCH("seed mix",E778))),"Grass Seed",
OR(ISNUMBER(SEARCH("lawn food",E778)),ISNUMBER(SEARCH("fertilizer",E778))),"Lawn Fertilizer",
OR(ISNUMBER(SEARCH("patch",E778)),ISNUMBER(SEARCH("repair",E778)),ISNUMBER(SEARCH("thick'r",E778)),ISNUMBER(SEARCH("thick'r lawn",E778)),ISNUMBER(SEARCH("rapid grass",E778))),"Lawn Repair",
OR(ISNUMBER(SEARCH("weed",E778)),ISNUMBER(SEARCH("crabgrass",E778))),"Weed Control",
OR(ISNUMBER(SEARCH("fungicide",E778)),ISNUMBER(SEARCH("moss",E778))),"Disease &amp; Moss Control",
OR(ISNUMBER(SEARCH("plant food",E778)),ISNUMBER(SEARCH("miracid",E778))),"Plant Nutrition",
OR(ISNUMBER(SEARCH("perlite",E778))),"Soil Amendment",
OR(ISNUMBER(SEARCH("spreader",E778)),ISNUMBER(SEARCH("sprayer",E778)),ISNUMBER(SEARCH("mower",E778)),ISNUMBER(SEARCH("sweeper",E778)),ISNUMBER(SEARCH("pruner",E778)),ISNUMBER(SEARCH("trimmer",E778)),ISNUMBER(SEARCH("pole saw",E778))),"Garden Equipment",
TRUE,"Other"
)</f>
        <v>Crawling Insect Control</v>
      </c>
      <c r="I778" s="7" t="str" cm="1">
        <f t="array" ref="I778">_xlfn.IFS(
OR(ISNUMBER(SEARCH("glue trap",E778)),ISNUMBER(SEARCH("glue board",E778))),"Glue Traps",
OR(ISNUMBER(SEARCH("snap trap",E778)),ISNUMBER(SEARCH("power-kill",E778)),ISNUMBER(SEARCH("wide pedal",E778)),ISNUMBER(SEARCH("metal pedal",E778))),"Snap Traps",
OR(ISNUMBER(SEARCH("electronic",E778)),ISNUMBER(SEARCH("zapper",E778))),"Electronic Traps",
OR(ISNUMBER(SEARCH("live catch",E778)),ISNUMBER(SEARCH("multi-catch",E778)),ISNUMBER(SEARCH("catch &amp; hold",E778)),ISNUMBER(SEARCH("tin cat",E778))),"Live Catch Traps",
OR(ISNUMBER(SEARCH("bait",E778)),ISNUMBER(SEARCH("poison",E778))),"Bait &amp; Poison",
ISNUMBER(SEARCH("repellent",E778)),"Repellents",
OR(ISNUMBER(SEARCH("fly trap",E778)),ISNUMBER(SEARCH("fly ribbon",E778)),ISNUMBER(SEARCH("fly stick",E778)),ISNUMBER(SEARCH("window fly",E778)),ISNUMBER(SEARCH("fly magnet",E778))),"Fly Traps",
OR(ISNUMBER(SEARCH("uv",E778)),ISNUMBER(SEARCH("fly light",E778)),ISNUMBER(SEARCH("plug-in",E778))),"UV Fly Traps",
ISNUMBER(SEARCH("roach",E778)),"Roach Traps",
ISNUMBER(SEARCH("ant",E778)),"Ant Traps",
ISNUMBER(SEARCH("spider",E778)),"Spider Traps",
ISNUMBER(SEARCH("mosquito",E778)),"Mosquito Traps",
ISNUMBER(SEARCH("beetle",E778)),"Beetle Traps",
ISNUMBER(SEARCH("lantern",E778)),"Lanternfly Control",
OR(ISNUMBER(SEARCH("tree shield",E778)),ISNUMBER(SEARCH("tree banding",E778)),ISNUMBER(SEARCH("insect barrier",E778))),"Tree Barriers",
OR(ISNUMBER(SEARCH("sun &amp; shade",E778)),ISNUMBER(SEARCH("sun and shade",E778))),"Sun &amp; Shade Mix",
ISNUMBER(SEARCH("tall fescue",E778)),"Tall Fescue",
ISNUMBER(SEARCH("bermudagrass",E778)),"Bermudagrass",
ISNUMBER(SEARCH("kentucky",E778)),"Kentucky Bluegrass",
ISNUMBER(SEARCH("zoysia",E778)),"Zoysia",
ISNUMBER(SEARCH("ryegrass",E778)),"Perennial Ryegrass",
ISNUMBER(SEARCH("centipede",E778)),"Centipede Grass",
ISNUMBER(SEARCH("dense shade",E778)),"Dense Shade Mix",
ISNUMBER(SEARCH("southern gold",E778)),"Southern Gold Mix",
ISNUMBER(SEARCH("heat-tolerant blue",E778)),"Heat-Tolerant Blue Mix",
ISNUMBER(SEARCH("high traffic",E778)),"High Traffic Mix",
ISNUMBER(SEARCH("quick fix",E778)),"Quick Fix Mix",
ISNUMBER(SEARCH("starter",E778)),"Starter Fertilizer",
ISNUMBER(SEARCH("weed &amp; feed",E778)),"Weed &amp; Feed",
ISNUMBER(SEARCH("lawn food",E778)),"Lawn Food",
ISNUMBER(SEARCH("triple action",E778)),"Triple Action Fertilizer",
ISNUMBER(SEARCH("green max",E778)),"Green Max Lawn Food",
ISNUMBER(SEARCH("patchmaster",E778)),"PatchMaster Repair",
ISNUMBER(SEARCH("ez seed",E778)),"EZ Seed Repair",
ISNUMBER(SEARCH("rapid grass",E778)),"Rapid Grass",
ISNUMBER(SEARCH("thick'r lawn",E778)),"Thick'R Lawn",
ISNUMBER(SEARCH("fungicide",E778)),"Fungicide",
ISNUMBER(SEARCH("moss",E778)),"Moss Control",
ISNUMBER(SEARCH("perlite",E778)),"Perlite",
ISNUMBER(SEARCH("plant food",E778)),"Plant Food",
ISNUMBER(SEARCH("spreader",E778)),"Spreader",
ISNUMBER(SEARCH("sprayer",E778)),"Sprayer",
ISNUMBER(SEARCH("mower",E778)),"Lawn Mower",
ISNUMBER(SEARCH("sweeper",E778)),"Lawn Sweeper",
OR(ISNUMBER(SEARCH("pruner",E778)),ISNUMBER(SEARCH("trimmer",E778)),ISNUMBER(SEARCH("pole saw",E778))),"Pruning Tools",
TRUE,"Other"
)</f>
        <v>Bait &amp; Poison</v>
      </c>
      <c r="J778" s="7" t="str">
        <f t="shared" si="228"/>
        <v>Crawling Insect Control - Bait &amp; Poison</v>
      </c>
      <c r="K778" s="4">
        <v>2000</v>
      </c>
      <c r="L778" s="4">
        <v>4.2</v>
      </c>
      <c r="M778" s="4">
        <v>3163</v>
      </c>
      <c r="N778" s="4" t="s">
        <v>3665</v>
      </c>
      <c r="O778" s="4">
        <f>VLOOKUP(A778,[15]Sheet1!$A:$M,2,0)</f>
        <v>1000</v>
      </c>
      <c r="P778" s="4">
        <f>VLOOKUP(A778,[15]Sheet1!$A:$M,3,0)</f>
        <v>800</v>
      </c>
      <c r="Q778" s="4">
        <f>VLOOKUP(A778,[15]Sheet1!$A:$M,4,0)</f>
        <v>800</v>
      </c>
      <c r="R778" s="4">
        <f>VLOOKUP(A778,[15]Sheet1!$A:$M,5,0)</f>
        <v>1000</v>
      </c>
      <c r="S778" s="4">
        <f>VLOOKUP(A778,[15]Sheet1!$A:$M,6,0)</f>
        <v>1000</v>
      </c>
      <c r="T778" s="4">
        <f>VLOOKUP(A778,[15]Sheet1!$A:$M,7,0)</f>
        <v>1000</v>
      </c>
      <c r="U778" s="4">
        <f>VLOOKUP(A778,[15]Sheet1!$A:$M,8,0)</f>
        <v>2000</v>
      </c>
      <c r="V778" s="4">
        <f>VLOOKUP(A778,[15]Sheet1!$A:$M,9,0)</f>
        <v>1000</v>
      </c>
      <c r="W778" s="4">
        <f>VLOOKUP(A778,[15]Sheet1!$A:$M,10,0)</f>
        <v>2000</v>
      </c>
      <c r="X778" s="4">
        <f>VLOOKUP(A778,[15]Sheet1!$A:$M,11,0)</f>
        <v>1000</v>
      </c>
      <c r="Y778" s="4">
        <f>VLOOKUP(A778,[15]Sheet1!$A:$M,12,0)</f>
        <v>600</v>
      </c>
      <c r="Z778" s="4">
        <f>VLOOKUP(A778,[15]Sheet1!$A:$M,13,0)</f>
        <v>1000</v>
      </c>
      <c r="AA778" s="4">
        <f t="shared" si="229"/>
        <v>13200</v>
      </c>
      <c r="AB778" s="7">
        <f t="shared" si="230"/>
        <v>1100</v>
      </c>
      <c r="AC778" s="15">
        <f t="shared" si="231"/>
        <v>1100</v>
      </c>
      <c r="AD778" s="16">
        <f t="shared" si="232"/>
        <v>127380</v>
      </c>
      <c r="AE778" s="16">
        <f t="shared" si="233"/>
        <v>10615</v>
      </c>
      <c r="AF778" s="21">
        <v>3.91</v>
      </c>
      <c r="AG778" s="21">
        <v>9.65</v>
      </c>
      <c r="AH778" s="15">
        <f t="shared" si="226"/>
        <v>-7.0000000000000021E-2</v>
      </c>
      <c r="AI778" s="15">
        <f t="shared" si="227"/>
        <v>-0.24500000000000005</v>
      </c>
      <c r="AJ778" s="10">
        <v>0.5</v>
      </c>
      <c r="AK778" s="10">
        <v>0.5</v>
      </c>
      <c r="AL778" s="21">
        <v>3.91</v>
      </c>
      <c r="AM778" s="9">
        <f t="shared" si="234"/>
        <v>1.4475</v>
      </c>
      <c r="AN778" s="9">
        <f t="shared" si="235"/>
        <v>0.28949999999999998</v>
      </c>
      <c r="AO778" s="9">
        <f t="shared" si="236"/>
        <v>1.9300000000000002</v>
      </c>
      <c r="AP778" s="9">
        <f t="shared" si="237"/>
        <v>0.193</v>
      </c>
      <c r="AQ778" s="9">
        <f t="shared" si="238"/>
        <v>1.9300000000000002</v>
      </c>
      <c r="AR778" s="9">
        <f t="shared" si="239"/>
        <v>2.4125000000000001</v>
      </c>
      <c r="AS778" s="11">
        <f t="shared" si="240"/>
        <v>-0.70000000000000018</v>
      </c>
      <c r="AT778" s="12">
        <f t="shared" si="241"/>
        <v>-1.0216666666666667</v>
      </c>
    </row>
    <row r="779" spans="1:46" ht="16.5" x14ac:dyDescent="0.4">
      <c r="A779" s="4" t="s">
        <v>3493</v>
      </c>
      <c r="B779" s="4" t="s">
        <v>3526</v>
      </c>
      <c r="C779" s="4" t="s">
        <v>3528</v>
      </c>
      <c r="D779" s="4" t="s">
        <v>3543</v>
      </c>
      <c r="E779" s="4" t="s">
        <v>3585</v>
      </c>
      <c r="F779" s="4" t="s">
        <v>3627</v>
      </c>
      <c r="G779" s="7" t="str">
        <f>VLOOKUP(A779,[1]done!$A:$I,9,0)</f>
        <v>Oil based pest repellent</v>
      </c>
      <c r="H779" s="7" t="str" cm="1">
        <f t="array" ref="H779">_xlfn.IFS(
OR(ISNUMBER(SEARCH("mouse",E779)),ISNUMBER(SEARCH("rat",E779)),ISNUMBER(SEARCH("mice",E779)),ISNUMBER(SEARCH("rodent",E779))),"Rodent Control",
OR(ISNUMBER(SEARCH("fly",E779)),ISNUMBER(SEARCH("gnat",E779)),ISNUMBER(SEARCH("insect",E779)),ISNUMBER(SEARCH("mosquito",E779))),"Flying Insect Control",
OR(ISNUMBER(SEARCH("roach",E779)),ISNUMBER(SEARCH("ant",E779)),ISNUMBER(SEARCH("spider",E779)),ISNUMBER(SEARCH("cricket",E779)),ISNUMBER(SEARCH("scorpion",E779)),ISNUMBER(SEARCH("centipede",E779)),ISNUMBER(SEARCH("beetle",E779))),"Crawling Insect Control",
OR(ISNUMBER(SEARCH("tree",E779)),ISNUMBER(SEARCH("lantern",E779)),ISNUMBER(SEARCH("garden",E779)),ISNUMBER(SEARCH("plant",E779))),"Garden Pest Control",
OR(ISNUMBER(SEARCH("grass seed",E779)),ISNUMBER(SEARCH("seed mix",E779))),"Grass Seed",
OR(ISNUMBER(SEARCH("lawn food",E779)),ISNUMBER(SEARCH("fertilizer",E779))),"Lawn Fertilizer",
OR(ISNUMBER(SEARCH("patch",E779)),ISNUMBER(SEARCH("repair",E779)),ISNUMBER(SEARCH("thick'r",E779)),ISNUMBER(SEARCH("thick'r lawn",E779)),ISNUMBER(SEARCH("rapid grass",E779))),"Lawn Repair",
OR(ISNUMBER(SEARCH("weed",E779)),ISNUMBER(SEARCH("crabgrass",E779))),"Weed Control",
OR(ISNUMBER(SEARCH("fungicide",E779)),ISNUMBER(SEARCH("moss",E779))),"Disease &amp; Moss Control",
OR(ISNUMBER(SEARCH("plant food",E779)),ISNUMBER(SEARCH("miracid",E779))),"Plant Nutrition",
OR(ISNUMBER(SEARCH("perlite",E779))),"Soil Amendment",
OR(ISNUMBER(SEARCH("spreader",E779)),ISNUMBER(SEARCH("sprayer",E779)),ISNUMBER(SEARCH("mower",E779)),ISNUMBER(SEARCH("sweeper",E779)),ISNUMBER(SEARCH("pruner",E779)),ISNUMBER(SEARCH("trimmer",E779)),ISNUMBER(SEARCH("pole saw",E779))),"Garden Equipment",
TRUE,"Other"
)</f>
        <v>Rodent Control</v>
      </c>
      <c r="I779" s="7" t="str" cm="1">
        <f t="array" ref="I779">_xlfn.IFS(
OR(ISNUMBER(SEARCH("glue trap",E779)),ISNUMBER(SEARCH("glue board",E779))),"Glue Traps",
OR(ISNUMBER(SEARCH("snap trap",E779)),ISNUMBER(SEARCH("power-kill",E779)),ISNUMBER(SEARCH("wide pedal",E779)),ISNUMBER(SEARCH("metal pedal",E779))),"Snap Traps",
OR(ISNUMBER(SEARCH("electronic",E779)),ISNUMBER(SEARCH("zapper",E779))),"Electronic Traps",
OR(ISNUMBER(SEARCH("live catch",E779)),ISNUMBER(SEARCH("multi-catch",E779)),ISNUMBER(SEARCH("catch &amp; hold",E779)),ISNUMBER(SEARCH("tin cat",E779))),"Live Catch Traps",
OR(ISNUMBER(SEARCH("bait",E779)),ISNUMBER(SEARCH("poison",E779))),"Bait &amp; Poison",
ISNUMBER(SEARCH("repellent",E779)),"Repellents",
OR(ISNUMBER(SEARCH("fly trap",E779)),ISNUMBER(SEARCH("fly ribbon",E779)),ISNUMBER(SEARCH("fly stick",E779)),ISNUMBER(SEARCH("window fly",E779)),ISNUMBER(SEARCH("fly magnet",E779))),"Fly Traps",
OR(ISNUMBER(SEARCH("uv",E779)),ISNUMBER(SEARCH("fly light",E779)),ISNUMBER(SEARCH("plug-in",E779))),"UV Fly Traps",
ISNUMBER(SEARCH("roach",E779)),"Roach Traps",
ISNUMBER(SEARCH("ant",E779)),"Ant Traps",
ISNUMBER(SEARCH("spider",E779)),"Spider Traps",
ISNUMBER(SEARCH("mosquito",E779)),"Mosquito Traps",
ISNUMBER(SEARCH("beetle",E779)),"Beetle Traps",
ISNUMBER(SEARCH("lantern",E779)),"Lanternfly Control",
OR(ISNUMBER(SEARCH("tree shield",E779)),ISNUMBER(SEARCH("tree banding",E779)),ISNUMBER(SEARCH("insect barrier",E779))),"Tree Barriers",
OR(ISNUMBER(SEARCH("sun &amp; shade",E779)),ISNUMBER(SEARCH("sun and shade",E779))),"Sun &amp; Shade Mix",
ISNUMBER(SEARCH("tall fescue",E779)),"Tall Fescue",
ISNUMBER(SEARCH("bermudagrass",E779)),"Bermudagrass",
ISNUMBER(SEARCH("kentucky",E779)),"Kentucky Bluegrass",
ISNUMBER(SEARCH("zoysia",E779)),"Zoysia",
ISNUMBER(SEARCH("ryegrass",E779)),"Perennial Ryegrass",
ISNUMBER(SEARCH("centipede",E779)),"Centipede Grass",
ISNUMBER(SEARCH("dense shade",E779)),"Dense Shade Mix",
ISNUMBER(SEARCH("southern gold",E779)),"Southern Gold Mix",
ISNUMBER(SEARCH("heat-tolerant blue",E779)),"Heat-Tolerant Blue Mix",
ISNUMBER(SEARCH("high traffic",E779)),"High Traffic Mix",
ISNUMBER(SEARCH("quick fix",E779)),"Quick Fix Mix",
ISNUMBER(SEARCH("starter",E779)),"Starter Fertilizer",
ISNUMBER(SEARCH("weed &amp; feed",E779)),"Weed &amp; Feed",
ISNUMBER(SEARCH("lawn food",E779)),"Lawn Food",
ISNUMBER(SEARCH("triple action",E779)),"Triple Action Fertilizer",
ISNUMBER(SEARCH("green max",E779)),"Green Max Lawn Food",
ISNUMBER(SEARCH("patchmaster",E779)),"PatchMaster Repair",
ISNUMBER(SEARCH("ez seed",E779)),"EZ Seed Repair",
ISNUMBER(SEARCH("rapid grass",E779)),"Rapid Grass",
ISNUMBER(SEARCH("thick'r lawn",E779)),"Thick'R Lawn",
ISNUMBER(SEARCH("fungicide",E779)),"Fungicide",
ISNUMBER(SEARCH("moss",E779)),"Moss Control",
ISNUMBER(SEARCH("perlite",E779)),"Perlite",
ISNUMBER(SEARCH("plant food",E779)),"Plant Food",
ISNUMBER(SEARCH("spreader",E779)),"Spreader",
ISNUMBER(SEARCH("sprayer",E779)),"Sprayer",
ISNUMBER(SEARCH("mower",E779)),"Lawn Mower",
ISNUMBER(SEARCH("sweeper",E779)),"Lawn Sweeper",
OR(ISNUMBER(SEARCH("pruner",E779)),ISNUMBER(SEARCH("trimmer",E779)),ISNUMBER(SEARCH("pole saw",E779))),"Pruning Tools",
TRUE,"Other"
)</f>
        <v>Fungicide</v>
      </c>
      <c r="J779" s="7" t="str">
        <f t="shared" si="228"/>
        <v>Rodent Control - Fungicide</v>
      </c>
      <c r="K779" s="4">
        <v>2000</v>
      </c>
      <c r="L779" s="4">
        <v>4.5999999999999996</v>
      </c>
      <c r="M779" s="4">
        <v>8483</v>
      </c>
      <c r="N779" s="4" t="s">
        <v>1769</v>
      </c>
      <c r="O779" s="4">
        <f>VLOOKUP(A779,[15]Sheet1!$A:$M,2,0)</f>
        <v>300</v>
      </c>
      <c r="P779" s="4">
        <f>VLOOKUP(A779,[15]Sheet1!$A:$M,3,0)</f>
        <v>500</v>
      </c>
      <c r="Q779" s="4">
        <f>VLOOKUP(A779,[15]Sheet1!$A:$M,4,0)</f>
        <v>300</v>
      </c>
      <c r="R779" s="4">
        <f>VLOOKUP(A779,[15]Sheet1!$A:$M,5,0)</f>
        <v>3000</v>
      </c>
      <c r="S779" s="4">
        <f>VLOOKUP(A779,[15]Sheet1!$A:$M,6,0)</f>
        <v>3000</v>
      </c>
      <c r="T779" s="4">
        <f>VLOOKUP(A779,[15]Sheet1!$A:$M,7,0)</f>
        <v>5000</v>
      </c>
      <c r="U779" s="4">
        <f>VLOOKUP(A779,[15]Sheet1!$A:$M,8,0)</f>
        <v>5000</v>
      </c>
      <c r="V779" s="4">
        <f>VLOOKUP(A779,[15]Sheet1!$A:$M,9,0)</f>
        <v>4000</v>
      </c>
      <c r="W779" s="4">
        <f>VLOOKUP(A779,[15]Sheet1!$A:$M,10,0)</f>
        <v>2000</v>
      </c>
      <c r="X779" s="4">
        <f>VLOOKUP(A779,[15]Sheet1!$A:$M,11,0)</f>
        <v>3000</v>
      </c>
      <c r="Y779" s="4">
        <f>VLOOKUP(A779,[15]Sheet1!$A:$M,12,0)</f>
        <v>1000</v>
      </c>
      <c r="Z779" s="4">
        <f>VLOOKUP(A779,[15]Sheet1!$A:$M,13,0)</f>
        <v>500</v>
      </c>
      <c r="AA779" s="4">
        <f t="shared" si="229"/>
        <v>27600</v>
      </c>
      <c r="AB779" s="7">
        <f t="shared" si="230"/>
        <v>2300</v>
      </c>
      <c r="AC779" s="15">
        <f t="shared" si="231"/>
        <v>2300</v>
      </c>
      <c r="AD779" s="16">
        <f t="shared" si="232"/>
        <v>412344</v>
      </c>
      <c r="AE779" s="16">
        <f t="shared" si="233"/>
        <v>34362</v>
      </c>
      <c r="AF779" s="21">
        <v>4.76</v>
      </c>
      <c r="AG779" s="21">
        <v>14.94</v>
      </c>
      <c r="AH779" s="15">
        <f t="shared" si="226"/>
        <v>1.4399999999999925E-2</v>
      </c>
      <c r="AI779" s="15">
        <f t="shared" si="227"/>
        <v>5.039999999999973E-2</v>
      </c>
      <c r="AJ779" s="10">
        <v>0.5</v>
      </c>
      <c r="AK779" s="10">
        <v>0.5</v>
      </c>
      <c r="AL779" s="21">
        <v>4.76</v>
      </c>
      <c r="AM779" s="9">
        <f t="shared" si="234"/>
        <v>2.2409999999999997</v>
      </c>
      <c r="AN779" s="9">
        <f t="shared" si="235"/>
        <v>0.44819999999999999</v>
      </c>
      <c r="AO779" s="9">
        <f t="shared" si="236"/>
        <v>2.988</v>
      </c>
      <c r="AP779" s="9">
        <f t="shared" si="237"/>
        <v>0.29880000000000001</v>
      </c>
      <c r="AQ779" s="9">
        <f t="shared" si="238"/>
        <v>2.988</v>
      </c>
      <c r="AR779" s="9">
        <f t="shared" si="239"/>
        <v>3.7349999999999999</v>
      </c>
      <c r="AS779" s="11">
        <f t="shared" si="240"/>
        <v>0.14399999999999924</v>
      </c>
      <c r="AT779" s="12">
        <f t="shared" si="241"/>
        <v>-0.3540000000000007</v>
      </c>
    </row>
    <row r="780" spans="1:46" ht="16.5" x14ac:dyDescent="0.4">
      <c r="A780" s="4" t="s">
        <v>3494</v>
      </c>
      <c r="B780" s="4" t="s">
        <v>3526</v>
      </c>
      <c r="C780" s="4" t="s">
        <v>3528</v>
      </c>
      <c r="D780" s="4" t="s">
        <v>3544</v>
      </c>
      <c r="E780" s="4" t="s">
        <v>3586</v>
      </c>
      <c r="F780" s="4" t="s">
        <v>3628</v>
      </c>
      <c r="G780" s="7" t="str">
        <f>VLOOKUP(A780,[1]done!$A:$I,9,0)</f>
        <v>Other Harris</v>
      </c>
      <c r="H780" s="7" t="str" cm="1">
        <f t="array" ref="H780">_xlfn.IFS(
OR(ISNUMBER(SEARCH("mouse",E780)),ISNUMBER(SEARCH("rat",E780)),ISNUMBER(SEARCH("mice",E780)),ISNUMBER(SEARCH("rodent",E780))),"Rodent Control",
OR(ISNUMBER(SEARCH("fly",E780)),ISNUMBER(SEARCH("gnat",E780)),ISNUMBER(SEARCH("insect",E780)),ISNUMBER(SEARCH("mosquito",E780))),"Flying Insect Control",
OR(ISNUMBER(SEARCH("roach",E780)),ISNUMBER(SEARCH("ant",E780)),ISNUMBER(SEARCH("spider",E780)),ISNUMBER(SEARCH("cricket",E780)),ISNUMBER(SEARCH("scorpion",E780)),ISNUMBER(SEARCH("centipede",E780)),ISNUMBER(SEARCH("beetle",E780))),"Crawling Insect Control",
OR(ISNUMBER(SEARCH("tree",E780)),ISNUMBER(SEARCH("lantern",E780)),ISNUMBER(SEARCH("garden",E780)),ISNUMBER(SEARCH("plant",E780))),"Garden Pest Control",
OR(ISNUMBER(SEARCH("grass seed",E780)),ISNUMBER(SEARCH("seed mix",E780))),"Grass Seed",
OR(ISNUMBER(SEARCH("lawn food",E780)),ISNUMBER(SEARCH("fertilizer",E780))),"Lawn Fertilizer",
OR(ISNUMBER(SEARCH("patch",E780)),ISNUMBER(SEARCH("repair",E780)),ISNUMBER(SEARCH("thick'r",E780)),ISNUMBER(SEARCH("thick'r lawn",E780)),ISNUMBER(SEARCH("rapid grass",E780))),"Lawn Repair",
OR(ISNUMBER(SEARCH("weed",E780)),ISNUMBER(SEARCH("crabgrass",E780))),"Weed Control",
OR(ISNUMBER(SEARCH("fungicide",E780)),ISNUMBER(SEARCH("moss",E780))),"Disease &amp; Moss Control",
OR(ISNUMBER(SEARCH("plant food",E780)),ISNUMBER(SEARCH("miracid",E780))),"Plant Nutrition",
OR(ISNUMBER(SEARCH("perlite",E780))),"Soil Amendment",
OR(ISNUMBER(SEARCH("spreader",E780)),ISNUMBER(SEARCH("sprayer",E780)),ISNUMBER(SEARCH("mower",E780)),ISNUMBER(SEARCH("sweeper",E780)),ISNUMBER(SEARCH("pruner",E780)),ISNUMBER(SEARCH("trimmer",E780)),ISNUMBER(SEARCH("pole saw",E780))),"Garden Equipment",
TRUE,"Other"
)</f>
        <v>Other</v>
      </c>
      <c r="I780" s="7" t="str" cm="1">
        <f t="array" ref="I780">_xlfn.IFS(
OR(ISNUMBER(SEARCH("glue trap",E780)),ISNUMBER(SEARCH("glue board",E780))),"Glue Traps",
OR(ISNUMBER(SEARCH("snap trap",E780)),ISNUMBER(SEARCH("power-kill",E780)),ISNUMBER(SEARCH("wide pedal",E780)),ISNUMBER(SEARCH("metal pedal",E780))),"Snap Traps",
OR(ISNUMBER(SEARCH("electronic",E780)),ISNUMBER(SEARCH("zapper",E780))),"Electronic Traps",
OR(ISNUMBER(SEARCH("live catch",E780)),ISNUMBER(SEARCH("multi-catch",E780)),ISNUMBER(SEARCH("catch &amp; hold",E780)),ISNUMBER(SEARCH("tin cat",E780))),"Live Catch Traps",
OR(ISNUMBER(SEARCH("bait",E780)),ISNUMBER(SEARCH("poison",E780))),"Bait &amp; Poison",
ISNUMBER(SEARCH("repellent",E780)),"Repellents",
OR(ISNUMBER(SEARCH("fly trap",E780)),ISNUMBER(SEARCH("fly ribbon",E780)),ISNUMBER(SEARCH("fly stick",E780)),ISNUMBER(SEARCH("window fly",E780)),ISNUMBER(SEARCH("fly magnet",E780))),"Fly Traps",
OR(ISNUMBER(SEARCH("uv",E780)),ISNUMBER(SEARCH("fly light",E780)),ISNUMBER(SEARCH("plug-in",E780))),"UV Fly Traps",
ISNUMBER(SEARCH("roach",E780)),"Roach Traps",
ISNUMBER(SEARCH("ant",E780)),"Ant Traps",
ISNUMBER(SEARCH("spider",E780)),"Spider Traps",
ISNUMBER(SEARCH("mosquito",E780)),"Mosquito Traps",
ISNUMBER(SEARCH("beetle",E780)),"Beetle Traps",
ISNUMBER(SEARCH("lantern",E780)),"Lanternfly Control",
OR(ISNUMBER(SEARCH("tree shield",E780)),ISNUMBER(SEARCH("tree banding",E780)),ISNUMBER(SEARCH("insect barrier",E780))),"Tree Barriers",
OR(ISNUMBER(SEARCH("sun &amp; shade",E780)),ISNUMBER(SEARCH("sun and shade",E780))),"Sun &amp; Shade Mix",
ISNUMBER(SEARCH("tall fescue",E780)),"Tall Fescue",
ISNUMBER(SEARCH("bermudagrass",E780)),"Bermudagrass",
ISNUMBER(SEARCH("kentucky",E780)),"Kentucky Bluegrass",
ISNUMBER(SEARCH("zoysia",E780)),"Zoysia",
ISNUMBER(SEARCH("ryegrass",E780)),"Perennial Ryegrass",
ISNUMBER(SEARCH("centipede",E780)),"Centipede Grass",
ISNUMBER(SEARCH("dense shade",E780)),"Dense Shade Mix",
ISNUMBER(SEARCH("southern gold",E780)),"Southern Gold Mix",
ISNUMBER(SEARCH("heat-tolerant blue",E780)),"Heat-Tolerant Blue Mix",
ISNUMBER(SEARCH("high traffic",E780)),"High Traffic Mix",
ISNUMBER(SEARCH("quick fix",E780)),"Quick Fix Mix",
ISNUMBER(SEARCH("starter",E780)),"Starter Fertilizer",
ISNUMBER(SEARCH("weed &amp; feed",E780)),"Weed &amp; Feed",
ISNUMBER(SEARCH("lawn food",E780)),"Lawn Food",
ISNUMBER(SEARCH("triple action",E780)),"Triple Action Fertilizer",
ISNUMBER(SEARCH("green max",E780)),"Green Max Lawn Food",
ISNUMBER(SEARCH("patchmaster",E780)),"PatchMaster Repair",
ISNUMBER(SEARCH("ez seed",E780)),"EZ Seed Repair",
ISNUMBER(SEARCH("rapid grass",E780)),"Rapid Grass",
ISNUMBER(SEARCH("thick'r lawn",E780)),"Thick'R Lawn",
ISNUMBER(SEARCH("fungicide",E780)),"Fungicide",
ISNUMBER(SEARCH("moss",E780)),"Moss Control",
ISNUMBER(SEARCH("perlite",E780)),"Perlite",
ISNUMBER(SEARCH("plant food",E780)),"Plant Food",
ISNUMBER(SEARCH("spreader",E780)),"Spreader",
ISNUMBER(SEARCH("sprayer",E780)),"Sprayer",
ISNUMBER(SEARCH("mower",E780)),"Lawn Mower",
ISNUMBER(SEARCH("sweeper",E780)),"Lawn Sweeper",
OR(ISNUMBER(SEARCH("pruner",E780)),ISNUMBER(SEARCH("trimmer",E780)),ISNUMBER(SEARCH("pole saw",E780))),"Pruning Tools",
TRUE,"Other"
)</f>
        <v>Other</v>
      </c>
      <c r="J780" s="7" t="str">
        <f t="shared" si="228"/>
        <v>Other - Other</v>
      </c>
      <c r="K780" s="4">
        <v>2000</v>
      </c>
      <c r="L780" s="4">
        <v>4.7</v>
      </c>
      <c r="M780" s="4">
        <v>8173</v>
      </c>
      <c r="N780" s="4" t="s">
        <v>3666</v>
      </c>
      <c r="O780" s="4">
        <f>VLOOKUP(A780,[15]Sheet1!$A:$M,2,0)</f>
        <v>1000</v>
      </c>
      <c r="P780" s="4">
        <f>VLOOKUP(A780,[15]Sheet1!$A:$M,3,0)</f>
        <v>1000</v>
      </c>
      <c r="Q780" s="4">
        <f>VLOOKUP(A780,[15]Sheet1!$A:$M,4,0)</f>
        <v>3000</v>
      </c>
      <c r="R780" s="4">
        <f>VLOOKUP(A780,[15]Sheet1!$A:$M,5,0)</f>
        <v>4000</v>
      </c>
      <c r="S780" s="4">
        <f>VLOOKUP(A780,[15]Sheet1!$A:$M,6,0)</f>
        <v>3000</v>
      </c>
      <c r="T780" s="4">
        <f>VLOOKUP(A780,[15]Sheet1!$A:$M,7,0)</f>
        <v>4000</v>
      </c>
      <c r="U780" s="4">
        <f>VLOOKUP(A780,[15]Sheet1!$A:$M,8,0)</f>
        <v>6000</v>
      </c>
      <c r="V780" s="4">
        <f>VLOOKUP(A780,[15]Sheet1!$A:$M,9,0)</f>
        <v>6000</v>
      </c>
      <c r="W780" s="4">
        <f>VLOOKUP(A780,[15]Sheet1!$A:$M,10,0)</f>
        <v>2000</v>
      </c>
      <c r="X780" s="4">
        <f>VLOOKUP(A780,[15]Sheet1!$A:$M,11,0)</f>
        <v>4000</v>
      </c>
      <c r="Y780" s="4">
        <f>VLOOKUP(A780,[15]Sheet1!$A:$M,12,0)</f>
        <v>2000</v>
      </c>
      <c r="Z780" s="4">
        <f>VLOOKUP(A780,[15]Sheet1!$A:$M,13,0)</f>
        <v>3000</v>
      </c>
      <c r="AA780" s="4">
        <f t="shared" si="229"/>
        <v>39000</v>
      </c>
      <c r="AB780" s="7">
        <f t="shared" si="230"/>
        <v>3250</v>
      </c>
      <c r="AC780" s="15">
        <f t="shared" si="231"/>
        <v>3250</v>
      </c>
      <c r="AD780" s="16">
        <f t="shared" si="232"/>
        <v>662609.99999999988</v>
      </c>
      <c r="AE780" s="16">
        <f t="shared" si="233"/>
        <v>55217.499999999993</v>
      </c>
      <c r="AF780" s="21">
        <v>7.38</v>
      </c>
      <c r="AG780" s="21">
        <v>16.989999999999998</v>
      </c>
      <c r="AH780" s="15">
        <f t="shared" si="226"/>
        <v>-0.10560000000000003</v>
      </c>
      <c r="AI780" s="15">
        <f t="shared" si="227"/>
        <v>-0.3696000000000001</v>
      </c>
      <c r="AJ780" s="10">
        <v>0.5</v>
      </c>
      <c r="AK780" s="10">
        <v>0.5</v>
      </c>
      <c r="AL780" s="21">
        <v>7.38</v>
      </c>
      <c r="AM780" s="9">
        <f t="shared" si="234"/>
        <v>2.5484999999999998</v>
      </c>
      <c r="AN780" s="9">
        <f t="shared" si="235"/>
        <v>0.50969999999999993</v>
      </c>
      <c r="AO780" s="9">
        <f t="shared" si="236"/>
        <v>3.3979999999999997</v>
      </c>
      <c r="AP780" s="9">
        <f t="shared" si="237"/>
        <v>0.33979999999999999</v>
      </c>
      <c r="AQ780" s="9">
        <f t="shared" si="238"/>
        <v>3.3979999999999997</v>
      </c>
      <c r="AR780" s="9">
        <f t="shared" si="239"/>
        <v>4.2474999999999996</v>
      </c>
      <c r="AS780" s="11">
        <f t="shared" si="240"/>
        <v>-1.0560000000000003</v>
      </c>
      <c r="AT780" s="12">
        <f t="shared" si="241"/>
        <v>-1.6223333333333336</v>
      </c>
    </row>
    <row r="781" spans="1:46" ht="16.5" x14ac:dyDescent="0.4">
      <c r="A781" s="4" t="s">
        <v>3495</v>
      </c>
      <c r="B781" s="4" t="s">
        <v>3526</v>
      </c>
      <c r="C781" s="4" t="s">
        <v>3530</v>
      </c>
      <c r="D781" s="4" t="s">
        <v>3545</v>
      </c>
      <c r="E781" s="4" t="s">
        <v>3587</v>
      </c>
      <c r="F781" s="4" t="s">
        <v>3629</v>
      </c>
      <c r="G781" s="7" t="str">
        <f>VLOOKUP(A781,[1]done!$A:$I,9,0)</f>
        <v>Oil based pest repellent</v>
      </c>
      <c r="H781" s="7" t="str" cm="1">
        <f t="array" ref="H781">_xlfn.IFS(
OR(ISNUMBER(SEARCH("mouse",E781)),ISNUMBER(SEARCH("rat",E781)),ISNUMBER(SEARCH("mice",E781)),ISNUMBER(SEARCH("rodent",E781))),"Rodent Control",
OR(ISNUMBER(SEARCH("fly",E781)),ISNUMBER(SEARCH("gnat",E781)),ISNUMBER(SEARCH("insect",E781)),ISNUMBER(SEARCH("mosquito",E781))),"Flying Insect Control",
OR(ISNUMBER(SEARCH("roach",E781)),ISNUMBER(SEARCH("ant",E781)),ISNUMBER(SEARCH("spider",E781)),ISNUMBER(SEARCH("cricket",E781)),ISNUMBER(SEARCH("scorpion",E781)),ISNUMBER(SEARCH("centipede",E781)),ISNUMBER(SEARCH("beetle",E781))),"Crawling Insect Control",
OR(ISNUMBER(SEARCH("tree",E781)),ISNUMBER(SEARCH("lantern",E781)),ISNUMBER(SEARCH("garden",E781)),ISNUMBER(SEARCH("plant",E781))),"Garden Pest Control",
OR(ISNUMBER(SEARCH("grass seed",E781)),ISNUMBER(SEARCH("seed mix",E781))),"Grass Seed",
OR(ISNUMBER(SEARCH("lawn food",E781)),ISNUMBER(SEARCH("fertilizer",E781))),"Lawn Fertilizer",
OR(ISNUMBER(SEARCH("patch",E781)),ISNUMBER(SEARCH("repair",E781)),ISNUMBER(SEARCH("thick'r",E781)),ISNUMBER(SEARCH("thick'r lawn",E781)),ISNUMBER(SEARCH("rapid grass",E781))),"Lawn Repair",
OR(ISNUMBER(SEARCH("weed",E781)),ISNUMBER(SEARCH("crabgrass",E781))),"Weed Control",
OR(ISNUMBER(SEARCH("fungicide",E781)),ISNUMBER(SEARCH("moss",E781))),"Disease &amp; Moss Control",
OR(ISNUMBER(SEARCH("plant food",E781)),ISNUMBER(SEARCH("miracid",E781))),"Plant Nutrition",
OR(ISNUMBER(SEARCH("perlite",E781))),"Soil Amendment",
OR(ISNUMBER(SEARCH("spreader",E781)),ISNUMBER(SEARCH("sprayer",E781)),ISNUMBER(SEARCH("mower",E781)),ISNUMBER(SEARCH("sweeper",E781)),ISNUMBER(SEARCH("pruner",E781)),ISNUMBER(SEARCH("trimmer",E781)),ISNUMBER(SEARCH("pole saw",E781))),"Garden Equipment",
TRUE,"Other"
)</f>
        <v>Rodent Control</v>
      </c>
      <c r="I781" s="7" t="str" cm="1">
        <f t="array" ref="I781">_xlfn.IFS(
OR(ISNUMBER(SEARCH("glue trap",E781)),ISNUMBER(SEARCH("glue board",E781))),"Glue Traps",
OR(ISNUMBER(SEARCH("snap trap",E781)),ISNUMBER(SEARCH("power-kill",E781)),ISNUMBER(SEARCH("wide pedal",E781)),ISNUMBER(SEARCH("metal pedal",E781))),"Snap Traps",
OR(ISNUMBER(SEARCH("electronic",E781)),ISNUMBER(SEARCH("zapper",E781))),"Electronic Traps",
OR(ISNUMBER(SEARCH("live catch",E781)),ISNUMBER(SEARCH("multi-catch",E781)),ISNUMBER(SEARCH("catch &amp; hold",E781)),ISNUMBER(SEARCH("tin cat",E781))),"Live Catch Traps",
OR(ISNUMBER(SEARCH("bait",E781)),ISNUMBER(SEARCH("poison",E781))),"Bait &amp; Poison",
ISNUMBER(SEARCH("repellent",E781)),"Repellents",
OR(ISNUMBER(SEARCH("fly trap",E781)),ISNUMBER(SEARCH("fly ribbon",E781)),ISNUMBER(SEARCH("fly stick",E781)),ISNUMBER(SEARCH("window fly",E781)),ISNUMBER(SEARCH("fly magnet",E781))),"Fly Traps",
OR(ISNUMBER(SEARCH("uv",E781)),ISNUMBER(SEARCH("fly light",E781)),ISNUMBER(SEARCH("plug-in",E781))),"UV Fly Traps",
ISNUMBER(SEARCH("roach",E781)),"Roach Traps",
ISNUMBER(SEARCH("ant",E781)),"Ant Traps",
ISNUMBER(SEARCH("spider",E781)),"Spider Traps",
ISNUMBER(SEARCH("mosquito",E781)),"Mosquito Traps",
ISNUMBER(SEARCH("beetle",E781)),"Beetle Traps",
ISNUMBER(SEARCH("lantern",E781)),"Lanternfly Control",
OR(ISNUMBER(SEARCH("tree shield",E781)),ISNUMBER(SEARCH("tree banding",E781)),ISNUMBER(SEARCH("insect barrier",E781))),"Tree Barriers",
OR(ISNUMBER(SEARCH("sun &amp; shade",E781)),ISNUMBER(SEARCH("sun and shade",E781))),"Sun &amp; Shade Mix",
ISNUMBER(SEARCH("tall fescue",E781)),"Tall Fescue",
ISNUMBER(SEARCH("bermudagrass",E781)),"Bermudagrass",
ISNUMBER(SEARCH("kentucky",E781)),"Kentucky Bluegrass",
ISNUMBER(SEARCH("zoysia",E781)),"Zoysia",
ISNUMBER(SEARCH("ryegrass",E781)),"Perennial Ryegrass",
ISNUMBER(SEARCH("centipede",E781)),"Centipede Grass",
ISNUMBER(SEARCH("dense shade",E781)),"Dense Shade Mix",
ISNUMBER(SEARCH("southern gold",E781)),"Southern Gold Mix",
ISNUMBER(SEARCH("heat-tolerant blue",E781)),"Heat-Tolerant Blue Mix",
ISNUMBER(SEARCH("high traffic",E781)),"High Traffic Mix",
ISNUMBER(SEARCH("quick fix",E781)),"Quick Fix Mix",
ISNUMBER(SEARCH("starter",E781)),"Starter Fertilizer",
ISNUMBER(SEARCH("weed &amp; feed",E781)),"Weed &amp; Feed",
ISNUMBER(SEARCH("lawn food",E781)),"Lawn Food",
ISNUMBER(SEARCH("triple action",E781)),"Triple Action Fertilizer",
ISNUMBER(SEARCH("green max",E781)),"Green Max Lawn Food",
ISNUMBER(SEARCH("patchmaster",E781)),"PatchMaster Repair",
ISNUMBER(SEARCH("ez seed",E781)),"EZ Seed Repair",
ISNUMBER(SEARCH("rapid grass",E781)),"Rapid Grass",
ISNUMBER(SEARCH("thick'r lawn",E781)),"Thick'R Lawn",
ISNUMBER(SEARCH("fungicide",E781)),"Fungicide",
ISNUMBER(SEARCH("moss",E781)),"Moss Control",
ISNUMBER(SEARCH("perlite",E781)),"Perlite",
ISNUMBER(SEARCH("plant food",E781)),"Plant Food",
ISNUMBER(SEARCH("spreader",E781)),"Spreader",
ISNUMBER(SEARCH("sprayer",E781)),"Sprayer",
ISNUMBER(SEARCH("mower",E781)),"Lawn Mower",
ISNUMBER(SEARCH("sweeper",E781)),"Lawn Sweeper",
OR(ISNUMBER(SEARCH("pruner",E781)),ISNUMBER(SEARCH("trimmer",E781)),ISNUMBER(SEARCH("pole saw",E781))),"Pruning Tools",
TRUE,"Other"
)</f>
        <v>Other</v>
      </c>
      <c r="J781" s="7" t="str">
        <f t="shared" si="228"/>
        <v>Rodent Control - Other</v>
      </c>
      <c r="K781" s="4">
        <v>1000</v>
      </c>
      <c r="L781" s="4">
        <v>4.5</v>
      </c>
      <c r="M781" s="4">
        <v>4503</v>
      </c>
      <c r="N781" s="4" t="s">
        <v>3224</v>
      </c>
      <c r="O781" s="4">
        <f>VLOOKUP(A781,[15]Sheet1!$A:$M,2,0)</f>
        <v>1000</v>
      </c>
      <c r="P781" s="4">
        <f>VLOOKUP(A781,[15]Sheet1!$A:$M,3,0)</f>
        <v>1000</v>
      </c>
      <c r="Q781" s="4">
        <f>VLOOKUP(A781,[15]Sheet1!$A:$M,4,0)</f>
        <v>3000</v>
      </c>
      <c r="R781" s="4">
        <f>VLOOKUP(A781,[15]Sheet1!$A:$M,5,0)</f>
        <v>4000</v>
      </c>
      <c r="S781" s="4">
        <f>VLOOKUP(A781,[15]Sheet1!$A:$M,6,0)</f>
        <v>6000</v>
      </c>
      <c r="T781" s="4">
        <f>VLOOKUP(A781,[15]Sheet1!$A:$M,7,0)</f>
        <v>2000</v>
      </c>
      <c r="U781" s="4">
        <f>VLOOKUP(A781,[15]Sheet1!$A:$M,8,0)</f>
        <v>4000</v>
      </c>
      <c r="V781" s="4">
        <f>VLOOKUP(A781,[15]Sheet1!$A:$M,9,0)</f>
        <v>4000</v>
      </c>
      <c r="W781" s="4">
        <f>VLOOKUP(A781,[15]Sheet1!$A:$M,10,0)</f>
        <v>1000</v>
      </c>
      <c r="X781" s="4">
        <f>VLOOKUP(A781,[15]Sheet1!$A:$M,11,0)</f>
        <v>2000</v>
      </c>
      <c r="Y781" s="4">
        <f>VLOOKUP(A781,[15]Sheet1!$A:$M,12,0)</f>
        <v>2000</v>
      </c>
      <c r="Z781" s="4">
        <f>VLOOKUP(A781,[15]Sheet1!$A:$M,13,0)</f>
        <v>1000</v>
      </c>
      <c r="AA781" s="4">
        <f t="shared" si="229"/>
        <v>31000</v>
      </c>
      <c r="AB781" s="7">
        <f t="shared" si="230"/>
        <v>2583</v>
      </c>
      <c r="AC781" s="15">
        <f t="shared" si="231"/>
        <v>2583.3333333333335</v>
      </c>
      <c r="AD781" s="16">
        <f t="shared" si="232"/>
        <v>397110</v>
      </c>
      <c r="AE781" s="16">
        <f t="shared" si="233"/>
        <v>33092.5</v>
      </c>
      <c r="AF781" s="21">
        <v>4.3499999999999996</v>
      </c>
      <c r="AG781" s="21">
        <v>12.81</v>
      </c>
      <c r="AH781" s="15">
        <f t="shared" si="226"/>
        <v>-1.5066666666666666E-2</v>
      </c>
      <c r="AI781" s="15">
        <f t="shared" si="227"/>
        <v>-5.273333333333332E-2</v>
      </c>
      <c r="AJ781" s="10">
        <v>0.5</v>
      </c>
      <c r="AK781" s="10">
        <v>0.5</v>
      </c>
      <c r="AL781" s="21">
        <v>4.3499999999999996</v>
      </c>
      <c r="AM781" s="9">
        <f t="shared" si="234"/>
        <v>1.9215</v>
      </c>
      <c r="AN781" s="9">
        <f t="shared" si="235"/>
        <v>0.38429999999999997</v>
      </c>
      <c r="AO781" s="9">
        <f t="shared" si="236"/>
        <v>2.5620000000000003</v>
      </c>
      <c r="AP781" s="9">
        <f t="shared" si="237"/>
        <v>0.25620000000000004</v>
      </c>
      <c r="AQ781" s="9">
        <f t="shared" si="238"/>
        <v>2.5620000000000003</v>
      </c>
      <c r="AR781" s="9">
        <f t="shared" si="239"/>
        <v>3.2025000000000001</v>
      </c>
      <c r="AS781" s="11">
        <f t="shared" si="240"/>
        <v>-0.15066666666666664</v>
      </c>
      <c r="AT781" s="12">
        <f t="shared" si="241"/>
        <v>-0.57766666666666655</v>
      </c>
    </row>
    <row r="782" spans="1:46" ht="16.5" x14ac:dyDescent="0.4">
      <c r="A782" s="4" t="s">
        <v>3496</v>
      </c>
      <c r="B782" s="4" t="s">
        <v>3526</v>
      </c>
      <c r="C782" s="4" t="s">
        <v>3527</v>
      </c>
      <c r="D782" s="4" t="s">
        <v>3546</v>
      </c>
      <c r="E782" s="4" t="s">
        <v>3588</v>
      </c>
      <c r="F782" s="4" t="s">
        <v>3630</v>
      </c>
      <c r="G782" s="7" t="str">
        <f>VLOOKUP(A782,[1]done!$A:$I,9,0)</f>
        <v>Mosquito/Fly</v>
      </c>
      <c r="H782" s="7" t="str" cm="1">
        <f t="array" ref="H782">_xlfn.IFS(
OR(ISNUMBER(SEARCH("mouse",E782)),ISNUMBER(SEARCH("rat",E782)),ISNUMBER(SEARCH("mice",E782)),ISNUMBER(SEARCH("rodent",E782))),"Rodent Control",
OR(ISNUMBER(SEARCH("fly",E782)),ISNUMBER(SEARCH("gnat",E782)),ISNUMBER(SEARCH("insect",E782)),ISNUMBER(SEARCH("mosquito",E782))),"Flying Insect Control",
OR(ISNUMBER(SEARCH("roach",E782)),ISNUMBER(SEARCH("ant",E782)),ISNUMBER(SEARCH("spider",E782)),ISNUMBER(SEARCH("cricket",E782)),ISNUMBER(SEARCH("scorpion",E782)),ISNUMBER(SEARCH("centipede",E782)),ISNUMBER(SEARCH("beetle",E782))),"Crawling Insect Control",
OR(ISNUMBER(SEARCH("tree",E782)),ISNUMBER(SEARCH("lantern",E782)),ISNUMBER(SEARCH("garden",E782)),ISNUMBER(SEARCH("plant",E782))),"Garden Pest Control",
OR(ISNUMBER(SEARCH("grass seed",E782)),ISNUMBER(SEARCH("seed mix",E782))),"Grass Seed",
OR(ISNUMBER(SEARCH("lawn food",E782)),ISNUMBER(SEARCH("fertilizer",E782))),"Lawn Fertilizer",
OR(ISNUMBER(SEARCH("patch",E782)),ISNUMBER(SEARCH("repair",E782)),ISNUMBER(SEARCH("thick'r",E782)),ISNUMBER(SEARCH("thick'r lawn",E782)),ISNUMBER(SEARCH("rapid grass",E782))),"Lawn Repair",
OR(ISNUMBER(SEARCH("weed",E782)),ISNUMBER(SEARCH("crabgrass",E782))),"Weed Control",
OR(ISNUMBER(SEARCH("fungicide",E782)),ISNUMBER(SEARCH("moss",E782))),"Disease &amp; Moss Control",
OR(ISNUMBER(SEARCH("plant food",E782)),ISNUMBER(SEARCH("miracid",E782))),"Plant Nutrition",
OR(ISNUMBER(SEARCH("perlite",E782))),"Soil Amendment",
OR(ISNUMBER(SEARCH("spreader",E782)),ISNUMBER(SEARCH("sprayer",E782)),ISNUMBER(SEARCH("mower",E782)),ISNUMBER(SEARCH("sweeper",E782)),ISNUMBER(SEARCH("pruner",E782)),ISNUMBER(SEARCH("trimmer",E782)),ISNUMBER(SEARCH("pole saw",E782))),"Garden Equipment",
TRUE,"Other"
)</f>
        <v>Flying Insect Control</v>
      </c>
      <c r="I782" s="7" t="str" cm="1">
        <f t="array" ref="I782">_xlfn.IFS(
OR(ISNUMBER(SEARCH("glue trap",E782)),ISNUMBER(SEARCH("glue board",E782))),"Glue Traps",
OR(ISNUMBER(SEARCH("snap trap",E782)),ISNUMBER(SEARCH("power-kill",E782)),ISNUMBER(SEARCH("wide pedal",E782)),ISNUMBER(SEARCH("metal pedal",E782))),"Snap Traps",
OR(ISNUMBER(SEARCH("electronic",E782)),ISNUMBER(SEARCH("zapper",E782))),"Electronic Traps",
OR(ISNUMBER(SEARCH("live catch",E782)),ISNUMBER(SEARCH("multi-catch",E782)),ISNUMBER(SEARCH("catch &amp; hold",E782)),ISNUMBER(SEARCH("tin cat",E782))),"Live Catch Traps",
OR(ISNUMBER(SEARCH("bait",E782)),ISNUMBER(SEARCH("poison",E782))),"Bait &amp; Poison",
ISNUMBER(SEARCH("repellent",E782)),"Repellents",
OR(ISNUMBER(SEARCH("fly trap",E782)),ISNUMBER(SEARCH("fly ribbon",E782)),ISNUMBER(SEARCH("fly stick",E782)),ISNUMBER(SEARCH("window fly",E782)),ISNUMBER(SEARCH("fly magnet",E782))),"Fly Traps",
OR(ISNUMBER(SEARCH("uv",E782)),ISNUMBER(SEARCH("fly light",E782)),ISNUMBER(SEARCH("plug-in",E782))),"UV Fly Traps",
ISNUMBER(SEARCH("roach",E782)),"Roach Traps",
ISNUMBER(SEARCH("ant",E782)),"Ant Traps",
ISNUMBER(SEARCH("spider",E782)),"Spider Traps",
ISNUMBER(SEARCH("mosquito",E782)),"Mosquito Traps",
ISNUMBER(SEARCH("beetle",E782)),"Beetle Traps",
ISNUMBER(SEARCH("lantern",E782)),"Lanternfly Control",
OR(ISNUMBER(SEARCH("tree shield",E782)),ISNUMBER(SEARCH("tree banding",E782)),ISNUMBER(SEARCH("insect barrier",E782))),"Tree Barriers",
OR(ISNUMBER(SEARCH("sun &amp; shade",E782)),ISNUMBER(SEARCH("sun and shade",E782))),"Sun &amp; Shade Mix",
ISNUMBER(SEARCH("tall fescue",E782)),"Tall Fescue",
ISNUMBER(SEARCH("bermudagrass",E782)),"Bermudagrass",
ISNUMBER(SEARCH("kentucky",E782)),"Kentucky Bluegrass",
ISNUMBER(SEARCH("zoysia",E782)),"Zoysia",
ISNUMBER(SEARCH("ryegrass",E782)),"Perennial Ryegrass",
ISNUMBER(SEARCH("centipede",E782)),"Centipede Grass",
ISNUMBER(SEARCH("dense shade",E782)),"Dense Shade Mix",
ISNUMBER(SEARCH("southern gold",E782)),"Southern Gold Mix",
ISNUMBER(SEARCH("heat-tolerant blue",E782)),"Heat-Tolerant Blue Mix",
ISNUMBER(SEARCH("high traffic",E782)),"High Traffic Mix",
ISNUMBER(SEARCH("quick fix",E782)),"Quick Fix Mix",
ISNUMBER(SEARCH("starter",E782)),"Starter Fertilizer",
ISNUMBER(SEARCH("weed &amp; feed",E782)),"Weed &amp; Feed",
ISNUMBER(SEARCH("lawn food",E782)),"Lawn Food",
ISNUMBER(SEARCH("triple action",E782)),"Triple Action Fertilizer",
ISNUMBER(SEARCH("green max",E782)),"Green Max Lawn Food",
ISNUMBER(SEARCH("patchmaster",E782)),"PatchMaster Repair",
ISNUMBER(SEARCH("ez seed",E782)),"EZ Seed Repair",
ISNUMBER(SEARCH("rapid grass",E782)),"Rapid Grass",
ISNUMBER(SEARCH("thick'r lawn",E782)),"Thick'R Lawn",
ISNUMBER(SEARCH("fungicide",E782)),"Fungicide",
ISNUMBER(SEARCH("moss",E782)),"Moss Control",
ISNUMBER(SEARCH("perlite",E782)),"Perlite",
ISNUMBER(SEARCH("plant food",E782)),"Plant Food",
ISNUMBER(SEARCH("spreader",E782)),"Spreader",
ISNUMBER(SEARCH("sprayer",E782)),"Sprayer",
ISNUMBER(SEARCH("mower",E782)),"Lawn Mower",
ISNUMBER(SEARCH("sweeper",E782)),"Lawn Sweeper",
OR(ISNUMBER(SEARCH("pruner",E782)),ISNUMBER(SEARCH("trimmer",E782)),ISNUMBER(SEARCH("pole saw",E782))),"Pruning Tools",
TRUE,"Other"
)</f>
        <v>Roach Traps</v>
      </c>
      <c r="J782" s="7" t="str">
        <f t="shared" si="228"/>
        <v>Flying Insect Control - Roach Traps</v>
      </c>
      <c r="K782" s="4">
        <v>1000</v>
      </c>
      <c r="L782" s="4">
        <v>4.0999999999999996</v>
      </c>
      <c r="M782" s="4">
        <v>3970</v>
      </c>
      <c r="N782" s="4" t="s">
        <v>3664</v>
      </c>
      <c r="O782" s="4">
        <f>VLOOKUP(A782,[15]Sheet1!$A:$M,2,0)</f>
        <v>300</v>
      </c>
      <c r="P782" s="4">
        <f>VLOOKUP(A782,[15]Sheet1!$A:$M,3,0)</f>
        <v>300</v>
      </c>
      <c r="Q782" s="4">
        <f>VLOOKUP(A782,[15]Sheet1!$A:$M,4,0)</f>
        <v>1000</v>
      </c>
      <c r="R782" s="4">
        <f>VLOOKUP(A782,[15]Sheet1!$A:$M,5,0)</f>
        <v>1000</v>
      </c>
      <c r="S782" s="4">
        <f>VLOOKUP(A782,[15]Sheet1!$A:$M,6,0)</f>
        <v>1000</v>
      </c>
      <c r="T782" s="4">
        <f>VLOOKUP(A782,[15]Sheet1!$A:$M,7,0)</f>
        <v>1000</v>
      </c>
      <c r="U782" s="4">
        <f>VLOOKUP(A782,[15]Sheet1!$A:$M,8,0)</f>
        <v>1000</v>
      </c>
      <c r="V782" s="4">
        <f>VLOOKUP(A782,[15]Sheet1!$A:$M,9,0)</f>
        <v>1000</v>
      </c>
      <c r="W782" s="4">
        <f>VLOOKUP(A782,[15]Sheet1!$A:$M,10,0)</f>
        <v>1000</v>
      </c>
      <c r="X782" s="4">
        <f>VLOOKUP(A782,[15]Sheet1!$A:$M,11,0)</f>
        <v>2000</v>
      </c>
      <c r="Y782" s="4">
        <f>VLOOKUP(A782,[15]Sheet1!$A:$M,12,0)</f>
        <v>1000</v>
      </c>
      <c r="Z782" s="4">
        <f>VLOOKUP(A782,[15]Sheet1!$A:$M,13,0)</f>
        <v>300</v>
      </c>
      <c r="AA782" s="4">
        <f t="shared" si="229"/>
        <v>10900</v>
      </c>
      <c r="AB782" s="7">
        <f t="shared" si="230"/>
        <v>908</v>
      </c>
      <c r="AC782" s="15">
        <f t="shared" si="231"/>
        <v>908.33333333333337</v>
      </c>
      <c r="AD782" s="16">
        <f t="shared" si="232"/>
        <v>304982</v>
      </c>
      <c r="AE782" s="16">
        <f t="shared" si="233"/>
        <v>25415.166666666668</v>
      </c>
      <c r="AF782" s="21">
        <v>9.1999999999999993</v>
      </c>
      <c r="AG782" s="21">
        <v>27.98</v>
      </c>
      <c r="AH782" s="15">
        <f t="shared" si="226"/>
        <v>6.6133333333333391E-2</v>
      </c>
      <c r="AI782" s="15">
        <f t="shared" si="227"/>
        <v>0.23146666666666685</v>
      </c>
      <c r="AJ782" s="10">
        <v>0.5</v>
      </c>
      <c r="AK782" s="10">
        <v>0.5</v>
      </c>
      <c r="AL782" s="21">
        <v>9.1999999999999993</v>
      </c>
      <c r="AM782" s="9">
        <f t="shared" si="234"/>
        <v>4.1970000000000001</v>
      </c>
      <c r="AN782" s="9">
        <f t="shared" si="235"/>
        <v>0.83940000000000003</v>
      </c>
      <c r="AO782" s="9">
        <f t="shared" si="236"/>
        <v>5.5960000000000001</v>
      </c>
      <c r="AP782" s="9">
        <f t="shared" si="237"/>
        <v>0.55959999999999999</v>
      </c>
      <c r="AQ782" s="9">
        <f t="shared" si="238"/>
        <v>5.5960000000000001</v>
      </c>
      <c r="AR782" s="9">
        <f t="shared" si="239"/>
        <v>6.9950000000000001</v>
      </c>
      <c r="AS782" s="11">
        <f t="shared" si="240"/>
        <v>0.66133333333333388</v>
      </c>
      <c r="AT782" s="12">
        <f t="shared" si="241"/>
        <v>-0.27133333333333276</v>
      </c>
    </row>
    <row r="783" spans="1:46" ht="16.5" x14ac:dyDescent="0.4">
      <c r="A783" s="4" t="s">
        <v>3497</v>
      </c>
      <c r="B783" s="4" t="s">
        <v>3526</v>
      </c>
      <c r="C783" s="4" t="s">
        <v>3528</v>
      </c>
      <c r="D783" s="4" t="s">
        <v>3547</v>
      </c>
      <c r="E783" s="4" t="s">
        <v>3589</v>
      </c>
      <c r="F783" s="4" t="s">
        <v>3631</v>
      </c>
      <c r="G783" s="7" t="str">
        <f>VLOOKUP(A783,[1]done!$A:$I,9,0)</f>
        <v>Bed Bug repellent</v>
      </c>
      <c r="H783" s="7" t="str" cm="1">
        <f t="array" ref="H783">_xlfn.IFS(
OR(ISNUMBER(SEARCH("mouse",E783)),ISNUMBER(SEARCH("rat",E783)),ISNUMBER(SEARCH("mice",E783)),ISNUMBER(SEARCH("rodent",E783))),"Rodent Control",
OR(ISNUMBER(SEARCH("fly",E783)),ISNUMBER(SEARCH("gnat",E783)),ISNUMBER(SEARCH("insect",E783)),ISNUMBER(SEARCH("mosquito",E783))),"Flying Insect Control",
OR(ISNUMBER(SEARCH("roach",E783)),ISNUMBER(SEARCH("ant",E783)),ISNUMBER(SEARCH("spider",E783)),ISNUMBER(SEARCH("cricket",E783)),ISNUMBER(SEARCH("scorpion",E783)),ISNUMBER(SEARCH("centipede",E783)),ISNUMBER(SEARCH("beetle",E783))),"Crawling Insect Control",
OR(ISNUMBER(SEARCH("tree",E783)),ISNUMBER(SEARCH("lantern",E783)),ISNUMBER(SEARCH("garden",E783)),ISNUMBER(SEARCH("plant",E783))),"Garden Pest Control",
OR(ISNUMBER(SEARCH("grass seed",E783)),ISNUMBER(SEARCH("seed mix",E783))),"Grass Seed",
OR(ISNUMBER(SEARCH("lawn food",E783)),ISNUMBER(SEARCH("fertilizer",E783))),"Lawn Fertilizer",
OR(ISNUMBER(SEARCH("patch",E783)),ISNUMBER(SEARCH("repair",E783)),ISNUMBER(SEARCH("thick'r",E783)),ISNUMBER(SEARCH("thick'r lawn",E783)),ISNUMBER(SEARCH("rapid grass",E783))),"Lawn Repair",
OR(ISNUMBER(SEARCH("weed",E783)),ISNUMBER(SEARCH("crabgrass",E783))),"Weed Control",
OR(ISNUMBER(SEARCH("fungicide",E783)),ISNUMBER(SEARCH("moss",E783))),"Disease &amp; Moss Control",
OR(ISNUMBER(SEARCH("plant food",E783)),ISNUMBER(SEARCH("miracid",E783))),"Plant Nutrition",
OR(ISNUMBER(SEARCH("perlite",E783))),"Soil Amendment",
OR(ISNUMBER(SEARCH("spreader",E783)),ISNUMBER(SEARCH("sprayer",E783)),ISNUMBER(SEARCH("mower",E783)),ISNUMBER(SEARCH("sweeper",E783)),ISNUMBER(SEARCH("pruner",E783)),ISNUMBER(SEARCH("trimmer",E783)),ISNUMBER(SEARCH("pole saw",E783))),"Garden Equipment",
TRUE,"Other"
)</f>
        <v>Other</v>
      </c>
      <c r="I783" s="7" t="str" cm="1">
        <f t="array" ref="I783">_xlfn.IFS(
OR(ISNUMBER(SEARCH("glue trap",E783)),ISNUMBER(SEARCH("glue board",E783))),"Glue Traps",
OR(ISNUMBER(SEARCH("snap trap",E783)),ISNUMBER(SEARCH("power-kill",E783)),ISNUMBER(SEARCH("wide pedal",E783)),ISNUMBER(SEARCH("metal pedal",E783))),"Snap Traps",
OR(ISNUMBER(SEARCH("electronic",E783)),ISNUMBER(SEARCH("zapper",E783))),"Electronic Traps",
OR(ISNUMBER(SEARCH("live catch",E783)),ISNUMBER(SEARCH("multi-catch",E783)),ISNUMBER(SEARCH("catch &amp; hold",E783)),ISNUMBER(SEARCH("tin cat",E783))),"Live Catch Traps",
OR(ISNUMBER(SEARCH("bait",E783)),ISNUMBER(SEARCH("poison",E783))),"Bait &amp; Poison",
ISNUMBER(SEARCH("repellent",E783)),"Repellents",
OR(ISNUMBER(SEARCH("fly trap",E783)),ISNUMBER(SEARCH("fly ribbon",E783)),ISNUMBER(SEARCH("fly stick",E783)),ISNUMBER(SEARCH("window fly",E783)),ISNUMBER(SEARCH("fly magnet",E783))),"Fly Traps",
OR(ISNUMBER(SEARCH("uv",E783)),ISNUMBER(SEARCH("fly light",E783)),ISNUMBER(SEARCH("plug-in",E783))),"UV Fly Traps",
ISNUMBER(SEARCH("roach",E783)),"Roach Traps",
ISNUMBER(SEARCH("ant",E783)),"Ant Traps",
ISNUMBER(SEARCH("spider",E783)),"Spider Traps",
ISNUMBER(SEARCH("mosquito",E783)),"Mosquito Traps",
ISNUMBER(SEARCH("beetle",E783)),"Beetle Traps",
ISNUMBER(SEARCH("lantern",E783)),"Lanternfly Control",
OR(ISNUMBER(SEARCH("tree shield",E783)),ISNUMBER(SEARCH("tree banding",E783)),ISNUMBER(SEARCH("insect barrier",E783))),"Tree Barriers",
OR(ISNUMBER(SEARCH("sun &amp; shade",E783)),ISNUMBER(SEARCH("sun and shade",E783))),"Sun &amp; Shade Mix",
ISNUMBER(SEARCH("tall fescue",E783)),"Tall Fescue",
ISNUMBER(SEARCH("bermudagrass",E783)),"Bermudagrass",
ISNUMBER(SEARCH("kentucky",E783)),"Kentucky Bluegrass",
ISNUMBER(SEARCH("zoysia",E783)),"Zoysia",
ISNUMBER(SEARCH("ryegrass",E783)),"Perennial Ryegrass",
ISNUMBER(SEARCH("centipede",E783)),"Centipede Grass",
ISNUMBER(SEARCH("dense shade",E783)),"Dense Shade Mix",
ISNUMBER(SEARCH("southern gold",E783)),"Southern Gold Mix",
ISNUMBER(SEARCH("heat-tolerant blue",E783)),"Heat-Tolerant Blue Mix",
ISNUMBER(SEARCH("high traffic",E783)),"High Traffic Mix",
ISNUMBER(SEARCH("quick fix",E783)),"Quick Fix Mix",
ISNUMBER(SEARCH("starter",E783)),"Starter Fertilizer",
ISNUMBER(SEARCH("weed &amp; feed",E783)),"Weed &amp; Feed",
ISNUMBER(SEARCH("lawn food",E783)),"Lawn Food",
ISNUMBER(SEARCH("triple action",E783)),"Triple Action Fertilizer",
ISNUMBER(SEARCH("green max",E783)),"Green Max Lawn Food",
ISNUMBER(SEARCH("patchmaster",E783)),"PatchMaster Repair",
ISNUMBER(SEARCH("ez seed",E783)),"EZ Seed Repair",
ISNUMBER(SEARCH("rapid grass",E783)),"Rapid Grass",
ISNUMBER(SEARCH("thick'r lawn",E783)),"Thick'R Lawn",
ISNUMBER(SEARCH("fungicide",E783)),"Fungicide",
ISNUMBER(SEARCH("moss",E783)),"Moss Control",
ISNUMBER(SEARCH("perlite",E783)),"Perlite",
ISNUMBER(SEARCH("plant food",E783)),"Plant Food",
ISNUMBER(SEARCH("spreader",E783)),"Spreader",
ISNUMBER(SEARCH("sprayer",E783)),"Sprayer",
ISNUMBER(SEARCH("mower",E783)),"Lawn Mower",
ISNUMBER(SEARCH("sweeper",E783)),"Lawn Sweeper",
OR(ISNUMBER(SEARCH("pruner",E783)),ISNUMBER(SEARCH("trimmer",E783)),ISNUMBER(SEARCH("pole saw",E783))),"Pruning Tools",
TRUE,"Other"
)</f>
        <v>Other</v>
      </c>
      <c r="J783" s="7" t="str">
        <f t="shared" si="228"/>
        <v>Other - Other</v>
      </c>
      <c r="K783" s="4">
        <v>1000</v>
      </c>
      <c r="L783" s="4">
        <v>3.9</v>
      </c>
      <c r="M783" s="4">
        <v>9710</v>
      </c>
      <c r="N783" s="4" t="s">
        <v>1545</v>
      </c>
      <c r="O783" s="4">
        <f>VLOOKUP(A783,[15]Sheet1!$A:$M,2,0)</f>
        <v>1000</v>
      </c>
      <c r="P783" s="4">
        <f>VLOOKUP(A783,[15]Sheet1!$A:$M,3,0)</f>
        <v>800</v>
      </c>
      <c r="Q783" s="4">
        <f>VLOOKUP(A783,[15]Sheet1!$A:$M,4,0)</f>
        <v>1000</v>
      </c>
      <c r="R783" s="4">
        <f>VLOOKUP(A783,[15]Sheet1!$A:$M,5,0)</f>
        <v>1000</v>
      </c>
      <c r="S783" s="4">
        <f>VLOOKUP(A783,[15]Sheet1!$A:$M,6,0)</f>
        <v>1000</v>
      </c>
      <c r="T783" s="4">
        <f>VLOOKUP(A783,[15]Sheet1!$A:$M,7,0)</f>
        <v>1000</v>
      </c>
      <c r="U783" s="4">
        <f>VLOOKUP(A783,[15]Sheet1!$A:$M,8,0)</f>
        <v>50</v>
      </c>
      <c r="V783" s="4">
        <f>VLOOKUP(A783,[15]Sheet1!$A:$M,9,0)</f>
        <v>100</v>
      </c>
      <c r="W783" s="4">
        <f>VLOOKUP(A783,[15]Sheet1!$A:$M,10,0)</f>
        <v>1000</v>
      </c>
      <c r="X783" s="4">
        <f>VLOOKUP(A783,[15]Sheet1!$A:$M,11,0)</f>
        <v>2000</v>
      </c>
      <c r="Y783" s="4">
        <f>VLOOKUP(A783,[15]Sheet1!$A:$M,12,0)</f>
        <v>1000</v>
      </c>
      <c r="Z783" s="4">
        <f>VLOOKUP(A783,[15]Sheet1!$A:$M,13,0)</f>
        <v>1000</v>
      </c>
      <c r="AA783" s="4">
        <f t="shared" si="229"/>
        <v>10950</v>
      </c>
      <c r="AB783" s="7">
        <f t="shared" si="230"/>
        <v>913</v>
      </c>
      <c r="AC783" s="15">
        <f t="shared" si="231"/>
        <v>912.5</v>
      </c>
      <c r="AD783" s="16">
        <f t="shared" si="232"/>
        <v>54531.000000000007</v>
      </c>
      <c r="AE783" s="16">
        <f t="shared" si="233"/>
        <v>4544.25</v>
      </c>
      <c r="AF783" s="21">
        <v>2.52</v>
      </c>
      <c r="AG783" s="21">
        <v>4.9800000000000004</v>
      </c>
      <c r="AH783" s="15">
        <f t="shared" si="226"/>
        <v>-0.10186666666666666</v>
      </c>
      <c r="AI783" s="15">
        <f t="shared" si="227"/>
        <v>-0.35653333333333331</v>
      </c>
      <c r="AJ783" s="10">
        <v>0.5</v>
      </c>
      <c r="AK783" s="10">
        <v>0.5</v>
      </c>
      <c r="AL783" s="21">
        <v>2.52</v>
      </c>
      <c r="AM783" s="9">
        <f t="shared" si="234"/>
        <v>0.747</v>
      </c>
      <c r="AN783" s="9">
        <f t="shared" si="235"/>
        <v>0.14940000000000001</v>
      </c>
      <c r="AO783" s="9">
        <f t="shared" si="236"/>
        <v>0.99600000000000011</v>
      </c>
      <c r="AP783" s="9">
        <f t="shared" si="237"/>
        <v>9.9600000000000008E-2</v>
      </c>
      <c r="AQ783" s="9">
        <f t="shared" si="238"/>
        <v>0.99600000000000011</v>
      </c>
      <c r="AR783" s="9">
        <f t="shared" si="239"/>
        <v>1.2450000000000001</v>
      </c>
      <c r="AS783" s="11">
        <f t="shared" si="240"/>
        <v>-1.0186666666666666</v>
      </c>
      <c r="AT783" s="12">
        <f t="shared" si="241"/>
        <v>-1.1846666666666668</v>
      </c>
    </row>
    <row r="784" spans="1:46" ht="16.5" x14ac:dyDescent="0.4">
      <c r="A784" s="4" t="s">
        <v>3498</v>
      </c>
      <c r="B784" s="4" t="s">
        <v>3526</v>
      </c>
      <c r="C784" s="4" t="s">
        <v>3528</v>
      </c>
      <c r="D784" s="4" t="s">
        <v>3548</v>
      </c>
      <c r="E784" s="4" t="s">
        <v>3590</v>
      </c>
      <c r="F784" s="4" t="s">
        <v>3632</v>
      </c>
      <c r="G784" s="7" t="str">
        <f>VLOOKUP(A784,[1]done!$A:$I,9,0)</f>
        <v>Cockroach</v>
      </c>
      <c r="H784" s="7" t="str" cm="1">
        <f t="array" ref="H784">_xlfn.IFS(
OR(ISNUMBER(SEARCH("mouse",E784)),ISNUMBER(SEARCH("rat",E784)),ISNUMBER(SEARCH("mice",E784)),ISNUMBER(SEARCH("rodent",E784))),"Rodent Control",
OR(ISNUMBER(SEARCH("fly",E784)),ISNUMBER(SEARCH("gnat",E784)),ISNUMBER(SEARCH("insect",E784)),ISNUMBER(SEARCH("mosquito",E784))),"Flying Insect Control",
OR(ISNUMBER(SEARCH("roach",E784)),ISNUMBER(SEARCH("ant",E784)),ISNUMBER(SEARCH("spider",E784)),ISNUMBER(SEARCH("cricket",E784)),ISNUMBER(SEARCH("scorpion",E784)),ISNUMBER(SEARCH("centipede",E784)),ISNUMBER(SEARCH("beetle",E784))),"Crawling Insect Control",
OR(ISNUMBER(SEARCH("tree",E784)),ISNUMBER(SEARCH("lantern",E784)),ISNUMBER(SEARCH("garden",E784)),ISNUMBER(SEARCH("plant",E784))),"Garden Pest Control",
OR(ISNUMBER(SEARCH("grass seed",E784)),ISNUMBER(SEARCH("seed mix",E784))),"Grass Seed",
OR(ISNUMBER(SEARCH("lawn food",E784)),ISNUMBER(SEARCH("fertilizer",E784))),"Lawn Fertilizer",
OR(ISNUMBER(SEARCH("patch",E784)),ISNUMBER(SEARCH("repair",E784)),ISNUMBER(SEARCH("thick'r",E784)),ISNUMBER(SEARCH("thick'r lawn",E784)),ISNUMBER(SEARCH("rapid grass",E784))),"Lawn Repair",
OR(ISNUMBER(SEARCH("weed",E784)),ISNUMBER(SEARCH("crabgrass",E784))),"Weed Control",
OR(ISNUMBER(SEARCH("fungicide",E784)),ISNUMBER(SEARCH("moss",E784))),"Disease &amp; Moss Control",
OR(ISNUMBER(SEARCH("plant food",E784)),ISNUMBER(SEARCH("miracid",E784))),"Plant Nutrition",
OR(ISNUMBER(SEARCH("perlite",E784))),"Soil Amendment",
OR(ISNUMBER(SEARCH("spreader",E784)),ISNUMBER(SEARCH("sprayer",E784)),ISNUMBER(SEARCH("mower",E784)),ISNUMBER(SEARCH("sweeper",E784)),ISNUMBER(SEARCH("pruner",E784)),ISNUMBER(SEARCH("trimmer",E784)),ISNUMBER(SEARCH("pole saw",E784))),"Garden Equipment",
TRUE,"Other"
)</f>
        <v>Crawling Insect Control</v>
      </c>
      <c r="I784" s="7" t="str" cm="1">
        <f t="array" ref="I784">_xlfn.IFS(
OR(ISNUMBER(SEARCH("glue trap",E784)),ISNUMBER(SEARCH("glue board",E784))),"Glue Traps",
OR(ISNUMBER(SEARCH("snap trap",E784)),ISNUMBER(SEARCH("power-kill",E784)),ISNUMBER(SEARCH("wide pedal",E784)),ISNUMBER(SEARCH("metal pedal",E784))),"Snap Traps",
OR(ISNUMBER(SEARCH("electronic",E784)),ISNUMBER(SEARCH("zapper",E784))),"Electronic Traps",
OR(ISNUMBER(SEARCH("live catch",E784)),ISNUMBER(SEARCH("multi-catch",E784)),ISNUMBER(SEARCH("catch &amp; hold",E784)),ISNUMBER(SEARCH("tin cat",E784))),"Live Catch Traps",
OR(ISNUMBER(SEARCH("bait",E784)),ISNUMBER(SEARCH("poison",E784))),"Bait &amp; Poison",
ISNUMBER(SEARCH("repellent",E784)),"Repellents",
OR(ISNUMBER(SEARCH("fly trap",E784)),ISNUMBER(SEARCH("fly ribbon",E784)),ISNUMBER(SEARCH("fly stick",E784)),ISNUMBER(SEARCH("window fly",E784)),ISNUMBER(SEARCH("fly magnet",E784))),"Fly Traps",
OR(ISNUMBER(SEARCH("uv",E784)),ISNUMBER(SEARCH("fly light",E784)),ISNUMBER(SEARCH("plug-in",E784))),"UV Fly Traps",
ISNUMBER(SEARCH("roach",E784)),"Roach Traps",
ISNUMBER(SEARCH("ant",E784)),"Ant Traps",
ISNUMBER(SEARCH("spider",E784)),"Spider Traps",
ISNUMBER(SEARCH("mosquito",E784)),"Mosquito Traps",
ISNUMBER(SEARCH("beetle",E784)),"Beetle Traps",
ISNUMBER(SEARCH("lantern",E784)),"Lanternfly Control",
OR(ISNUMBER(SEARCH("tree shield",E784)),ISNUMBER(SEARCH("tree banding",E784)),ISNUMBER(SEARCH("insect barrier",E784))),"Tree Barriers",
OR(ISNUMBER(SEARCH("sun &amp; shade",E784)),ISNUMBER(SEARCH("sun and shade",E784))),"Sun &amp; Shade Mix",
ISNUMBER(SEARCH("tall fescue",E784)),"Tall Fescue",
ISNUMBER(SEARCH("bermudagrass",E784)),"Bermudagrass",
ISNUMBER(SEARCH("kentucky",E784)),"Kentucky Bluegrass",
ISNUMBER(SEARCH("zoysia",E784)),"Zoysia",
ISNUMBER(SEARCH("ryegrass",E784)),"Perennial Ryegrass",
ISNUMBER(SEARCH("centipede",E784)),"Centipede Grass",
ISNUMBER(SEARCH("dense shade",E784)),"Dense Shade Mix",
ISNUMBER(SEARCH("southern gold",E784)),"Southern Gold Mix",
ISNUMBER(SEARCH("heat-tolerant blue",E784)),"Heat-Tolerant Blue Mix",
ISNUMBER(SEARCH("high traffic",E784)),"High Traffic Mix",
ISNUMBER(SEARCH("quick fix",E784)),"Quick Fix Mix",
ISNUMBER(SEARCH("starter",E784)),"Starter Fertilizer",
ISNUMBER(SEARCH("weed &amp; feed",E784)),"Weed &amp; Feed",
ISNUMBER(SEARCH("lawn food",E784)),"Lawn Food",
ISNUMBER(SEARCH("triple action",E784)),"Triple Action Fertilizer",
ISNUMBER(SEARCH("green max",E784)),"Green Max Lawn Food",
ISNUMBER(SEARCH("patchmaster",E784)),"PatchMaster Repair",
ISNUMBER(SEARCH("ez seed",E784)),"EZ Seed Repair",
ISNUMBER(SEARCH("rapid grass",E784)),"Rapid Grass",
ISNUMBER(SEARCH("thick'r lawn",E784)),"Thick'R Lawn",
ISNUMBER(SEARCH("fungicide",E784)),"Fungicide",
ISNUMBER(SEARCH("moss",E784)),"Moss Control",
ISNUMBER(SEARCH("perlite",E784)),"Perlite",
ISNUMBER(SEARCH("plant food",E784)),"Plant Food",
ISNUMBER(SEARCH("spreader",E784)),"Spreader",
ISNUMBER(SEARCH("sprayer",E784)),"Sprayer",
ISNUMBER(SEARCH("mower",E784)),"Lawn Mower",
ISNUMBER(SEARCH("sweeper",E784)),"Lawn Sweeper",
OR(ISNUMBER(SEARCH("pruner",E784)),ISNUMBER(SEARCH("trimmer",E784)),ISNUMBER(SEARCH("pole saw",E784))),"Pruning Tools",
TRUE,"Other"
)</f>
        <v>Roach Traps</v>
      </c>
      <c r="J784" s="7" t="str">
        <f t="shared" si="228"/>
        <v>Crawling Insect Control - Roach Traps</v>
      </c>
      <c r="K784" s="4">
        <v>1000</v>
      </c>
      <c r="L784" s="4">
        <v>3.7</v>
      </c>
      <c r="M784" s="4">
        <v>8523</v>
      </c>
      <c r="N784" s="4" t="s">
        <v>3667</v>
      </c>
      <c r="O784" s="4">
        <f>VLOOKUP(A784,[15]Sheet1!$A:$M,2,0)</f>
        <v>1000</v>
      </c>
      <c r="P784" s="4">
        <f>VLOOKUP(A784,[15]Sheet1!$A:$M,3,0)</f>
        <v>1000</v>
      </c>
      <c r="Q784" s="4">
        <f>VLOOKUP(A784,[15]Sheet1!$A:$M,4,0)</f>
        <v>900</v>
      </c>
      <c r="R784" s="4">
        <f>VLOOKUP(A784,[15]Sheet1!$A:$M,5,0)</f>
        <v>800</v>
      </c>
      <c r="S784" s="4">
        <f>VLOOKUP(A784,[15]Sheet1!$A:$M,6,0)</f>
        <v>850</v>
      </c>
      <c r="T784" s="4">
        <f>VLOOKUP(A784,[15]Sheet1!$A:$M,7,0)</f>
        <v>1000</v>
      </c>
      <c r="U784" s="4">
        <f>VLOOKUP(A784,[15]Sheet1!$A:$M,8,0)</f>
        <v>1000</v>
      </c>
      <c r="V784" s="4">
        <f>VLOOKUP(A784,[15]Sheet1!$A:$M,9,0)</f>
        <v>1000</v>
      </c>
      <c r="W784" s="4">
        <f>VLOOKUP(A784,[15]Sheet1!$A:$M,10,0)</f>
        <v>1000</v>
      </c>
      <c r="X784" s="4">
        <f>VLOOKUP(A784,[15]Sheet1!$A:$M,11,0)</f>
        <v>2000</v>
      </c>
      <c r="Y784" s="4">
        <f>VLOOKUP(A784,[15]Sheet1!$A:$M,12,0)</f>
        <v>2000</v>
      </c>
      <c r="Z784" s="4">
        <f>VLOOKUP(A784,[15]Sheet1!$A:$M,13,0)</f>
        <v>1000</v>
      </c>
      <c r="AA784" s="4">
        <f t="shared" si="229"/>
        <v>13550</v>
      </c>
      <c r="AB784" s="7">
        <f t="shared" si="230"/>
        <v>1129</v>
      </c>
      <c r="AC784" s="15">
        <f t="shared" si="231"/>
        <v>1129.1666666666667</v>
      </c>
      <c r="AD784" s="16">
        <f t="shared" si="232"/>
        <v>243764.49999999997</v>
      </c>
      <c r="AE784" s="16">
        <f t="shared" si="233"/>
        <v>20313.708333333332</v>
      </c>
      <c r="AF784" s="21">
        <v>9.1999999999999993</v>
      </c>
      <c r="AG784" s="21">
        <v>17.989999999999998</v>
      </c>
      <c r="AH784" s="15">
        <f t="shared" si="226"/>
        <v>-0.2002666666666667</v>
      </c>
      <c r="AI784" s="15">
        <f t="shared" si="227"/>
        <v>-0.7009333333333333</v>
      </c>
      <c r="AJ784" s="10">
        <v>0.5</v>
      </c>
      <c r="AK784" s="10">
        <v>0.5</v>
      </c>
      <c r="AL784" s="21">
        <v>9.1999999999999993</v>
      </c>
      <c r="AM784" s="9">
        <f t="shared" si="234"/>
        <v>2.6984999999999997</v>
      </c>
      <c r="AN784" s="9">
        <f t="shared" si="235"/>
        <v>0.53969999999999996</v>
      </c>
      <c r="AO784" s="9">
        <f t="shared" si="236"/>
        <v>3.5979999999999999</v>
      </c>
      <c r="AP784" s="9">
        <f t="shared" si="237"/>
        <v>0.35979999999999995</v>
      </c>
      <c r="AQ784" s="9">
        <f t="shared" si="238"/>
        <v>3.5979999999999999</v>
      </c>
      <c r="AR784" s="9">
        <f t="shared" si="239"/>
        <v>4.4974999999999996</v>
      </c>
      <c r="AS784" s="11">
        <f t="shared" si="240"/>
        <v>-2.0026666666666668</v>
      </c>
      <c r="AT784" s="12">
        <f t="shared" si="241"/>
        <v>-2.6023333333333336</v>
      </c>
    </row>
    <row r="785" spans="1:46" ht="16.5" x14ac:dyDescent="0.4">
      <c r="A785" s="4" t="s">
        <v>3499</v>
      </c>
      <c r="B785" s="4" t="s">
        <v>3526</v>
      </c>
      <c r="C785" s="4" t="s">
        <v>3528</v>
      </c>
      <c r="D785" s="4" t="s">
        <v>3549</v>
      </c>
      <c r="E785" s="4" t="s">
        <v>3591</v>
      </c>
      <c r="F785" s="4" t="s">
        <v>3633</v>
      </c>
      <c r="G785" s="7" t="str">
        <f>VLOOKUP(A785,[1]done!$A:$I,9,0)</f>
        <v>Cockroach</v>
      </c>
      <c r="H785" s="7" t="str" cm="1">
        <f t="array" ref="H785">_xlfn.IFS(
OR(ISNUMBER(SEARCH("mouse",E785)),ISNUMBER(SEARCH("rat",E785)),ISNUMBER(SEARCH("mice",E785)),ISNUMBER(SEARCH("rodent",E785))),"Rodent Control",
OR(ISNUMBER(SEARCH("fly",E785)),ISNUMBER(SEARCH("gnat",E785)),ISNUMBER(SEARCH("insect",E785)),ISNUMBER(SEARCH("mosquito",E785))),"Flying Insect Control",
OR(ISNUMBER(SEARCH("roach",E785)),ISNUMBER(SEARCH("ant",E785)),ISNUMBER(SEARCH("spider",E785)),ISNUMBER(SEARCH("cricket",E785)),ISNUMBER(SEARCH("scorpion",E785)),ISNUMBER(SEARCH("centipede",E785)),ISNUMBER(SEARCH("beetle",E785))),"Crawling Insect Control",
OR(ISNUMBER(SEARCH("tree",E785)),ISNUMBER(SEARCH("lantern",E785)),ISNUMBER(SEARCH("garden",E785)),ISNUMBER(SEARCH("plant",E785))),"Garden Pest Control",
OR(ISNUMBER(SEARCH("grass seed",E785)),ISNUMBER(SEARCH("seed mix",E785))),"Grass Seed",
OR(ISNUMBER(SEARCH("lawn food",E785)),ISNUMBER(SEARCH("fertilizer",E785))),"Lawn Fertilizer",
OR(ISNUMBER(SEARCH("patch",E785)),ISNUMBER(SEARCH("repair",E785)),ISNUMBER(SEARCH("thick'r",E785)),ISNUMBER(SEARCH("thick'r lawn",E785)),ISNUMBER(SEARCH("rapid grass",E785))),"Lawn Repair",
OR(ISNUMBER(SEARCH("weed",E785)),ISNUMBER(SEARCH("crabgrass",E785))),"Weed Control",
OR(ISNUMBER(SEARCH("fungicide",E785)),ISNUMBER(SEARCH("moss",E785))),"Disease &amp; Moss Control",
OR(ISNUMBER(SEARCH("plant food",E785)),ISNUMBER(SEARCH("miracid",E785))),"Plant Nutrition",
OR(ISNUMBER(SEARCH("perlite",E785))),"Soil Amendment",
OR(ISNUMBER(SEARCH("spreader",E785)),ISNUMBER(SEARCH("sprayer",E785)),ISNUMBER(SEARCH("mower",E785)),ISNUMBER(SEARCH("sweeper",E785)),ISNUMBER(SEARCH("pruner",E785)),ISNUMBER(SEARCH("trimmer",E785)),ISNUMBER(SEARCH("pole saw",E785))),"Garden Equipment",
TRUE,"Other"
)</f>
        <v>Crawling Insect Control</v>
      </c>
      <c r="I785" s="7" t="str" cm="1">
        <f t="array" ref="I785">_xlfn.IFS(
OR(ISNUMBER(SEARCH("glue trap",E785)),ISNUMBER(SEARCH("glue board",E785))),"Glue Traps",
OR(ISNUMBER(SEARCH("snap trap",E785)),ISNUMBER(SEARCH("power-kill",E785)),ISNUMBER(SEARCH("wide pedal",E785)),ISNUMBER(SEARCH("metal pedal",E785))),"Snap Traps",
OR(ISNUMBER(SEARCH("electronic",E785)),ISNUMBER(SEARCH("zapper",E785))),"Electronic Traps",
OR(ISNUMBER(SEARCH("live catch",E785)),ISNUMBER(SEARCH("multi-catch",E785)),ISNUMBER(SEARCH("catch &amp; hold",E785)),ISNUMBER(SEARCH("tin cat",E785))),"Live Catch Traps",
OR(ISNUMBER(SEARCH("bait",E785)),ISNUMBER(SEARCH("poison",E785))),"Bait &amp; Poison",
ISNUMBER(SEARCH("repellent",E785)),"Repellents",
OR(ISNUMBER(SEARCH("fly trap",E785)),ISNUMBER(SEARCH("fly ribbon",E785)),ISNUMBER(SEARCH("fly stick",E785)),ISNUMBER(SEARCH("window fly",E785)),ISNUMBER(SEARCH("fly magnet",E785))),"Fly Traps",
OR(ISNUMBER(SEARCH("uv",E785)),ISNUMBER(SEARCH("fly light",E785)),ISNUMBER(SEARCH("plug-in",E785))),"UV Fly Traps",
ISNUMBER(SEARCH("roach",E785)),"Roach Traps",
ISNUMBER(SEARCH("ant",E785)),"Ant Traps",
ISNUMBER(SEARCH("spider",E785)),"Spider Traps",
ISNUMBER(SEARCH("mosquito",E785)),"Mosquito Traps",
ISNUMBER(SEARCH("beetle",E785)),"Beetle Traps",
ISNUMBER(SEARCH("lantern",E785)),"Lanternfly Control",
OR(ISNUMBER(SEARCH("tree shield",E785)),ISNUMBER(SEARCH("tree banding",E785)),ISNUMBER(SEARCH("insect barrier",E785))),"Tree Barriers",
OR(ISNUMBER(SEARCH("sun &amp; shade",E785)),ISNUMBER(SEARCH("sun and shade",E785))),"Sun &amp; Shade Mix",
ISNUMBER(SEARCH("tall fescue",E785)),"Tall Fescue",
ISNUMBER(SEARCH("bermudagrass",E785)),"Bermudagrass",
ISNUMBER(SEARCH("kentucky",E785)),"Kentucky Bluegrass",
ISNUMBER(SEARCH("zoysia",E785)),"Zoysia",
ISNUMBER(SEARCH("ryegrass",E785)),"Perennial Ryegrass",
ISNUMBER(SEARCH("centipede",E785)),"Centipede Grass",
ISNUMBER(SEARCH("dense shade",E785)),"Dense Shade Mix",
ISNUMBER(SEARCH("southern gold",E785)),"Southern Gold Mix",
ISNUMBER(SEARCH("heat-tolerant blue",E785)),"Heat-Tolerant Blue Mix",
ISNUMBER(SEARCH("high traffic",E785)),"High Traffic Mix",
ISNUMBER(SEARCH("quick fix",E785)),"Quick Fix Mix",
ISNUMBER(SEARCH("starter",E785)),"Starter Fertilizer",
ISNUMBER(SEARCH("weed &amp; feed",E785)),"Weed &amp; Feed",
ISNUMBER(SEARCH("lawn food",E785)),"Lawn Food",
ISNUMBER(SEARCH("triple action",E785)),"Triple Action Fertilizer",
ISNUMBER(SEARCH("green max",E785)),"Green Max Lawn Food",
ISNUMBER(SEARCH("patchmaster",E785)),"PatchMaster Repair",
ISNUMBER(SEARCH("ez seed",E785)),"EZ Seed Repair",
ISNUMBER(SEARCH("rapid grass",E785)),"Rapid Grass",
ISNUMBER(SEARCH("thick'r lawn",E785)),"Thick'R Lawn",
ISNUMBER(SEARCH("fungicide",E785)),"Fungicide",
ISNUMBER(SEARCH("moss",E785)),"Moss Control",
ISNUMBER(SEARCH("perlite",E785)),"Perlite",
ISNUMBER(SEARCH("plant food",E785)),"Plant Food",
ISNUMBER(SEARCH("spreader",E785)),"Spreader",
ISNUMBER(SEARCH("sprayer",E785)),"Sprayer",
ISNUMBER(SEARCH("mower",E785)),"Lawn Mower",
ISNUMBER(SEARCH("sweeper",E785)),"Lawn Sweeper",
OR(ISNUMBER(SEARCH("pruner",E785)),ISNUMBER(SEARCH("trimmer",E785)),ISNUMBER(SEARCH("pole saw",E785))),"Pruning Tools",
TRUE,"Other"
)</f>
        <v>Roach Traps</v>
      </c>
      <c r="J785" s="7" t="str">
        <f t="shared" si="228"/>
        <v>Crawling Insect Control - Roach Traps</v>
      </c>
      <c r="K785" s="4">
        <v>1000</v>
      </c>
      <c r="L785" s="4">
        <v>4.2</v>
      </c>
      <c r="M785" s="4">
        <v>4870</v>
      </c>
      <c r="N785" s="4" t="s">
        <v>3668</v>
      </c>
      <c r="O785" s="4">
        <f>VLOOKUP(A785,[15]Sheet1!$A:$M,2,0)</f>
        <v>200</v>
      </c>
      <c r="P785" s="4">
        <f>VLOOKUP(A785,[15]Sheet1!$A:$M,3,0)</f>
        <v>800</v>
      </c>
      <c r="Q785" s="4">
        <f>VLOOKUP(A785,[15]Sheet1!$A:$M,4,0)</f>
        <v>750</v>
      </c>
      <c r="R785" s="4">
        <f>VLOOKUP(A785,[15]Sheet1!$A:$M,5,0)</f>
        <v>1000</v>
      </c>
      <c r="S785" s="4">
        <f>VLOOKUP(A785,[15]Sheet1!$A:$M,6,0)</f>
        <v>1000</v>
      </c>
      <c r="T785" s="4">
        <f>VLOOKUP(A785,[15]Sheet1!$A:$M,7,0)</f>
        <v>2000</v>
      </c>
      <c r="U785" s="4">
        <f>VLOOKUP(A785,[15]Sheet1!$A:$M,8,0)</f>
        <v>1000</v>
      </c>
      <c r="V785" s="4">
        <f>VLOOKUP(A785,[15]Sheet1!$A:$M,9,0)</f>
        <v>1000</v>
      </c>
      <c r="W785" s="4">
        <f>VLOOKUP(A785,[15]Sheet1!$A:$M,10,0)</f>
        <v>1000</v>
      </c>
      <c r="X785" s="4">
        <f>VLOOKUP(A785,[15]Sheet1!$A:$M,11,0)</f>
        <v>1000</v>
      </c>
      <c r="Y785" s="4">
        <f>VLOOKUP(A785,[15]Sheet1!$A:$M,12,0)</f>
        <v>1000</v>
      </c>
      <c r="Z785" s="4">
        <f>VLOOKUP(A785,[15]Sheet1!$A:$M,13,0)</f>
        <v>1000</v>
      </c>
      <c r="AA785" s="4">
        <f t="shared" si="229"/>
        <v>11750</v>
      </c>
      <c r="AB785" s="7">
        <f t="shared" si="230"/>
        <v>979</v>
      </c>
      <c r="AC785" s="15">
        <f t="shared" si="231"/>
        <v>979.16666666666663</v>
      </c>
      <c r="AD785" s="16">
        <f t="shared" si="232"/>
        <v>234882.49999999997</v>
      </c>
      <c r="AE785" s="16">
        <f t="shared" si="233"/>
        <v>19573.541666666664</v>
      </c>
      <c r="AF785" s="21">
        <v>6.31</v>
      </c>
      <c r="AG785" s="21">
        <v>19.989999999999998</v>
      </c>
      <c r="AH785" s="15">
        <f t="shared" si="226"/>
        <v>4.5733333333333244E-2</v>
      </c>
      <c r="AI785" s="15">
        <f t="shared" si="227"/>
        <v>0.16006666666666633</v>
      </c>
      <c r="AJ785" s="10">
        <v>0.5</v>
      </c>
      <c r="AK785" s="10">
        <v>0.5</v>
      </c>
      <c r="AL785" s="21">
        <v>6.31</v>
      </c>
      <c r="AM785" s="9">
        <f t="shared" si="234"/>
        <v>2.9984999999999995</v>
      </c>
      <c r="AN785" s="9">
        <f t="shared" si="235"/>
        <v>0.5996999999999999</v>
      </c>
      <c r="AO785" s="9">
        <f t="shared" si="236"/>
        <v>3.9979999999999998</v>
      </c>
      <c r="AP785" s="9">
        <f t="shared" si="237"/>
        <v>0.39979999999999999</v>
      </c>
      <c r="AQ785" s="9">
        <f t="shared" si="238"/>
        <v>3.9979999999999998</v>
      </c>
      <c r="AR785" s="9">
        <f t="shared" si="239"/>
        <v>4.9974999999999996</v>
      </c>
      <c r="AS785" s="11">
        <f t="shared" si="240"/>
        <v>0.45733333333333243</v>
      </c>
      <c r="AT785" s="12">
        <f t="shared" si="241"/>
        <v>-0.20900000000000082</v>
      </c>
    </row>
    <row r="786" spans="1:46" ht="16.5" x14ac:dyDescent="0.4">
      <c r="A786" s="4" t="s">
        <v>3500</v>
      </c>
      <c r="B786" s="4" t="s">
        <v>3526</v>
      </c>
      <c r="C786" s="4" t="s">
        <v>3528</v>
      </c>
      <c r="D786" s="4" t="s">
        <v>3550</v>
      </c>
      <c r="E786" s="4" t="s">
        <v>3592</v>
      </c>
      <c r="F786" s="4" t="s">
        <v>3634</v>
      </c>
      <c r="G786" s="7" t="str">
        <f>VLOOKUP(A786,[1]done!$A:$I,9,0)</f>
        <v>Other Glue boards for insects or rodents</v>
      </c>
      <c r="H786" s="7" t="str" cm="1">
        <f t="array" ref="H786">_xlfn.IFS(
OR(ISNUMBER(SEARCH("mouse",E786)),ISNUMBER(SEARCH("rat",E786)),ISNUMBER(SEARCH("mice",E786)),ISNUMBER(SEARCH("rodent",E786))),"Rodent Control",
OR(ISNUMBER(SEARCH("fly",E786)),ISNUMBER(SEARCH("gnat",E786)),ISNUMBER(SEARCH("insect",E786)),ISNUMBER(SEARCH("mosquito",E786))),"Flying Insect Control",
OR(ISNUMBER(SEARCH("roach",E786)),ISNUMBER(SEARCH("ant",E786)),ISNUMBER(SEARCH("spider",E786)),ISNUMBER(SEARCH("cricket",E786)),ISNUMBER(SEARCH("scorpion",E786)),ISNUMBER(SEARCH("centipede",E786)),ISNUMBER(SEARCH("beetle",E786))),"Crawling Insect Control",
OR(ISNUMBER(SEARCH("tree",E786)),ISNUMBER(SEARCH("lantern",E786)),ISNUMBER(SEARCH("garden",E786)),ISNUMBER(SEARCH("plant",E786))),"Garden Pest Control",
OR(ISNUMBER(SEARCH("grass seed",E786)),ISNUMBER(SEARCH("seed mix",E786))),"Grass Seed",
OR(ISNUMBER(SEARCH("lawn food",E786)),ISNUMBER(SEARCH("fertilizer",E786))),"Lawn Fertilizer",
OR(ISNUMBER(SEARCH("patch",E786)),ISNUMBER(SEARCH("repair",E786)),ISNUMBER(SEARCH("thick'r",E786)),ISNUMBER(SEARCH("thick'r lawn",E786)),ISNUMBER(SEARCH("rapid grass",E786))),"Lawn Repair",
OR(ISNUMBER(SEARCH("weed",E786)),ISNUMBER(SEARCH("crabgrass",E786))),"Weed Control",
OR(ISNUMBER(SEARCH("fungicide",E786)),ISNUMBER(SEARCH("moss",E786))),"Disease &amp; Moss Control",
OR(ISNUMBER(SEARCH("plant food",E786)),ISNUMBER(SEARCH("miracid",E786))),"Plant Nutrition",
OR(ISNUMBER(SEARCH("perlite",E786))),"Soil Amendment",
OR(ISNUMBER(SEARCH("spreader",E786)),ISNUMBER(SEARCH("sprayer",E786)),ISNUMBER(SEARCH("mower",E786)),ISNUMBER(SEARCH("sweeper",E786)),ISNUMBER(SEARCH("pruner",E786)),ISNUMBER(SEARCH("trimmer",E786)),ISNUMBER(SEARCH("pole saw",E786))),"Garden Equipment",
TRUE,"Other"
)</f>
        <v>Crawling Insect Control</v>
      </c>
      <c r="I786" s="7" t="str" cm="1">
        <f t="array" ref="I786">_xlfn.IFS(
OR(ISNUMBER(SEARCH("glue trap",E786)),ISNUMBER(SEARCH("glue board",E786))),"Glue Traps",
OR(ISNUMBER(SEARCH("snap trap",E786)),ISNUMBER(SEARCH("power-kill",E786)),ISNUMBER(SEARCH("wide pedal",E786)),ISNUMBER(SEARCH("metal pedal",E786))),"Snap Traps",
OR(ISNUMBER(SEARCH("electronic",E786)),ISNUMBER(SEARCH("zapper",E786))),"Electronic Traps",
OR(ISNUMBER(SEARCH("live catch",E786)),ISNUMBER(SEARCH("multi-catch",E786)),ISNUMBER(SEARCH("catch &amp; hold",E786)),ISNUMBER(SEARCH("tin cat",E786))),"Live Catch Traps",
OR(ISNUMBER(SEARCH("bait",E786)),ISNUMBER(SEARCH("poison",E786))),"Bait &amp; Poison",
ISNUMBER(SEARCH("repellent",E786)),"Repellents",
OR(ISNUMBER(SEARCH("fly trap",E786)),ISNUMBER(SEARCH("fly ribbon",E786)),ISNUMBER(SEARCH("fly stick",E786)),ISNUMBER(SEARCH("window fly",E786)),ISNUMBER(SEARCH("fly magnet",E786))),"Fly Traps",
OR(ISNUMBER(SEARCH("uv",E786)),ISNUMBER(SEARCH("fly light",E786)),ISNUMBER(SEARCH("plug-in",E786))),"UV Fly Traps",
ISNUMBER(SEARCH("roach",E786)),"Roach Traps",
ISNUMBER(SEARCH("ant",E786)),"Ant Traps",
ISNUMBER(SEARCH("spider",E786)),"Spider Traps",
ISNUMBER(SEARCH("mosquito",E786)),"Mosquito Traps",
ISNUMBER(SEARCH("beetle",E786)),"Beetle Traps",
ISNUMBER(SEARCH("lantern",E786)),"Lanternfly Control",
OR(ISNUMBER(SEARCH("tree shield",E786)),ISNUMBER(SEARCH("tree banding",E786)),ISNUMBER(SEARCH("insect barrier",E786))),"Tree Barriers",
OR(ISNUMBER(SEARCH("sun &amp; shade",E786)),ISNUMBER(SEARCH("sun and shade",E786))),"Sun &amp; Shade Mix",
ISNUMBER(SEARCH("tall fescue",E786)),"Tall Fescue",
ISNUMBER(SEARCH("bermudagrass",E786)),"Bermudagrass",
ISNUMBER(SEARCH("kentucky",E786)),"Kentucky Bluegrass",
ISNUMBER(SEARCH("zoysia",E786)),"Zoysia",
ISNUMBER(SEARCH("ryegrass",E786)),"Perennial Ryegrass",
ISNUMBER(SEARCH("centipede",E786)),"Centipede Grass",
ISNUMBER(SEARCH("dense shade",E786)),"Dense Shade Mix",
ISNUMBER(SEARCH("southern gold",E786)),"Southern Gold Mix",
ISNUMBER(SEARCH("heat-tolerant blue",E786)),"Heat-Tolerant Blue Mix",
ISNUMBER(SEARCH("high traffic",E786)),"High Traffic Mix",
ISNUMBER(SEARCH("quick fix",E786)),"Quick Fix Mix",
ISNUMBER(SEARCH("starter",E786)),"Starter Fertilizer",
ISNUMBER(SEARCH("weed &amp; feed",E786)),"Weed &amp; Feed",
ISNUMBER(SEARCH("lawn food",E786)),"Lawn Food",
ISNUMBER(SEARCH("triple action",E786)),"Triple Action Fertilizer",
ISNUMBER(SEARCH("green max",E786)),"Green Max Lawn Food",
ISNUMBER(SEARCH("patchmaster",E786)),"PatchMaster Repair",
ISNUMBER(SEARCH("ez seed",E786)),"EZ Seed Repair",
ISNUMBER(SEARCH("rapid grass",E786)),"Rapid Grass",
ISNUMBER(SEARCH("thick'r lawn",E786)),"Thick'R Lawn",
ISNUMBER(SEARCH("fungicide",E786)),"Fungicide",
ISNUMBER(SEARCH("moss",E786)),"Moss Control",
ISNUMBER(SEARCH("perlite",E786)),"Perlite",
ISNUMBER(SEARCH("plant food",E786)),"Plant Food",
ISNUMBER(SEARCH("spreader",E786)),"Spreader",
ISNUMBER(SEARCH("sprayer",E786)),"Sprayer",
ISNUMBER(SEARCH("mower",E786)),"Lawn Mower",
ISNUMBER(SEARCH("sweeper",E786)),"Lawn Sweeper",
OR(ISNUMBER(SEARCH("pruner",E786)),ISNUMBER(SEARCH("trimmer",E786)),ISNUMBER(SEARCH("pole saw",E786))),"Pruning Tools",
TRUE,"Other"
)</f>
        <v>Other</v>
      </c>
      <c r="J786" s="7" t="str">
        <f t="shared" si="228"/>
        <v>Crawling Insect Control - Other</v>
      </c>
      <c r="K786" s="4">
        <v>1000</v>
      </c>
      <c r="L786" s="4">
        <v>4.3</v>
      </c>
      <c r="M786" s="4">
        <v>3046</v>
      </c>
      <c r="N786" s="4" t="s">
        <v>3663</v>
      </c>
      <c r="O786" s="4">
        <f>VLOOKUP(A786,[15]Sheet1!$A:$M,2,0)</f>
        <v>200</v>
      </c>
      <c r="P786" s="4">
        <f>VLOOKUP(A786,[15]Sheet1!$A:$M,3,0)</f>
        <v>200</v>
      </c>
      <c r="Q786" s="4">
        <f>VLOOKUP(A786,[15]Sheet1!$A:$M,4,0)</f>
        <v>500</v>
      </c>
      <c r="R786" s="4">
        <f>VLOOKUP(A786,[15]Sheet1!$A:$M,5,0)</f>
        <v>1000</v>
      </c>
      <c r="S786" s="4">
        <f>VLOOKUP(A786,[15]Sheet1!$A:$M,6,0)</f>
        <v>1000</v>
      </c>
      <c r="T786" s="4">
        <f>VLOOKUP(A786,[15]Sheet1!$A:$M,7,0)</f>
        <v>1000</v>
      </c>
      <c r="U786" s="4">
        <f>VLOOKUP(A786,[15]Sheet1!$A:$M,8,0)</f>
        <v>1000</v>
      </c>
      <c r="V786" s="4">
        <f>VLOOKUP(A786,[15]Sheet1!$A:$M,9,0)</f>
        <v>1000</v>
      </c>
      <c r="W786" s="4">
        <f>VLOOKUP(A786,[15]Sheet1!$A:$M,10,0)</f>
        <v>1000</v>
      </c>
      <c r="X786" s="4">
        <f>VLOOKUP(A786,[15]Sheet1!$A:$M,11,0)</f>
        <v>300</v>
      </c>
      <c r="Y786" s="4">
        <f>VLOOKUP(A786,[15]Sheet1!$A:$M,12,0)</f>
        <v>700</v>
      </c>
      <c r="Z786" s="4">
        <f>VLOOKUP(A786,[15]Sheet1!$A:$M,13,0)</f>
        <v>300</v>
      </c>
      <c r="AA786" s="4">
        <f t="shared" si="229"/>
        <v>8200</v>
      </c>
      <c r="AB786" s="7">
        <f t="shared" si="230"/>
        <v>683</v>
      </c>
      <c r="AC786" s="15">
        <f t="shared" si="231"/>
        <v>683.33333333333337</v>
      </c>
      <c r="AD786" s="16">
        <f t="shared" si="232"/>
        <v>122754</v>
      </c>
      <c r="AE786" s="16">
        <f t="shared" si="233"/>
        <v>10229.500000000002</v>
      </c>
      <c r="AF786" s="21">
        <v>9.1999999999999993</v>
      </c>
      <c r="AG786" s="21">
        <v>14.97</v>
      </c>
      <c r="AH786" s="15">
        <f t="shared" si="226"/>
        <v>-0.28079999999999999</v>
      </c>
      <c r="AI786" s="15">
        <f t="shared" si="227"/>
        <v>-0.9827999999999999</v>
      </c>
      <c r="AJ786" s="10">
        <v>0.5</v>
      </c>
      <c r="AK786" s="10">
        <v>0.5</v>
      </c>
      <c r="AL786" s="21">
        <v>9.1999999999999993</v>
      </c>
      <c r="AM786" s="9">
        <f t="shared" si="234"/>
        <v>2.2454999999999998</v>
      </c>
      <c r="AN786" s="9">
        <f t="shared" si="235"/>
        <v>0.4491</v>
      </c>
      <c r="AO786" s="9">
        <f t="shared" si="236"/>
        <v>2.9940000000000002</v>
      </c>
      <c r="AP786" s="9">
        <f t="shared" si="237"/>
        <v>0.2994</v>
      </c>
      <c r="AQ786" s="9">
        <f t="shared" si="238"/>
        <v>2.9940000000000002</v>
      </c>
      <c r="AR786" s="9">
        <f t="shared" si="239"/>
        <v>3.7425000000000002</v>
      </c>
      <c r="AS786" s="11">
        <f t="shared" si="240"/>
        <v>-2.8079999999999998</v>
      </c>
      <c r="AT786" s="12">
        <f t="shared" si="241"/>
        <v>-3.3069999999999999</v>
      </c>
    </row>
    <row r="787" spans="1:46" ht="16.5" x14ac:dyDescent="0.4">
      <c r="A787" s="4" t="s">
        <v>3501</v>
      </c>
      <c r="B787" s="4" t="s">
        <v>3526</v>
      </c>
      <c r="C787" s="4" t="s">
        <v>3528</v>
      </c>
      <c r="D787" s="4" t="s">
        <v>3551</v>
      </c>
      <c r="E787" s="4" t="s">
        <v>3593</v>
      </c>
      <c r="F787" s="4" t="s">
        <v>3635</v>
      </c>
      <c r="G787" s="7" t="str">
        <f>VLOOKUP(A787,[1]done!$A:$I,9,0)</f>
        <v>Other Glue boards for insect or rodent</v>
      </c>
      <c r="H787" s="7" t="str" cm="1">
        <f t="array" ref="H787">_xlfn.IFS(
OR(ISNUMBER(SEARCH("mouse",E787)),ISNUMBER(SEARCH("rat",E787)),ISNUMBER(SEARCH("mice",E787)),ISNUMBER(SEARCH("rodent",E787))),"Rodent Control",
OR(ISNUMBER(SEARCH("fly",E787)),ISNUMBER(SEARCH("gnat",E787)),ISNUMBER(SEARCH("insect",E787)),ISNUMBER(SEARCH("mosquito",E787))),"Flying Insect Control",
OR(ISNUMBER(SEARCH("roach",E787)),ISNUMBER(SEARCH("ant",E787)),ISNUMBER(SEARCH("spider",E787)),ISNUMBER(SEARCH("cricket",E787)),ISNUMBER(SEARCH("scorpion",E787)),ISNUMBER(SEARCH("centipede",E787)),ISNUMBER(SEARCH("beetle",E787))),"Crawling Insect Control",
OR(ISNUMBER(SEARCH("tree",E787)),ISNUMBER(SEARCH("lantern",E787)),ISNUMBER(SEARCH("garden",E787)),ISNUMBER(SEARCH("plant",E787))),"Garden Pest Control",
OR(ISNUMBER(SEARCH("grass seed",E787)),ISNUMBER(SEARCH("seed mix",E787))),"Grass Seed",
OR(ISNUMBER(SEARCH("lawn food",E787)),ISNUMBER(SEARCH("fertilizer",E787))),"Lawn Fertilizer",
OR(ISNUMBER(SEARCH("patch",E787)),ISNUMBER(SEARCH("repair",E787)),ISNUMBER(SEARCH("thick'r",E787)),ISNUMBER(SEARCH("thick'r lawn",E787)),ISNUMBER(SEARCH("rapid grass",E787))),"Lawn Repair",
OR(ISNUMBER(SEARCH("weed",E787)),ISNUMBER(SEARCH("crabgrass",E787))),"Weed Control",
OR(ISNUMBER(SEARCH("fungicide",E787)),ISNUMBER(SEARCH("moss",E787))),"Disease &amp; Moss Control",
OR(ISNUMBER(SEARCH("plant food",E787)),ISNUMBER(SEARCH("miracid",E787))),"Plant Nutrition",
OR(ISNUMBER(SEARCH("perlite",E787))),"Soil Amendment",
OR(ISNUMBER(SEARCH("spreader",E787)),ISNUMBER(SEARCH("sprayer",E787)),ISNUMBER(SEARCH("mower",E787)),ISNUMBER(SEARCH("sweeper",E787)),ISNUMBER(SEARCH("pruner",E787)),ISNUMBER(SEARCH("trimmer",E787)),ISNUMBER(SEARCH("pole saw",E787))),"Garden Equipment",
TRUE,"Other"
)</f>
        <v>Crawling Insect Control</v>
      </c>
      <c r="I787" s="7" t="str" cm="1">
        <f t="array" ref="I787">_xlfn.IFS(
OR(ISNUMBER(SEARCH("glue trap",E787)),ISNUMBER(SEARCH("glue board",E787))),"Glue Traps",
OR(ISNUMBER(SEARCH("snap trap",E787)),ISNUMBER(SEARCH("power-kill",E787)),ISNUMBER(SEARCH("wide pedal",E787)),ISNUMBER(SEARCH("metal pedal",E787))),"Snap Traps",
OR(ISNUMBER(SEARCH("electronic",E787)),ISNUMBER(SEARCH("zapper",E787))),"Electronic Traps",
OR(ISNUMBER(SEARCH("live catch",E787)),ISNUMBER(SEARCH("multi-catch",E787)),ISNUMBER(SEARCH("catch &amp; hold",E787)),ISNUMBER(SEARCH("tin cat",E787))),"Live Catch Traps",
OR(ISNUMBER(SEARCH("bait",E787)),ISNUMBER(SEARCH("poison",E787))),"Bait &amp; Poison",
ISNUMBER(SEARCH("repellent",E787)),"Repellents",
OR(ISNUMBER(SEARCH("fly trap",E787)),ISNUMBER(SEARCH("fly ribbon",E787)),ISNUMBER(SEARCH("fly stick",E787)),ISNUMBER(SEARCH("window fly",E787)),ISNUMBER(SEARCH("fly magnet",E787))),"Fly Traps",
OR(ISNUMBER(SEARCH("uv",E787)),ISNUMBER(SEARCH("fly light",E787)),ISNUMBER(SEARCH("plug-in",E787))),"UV Fly Traps",
ISNUMBER(SEARCH("roach",E787)),"Roach Traps",
ISNUMBER(SEARCH("ant",E787)),"Ant Traps",
ISNUMBER(SEARCH("spider",E787)),"Spider Traps",
ISNUMBER(SEARCH("mosquito",E787)),"Mosquito Traps",
ISNUMBER(SEARCH("beetle",E787)),"Beetle Traps",
ISNUMBER(SEARCH("lantern",E787)),"Lanternfly Control",
OR(ISNUMBER(SEARCH("tree shield",E787)),ISNUMBER(SEARCH("tree banding",E787)),ISNUMBER(SEARCH("insect barrier",E787))),"Tree Barriers",
OR(ISNUMBER(SEARCH("sun &amp; shade",E787)),ISNUMBER(SEARCH("sun and shade",E787))),"Sun &amp; Shade Mix",
ISNUMBER(SEARCH("tall fescue",E787)),"Tall Fescue",
ISNUMBER(SEARCH("bermudagrass",E787)),"Bermudagrass",
ISNUMBER(SEARCH("kentucky",E787)),"Kentucky Bluegrass",
ISNUMBER(SEARCH("zoysia",E787)),"Zoysia",
ISNUMBER(SEARCH("ryegrass",E787)),"Perennial Ryegrass",
ISNUMBER(SEARCH("centipede",E787)),"Centipede Grass",
ISNUMBER(SEARCH("dense shade",E787)),"Dense Shade Mix",
ISNUMBER(SEARCH("southern gold",E787)),"Southern Gold Mix",
ISNUMBER(SEARCH("heat-tolerant blue",E787)),"Heat-Tolerant Blue Mix",
ISNUMBER(SEARCH("high traffic",E787)),"High Traffic Mix",
ISNUMBER(SEARCH("quick fix",E787)),"Quick Fix Mix",
ISNUMBER(SEARCH("starter",E787)),"Starter Fertilizer",
ISNUMBER(SEARCH("weed &amp; feed",E787)),"Weed &amp; Feed",
ISNUMBER(SEARCH("lawn food",E787)),"Lawn Food",
ISNUMBER(SEARCH("triple action",E787)),"Triple Action Fertilizer",
ISNUMBER(SEARCH("green max",E787)),"Green Max Lawn Food",
ISNUMBER(SEARCH("patchmaster",E787)),"PatchMaster Repair",
ISNUMBER(SEARCH("ez seed",E787)),"EZ Seed Repair",
ISNUMBER(SEARCH("rapid grass",E787)),"Rapid Grass",
ISNUMBER(SEARCH("thick'r lawn",E787)),"Thick'R Lawn",
ISNUMBER(SEARCH("fungicide",E787)),"Fungicide",
ISNUMBER(SEARCH("moss",E787)),"Moss Control",
ISNUMBER(SEARCH("perlite",E787)),"Perlite",
ISNUMBER(SEARCH("plant food",E787)),"Plant Food",
ISNUMBER(SEARCH("spreader",E787)),"Spreader",
ISNUMBER(SEARCH("sprayer",E787)),"Sprayer",
ISNUMBER(SEARCH("mower",E787)),"Lawn Mower",
ISNUMBER(SEARCH("sweeper",E787)),"Lawn Sweeper",
OR(ISNUMBER(SEARCH("pruner",E787)),ISNUMBER(SEARCH("trimmer",E787)),ISNUMBER(SEARCH("pole saw",E787))),"Pruning Tools",
TRUE,"Other"
)</f>
        <v>Glue Traps</v>
      </c>
      <c r="J787" s="7" t="str">
        <f t="shared" si="228"/>
        <v>Crawling Insect Control - Glue Traps</v>
      </c>
      <c r="K787" s="4">
        <v>1000</v>
      </c>
      <c r="L787" s="4">
        <v>4.3</v>
      </c>
      <c r="M787" s="4">
        <v>2430</v>
      </c>
      <c r="N787" s="4" t="s">
        <v>242</v>
      </c>
      <c r="O787" s="4">
        <f>VLOOKUP(A787,[15]Sheet1!$A:$M,2,0)</f>
        <v>100</v>
      </c>
      <c r="P787" s="4">
        <f>VLOOKUP(A787,[15]Sheet1!$A:$M,3,0)</f>
        <v>100</v>
      </c>
      <c r="Q787" s="4">
        <f>VLOOKUP(A787,[15]Sheet1!$A:$M,4,0)</f>
        <v>100</v>
      </c>
      <c r="R787" s="4">
        <f>VLOOKUP(A787,[15]Sheet1!$A:$M,5,0)</f>
        <v>100</v>
      </c>
      <c r="S787" s="4">
        <f>VLOOKUP(A787,[15]Sheet1!$A:$M,6,0)</f>
        <v>100</v>
      </c>
      <c r="T787" s="4">
        <f>VLOOKUP(A787,[15]Sheet1!$A:$M,7,0)</f>
        <v>100</v>
      </c>
      <c r="U787" s="4">
        <f>VLOOKUP(A787,[15]Sheet1!$A:$M,8,0)</f>
        <v>200</v>
      </c>
      <c r="V787" s="4">
        <f>VLOOKUP(A787,[15]Sheet1!$A:$M,9,0)</f>
        <v>300</v>
      </c>
      <c r="W787" s="4">
        <f>VLOOKUP(A787,[15]Sheet1!$A:$M,10,0)</f>
        <v>1000</v>
      </c>
      <c r="X787" s="4">
        <f>VLOOKUP(A787,[15]Sheet1!$A:$M,11,0)</f>
        <v>200</v>
      </c>
      <c r="Y787" s="4">
        <f>VLOOKUP(A787,[15]Sheet1!$A:$M,12,0)</f>
        <v>400</v>
      </c>
      <c r="Z787" s="4">
        <f>VLOOKUP(A787,[15]Sheet1!$A:$M,13,0)</f>
        <v>300</v>
      </c>
      <c r="AA787" s="4">
        <f t="shared" si="229"/>
        <v>3000</v>
      </c>
      <c r="AB787" s="7">
        <f t="shared" si="230"/>
        <v>250</v>
      </c>
      <c r="AC787" s="15">
        <f t="shared" si="231"/>
        <v>250</v>
      </c>
      <c r="AD787" s="16">
        <f t="shared" si="232"/>
        <v>23430</v>
      </c>
      <c r="AE787" s="16">
        <f t="shared" si="233"/>
        <v>1952.5</v>
      </c>
      <c r="AF787" s="21">
        <v>2.52</v>
      </c>
      <c r="AG787" s="21">
        <v>7.81</v>
      </c>
      <c r="AH787" s="15">
        <f t="shared" si="226"/>
        <v>-2.6400000000000007E-2</v>
      </c>
      <c r="AI787" s="15">
        <f t="shared" si="227"/>
        <v>-9.2400000000000024E-2</v>
      </c>
      <c r="AJ787" s="10">
        <v>0.5</v>
      </c>
      <c r="AK787" s="10">
        <v>0.5</v>
      </c>
      <c r="AL787" s="21">
        <v>2.52</v>
      </c>
      <c r="AM787" s="9">
        <f t="shared" si="234"/>
        <v>1.1715</v>
      </c>
      <c r="AN787" s="9">
        <f t="shared" si="235"/>
        <v>0.23429999999999998</v>
      </c>
      <c r="AO787" s="9">
        <f t="shared" si="236"/>
        <v>1.5620000000000001</v>
      </c>
      <c r="AP787" s="9">
        <f t="shared" si="237"/>
        <v>0.15620000000000001</v>
      </c>
      <c r="AQ787" s="9">
        <f t="shared" si="238"/>
        <v>1.5620000000000001</v>
      </c>
      <c r="AR787" s="9">
        <f t="shared" si="239"/>
        <v>1.9524999999999999</v>
      </c>
      <c r="AS787" s="11">
        <f t="shared" si="240"/>
        <v>-0.26400000000000007</v>
      </c>
      <c r="AT787" s="12">
        <f t="shared" si="241"/>
        <v>-0.52433333333333332</v>
      </c>
    </row>
    <row r="788" spans="1:46" ht="16.5" x14ac:dyDescent="0.4">
      <c r="A788" s="4" t="s">
        <v>3502</v>
      </c>
      <c r="B788" s="4" t="s">
        <v>3526</v>
      </c>
      <c r="C788" s="4" t="s">
        <v>3531</v>
      </c>
      <c r="D788" s="4" t="s">
        <v>3552</v>
      </c>
      <c r="E788" s="4" t="s">
        <v>3594</v>
      </c>
      <c r="F788" s="4" t="s">
        <v>3636</v>
      </c>
      <c r="G788" s="7" t="str">
        <f>VLOOKUP(A788,[1]done!$A:$I,9,0)</f>
        <v>Bed Bug repellent</v>
      </c>
      <c r="H788" s="7" t="str" cm="1">
        <f t="array" ref="H788">_xlfn.IFS(
OR(ISNUMBER(SEARCH("mouse",E788)),ISNUMBER(SEARCH("rat",E788)),ISNUMBER(SEARCH("mice",E788)),ISNUMBER(SEARCH("rodent",E788))),"Rodent Control",
OR(ISNUMBER(SEARCH("fly",E788)),ISNUMBER(SEARCH("gnat",E788)),ISNUMBER(SEARCH("insect",E788)),ISNUMBER(SEARCH("mosquito",E788))),"Flying Insect Control",
OR(ISNUMBER(SEARCH("roach",E788)),ISNUMBER(SEARCH("ant",E788)),ISNUMBER(SEARCH("spider",E788)),ISNUMBER(SEARCH("cricket",E788)),ISNUMBER(SEARCH("scorpion",E788)),ISNUMBER(SEARCH("centipede",E788)),ISNUMBER(SEARCH("beetle",E788))),"Crawling Insect Control",
OR(ISNUMBER(SEARCH("tree",E788)),ISNUMBER(SEARCH("lantern",E788)),ISNUMBER(SEARCH("garden",E788)),ISNUMBER(SEARCH("plant",E788))),"Garden Pest Control",
OR(ISNUMBER(SEARCH("grass seed",E788)),ISNUMBER(SEARCH("seed mix",E788))),"Grass Seed",
OR(ISNUMBER(SEARCH("lawn food",E788)),ISNUMBER(SEARCH("fertilizer",E788))),"Lawn Fertilizer",
OR(ISNUMBER(SEARCH("patch",E788)),ISNUMBER(SEARCH("repair",E788)),ISNUMBER(SEARCH("thick'r",E788)),ISNUMBER(SEARCH("thick'r lawn",E788)),ISNUMBER(SEARCH("rapid grass",E788))),"Lawn Repair",
OR(ISNUMBER(SEARCH("weed",E788)),ISNUMBER(SEARCH("crabgrass",E788))),"Weed Control",
OR(ISNUMBER(SEARCH("fungicide",E788)),ISNUMBER(SEARCH("moss",E788))),"Disease &amp; Moss Control",
OR(ISNUMBER(SEARCH("plant food",E788)),ISNUMBER(SEARCH("miracid",E788))),"Plant Nutrition",
OR(ISNUMBER(SEARCH("perlite",E788))),"Soil Amendment",
OR(ISNUMBER(SEARCH("spreader",E788)),ISNUMBER(SEARCH("sprayer",E788)),ISNUMBER(SEARCH("mower",E788)),ISNUMBER(SEARCH("sweeper",E788)),ISNUMBER(SEARCH("pruner",E788)),ISNUMBER(SEARCH("trimmer",E788)),ISNUMBER(SEARCH("pole saw",E788))),"Garden Equipment",
TRUE,"Other"
)</f>
        <v>Other</v>
      </c>
      <c r="I788" s="7" t="str" cm="1">
        <f t="array" ref="I788">_xlfn.IFS(
OR(ISNUMBER(SEARCH("glue trap",E788)),ISNUMBER(SEARCH("glue board",E788))),"Glue Traps",
OR(ISNUMBER(SEARCH("snap trap",E788)),ISNUMBER(SEARCH("power-kill",E788)),ISNUMBER(SEARCH("wide pedal",E788)),ISNUMBER(SEARCH("metal pedal",E788))),"Snap Traps",
OR(ISNUMBER(SEARCH("electronic",E788)),ISNUMBER(SEARCH("zapper",E788))),"Electronic Traps",
OR(ISNUMBER(SEARCH("live catch",E788)),ISNUMBER(SEARCH("multi-catch",E788)),ISNUMBER(SEARCH("catch &amp; hold",E788)),ISNUMBER(SEARCH("tin cat",E788))),"Live Catch Traps",
OR(ISNUMBER(SEARCH("bait",E788)),ISNUMBER(SEARCH("poison",E788))),"Bait &amp; Poison",
ISNUMBER(SEARCH("repellent",E788)),"Repellents",
OR(ISNUMBER(SEARCH("fly trap",E788)),ISNUMBER(SEARCH("fly ribbon",E788)),ISNUMBER(SEARCH("fly stick",E788)),ISNUMBER(SEARCH("window fly",E788)),ISNUMBER(SEARCH("fly magnet",E788))),"Fly Traps",
OR(ISNUMBER(SEARCH("uv",E788)),ISNUMBER(SEARCH("fly light",E788)),ISNUMBER(SEARCH("plug-in",E788))),"UV Fly Traps",
ISNUMBER(SEARCH("roach",E788)),"Roach Traps",
ISNUMBER(SEARCH("ant",E788)),"Ant Traps",
ISNUMBER(SEARCH("spider",E788)),"Spider Traps",
ISNUMBER(SEARCH("mosquito",E788)),"Mosquito Traps",
ISNUMBER(SEARCH("beetle",E788)),"Beetle Traps",
ISNUMBER(SEARCH("lantern",E788)),"Lanternfly Control",
OR(ISNUMBER(SEARCH("tree shield",E788)),ISNUMBER(SEARCH("tree banding",E788)),ISNUMBER(SEARCH("insect barrier",E788))),"Tree Barriers",
OR(ISNUMBER(SEARCH("sun &amp; shade",E788)),ISNUMBER(SEARCH("sun and shade",E788))),"Sun &amp; Shade Mix",
ISNUMBER(SEARCH("tall fescue",E788)),"Tall Fescue",
ISNUMBER(SEARCH("bermudagrass",E788)),"Bermudagrass",
ISNUMBER(SEARCH("kentucky",E788)),"Kentucky Bluegrass",
ISNUMBER(SEARCH("zoysia",E788)),"Zoysia",
ISNUMBER(SEARCH("ryegrass",E788)),"Perennial Ryegrass",
ISNUMBER(SEARCH("centipede",E788)),"Centipede Grass",
ISNUMBER(SEARCH("dense shade",E788)),"Dense Shade Mix",
ISNUMBER(SEARCH("southern gold",E788)),"Southern Gold Mix",
ISNUMBER(SEARCH("heat-tolerant blue",E788)),"Heat-Tolerant Blue Mix",
ISNUMBER(SEARCH("high traffic",E788)),"High Traffic Mix",
ISNUMBER(SEARCH("quick fix",E788)),"Quick Fix Mix",
ISNUMBER(SEARCH("starter",E788)),"Starter Fertilizer",
ISNUMBER(SEARCH("weed &amp; feed",E788)),"Weed &amp; Feed",
ISNUMBER(SEARCH("lawn food",E788)),"Lawn Food",
ISNUMBER(SEARCH("triple action",E788)),"Triple Action Fertilizer",
ISNUMBER(SEARCH("green max",E788)),"Green Max Lawn Food",
ISNUMBER(SEARCH("patchmaster",E788)),"PatchMaster Repair",
ISNUMBER(SEARCH("ez seed",E788)),"EZ Seed Repair",
ISNUMBER(SEARCH("rapid grass",E788)),"Rapid Grass",
ISNUMBER(SEARCH("thick'r lawn",E788)),"Thick'R Lawn",
ISNUMBER(SEARCH("fungicide",E788)),"Fungicide",
ISNUMBER(SEARCH("moss",E788)),"Moss Control",
ISNUMBER(SEARCH("perlite",E788)),"Perlite",
ISNUMBER(SEARCH("plant food",E788)),"Plant Food",
ISNUMBER(SEARCH("spreader",E788)),"Spreader",
ISNUMBER(SEARCH("sprayer",E788)),"Sprayer",
ISNUMBER(SEARCH("mower",E788)),"Lawn Mower",
ISNUMBER(SEARCH("sweeper",E788)),"Lawn Sweeper",
OR(ISNUMBER(SEARCH("pruner",E788)),ISNUMBER(SEARCH("trimmer",E788)),ISNUMBER(SEARCH("pole saw",E788))),"Pruning Tools",
TRUE,"Other"
)</f>
        <v>Other</v>
      </c>
      <c r="J788" s="7" t="str">
        <f t="shared" si="228"/>
        <v>Other - Other</v>
      </c>
      <c r="K788" s="4">
        <v>900</v>
      </c>
      <c r="L788" s="4">
        <v>4.2</v>
      </c>
      <c r="M788" s="4">
        <v>4181</v>
      </c>
      <c r="N788" s="4" t="s">
        <v>3462</v>
      </c>
      <c r="O788" s="4">
        <f>VLOOKUP(A788,[15]Sheet1!$A:$M,2,0)</f>
        <v>700</v>
      </c>
      <c r="P788" s="4">
        <f>VLOOKUP(A788,[15]Sheet1!$A:$M,3,0)</f>
        <v>500</v>
      </c>
      <c r="Q788" s="4">
        <f>VLOOKUP(A788,[15]Sheet1!$A:$M,4,0)</f>
        <v>500</v>
      </c>
      <c r="R788" s="4">
        <f>VLOOKUP(A788,[15]Sheet1!$A:$M,5,0)</f>
        <v>500</v>
      </c>
      <c r="S788" s="4">
        <f>VLOOKUP(A788,[15]Sheet1!$A:$M,6,0)</f>
        <v>400</v>
      </c>
      <c r="T788" s="4">
        <f>VLOOKUP(A788,[15]Sheet1!$A:$M,7,0)</f>
        <v>500</v>
      </c>
      <c r="U788" s="4">
        <f>VLOOKUP(A788,[15]Sheet1!$A:$M,8,0)</f>
        <v>600</v>
      </c>
      <c r="V788" s="4">
        <f>VLOOKUP(A788,[15]Sheet1!$A:$M,9,0)</f>
        <v>650</v>
      </c>
      <c r="W788" s="4">
        <f>VLOOKUP(A788,[15]Sheet1!$A:$M,10,0)</f>
        <v>900</v>
      </c>
      <c r="X788" s="4">
        <f>VLOOKUP(A788,[15]Sheet1!$A:$M,11,0)</f>
        <v>700</v>
      </c>
      <c r="Y788" s="4">
        <f>VLOOKUP(A788,[15]Sheet1!$A:$M,12,0)</f>
        <v>900</v>
      </c>
      <c r="Z788" s="4">
        <f>VLOOKUP(A788,[15]Sheet1!$A:$M,13,0)</f>
        <v>650</v>
      </c>
      <c r="AA788" s="4">
        <f t="shared" si="229"/>
        <v>7500</v>
      </c>
      <c r="AB788" s="7">
        <f t="shared" si="230"/>
        <v>625</v>
      </c>
      <c r="AC788" s="15">
        <f t="shared" si="231"/>
        <v>625</v>
      </c>
      <c r="AD788" s="16">
        <f t="shared" si="232"/>
        <v>44775</v>
      </c>
      <c r="AE788" s="16">
        <f t="shared" si="233"/>
        <v>3731.25</v>
      </c>
      <c r="AF788" s="21">
        <v>3.5</v>
      </c>
      <c r="AG788" s="21">
        <v>5.97</v>
      </c>
      <c r="AH788" s="15">
        <f t="shared" si="226"/>
        <v>-0.14080000000000001</v>
      </c>
      <c r="AI788" s="15">
        <f t="shared" si="227"/>
        <v>-0.49280000000000002</v>
      </c>
      <c r="AJ788" s="10">
        <v>0.5</v>
      </c>
      <c r="AK788" s="10">
        <v>0.5</v>
      </c>
      <c r="AL788" s="21">
        <v>3.5</v>
      </c>
      <c r="AM788" s="9">
        <f t="shared" si="234"/>
        <v>0.89549999999999996</v>
      </c>
      <c r="AN788" s="9">
        <f t="shared" si="235"/>
        <v>0.17909999999999998</v>
      </c>
      <c r="AO788" s="9">
        <f t="shared" si="236"/>
        <v>1.194</v>
      </c>
      <c r="AP788" s="9">
        <f t="shared" si="237"/>
        <v>0.11939999999999999</v>
      </c>
      <c r="AQ788" s="9">
        <f t="shared" si="238"/>
        <v>1.194</v>
      </c>
      <c r="AR788" s="9">
        <f t="shared" si="239"/>
        <v>1.4924999999999999</v>
      </c>
      <c r="AS788" s="11">
        <f t="shared" si="240"/>
        <v>-1.4080000000000001</v>
      </c>
      <c r="AT788" s="12">
        <f t="shared" si="241"/>
        <v>-1.607</v>
      </c>
    </row>
    <row r="789" spans="1:46" ht="16.5" x14ac:dyDescent="0.4">
      <c r="A789" s="4" t="s">
        <v>3503</v>
      </c>
      <c r="B789" s="4" t="s">
        <v>3526</v>
      </c>
      <c r="C789" s="4" t="s">
        <v>3526</v>
      </c>
      <c r="D789" s="4" t="s">
        <v>3553</v>
      </c>
      <c r="E789" s="4" t="s">
        <v>3595</v>
      </c>
      <c r="F789" s="4" t="s">
        <v>3637</v>
      </c>
      <c r="G789" s="7" t="str">
        <f>VLOOKUP(A789,[1]done!$A:$I,9,0)</f>
        <v>Mosquito/Fly</v>
      </c>
      <c r="H789" s="7" t="str" cm="1">
        <f t="array" ref="H789">_xlfn.IFS(
OR(ISNUMBER(SEARCH("mouse",E789)),ISNUMBER(SEARCH("rat",E789)),ISNUMBER(SEARCH("mice",E789)),ISNUMBER(SEARCH("rodent",E789))),"Rodent Control",
OR(ISNUMBER(SEARCH("fly",E789)),ISNUMBER(SEARCH("gnat",E789)),ISNUMBER(SEARCH("insect",E789)),ISNUMBER(SEARCH("mosquito",E789))),"Flying Insect Control",
OR(ISNUMBER(SEARCH("roach",E789)),ISNUMBER(SEARCH("ant",E789)),ISNUMBER(SEARCH("spider",E789)),ISNUMBER(SEARCH("cricket",E789)),ISNUMBER(SEARCH("scorpion",E789)),ISNUMBER(SEARCH("centipede",E789)),ISNUMBER(SEARCH("beetle",E789))),"Crawling Insect Control",
OR(ISNUMBER(SEARCH("tree",E789)),ISNUMBER(SEARCH("lantern",E789)),ISNUMBER(SEARCH("garden",E789)),ISNUMBER(SEARCH("plant",E789))),"Garden Pest Control",
OR(ISNUMBER(SEARCH("grass seed",E789)),ISNUMBER(SEARCH("seed mix",E789))),"Grass Seed",
OR(ISNUMBER(SEARCH("lawn food",E789)),ISNUMBER(SEARCH("fertilizer",E789))),"Lawn Fertilizer",
OR(ISNUMBER(SEARCH("patch",E789)),ISNUMBER(SEARCH("repair",E789)),ISNUMBER(SEARCH("thick'r",E789)),ISNUMBER(SEARCH("thick'r lawn",E789)),ISNUMBER(SEARCH("rapid grass",E789))),"Lawn Repair",
OR(ISNUMBER(SEARCH("weed",E789)),ISNUMBER(SEARCH("crabgrass",E789))),"Weed Control",
OR(ISNUMBER(SEARCH("fungicide",E789)),ISNUMBER(SEARCH("moss",E789))),"Disease &amp; Moss Control",
OR(ISNUMBER(SEARCH("plant food",E789)),ISNUMBER(SEARCH("miracid",E789))),"Plant Nutrition",
OR(ISNUMBER(SEARCH("perlite",E789))),"Soil Amendment",
OR(ISNUMBER(SEARCH("spreader",E789)),ISNUMBER(SEARCH("sprayer",E789)),ISNUMBER(SEARCH("mower",E789)),ISNUMBER(SEARCH("sweeper",E789)),ISNUMBER(SEARCH("pruner",E789)),ISNUMBER(SEARCH("trimmer",E789)),ISNUMBER(SEARCH("pole saw",E789))),"Garden Equipment",
TRUE,"Other"
)</f>
        <v>Flying Insect Control</v>
      </c>
      <c r="I789" s="7" t="str" cm="1">
        <f t="array" ref="I789">_xlfn.IFS(
OR(ISNUMBER(SEARCH("glue trap",E789)),ISNUMBER(SEARCH("glue board",E789))),"Glue Traps",
OR(ISNUMBER(SEARCH("snap trap",E789)),ISNUMBER(SEARCH("power-kill",E789)),ISNUMBER(SEARCH("wide pedal",E789)),ISNUMBER(SEARCH("metal pedal",E789))),"Snap Traps",
OR(ISNUMBER(SEARCH("electronic",E789)),ISNUMBER(SEARCH("zapper",E789))),"Electronic Traps",
OR(ISNUMBER(SEARCH("live catch",E789)),ISNUMBER(SEARCH("multi-catch",E789)),ISNUMBER(SEARCH("catch &amp; hold",E789)),ISNUMBER(SEARCH("tin cat",E789))),"Live Catch Traps",
OR(ISNUMBER(SEARCH("bait",E789)),ISNUMBER(SEARCH("poison",E789))),"Bait &amp; Poison",
ISNUMBER(SEARCH("repellent",E789)),"Repellents",
OR(ISNUMBER(SEARCH("fly trap",E789)),ISNUMBER(SEARCH("fly ribbon",E789)),ISNUMBER(SEARCH("fly stick",E789)),ISNUMBER(SEARCH("window fly",E789)),ISNUMBER(SEARCH("fly magnet",E789))),"Fly Traps",
OR(ISNUMBER(SEARCH("uv",E789)),ISNUMBER(SEARCH("fly light",E789)),ISNUMBER(SEARCH("plug-in",E789))),"UV Fly Traps",
ISNUMBER(SEARCH("roach",E789)),"Roach Traps",
ISNUMBER(SEARCH("ant",E789)),"Ant Traps",
ISNUMBER(SEARCH("spider",E789)),"Spider Traps",
ISNUMBER(SEARCH("mosquito",E789)),"Mosquito Traps",
ISNUMBER(SEARCH("beetle",E789)),"Beetle Traps",
ISNUMBER(SEARCH("lantern",E789)),"Lanternfly Control",
OR(ISNUMBER(SEARCH("tree shield",E789)),ISNUMBER(SEARCH("tree banding",E789)),ISNUMBER(SEARCH("insect barrier",E789))),"Tree Barriers",
OR(ISNUMBER(SEARCH("sun &amp; shade",E789)),ISNUMBER(SEARCH("sun and shade",E789))),"Sun &amp; Shade Mix",
ISNUMBER(SEARCH("tall fescue",E789)),"Tall Fescue",
ISNUMBER(SEARCH("bermudagrass",E789)),"Bermudagrass",
ISNUMBER(SEARCH("kentucky",E789)),"Kentucky Bluegrass",
ISNUMBER(SEARCH("zoysia",E789)),"Zoysia",
ISNUMBER(SEARCH("ryegrass",E789)),"Perennial Ryegrass",
ISNUMBER(SEARCH("centipede",E789)),"Centipede Grass",
ISNUMBER(SEARCH("dense shade",E789)),"Dense Shade Mix",
ISNUMBER(SEARCH("southern gold",E789)),"Southern Gold Mix",
ISNUMBER(SEARCH("heat-tolerant blue",E789)),"Heat-Tolerant Blue Mix",
ISNUMBER(SEARCH("high traffic",E789)),"High Traffic Mix",
ISNUMBER(SEARCH("quick fix",E789)),"Quick Fix Mix",
ISNUMBER(SEARCH("starter",E789)),"Starter Fertilizer",
ISNUMBER(SEARCH("weed &amp; feed",E789)),"Weed &amp; Feed",
ISNUMBER(SEARCH("lawn food",E789)),"Lawn Food",
ISNUMBER(SEARCH("triple action",E789)),"Triple Action Fertilizer",
ISNUMBER(SEARCH("green max",E789)),"Green Max Lawn Food",
ISNUMBER(SEARCH("patchmaster",E789)),"PatchMaster Repair",
ISNUMBER(SEARCH("ez seed",E789)),"EZ Seed Repair",
ISNUMBER(SEARCH("rapid grass",E789)),"Rapid Grass",
ISNUMBER(SEARCH("thick'r lawn",E789)),"Thick'R Lawn",
ISNUMBER(SEARCH("fungicide",E789)),"Fungicide",
ISNUMBER(SEARCH("moss",E789)),"Moss Control",
ISNUMBER(SEARCH("perlite",E789)),"Perlite",
ISNUMBER(SEARCH("plant food",E789)),"Plant Food",
ISNUMBER(SEARCH("spreader",E789)),"Spreader",
ISNUMBER(SEARCH("sprayer",E789)),"Sprayer",
ISNUMBER(SEARCH("mower",E789)),"Lawn Mower",
ISNUMBER(SEARCH("sweeper",E789)),"Lawn Sweeper",
OR(ISNUMBER(SEARCH("pruner",E789)),ISNUMBER(SEARCH("trimmer",E789)),ISNUMBER(SEARCH("pole saw",E789))),"Pruning Tools",
TRUE,"Other"
)</f>
        <v>Ant Traps</v>
      </c>
      <c r="J789" s="7" t="str">
        <f t="shared" si="228"/>
        <v>Flying Insect Control - Ant Traps</v>
      </c>
      <c r="K789" s="4">
        <v>600</v>
      </c>
      <c r="L789" s="4">
        <v>3.8</v>
      </c>
      <c r="M789" s="4">
        <v>1195</v>
      </c>
      <c r="O789" s="4">
        <f>VLOOKUP(A789,[15]Sheet1!$A:$M,2,0)</f>
        <v>0</v>
      </c>
      <c r="P789" s="4">
        <f>VLOOKUP(A789,[15]Sheet1!$A:$M,3,0)</f>
        <v>0</v>
      </c>
      <c r="Q789" s="4">
        <f>VLOOKUP(A789,[15]Sheet1!$A:$M,4,0)</f>
        <v>0</v>
      </c>
      <c r="R789" s="4">
        <f>VLOOKUP(A789,[15]Sheet1!$A:$M,5,0)</f>
        <v>0</v>
      </c>
      <c r="S789" s="4">
        <f>VLOOKUP(A789,[15]Sheet1!$A:$M,6,0)</f>
        <v>50</v>
      </c>
      <c r="T789" s="4">
        <f>VLOOKUP(A789,[15]Sheet1!$A:$M,7,0)</f>
        <v>200</v>
      </c>
      <c r="U789" s="4">
        <f>VLOOKUP(A789,[15]Sheet1!$A:$M,8,0)</f>
        <v>300</v>
      </c>
      <c r="V789" s="4">
        <f>VLOOKUP(A789,[15]Sheet1!$A:$M,9,0)</f>
        <v>1000</v>
      </c>
      <c r="W789" s="4">
        <f>VLOOKUP(A789,[15]Sheet1!$A:$M,10,0)</f>
        <v>500</v>
      </c>
      <c r="X789" s="4">
        <f>VLOOKUP(A789,[15]Sheet1!$A:$M,11,0)</f>
        <v>300</v>
      </c>
      <c r="Y789" s="4">
        <f>VLOOKUP(A789,[15]Sheet1!$A:$M,12,0)</f>
        <v>100</v>
      </c>
      <c r="Z789" s="4">
        <f>VLOOKUP(A789,[15]Sheet1!$A:$M,13,0)</f>
        <v>0</v>
      </c>
      <c r="AA789" s="4">
        <f t="shared" si="229"/>
        <v>2450</v>
      </c>
      <c r="AB789" s="7">
        <f t="shared" si="230"/>
        <v>204</v>
      </c>
      <c r="AC789" s="15">
        <f t="shared" si="231"/>
        <v>204.16666666666666</v>
      </c>
      <c r="AD789" s="16">
        <f t="shared" si="232"/>
        <v>47432</v>
      </c>
      <c r="AE789" s="16">
        <f t="shared" si="233"/>
        <v>3952.6666666666665</v>
      </c>
      <c r="AF789" s="21">
        <v>9.1999999999999993</v>
      </c>
      <c r="AG789" s="21">
        <v>19.36</v>
      </c>
      <c r="AH789" s="15">
        <f t="shared" si="226"/>
        <v>-0.16373333333333331</v>
      </c>
      <c r="AI789" s="15">
        <f t="shared" si="227"/>
        <v>-0.5730666666666665</v>
      </c>
      <c r="AJ789" s="10">
        <v>0.5</v>
      </c>
      <c r="AK789" s="10">
        <v>0.5</v>
      </c>
      <c r="AL789" s="21">
        <v>9.1999999999999993</v>
      </c>
      <c r="AM789" s="9">
        <f t="shared" si="234"/>
        <v>2.9039999999999999</v>
      </c>
      <c r="AN789" s="9">
        <f t="shared" si="235"/>
        <v>0.58079999999999998</v>
      </c>
      <c r="AO789" s="9">
        <f t="shared" si="236"/>
        <v>3.8719999999999999</v>
      </c>
      <c r="AP789" s="9">
        <f t="shared" si="237"/>
        <v>0.38719999999999999</v>
      </c>
      <c r="AQ789" s="9">
        <f t="shared" si="238"/>
        <v>3.8719999999999999</v>
      </c>
      <c r="AR789" s="9">
        <f t="shared" si="239"/>
        <v>4.84</v>
      </c>
      <c r="AS789" s="11">
        <f t="shared" si="240"/>
        <v>-1.6373333333333331</v>
      </c>
      <c r="AT789" s="12">
        <f t="shared" si="241"/>
        <v>-2.2826666666666662</v>
      </c>
    </row>
    <row r="790" spans="1:46" ht="16.5" x14ac:dyDescent="0.4">
      <c r="A790" s="4" t="s">
        <v>3504</v>
      </c>
      <c r="B790" s="4" t="s">
        <v>3526</v>
      </c>
      <c r="C790" s="4" t="s">
        <v>1797</v>
      </c>
      <c r="D790" s="4" t="s">
        <v>3554</v>
      </c>
      <c r="E790" s="4" t="s">
        <v>3596</v>
      </c>
      <c r="F790" s="4" t="s">
        <v>3638</v>
      </c>
      <c r="G790" s="7" t="str">
        <f>VLOOKUP(A790,[1]done!$A:$I,9,0)</f>
        <v>Other crawling insects</v>
      </c>
      <c r="H790" s="7" t="str" cm="1">
        <f t="array" ref="H790">_xlfn.IFS(
OR(ISNUMBER(SEARCH("mouse",E790)),ISNUMBER(SEARCH("rat",E790)),ISNUMBER(SEARCH("mice",E790)),ISNUMBER(SEARCH("rodent",E790))),"Rodent Control",
OR(ISNUMBER(SEARCH("fly",E790)),ISNUMBER(SEARCH("gnat",E790)),ISNUMBER(SEARCH("insect",E790)),ISNUMBER(SEARCH("mosquito",E790))),"Flying Insect Control",
OR(ISNUMBER(SEARCH("roach",E790)),ISNUMBER(SEARCH("ant",E790)),ISNUMBER(SEARCH("spider",E790)),ISNUMBER(SEARCH("cricket",E790)),ISNUMBER(SEARCH("scorpion",E790)),ISNUMBER(SEARCH("centipede",E790)),ISNUMBER(SEARCH("beetle",E790))),"Crawling Insect Control",
OR(ISNUMBER(SEARCH("tree",E790)),ISNUMBER(SEARCH("lantern",E790)),ISNUMBER(SEARCH("garden",E790)),ISNUMBER(SEARCH("plant",E790))),"Garden Pest Control",
OR(ISNUMBER(SEARCH("grass seed",E790)),ISNUMBER(SEARCH("seed mix",E790))),"Grass Seed",
OR(ISNUMBER(SEARCH("lawn food",E790)),ISNUMBER(SEARCH("fertilizer",E790))),"Lawn Fertilizer",
OR(ISNUMBER(SEARCH("patch",E790)),ISNUMBER(SEARCH("repair",E790)),ISNUMBER(SEARCH("thick'r",E790)),ISNUMBER(SEARCH("thick'r lawn",E790)),ISNUMBER(SEARCH("rapid grass",E790))),"Lawn Repair",
OR(ISNUMBER(SEARCH("weed",E790)),ISNUMBER(SEARCH("crabgrass",E790))),"Weed Control",
OR(ISNUMBER(SEARCH("fungicide",E790)),ISNUMBER(SEARCH("moss",E790))),"Disease &amp; Moss Control",
OR(ISNUMBER(SEARCH("plant food",E790)),ISNUMBER(SEARCH("miracid",E790))),"Plant Nutrition",
OR(ISNUMBER(SEARCH("perlite",E790))),"Soil Amendment",
OR(ISNUMBER(SEARCH("spreader",E790)),ISNUMBER(SEARCH("sprayer",E790)),ISNUMBER(SEARCH("mower",E790)),ISNUMBER(SEARCH("sweeper",E790)),ISNUMBER(SEARCH("pruner",E790)),ISNUMBER(SEARCH("trimmer",E790)),ISNUMBER(SEARCH("pole saw",E790))),"Garden Equipment",
TRUE,"Other"
)</f>
        <v>Crawling Insect Control</v>
      </c>
      <c r="I790" s="7" t="str" cm="1">
        <f t="array" ref="I790">_xlfn.IFS(
OR(ISNUMBER(SEARCH("glue trap",E790)),ISNUMBER(SEARCH("glue board",E790))),"Glue Traps",
OR(ISNUMBER(SEARCH("snap trap",E790)),ISNUMBER(SEARCH("power-kill",E790)),ISNUMBER(SEARCH("wide pedal",E790)),ISNUMBER(SEARCH("metal pedal",E790))),"Snap Traps",
OR(ISNUMBER(SEARCH("electronic",E790)),ISNUMBER(SEARCH("zapper",E790))),"Electronic Traps",
OR(ISNUMBER(SEARCH("live catch",E790)),ISNUMBER(SEARCH("multi-catch",E790)),ISNUMBER(SEARCH("catch &amp; hold",E790)),ISNUMBER(SEARCH("tin cat",E790))),"Live Catch Traps",
OR(ISNUMBER(SEARCH("bait",E790)),ISNUMBER(SEARCH("poison",E790))),"Bait &amp; Poison",
ISNUMBER(SEARCH("repellent",E790)),"Repellents",
OR(ISNUMBER(SEARCH("fly trap",E790)),ISNUMBER(SEARCH("fly ribbon",E790)),ISNUMBER(SEARCH("fly stick",E790)),ISNUMBER(SEARCH("window fly",E790)),ISNUMBER(SEARCH("fly magnet",E790))),"Fly Traps",
OR(ISNUMBER(SEARCH("uv",E790)),ISNUMBER(SEARCH("fly light",E790)),ISNUMBER(SEARCH("plug-in",E790))),"UV Fly Traps",
ISNUMBER(SEARCH("roach",E790)),"Roach Traps",
ISNUMBER(SEARCH("ant",E790)),"Ant Traps",
ISNUMBER(SEARCH("spider",E790)),"Spider Traps",
ISNUMBER(SEARCH("mosquito",E790)),"Mosquito Traps",
ISNUMBER(SEARCH("beetle",E790)),"Beetle Traps",
ISNUMBER(SEARCH("lantern",E790)),"Lanternfly Control",
OR(ISNUMBER(SEARCH("tree shield",E790)),ISNUMBER(SEARCH("tree banding",E790)),ISNUMBER(SEARCH("insect barrier",E790))),"Tree Barriers",
OR(ISNUMBER(SEARCH("sun &amp; shade",E790)),ISNUMBER(SEARCH("sun and shade",E790))),"Sun &amp; Shade Mix",
ISNUMBER(SEARCH("tall fescue",E790)),"Tall Fescue",
ISNUMBER(SEARCH("bermudagrass",E790)),"Bermudagrass",
ISNUMBER(SEARCH("kentucky",E790)),"Kentucky Bluegrass",
ISNUMBER(SEARCH("zoysia",E790)),"Zoysia",
ISNUMBER(SEARCH("ryegrass",E790)),"Perennial Ryegrass",
ISNUMBER(SEARCH("centipede",E790)),"Centipede Grass",
ISNUMBER(SEARCH("dense shade",E790)),"Dense Shade Mix",
ISNUMBER(SEARCH("southern gold",E790)),"Southern Gold Mix",
ISNUMBER(SEARCH("heat-tolerant blue",E790)),"Heat-Tolerant Blue Mix",
ISNUMBER(SEARCH("high traffic",E790)),"High Traffic Mix",
ISNUMBER(SEARCH("quick fix",E790)),"Quick Fix Mix",
ISNUMBER(SEARCH("starter",E790)),"Starter Fertilizer",
ISNUMBER(SEARCH("weed &amp; feed",E790)),"Weed &amp; Feed",
ISNUMBER(SEARCH("lawn food",E790)),"Lawn Food",
ISNUMBER(SEARCH("triple action",E790)),"Triple Action Fertilizer",
ISNUMBER(SEARCH("green max",E790)),"Green Max Lawn Food",
ISNUMBER(SEARCH("patchmaster",E790)),"PatchMaster Repair",
ISNUMBER(SEARCH("ez seed",E790)),"EZ Seed Repair",
ISNUMBER(SEARCH("rapid grass",E790)),"Rapid Grass",
ISNUMBER(SEARCH("thick'r lawn",E790)),"Thick'R Lawn",
ISNUMBER(SEARCH("fungicide",E790)),"Fungicide",
ISNUMBER(SEARCH("moss",E790)),"Moss Control",
ISNUMBER(SEARCH("perlite",E790)),"Perlite",
ISNUMBER(SEARCH("plant food",E790)),"Plant Food",
ISNUMBER(SEARCH("spreader",E790)),"Spreader",
ISNUMBER(SEARCH("sprayer",E790)),"Sprayer",
ISNUMBER(SEARCH("mower",E790)),"Lawn Mower",
ISNUMBER(SEARCH("sweeper",E790)),"Lawn Sweeper",
OR(ISNUMBER(SEARCH("pruner",E790)),ISNUMBER(SEARCH("trimmer",E790)),ISNUMBER(SEARCH("pole saw",E790))),"Pruning Tools",
TRUE,"Other"
)</f>
        <v>Beetle Traps</v>
      </c>
      <c r="J790" s="7" t="str">
        <f t="shared" si="228"/>
        <v>Crawling Insect Control - Beetle Traps</v>
      </c>
      <c r="K790" s="4">
        <v>500</v>
      </c>
      <c r="L790" s="4">
        <v>4.5</v>
      </c>
      <c r="M790" s="4">
        <v>1510</v>
      </c>
      <c r="N790" s="4" t="s">
        <v>3473</v>
      </c>
      <c r="O790" s="4">
        <f>VLOOKUP(A790,[15]Sheet1!$A:$M,2,0)</f>
        <v>1000</v>
      </c>
      <c r="P790" s="4">
        <f>VLOOKUP(A790,[15]Sheet1!$A:$M,3,0)</f>
        <v>200</v>
      </c>
      <c r="Q790" s="4">
        <f>VLOOKUP(A790,[15]Sheet1!$A:$M,4,0)</f>
        <v>3000</v>
      </c>
      <c r="R790" s="4">
        <f>VLOOKUP(A790,[15]Sheet1!$A:$M,5,0)</f>
        <v>1000</v>
      </c>
      <c r="S790" s="4">
        <f>VLOOKUP(A790,[15]Sheet1!$A:$M,6,0)</f>
        <v>1000</v>
      </c>
      <c r="T790" s="4">
        <f>VLOOKUP(A790,[15]Sheet1!$A:$M,7,0)</f>
        <v>300</v>
      </c>
      <c r="U790" s="4">
        <f>VLOOKUP(A790,[15]Sheet1!$A:$M,8,0)</f>
        <v>400</v>
      </c>
      <c r="V790" s="4">
        <f>VLOOKUP(A790,[15]Sheet1!$A:$M,9,0)</f>
        <v>200</v>
      </c>
      <c r="W790" s="4">
        <f>VLOOKUP(A790,[15]Sheet1!$A:$M,10,0)</f>
        <v>600</v>
      </c>
      <c r="X790" s="4">
        <f>VLOOKUP(A790,[15]Sheet1!$A:$M,11,0)</f>
        <v>3000</v>
      </c>
      <c r="Y790" s="4">
        <f>VLOOKUP(A790,[15]Sheet1!$A:$M,12,0)</f>
        <v>3000</v>
      </c>
      <c r="Z790" s="4">
        <f>VLOOKUP(A790,[15]Sheet1!$A:$M,13,0)</f>
        <v>1000</v>
      </c>
      <c r="AA790" s="4">
        <f t="shared" si="229"/>
        <v>14700</v>
      </c>
      <c r="AB790" s="7">
        <f t="shared" si="230"/>
        <v>1225</v>
      </c>
      <c r="AC790" s="15">
        <f t="shared" si="231"/>
        <v>1225</v>
      </c>
      <c r="AD790" s="16">
        <f t="shared" si="232"/>
        <v>227409</v>
      </c>
      <c r="AE790" s="16">
        <f t="shared" si="233"/>
        <v>18950.75</v>
      </c>
      <c r="AF790" s="21">
        <v>6.31</v>
      </c>
      <c r="AG790" s="21">
        <v>15.47</v>
      </c>
      <c r="AH790" s="15">
        <f t="shared" si="226"/>
        <v>-7.4799999999999991E-2</v>
      </c>
      <c r="AI790" s="15">
        <f t="shared" si="227"/>
        <v>-0.26179999999999992</v>
      </c>
      <c r="AJ790" s="10">
        <v>0.5</v>
      </c>
      <c r="AK790" s="10">
        <v>0.5</v>
      </c>
      <c r="AL790" s="21">
        <v>6.31</v>
      </c>
      <c r="AM790" s="9">
        <f t="shared" si="234"/>
        <v>2.3205</v>
      </c>
      <c r="AN790" s="9">
        <f t="shared" si="235"/>
        <v>0.46410000000000001</v>
      </c>
      <c r="AO790" s="9">
        <f t="shared" si="236"/>
        <v>3.0940000000000003</v>
      </c>
      <c r="AP790" s="9">
        <f t="shared" si="237"/>
        <v>0.30940000000000001</v>
      </c>
      <c r="AQ790" s="9">
        <f t="shared" si="238"/>
        <v>3.0940000000000003</v>
      </c>
      <c r="AR790" s="9">
        <f t="shared" si="239"/>
        <v>3.8675000000000002</v>
      </c>
      <c r="AS790" s="11">
        <f t="shared" si="240"/>
        <v>-0.74799999999999989</v>
      </c>
      <c r="AT790" s="12">
        <f t="shared" si="241"/>
        <v>-1.2636666666666665</v>
      </c>
    </row>
    <row r="791" spans="1:46" ht="16.5" x14ac:dyDescent="0.4">
      <c r="A791" s="4" t="s">
        <v>3505</v>
      </c>
      <c r="B791" s="4" t="s">
        <v>3526</v>
      </c>
      <c r="C791" s="4" t="s">
        <v>3528</v>
      </c>
      <c r="D791" s="4" t="s">
        <v>3555</v>
      </c>
      <c r="E791" s="4" t="s">
        <v>3597</v>
      </c>
      <c r="F791" s="4" t="s">
        <v>3639</v>
      </c>
      <c r="G791" s="7" t="str">
        <f>VLOOKUP(A791,[1]done!$A:$I,9,0)</f>
        <v>Bed Bug repellent</v>
      </c>
      <c r="H791" s="7" t="str" cm="1">
        <f t="array" ref="H791">_xlfn.IFS(
OR(ISNUMBER(SEARCH("mouse",E791)),ISNUMBER(SEARCH("rat",E791)),ISNUMBER(SEARCH("mice",E791)),ISNUMBER(SEARCH("rodent",E791))),"Rodent Control",
OR(ISNUMBER(SEARCH("fly",E791)),ISNUMBER(SEARCH("gnat",E791)),ISNUMBER(SEARCH("insect",E791)),ISNUMBER(SEARCH("mosquito",E791))),"Flying Insect Control",
OR(ISNUMBER(SEARCH("roach",E791)),ISNUMBER(SEARCH("ant",E791)),ISNUMBER(SEARCH("spider",E791)),ISNUMBER(SEARCH("cricket",E791)),ISNUMBER(SEARCH("scorpion",E791)),ISNUMBER(SEARCH("centipede",E791)),ISNUMBER(SEARCH("beetle",E791))),"Crawling Insect Control",
OR(ISNUMBER(SEARCH("tree",E791)),ISNUMBER(SEARCH("lantern",E791)),ISNUMBER(SEARCH("garden",E791)),ISNUMBER(SEARCH("plant",E791))),"Garden Pest Control",
OR(ISNUMBER(SEARCH("grass seed",E791)),ISNUMBER(SEARCH("seed mix",E791))),"Grass Seed",
OR(ISNUMBER(SEARCH("lawn food",E791)),ISNUMBER(SEARCH("fertilizer",E791))),"Lawn Fertilizer",
OR(ISNUMBER(SEARCH("patch",E791)),ISNUMBER(SEARCH("repair",E791)),ISNUMBER(SEARCH("thick'r",E791)),ISNUMBER(SEARCH("thick'r lawn",E791)),ISNUMBER(SEARCH("rapid grass",E791))),"Lawn Repair",
OR(ISNUMBER(SEARCH("weed",E791)),ISNUMBER(SEARCH("crabgrass",E791))),"Weed Control",
OR(ISNUMBER(SEARCH("fungicide",E791)),ISNUMBER(SEARCH("moss",E791))),"Disease &amp; Moss Control",
OR(ISNUMBER(SEARCH("plant food",E791)),ISNUMBER(SEARCH("miracid",E791))),"Plant Nutrition",
OR(ISNUMBER(SEARCH("perlite",E791))),"Soil Amendment",
OR(ISNUMBER(SEARCH("spreader",E791)),ISNUMBER(SEARCH("sprayer",E791)),ISNUMBER(SEARCH("mower",E791)),ISNUMBER(SEARCH("sweeper",E791)),ISNUMBER(SEARCH("pruner",E791)),ISNUMBER(SEARCH("trimmer",E791)),ISNUMBER(SEARCH("pole saw",E791))),"Garden Equipment",
TRUE,"Other"
)</f>
        <v>Other</v>
      </c>
      <c r="I791" s="7" t="str" cm="1">
        <f t="array" ref="I791">_xlfn.IFS(
OR(ISNUMBER(SEARCH("glue trap",E791)),ISNUMBER(SEARCH("glue board",E791))),"Glue Traps",
OR(ISNUMBER(SEARCH("snap trap",E791)),ISNUMBER(SEARCH("power-kill",E791)),ISNUMBER(SEARCH("wide pedal",E791)),ISNUMBER(SEARCH("metal pedal",E791))),"Snap Traps",
OR(ISNUMBER(SEARCH("electronic",E791)),ISNUMBER(SEARCH("zapper",E791))),"Electronic Traps",
OR(ISNUMBER(SEARCH("live catch",E791)),ISNUMBER(SEARCH("multi-catch",E791)),ISNUMBER(SEARCH("catch &amp; hold",E791)),ISNUMBER(SEARCH("tin cat",E791))),"Live Catch Traps",
OR(ISNUMBER(SEARCH("bait",E791)),ISNUMBER(SEARCH("poison",E791))),"Bait &amp; Poison",
ISNUMBER(SEARCH("repellent",E791)),"Repellents",
OR(ISNUMBER(SEARCH("fly trap",E791)),ISNUMBER(SEARCH("fly ribbon",E791)),ISNUMBER(SEARCH("fly stick",E791)),ISNUMBER(SEARCH("window fly",E791)),ISNUMBER(SEARCH("fly magnet",E791))),"Fly Traps",
OR(ISNUMBER(SEARCH("uv",E791)),ISNUMBER(SEARCH("fly light",E791)),ISNUMBER(SEARCH("plug-in",E791))),"UV Fly Traps",
ISNUMBER(SEARCH("roach",E791)),"Roach Traps",
ISNUMBER(SEARCH("ant",E791)),"Ant Traps",
ISNUMBER(SEARCH("spider",E791)),"Spider Traps",
ISNUMBER(SEARCH("mosquito",E791)),"Mosquito Traps",
ISNUMBER(SEARCH("beetle",E791)),"Beetle Traps",
ISNUMBER(SEARCH("lantern",E791)),"Lanternfly Control",
OR(ISNUMBER(SEARCH("tree shield",E791)),ISNUMBER(SEARCH("tree banding",E791)),ISNUMBER(SEARCH("insect barrier",E791))),"Tree Barriers",
OR(ISNUMBER(SEARCH("sun &amp; shade",E791)),ISNUMBER(SEARCH("sun and shade",E791))),"Sun &amp; Shade Mix",
ISNUMBER(SEARCH("tall fescue",E791)),"Tall Fescue",
ISNUMBER(SEARCH("bermudagrass",E791)),"Bermudagrass",
ISNUMBER(SEARCH("kentucky",E791)),"Kentucky Bluegrass",
ISNUMBER(SEARCH("zoysia",E791)),"Zoysia",
ISNUMBER(SEARCH("ryegrass",E791)),"Perennial Ryegrass",
ISNUMBER(SEARCH("centipede",E791)),"Centipede Grass",
ISNUMBER(SEARCH("dense shade",E791)),"Dense Shade Mix",
ISNUMBER(SEARCH("southern gold",E791)),"Southern Gold Mix",
ISNUMBER(SEARCH("heat-tolerant blue",E791)),"Heat-Tolerant Blue Mix",
ISNUMBER(SEARCH("high traffic",E791)),"High Traffic Mix",
ISNUMBER(SEARCH("quick fix",E791)),"Quick Fix Mix",
ISNUMBER(SEARCH("starter",E791)),"Starter Fertilizer",
ISNUMBER(SEARCH("weed &amp; feed",E791)),"Weed &amp; Feed",
ISNUMBER(SEARCH("lawn food",E791)),"Lawn Food",
ISNUMBER(SEARCH("triple action",E791)),"Triple Action Fertilizer",
ISNUMBER(SEARCH("green max",E791)),"Green Max Lawn Food",
ISNUMBER(SEARCH("patchmaster",E791)),"PatchMaster Repair",
ISNUMBER(SEARCH("ez seed",E791)),"EZ Seed Repair",
ISNUMBER(SEARCH("rapid grass",E791)),"Rapid Grass",
ISNUMBER(SEARCH("thick'r lawn",E791)),"Thick'R Lawn",
ISNUMBER(SEARCH("fungicide",E791)),"Fungicide",
ISNUMBER(SEARCH("moss",E791)),"Moss Control",
ISNUMBER(SEARCH("perlite",E791)),"Perlite",
ISNUMBER(SEARCH("plant food",E791)),"Plant Food",
ISNUMBER(SEARCH("spreader",E791)),"Spreader",
ISNUMBER(SEARCH("sprayer",E791)),"Sprayer",
ISNUMBER(SEARCH("mower",E791)),"Lawn Mower",
ISNUMBER(SEARCH("sweeper",E791)),"Lawn Sweeper",
OR(ISNUMBER(SEARCH("pruner",E791)),ISNUMBER(SEARCH("trimmer",E791)),ISNUMBER(SEARCH("pole saw",E791))),"Pruning Tools",
TRUE,"Other"
)</f>
        <v>Other</v>
      </c>
      <c r="J791" s="7" t="str">
        <f t="shared" si="228"/>
        <v>Other - Other</v>
      </c>
      <c r="K791" s="4">
        <v>400</v>
      </c>
      <c r="L791" s="4">
        <v>3.9</v>
      </c>
      <c r="M791" s="4">
        <v>9707</v>
      </c>
      <c r="N791" s="4" t="s">
        <v>3669</v>
      </c>
      <c r="O791" s="4">
        <f>VLOOKUP(A791,[15]Sheet1!$A:$M,2,0)</f>
        <v>100</v>
      </c>
      <c r="P791" s="4">
        <f>VLOOKUP(A791,[15]Sheet1!$A:$M,3,0)</f>
        <v>100</v>
      </c>
      <c r="Q791" s="4">
        <f>VLOOKUP(A791,[15]Sheet1!$A:$M,4,0)</f>
        <v>100</v>
      </c>
      <c r="R791" s="4">
        <f>VLOOKUP(A791,[15]Sheet1!$A:$M,5,0)</f>
        <v>200</v>
      </c>
      <c r="S791" s="4">
        <f>VLOOKUP(A791,[15]Sheet1!$A:$M,6,0)</f>
        <v>200</v>
      </c>
      <c r="T791" s="4">
        <f>VLOOKUP(A791,[15]Sheet1!$A:$M,7,0)</f>
        <v>200</v>
      </c>
      <c r="U791" s="4">
        <f>VLOOKUP(A791,[15]Sheet1!$A:$M,8,0)</f>
        <v>500</v>
      </c>
      <c r="V791" s="4">
        <f>VLOOKUP(A791,[15]Sheet1!$A:$M,9,0)</f>
        <v>700</v>
      </c>
      <c r="W791" s="4">
        <f>VLOOKUP(A791,[15]Sheet1!$A:$M,10,0)</f>
        <v>400</v>
      </c>
      <c r="X791" s="4">
        <f>VLOOKUP(A791,[15]Sheet1!$A:$M,11,0)</f>
        <v>300</v>
      </c>
      <c r="Y791" s="4">
        <f>VLOOKUP(A791,[15]Sheet1!$A:$M,12,0)</f>
        <v>200</v>
      </c>
      <c r="Z791" s="4">
        <f>VLOOKUP(A791,[15]Sheet1!$A:$M,13,0)</f>
        <v>100</v>
      </c>
      <c r="AA791" s="4">
        <f t="shared" si="229"/>
        <v>3100</v>
      </c>
      <c r="AB791" s="7">
        <f t="shared" si="230"/>
        <v>258</v>
      </c>
      <c r="AC791" s="15">
        <f t="shared" si="231"/>
        <v>258.33333333333331</v>
      </c>
      <c r="AD791" s="16">
        <f t="shared" si="232"/>
        <v>58868.999999999993</v>
      </c>
      <c r="AE791" s="16">
        <f t="shared" si="233"/>
        <v>4905.7499999999991</v>
      </c>
      <c r="AF791" s="21">
        <v>4.09</v>
      </c>
      <c r="AG791" s="21">
        <v>18.989999999999998</v>
      </c>
      <c r="AH791" s="15">
        <f t="shared" si="226"/>
        <v>0.16706666666666659</v>
      </c>
      <c r="AI791" s="15">
        <f t="shared" si="227"/>
        <v>0.58473333333333288</v>
      </c>
      <c r="AJ791" s="10">
        <v>0.5</v>
      </c>
      <c r="AK791" s="10">
        <v>0.5</v>
      </c>
      <c r="AL791" s="21">
        <v>4.09</v>
      </c>
      <c r="AM791" s="9">
        <f t="shared" si="234"/>
        <v>2.8484999999999996</v>
      </c>
      <c r="AN791" s="9">
        <f t="shared" si="235"/>
        <v>0.56969999999999998</v>
      </c>
      <c r="AO791" s="9">
        <f t="shared" si="236"/>
        <v>3.798</v>
      </c>
      <c r="AP791" s="9">
        <f t="shared" si="237"/>
        <v>0.37979999999999997</v>
      </c>
      <c r="AQ791" s="9">
        <f t="shared" si="238"/>
        <v>3.798</v>
      </c>
      <c r="AR791" s="9">
        <f t="shared" si="239"/>
        <v>4.7474999999999996</v>
      </c>
      <c r="AS791" s="11">
        <f t="shared" si="240"/>
        <v>1.6706666666666656</v>
      </c>
      <c r="AT791" s="12">
        <f t="shared" si="241"/>
        <v>1.0376666666666658</v>
      </c>
    </row>
    <row r="792" spans="1:46" ht="16.5" x14ac:dyDescent="0.4">
      <c r="A792" s="4" t="s">
        <v>3506</v>
      </c>
      <c r="B792" s="4" t="s">
        <v>3526</v>
      </c>
      <c r="C792" s="4" t="s">
        <v>3528</v>
      </c>
      <c r="D792" s="4" t="s">
        <v>3556</v>
      </c>
      <c r="E792" s="4" t="s">
        <v>3598</v>
      </c>
      <c r="F792" s="4" t="s">
        <v>3640</v>
      </c>
      <c r="G792" s="7" t="str">
        <f>VLOOKUP(A792,[1]done!$A:$I,9,0)</f>
        <v>Other Harris</v>
      </c>
      <c r="H792" s="7" t="str" cm="1">
        <f t="array" ref="H792">_xlfn.IFS(
OR(ISNUMBER(SEARCH("mouse",E792)),ISNUMBER(SEARCH("rat",E792)),ISNUMBER(SEARCH("mice",E792)),ISNUMBER(SEARCH("rodent",E792))),"Rodent Control",
OR(ISNUMBER(SEARCH("fly",E792)),ISNUMBER(SEARCH("gnat",E792)),ISNUMBER(SEARCH("insect",E792)),ISNUMBER(SEARCH("mosquito",E792))),"Flying Insect Control",
OR(ISNUMBER(SEARCH("roach",E792)),ISNUMBER(SEARCH("ant",E792)),ISNUMBER(SEARCH("spider",E792)),ISNUMBER(SEARCH("cricket",E792)),ISNUMBER(SEARCH("scorpion",E792)),ISNUMBER(SEARCH("centipede",E792)),ISNUMBER(SEARCH("beetle",E792))),"Crawling Insect Control",
OR(ISNUMBER(SEARCH("tree",E792)),ISNUMBER(SEARCH("lantern",E792)),ISNUMBER(SEARCH("garden",E792)),ISNUMBER(SEARCH("plant",E792))),"Garden Pest Control",
OR(ISNUMBER(SEARCH("grass seed",E792)),ISNUMBER(SEARCH("seed mix",E792))),"Grass Seed",
OR(ISNUMBER(SEARCH("lawn food",E792)),ISNUMBER(SEARCH("fertilizer",E792))),"Lawn Fertilizer",
OR(ISNUMBER(SEARCH("patch",E792)),ISNUMBER(SEARCH("repair",E792)),ISNUMBER(SEARCH("thick'r",E792)),ISNUMBER(SEARCH("thick'r lawn",E792)),ISNUMBER(SEARCH("rapid grass",E792))),"Lawn Repair",
OR(ISNUMBER(SEARCH("weed",E792)),ISNUMBER(SEARCH("crabgrass",E792))),"Weed Control",
OR(ISNUMBER(SEARCH("fungicide",E792)),ISNUMBER(SEARCH("moss",E792))),"Disease &amp; Moss Control",
OR(ISNUMBER(SEARCH("plant food",E792)),ISNUMBER(SEARCH("miracid",E792))),"Plant Nutrition",
OR(ISNUMBER(SEARCH("perlite",E792))),"Soil Amendment",
OR(ISNUMBER(SEARCH("spreader",E792)),ISNUMBER(SEARCH("sprayer",E792)),ISNUMBER(SEARCH("mower",E792)),ISNUMBER(SEARCH("sweeper",E792)),ISNUMBER(SEARCH("pruner",E792)),ISNUMBER(SEARCH("trimmer",E792)),ISNUMBER(SEARCH("pole saw",E792))),"Garden Equipment",
TRUE,"Other"
)</f>
        <v>Other</v>
      </c>
      <c r="I792" s="7" t="str" cm="1">
        <f t="array" ref="I792">_xlfn.IFS(
OR(ISNUMBER(SEARCH("glue trap",E792)),ISNUMBER(SEARCH("glue board",E792))),"Glue Traps",
OR(ISNUMBER(SEARCH("snap trap",E792)),ISNUMBER(SEARCH("power-kill",E792)),ISNUMBER(SEARCH("wide pedal",E792)),ISNUMBER(SEARCH("metal pedal",E792))),"Snap Traps",
OR(ISNUMBER(SEARCH("electronic",E792)),ISNUMBER(SEARCH("zapper",E792))),"Electronic Traps",
OR(ISNUMBER(SEARCH("live catch",E792)),ISNUMBER(SEARCH("multi-catch",E792)),ISNUMBER(SEARCH("catch &amp; hold",E792)),ISNUMBER(SEARCH("tin cat",E792))),"Live Catch Traps",
OR(ISNUMBER(SEARCH("bait",E792)),ISNUMBER(SEARCH("poison",E792))),"Bait &amp; Poison",
ISNUMBER(SEARCH("repellent",E792)),"Repellents",
OR(ISNUMBER(SEARCH("fly trap",E792)),ISNUMBER(SEARCH("fly ribbon",E792)),ISNUMBER(SEARCH("fly stick",E792)),ISNUMBER(SEARCH("window fly",E792)),ISNUMBER(SEARCH("fly magnet",E792))),"Fly Traps",
OR(ISNUMBER(SEARCH("uv",E792)),ISNUMBER(SEARCH("fly light",E792)),ISNUMBER(SEARCH("plug-in",E792))),"UV Fly Traps",
ISNUMBER(SEARCH("roach",E792)),"Roach Traps",
ISNUMBER(SEARCH("ant",E792)),"Ant Traps",
ISNUMBER(SEARCH("spider",E792)),"Spider Traps",
ISNUMBER(SEARCH("mosquito",E792)),"Mosquito Traps",
ISNUMBER(SEARCH("beetle",E792)),"Beetle Traps",
ISNUMBER(SEARCH("lantern",E792)),"Lanternfly Control",
OR(ISNUMBER(SEARCH("tree shield",E792)),ISNUMBER(SEARCH("tree banding",E792)),ISNUMBER(SEARCH("insect barrier",E792))),"Tree Barriers",
OR(ISNUMBER(SEARCH("sun &amp; shade",E792)),ISNUMBER(SEARCH("sun and shade",E792))),"Sun &amp; Shade Mix",
ISNUMBER(SEARCH("tall fescue",E792)),"Tall Fescue",
ISNUMBER(SEARCH("bermudagrass",E792)),"Bermudagrass",
ISNUMBER(SEARCH("kentucky",E792)),"Kentucky Bluegrass",
ISNUMBER(SEARCH("zoysia",E792)),"Zoysia",
ISNUMBER(SEARCH("ryegrass",E792)),"Perennial Ryegrass",
ISNUMBER(SEARCH("centipede",E792)),"Centipede Grass",
ISNUMBER(SEARCH("dense shade",E792)),"Dense Shade Mix",
ISNUMBER(SEARCH("southern gold",E792)),"Southern Gold Mix",
ISNUMBER(SEARCH("heat-tolerant blue",E792)),"Heat-Tolerant Blue Mix",
ISNUMBER(SEARCH("high traffic",E792)),"High Traffic Mix",
ISNUMBER(SEARCH("quick fix",E792)),"Quick Fix Mix",
ISNUMBER(SEARCH("starter",E792)),"Starter Fertilizer",
ISNUMBER(SEARCH("weed &amp; feed",E792)),"Weed &amp; Feed",
ISNUMBER(SEARCH("lawn food",E792)),"Lawn Food",
ISNUMBER(SEARCH("triple action",E792)),"Triple Action Fertilizer",
ISNUMBER(SEARCH("green max",E792)),"Green Max Lawn Food",
ISNUMBER(SEARCH("patchmaster",E792)),"PatchMaster Repair",
ISNUMBER(SEARCH("ez seed",E792)),"EZ Seed Repair",
ISNUMBER(SEARCH("rapid grass",E792)),"Rapid Grass",
ISNUMBER(SEARCH("thick'r lawn",E792)),"Thick'R Lawn",
ISNUMBER(SEARCH("fungicide",E792)),"Fungicide",
ISNUMBER(SEARCH("moss",E792)),"Moss Control",
ISNUMBER(SEARCH("perlite",E792)),"Perlite",
ISNUMBER(SEARCH("plant food",E792)),"Plant Food",
ISNUMBER(SEARCH("spreader",E792)),"Spreader",
ISNUMBER(SEARCH("sprayer",E792)),"Sprayer",
ISNUMBER(SEARCH("mower",E792)),"Lawn Mower",
ISNUMBER(SEARCH("sweeper",E792)),"Lawn Sweeper",
OR(ISNUMBER(SEARCH("pruner",E792)),ISNUMBER(SEARCH("trimmer",E792)),ISNUMBER(SEARCH("pole saw",E792))),"Pruning Tools",
TRUE,"Other"
)</f>
        <v>Other</v>
      </c>
      <c r="J792" s="7" t="str">
        <f t="shared" si="228"/>
        <v>Other - Other</v>
      </c>
      <c r="K792" s="4">
        <v>400</v>
      </c>
      <c r="L792" s="4">
        <v>4.5999999999999996</v>
      </c>
      <c r="M792" s="4">
        <v>19167</v>
      </c>
      <c r="N792" s="4" t="s">
        <v>1094</v>
      </c>
      <c r="O792" s="4">
        <f>VLOOKUP(A792,[15]Sheet1!$A:$M,2,0)</f>
        <v>500</v>
      </c>
      <c r="P792" s="4">
        <f>VLOOKUP(A792,[15]Sheet1!$A:$M,3,0)</f>
        <v>500</v>
      </c>
      <c r="Q792" s="4">
        <f>VLOOKUP(A792,[15]Sheet1!$A:$M,4,0)</f>
        <v>800</v>
      </c>
      <c r="R792" s="4">
        <f>VLOOKUP(A792,[15]Sheet1!$A:$M,5,0)</f>
        <v>1000</v>
      </c>
      <c r="S792" s="4">
        <f>VLOOKUP(A792,[15]Sheet1!$A:$M,6,0)</f>
        <v>1000</v>
      </c>
      <c r="T792" s="4">
        <f>VLOOKUP(A792,[15]Sheet1!$A:$M,7,0)</f>
        <v>2000</v>
      </c>
      <c r="U792" s="4">
        <f>VLOOKUP(A792,[15]Sheet1!$A:$M,8,0)</f>
        <v>1000</v>
      </c>
      <c r="V792" s="4">
        <f>VLOOKUP(A792,[15]Sheet1!$A:$M,9,0)</f>
        <v>1000</v>
      </c>
      <c r="W792" s="4">
        <f>VLOOKUP(A792,[15]Sheet1!$A:$M,10,0)</f>
        <v>400</v>
      </c>
      <c r="X792" s="4">
        <f>VLOOKUP(A792,[15]Sheet1!$A:$M,11,0)</f>
        <v>1000</v>
      </c>
      <c r="Y792" s="4">
        <f>VLOOKUP(A792,[15]Sheet1!$A:$M,12,0)</f>
        <v>1000</v>
      </c>
      <c r="Z792" s="4">
        <f>VLOOKUP(A792,[15]Sheet1!$A:$M,13,0)</f>
        <v>600</v>
      </c>
      <c r="AA792" s="4">
        <f t="shared" si="229"/>
        <v>10800</v>
      </c>
      <c r="AB792" s="7">
        <f t="shared" si="230"/>
        <v>900</v>
      </c>
      <c r="AC792" s="15">
        <f t="shared" si="231"/>
        <v>900</v>
      </c>
      <c r="AD792" s="16">
        <f t="shared" si="232"/>
        <v>215891.99999999997</v>
      </c>
      <c r="AE792" s="16">
        <f t="shared" si="233"/>
        <v>17991</v>
      </c>
      <c r="AF792" s="21">
        <v>7.46</v>
      </c>
      <c r="AG792" s="21">
        <v>19.989999999999998</v>
      </c>
      <c r="AH792" s="15">
        <f t="shared" si="226"/>
        <v>-3.0933333333333451E-2</v>
      </c>
      <c r="AI792" s="15">
        <f t="shared" si="227"/>
        <v>-0.10826666666666708</v>
      </c>
      <c r="AJ792" s="10">
        <v>0.5</v>
      </c>
      <c r="AK792" s="10">
        <v>0.5</v>
      </c>
      <c r="AL792" s="21">
        <v>7.46</v>
      </c>
      <c r="AM792" s="9">
        <f t="shared" si="234"/>
        <v>2.9984999999999995</v>
      </c>
      <c r="AN792" s="9">
        <f t="shared" si="235"/>
        <v>0.5996999999999999</v>
      </c>
      <c r="AO792" s="9">
        <f t="shared" si="236"/>
        <v>3.9979999999999998</v>
      </c>
      <c r="AP792" s="9">
        <f t="shared" si="237"/>
        <v>0.39979999999999999</v>
      </c>
      <c r="AQ792" s="9">
        <f t="shared" si="238"/>
        <v>3.9979999999999998</v>
      </c>
      <c r="AR792" s="9">
        <f t="shared" si="239"/>
        <v>4.9974999999999996</v>
      </c>
      <c r="AS792" s="11">
        <f t="shared" si="240"/>
        <v>-0.30933333333333451</v>
      </c>
      <c r="AT792" s="12">
        <f t="shared" si="241"/>
        <v>-0.97566666666666768</v>
      </c>
    </row>
    <row r="793" spans="1:46" ht="16.5" x14ac:dyDescent="0.4">
      <c r="A793" s="4" t="s">
        <v>3507</v>
      </c>
      <c r="B793" s="4" t="s">
        <v>3526</v>
      </c>
      <c r="C793" s="4" t="s">
        <v>3532</v>
      </c>
      <c r="D793" s="4" t="s">
        <v>3557</v>
      </c>
      <c r="E793" s="4" t="s">
        <v>3599</v>
      </c>
      <c r="F793" s="4" t="s">
        <v>3641</v>
      </c>
      <c r="G793" s="7" t="str">
        <f>VLOOKUP(A793,[1]done!$A:$I,9,0)</f>
        <v>Bed Bug repellent</v>
      </c>
      <c r="H793" s="7" t="str" cm="1">
        <f t="array" ref="H793">_xlfn.IFS(
OR(ISNUMBER(SEARCH("mouse",E793)),ISNUMBER(SEARCH("rat",E793)),ISNUMBER(SEARCH("mice",E793)),ISNUMBER(SEARCH("rodent",E793))),"Rodent Control",
OR(ISNUMBER(SEARCH("fly",E793)),ISNUMBER(SEARCH("gnat",E793)),ISNUMBER(SEARCH("insect",E793)),ISNUMBER(SEARCH("mosquito",E793))),"Flying Insect Control",
OR(ISNUMBER(SEARCH("roach",E793)),ISNUMBER(SEARCH("ant",E793)),ISNUMBER(SEARCH("spider",E793)),ISNUMBER(SEARCH("cricket",E793)),ISNUMBER(SEARCH("scorpion",E793)),ISNUMBER(SEARCH("centipede",E793)),ISNUMBER(SEARCH("beetle",E793))),"Crawling Insect Control",
OR(ISNUMBER(SEARCH("tree",E793)),ISNUMBER(SEARCH("lantern",E793)),ISNUMBER(SEARCH("garden",E793)),ISNUMBER(SEARCH("plant",E793))),"Garden Pest Control",
OR(ISNUMBER(SEARCH("grass seed",E793)),ISNUMBER(SEARCH("seed mix",E793))),"Grass Seed",
OR(ISNUMBER(SEARCH("lawn food",E793)),ISNUMBER(SEARCH("fertilizer",E793))),"Lawn Fertilizer",
OR(ISNUMBER(SEARCH("patch",E793)),ISNUMBER(SEARCH("repair",E793)),ISNUMBER(SEARCH("thick'r",E793)),ISNUMBER(SEARCH("thick'r lawn",E793)),ISNUMBER(SEARCH("rapid grass",E793))),"Lawn Repair",
OR(ISNUMBER(SEARCH("weed",E793)),ISNUMBER(SEARCH("crabgrass",E793))),"Weed Control",
OR(ISNUMBER(SEARCH("fungicide",E793)),ISNUMBER(SEARCH("moss",E793))),"Disease &amp; Moss Control",
OR(ISNUMBER(SEARCH("plant food",E793)),ISNUMBER(SEARCH("miracid",E793))),"Plant Nutrition",
OR(ISNUMBER(SEARCH("perlite",E793))),"Soil Amendment",
OR(ISNUMBER(SEARCH("spreader",E793)),ISNUMBER(SEARCH("sprayer",E793)),ISNUMBER(SEARCH("mower",E793)),ISNUMBER(SEARCH("sweeper",E793)),ISNUMBER(SEARCH("pruner",E793)),ISNUMBER(SEARCH("trimmer",E793)),ISNUMBER(SEARCH("pole saw",E793))),"Garden Equipment",
TRUE,"Other"
)</f>
        <v>Other</v>
      </c>
      <c r="I793" s="7" t="str" cm="1">
        <f t="array" ref="I793">_xlfn.IFS(
OR(ISNUMBER(SEARCH("glue trap",E793)),ISNUMBER(SEARCH("glue board",E793))),"Glue Traps",
OR(ISNUMBER(SEARCH("snap trap",E793)),ISNUMBER(SEARCH("power-kill",E793)),ISNUMBER(SEARCH("wide pedal",E793)),ISNUMBER(SEARCH("metal pedal",E793))),"Snap Traps",
OR(ISNUMBER(SEARCH("electronic",E793)),ISNUMBER(SEARCH("zapper",E793))),"Electronic Traps",
OR(ISNUMBER(SEARCH("live catch",E793)),ISNUMBER(SEARCH("multi-catch",E793)),ISNUMBER(SEARCH("catch &amp; hold",E793)),ISNUMBER(SEARCH("tin cat",E793))),"Live Catch Traps",
OR(ISNUMBER(SEARCH("bait",E793)),ISNUMBER(SEARCH("poison",E793))),"Bait &amp; Poison",
ISNUMBER(SEARCH("repellent",E793)),"Repellents",
OR(ISNUMBER(SEARCH("fly trap",E793)),ISNUMBER(SEARCH("fly ribbon",E793)),ISNUMBER(SEARCH("fly stick",E793)),ISNUMBER(SEARCH("window fly",E793)),ISNUMBER(SEARCH("fly magnet",E793))),"Fly Traps",
OR(ISNUMBER(SEARCH("uv",E793)),ISNUMBER(SEARCH("fly light",E793)),ISNUMBER(SEARCH("plug-in",E793))),"UV Fly Traps",
ISNUMBER(SEARCH("roach",E793)),"Roach Traps",
ISNUMBER(SEARCH("ant",E793)),"Ant Traps",
ISNUMBER(SEARCH("spider",E793)),"Spider Traps",
ISNUMBER(SEARCH("mosquito",E793)),"Mosquito Traps",
ISNUMBER(SEARCH("beetle",E793)),"Beetle Traps",
ISNUMBER(SEARCH("lantern",E793)),"Lanternfly Control",
OR(ISNUMBER(SEARCH("tree shield",E793)),ISNUMBER(SEARCH("tree banding",E793)),ISNUMBER(SEARCH("insect barrier",E793))),"Tree Barriers",
OR(ISNUMBER(SEARCH("sun &amp; shade",E793)),ISNUMBER(SEARCH("sun and shade",E793))),"Sun &amp; Shade Mix",
ISNUMBER(SEARCH("tall fescue",E793)),"Tall Fescue",
ISNUMBER(SEARCH("bermudagrass",E793)),"Bermudagrass",
ISNUMBER(SEARCH("kentucky",E793)),"Kentucky Bluegrass",
ISNUMBER(SEARCH("zoysia",E793)),"Zoysia",
ISNUMBER(SEARCH("ryegrass",E793)),"Perennial Ryegrass",
ISNUMBER(SEARCH("centipede",E793)),"Centipede Grass",
ISNUMBER(SEARCH("dense shade",E793)),"Dense Shade Mix",
ISNUMBER(SEARCH("southern gold",E793)),"Southern Gold Mix",
ISNUMBER(SEARCH("heat-tolerant blue",E793)),"Heat-Tolerant Blue Mix",
ISNUMBER(SEARCH("high traffic",E793)),"High Traffic Mix",
ISNUMBER(SEARCH("quick fix",E793)),"Quick Fix Mix",
ISNUMBER(SEARCH("starter",E793)),"Starter Fertilizer",
ISNUMBER(SEARCH("weed &amp; feed",E793)),"Weed &amp; Feed",
ISNUMBER(SEARCH("lawn food",E793)),"Lawn Food",
ISNUMBER(SEARCH("triple action",E793)),"Triple Action Fertilizer",
ISNUMBER(SEARCH("green max",E793)),"Green Max Lawn Food",
ISNUMBER(SEARCH("patchmaster",E793)),"PatchMaster Repair",
ISNUMBER(SEARCH("ez seed",E793)),"EZ Seed Repair",
ISNUMBER(SEARCH("rapid grass",E793)),"Rapid Grass",
ISNUMBER(SEARCH("thick'r lawn",E793)),"Thick'R Lawn",
ISNUMBER(SEARCH("fungicide",E793)),"Fungicide",
ISNUMBER(SEARCH("moss",E793)),"Moss Control",
ISNUMBER(SEARCH("perlite",E793)),"Perlite",
ISNUMBER(SEARCH("plant food",E793)),"Plant Food",
ISNUMBER(SEARCH("spreader",E793)),"Spreader",
ISNUMBER(SEARCH("sprayer",E793)),"Sprayer",
ISNUMBER(SEARCH("mower",E793)),"Lawn Mower",
ISNUMBER(SEARCH("sweeper",E793)),"Lawn Sweeper",
OR(ISNUMBER(SEARCH("pruner",E793)),ISNUMBER(SEARCH("trimmer",E793)),ISNUMBER(SEARCH("pole saw",E793))),"Pruning Tools",
TRUE,"Other"
)</f>
        <v>Other</v>
      </c>
      <c r="J793" s="7" t="str">
        <f t="shared" si="228"/>
        <v>Other - Other</v>
      </c>
      <c r="K793" s="4">
        <v>300</v>
      </c>
      <c r="L793" s="4">
        <v>4.4000000000000004</v>
      </c>
      <c r="M793" s="4">
        <v>13624</v>
      </c>
      <c r="N793" s="4" t="s">
        <v>3670</v>
      </c>
      <c r="O793" s="4">
        <f>VLOOKUP(A793,[15]Sheet1!$A:$M,2,0)</f>
        <v>200</v>
      </c>
      <c r="P793" s="4">
        <f>VLOOKUP(A793,[15]Sheet1!$A:$M,3,0)</f>
        <v>200</v>
      </c>
      <c r="Q793" s="4">
        <f>VLOOKUP(A793,[15]Sheet1!$A:$M,4,0)</f>
        <v>200</v>
      </c>
      <c r="R793" s="4">
        <f>VLOOKUP(A793,[15]Sheet1!$A:$M,5,0)</f>
        <v>200</v>
      </c>
      <c r="S793" s="4">
        <f>VLOOKUP(A793,[15]Sheet1!$A:$M,6,0)</f>
        <v>200</v>
      </c>
      <c r="T793" s="4">
        <f>VLOOKUP(A793,[15]Sheet1!$A:$M,7,0)</f>
        <v>100</v>
      </c>
      <c r="U793" s="4">
        <f>VLOOKUP(A793,[15]Sheet1!$A:$M,8,0)</f>
        <v>0</v>
      </c>
      <c r="V793" s="4">
        <f>VLOOKUP(A793,[15]Sheet1!$A:$M,9,0)</f>
        <v>100</v>
      </c>
      <c r="W793" s="4">
        <f>VLOOKUP(A793,[15]Sheet1!$A:$M,10,0)</f>
        <v>300</v>
      </c>
      <c r="X793" s="4">
        <f>VLOOKUP(A793,[15]Sheet1!$A:$M,11,0)</f>
        <v>300</v>
      </c>
      <c r="Y793" s="4">
        <f>VLOOKUP(A793,[15]Sheet1!$A:$M,12,0)</f>
        <v>300</v>
      </c>
      <c r="Z793" s="4">
        <f>VLOOKUP(A793,[15]Sheet1!$A:$M,13,0)</f>
        <v>200</v>
      </c>
      <c r="AA793" s="4">
        <f t="shared" si="229"/>
        <v>2300</v>
      </c>
      <c r="AB793" s="7">
        <f t="shared" si="230"/>
        <v>192</v>
      </c>
      <c r="AC793" s="15">
        <f t="shared" si="231"/>
        <v>191.66666666666666</v>
      </c>
      <c r="AD793" s="16">
        <f t="shared" si="232"/>
        <v>26541.999999999996</v>
      </c>
      <c r="AE793" s="16">
        <f t="shared" si="233"/>
        <v>2211.833333333333</v>
      </c>
      <c r="AF793" s="21">
        <v>5.84</v>
      </c>
      <c r="AG793" s="21">
        <v>11.54</v>
      </c>
      <c r="AH793" s="15">
        <f t="shared" si="226"/>
        <v>-0.14826666666666669</v>
      </c>
      <c r="AI793" s="15">
        <f t="shared" si="227"/>
        <v>-0.51893333333333336</v>
      </c>
      <c r="AJ793" s="10">
        <v>0.5</v>
      </c>
      <c r="AK793" s="10">
        <v>0.5</v>
      </c>
      <c r="AL793" s="21">
        <v>5.84</v>
      </c>
      <c r="AM793" s="9">
        <f t="shared" si="234"/>
        <v>1.7309999999999999</v>
      </c>
      <c r="AN793" s="9">
        <f t="shared" si="235"/>
        <v>0.34619999999999995</v>
      </c>
      <c r="AO793" s="9">
        <f t="shared" si="236"/>
        <v>2.3079999999999998</v>
      </c>
      <c r="AP793" s="9">
        <f t="shared" si="237"/>
        <v>0.23079999999999998</v>
      </c>
      <c r="AQ793" s="9">
        <f t="shared" si="238"/>
        <v>2.3079999999999998</v>
      </c>
      <c r="AR793" s="9">
        <f t="shared" si="239"/>
        <v>2.8849999999999998</v>
      </c>
      <c r="AS793" s="11">
        <f t="shared" si="240"/>
        <v>-1.4826666666666668</v>
      </c>
      <c r="AT793" s="12">
        <f t="shared" si="241"/>
        <v>-1.8673333333333335</v>
      </c>
    </row>
    <row r="794" spans="1:46" ht="16.5" x14ac:dyDescent="0.4">
      <c r="A794" s="4" t="s">
        <v>3508</v>
      </c>
      <c r="B794" s="4" t="s">
        <v>3526</v>
      </c>
      <c r="C794" s="4" t="s">
        <v>3533</v>
      </c>
      <c r="D794" s="4" t="s">
        <v>3558</v>
      </c>
      <c r="E794" s="4" t="s">
        <v>3600</v>
      </c>
      <c r="F794" s="4" t="s">
        <v>3642</v>
      </c>
      <c r="G794" s="7" t="str">
        <f>VLOOKUP(A794,[1]done!$A:$I,9,0)</f>
        <v>Cockroach</v>
      </c>
      <c r="H794" s="7" t="str" cm="1">
        <f t="array" ref="H794">_xlfn.IFS(
OR(ISNUMBER(SEARCH("mouse",E794)),ISNUMBER(SEARCH("rat",E794)),ISNUMBER(SEARCH("mice",E794)),ISNUMBER(SEARCH("rodent",E794))),"Rodent Control",
OR(ISNUMBER(SEARCH("fly",E794)),ISNUMBER(SEARCH("gnat",E794)),ISNUMBER(SEARCH("insect",E794)),ISNUMBER(SEARCH("mosquito",E794))),"Flying Insect Control",
OR(ISNUMBER(SEARCH("roach",E794)),ISNUMBER(SEARCH("ant",E794)),ISNUMBER(SEARCH("spider",E794)),ISNUMBER(SEARCH("cricket",E794)),ISNUMBER(SEARCH("scorpion",E794)),ISNUMBER(SEARCH("centipede",E794)),ISNUMBER(SEARCH("beetle",E794))),"Crawling Insect Control",
OR(ISNUMBER(SEARCH("tree",E794)),ISNUMBER(SEARCH("lantern",E794)),ISNUMBER(SEARCH("garden",E794)),ISNUMBER(SEARCH("plant",E794))),"Garden Pest Control",
OR(ISNUMBER(SEARCH("grass seed",E794)),ISNUMBER(SEARCH("seed mix",E794))),"Grass Seed",
OR(ISNUMBER(SEARCH("lawn food",E794)),ISNUMBER(SEARCH("fertilizer",E794))),"Lawn Fertilizer",
OR(ISNUMBER(SEARCH("patch",E794)),ISNUMBER(SEARCH("repair",E794)),ISNUMBER(SEARCH("thick'r",E794)),ISNUMBER(SEARCH("thick'r lawn",E794)),ISNUMBER(SEARCH("rapid grass",E794))),"Lawn Repair",
OR(ISNUMBER(SEARCH("weed",E794)),ISNUMBER(SEARCH("crabgrass",E794))),"Weed Control",
OR(ISNUMBER(SEARCH("fungicide",E794)),ISNUMBER(SEARCH("moss",E794))),"Disease &amp; Moss Control",
OR(ISNUMBER(SEARCH("plant food",E794)),ISNUMBER(SEARCH("miracid",E794))),"Plant Nutrition",
OR(ISNUMBER(SEARCH("perlite",E794))),"Soil Amendment",
OR(ISNUMBER(SEARCH("spreader",E794)),ISNUMBER(SEARCH("sprayer",E794)),ISNUMBER(SEARCH("mower",E794)),ISNUMBER(SEARCH("sweeper",E794)),ISNUMBER(SEARCH("pruner",E794)),ISNUMBER(SEARCH("trimmer",E794)),ISNUMBER(SEARCH("pole saw",E794))),"Garden Equipment",
TRUE,"Other"
)</f>
        <v>Crawling Insect Control</v>
      </c>
      <c r="I794" s="7" t="str" cm="1">
        <f t="array" ref="I794">_xlfn.IFS(
OR(ISNUMBER(SEARCH("glue trap",E794)),ISNUMBER(SEARCH("glue board",E794))),"Glue Traps",
OR(ISNUMBER(SEARCH("snap trap",E794)),ISNUMBER(SEARCH("power-kill",E794)),ISNUMBER(SEARCH("wide pedal",E794)),ISNUMBER(SEARCH("metal pedal",E794))),"Snap Traps",
OR(ISNUMBER(SEARCH("electronic",E794)),ISNUMBER(SEARCH("zapper",E794))),"Electronic Traps",
OR(ISNUMBER(SEARCH("live catch",E794)),ISNUMBER(SEARCH("multi-catch",E794)),ISNUMBER(SEARCH("catch &amp; hold",E794)),ISNUMBER(SEARCH("tin cat",E794))),"Live Catch Traps",
OR(ISNUMBER(SEARCH("bait",E794)),ISNUMBER(SEARCH("poison",E794))),"Bait &amp; Poison",
ISNUMBER(SEARCH("repellent",E794)),"Repellents",
OR(ISNUMBER(SEARCH("fly trap",E794)),ISNUMBER(SEARCH("fly ribbon",E794)),ISNUMBER(SEARCH("fly stick",E794)),ISNUMBER(SEARCH("window fly",E794)),ISNUMBER(SEARCH("fly magnet",E794))),"Fly Traps",
OR(ISNUMBER(SEARCH("uv",E794)),ISNUMBER(SEARCH("fly light",E794)),ISNUMBER(SEARCH("plug-in",E794))),"UV Fly Traps",
ISNUMBER(SEARCH("roach",E794)),"Roach Traps",
ISNUMBER(SEARCH("ant",E794)),"Ant Traps",
ISNUMBER(SEARCH("spider",E794)),"Spider Traps",
ISNUMBER(SEARCH("mosquito",E794)),"Mosquito Traps",
ISNUMBER(SEARCH("beetle",E794)),"Beetle Traps",
ISNUMBER(SEARCH("lantern",E794)),"Lanternfly Control",
OR(ISNUMBER(SEARCH("tree shield",E794)),ISNUMBER(SEARCH("tree banding",E794)),ISNUMBER(SEARCH("insect barrier",E794))),"Tree Barriers",
OR(ISNUMBER(SEARCH("sun &amp; shade",E794)),ISNUMBER(SEARCH("sun and shade",E794))),"Sun &amp; Shade Mix",
ISNUMBER(SEARCH("tall fescue",E794)),"Tall Fescue",
ISNUMBER(SEARCH("bermudagrass",E794)),"Bermudagrass",
ISNUMBER(SEARCH("kentucky",E794)),"Kentucky Bluegrass",
ISNUMBER(SEARCH("zoysia",E794)),"Zoysia",
ISNUMBER(SEARCH("ryegrass",E794)),"Perennial Ryegrass",
ISNUMBER(SEARCH("centipede",E794)),"Centipede Grass",
ISNUMBER(SEARCH("dense shade",E794)),"Dense Shade Mix",
ISNUMBER(SEARCH("southern gold",E794)),"Southern Gold Mix",
ISNUMBER(SEARCH("heat-tolerant blue",E794)),"Heat-Tolerant Blue Mix",
ISNUMBER(SEARCH("high traffic",E794)),"High Traffic Mix",
ISNUMBER(SEARCH("quick fix",E794)),"Quick Fix Mix",
ISNUMBER(SEARCH("starter",E794)),"Starter Fertilizer",
ISNUMBER(SEARCH("weed &amp; feed",E794)),"Weed &amp; Feed",
ISNUMBER(SEARCH("lawn food",E794)),"Lawn Food",
ISNUMBER(SEARCH("triple action",E794)),"Triple Action Fertilizer",
ISNUMBER(SEARCH("green max",E794)),"Green Max Lawn Food",
ISNUMBER(SEARCH("patchmaster",E794)),"PatchMaster Repair",
ISNUMBER(SEARCH("ez seed",E794)),"EZ Seed Repair",
ISNUMBER(SEARCH("rapid grass",E794)),"Rapid Grass",
ISNUMBER(SEARCH("thick'r lawn",E794)),"Thick'R Lawn",
ISNUMBER(SEARCH("fungicide",E794)),"Fungicide",
ISNUMBER(SEARCH("moss",E794)),"Moss Control",
ISNUMBER(SEARCH("perlite",E794)),"Perlite",
ISNUMBER(SEARCH("plant food",E794)),"Plant Food",
ISNUMBER(SEARCH("spreader",E794)),"Spreader",
ISNUMBER(SEARCH("sprayer",E794)),"Sprayer",
ISNUMBER(SEARCH("mower",E794)),"Lawn Mower",
ISNUMBER(SEARCH("sweeper",E794)),"Lawn Sweeper",
OR(ISNUMBER(SEARCH("pruner",E794)),ISNUMBER(SEARCH("trimmer",E794)),ISNUMBER(SEARCH("pole saw",E794))),"Pruning Tools",
TRUE,"Other"
)</f>
        <v>Roach Traps</v>
      </c>
      <c r="J794" s="7" t="str">
        <f t="shared" si="228"/>
        <v>Crawling Insect Control - Roach Traps</v>
      </c>
      <c r="K794" s="4">
        <v>300</v>
      </c>
      <c r="L794" s="4">
        <v>3.8</v>
      </c>
      <c r="M794" s="4">
        <v>1564</v>
      </c>
      <c r="N794" s="4" t="s">
        <v>3230</v>
      </c>
      <c r="O794" s="4">
        <f>VLOOKUP(A794,[15]Sheet1!$A:$M,2,0)</f>
        <v>150</v>
      </c>
      <c r="P794" s="4">
        <f>VLOOKUP(A794,[15]Sheet1!$A:$M,3,0)</f>
        <v>100</v>
      </c>
      <c r="Q794" s="4">
        <f>VLOOKUP(A794,[15]Sheet1!$A:$M,4,0)</f>
        <v>100</v>
      </c>
      <c r="R794" s="4">
        <f>VLOOKUP(A794,[15]Sheet1!$A:$M,5,0)</f>
        <v>100</v>
      </c>
      <c r="S794" s="4">
        <f>VLOOKUP(A794,[15]Sheet1!$A:$M,6,0)</f>
        <v>200</v>
      </c>
      <c r="T794" s="4">
        <f>VLOOKUP(A794,[15]Sheet1!$A:$M,7,0)</f>
        <v>200</v>
      </c>
      <c r="U794" s="4">
        <f>VLOOKUP(A794,[15]Sheet1!$A:$M,8,0)</f>
        <v>200</v>
      </c>
      <c r="V794" s="4">
        <f>VLOOKUP(A794,[15]Sheet1!$A:$M,9,0)</f>
        <v>400</v>
      </c>
      <c r="W794" s="4">
        <f>VLOOKUP(A794,[15]Sheet1!$A:$M,10,0)</f>
        <v>300</v>
      </c>
      <c r="X794" s="4">
        <f>VLOOKUP(A794,[15]Sheet1!$A:$M,11,0)</f>
        <v>300</v>
      </c>
      <c r="Y794" s="4">
        <f>VLOOKUP(A794,[15]Sheet1!$A:$M,12,0)</f>
        <v>300</v>
      </c>
      <c r="Z794" s="4">
        <f>VLOOKUP(A794,[15]Sheet1!$A:$M,13,0)</f>
        <v>200</v>
      </c>
      <c r="AA794" s="4">
        <f t="shared" si="229"/>
        <v>2550</v>
      </c>
      <c r="AB794" s="7">
        <f t="shared" si="230"/>
        <v>213</v>
      </c>
      <c r="AC794" s="15">
        <f t="shared" si="231"/>
        <v>212.5</v>
      </c>
      <c r="AD794" s="16">
        <f t="shared" si="232"/>
        <v>33124.5</v>
      </c>
      <c r="AE794" s="16">
        <f t="shared" si="233"/>
        <v>2760.375</v>
      </c>
      <c r="AF794" s="21">
        <v>6.31</v>
      </c>
      <c r="AG794" s="21">
        <v>12.99</v>
      </c>
      <c r="AH794" s="15">
        <f t="shared" si="226"/>
        <v>-0.14093333333333335</v>
      </c>
      <c r="AI794" s="15">
        <f t="shared" si="227"/>
        <v>-0.49326666666666669</v>
      </c>
      <c r="AJ794" s="10">
        <v>0.5</v>
      </c>
      <c r="AK794" s="10">
        <v>0.5</v>
      </c>
      <c r="AL794" s="21">
        <v>6.31</v>
      </c>
      <c r="AM794" s="9">
        <f t="shared" si="234"/>
        <v>1.9484999999999999</v>
      </c>
      <c r="AN794" s="9">
        <f t="shared" si="235"/>
        <v>0.38969999999999999</v>
      </c>
      <c r="AO794" s="9">
        <f t="shared" si="236"/>
        <v>2.5980000000000003</v>
      </c>
      <c r="AP794" s="9">
        <f t="shared" si="237"/>
        <v>0.25980000000000003</v>
      </c>
      <c r="AQ794" s="9">
        <f t="shared" si="238"/>
        <v>2.5980000000000003</v>
      </c>
      <c r="AR794" s="9">
        <f t="shared" si="239"/>
        <v>3.2475000000000001</v>
      </c>
      <c r="AS794" s="11">
        <f t="shared" si="240"/>
        <v>-1.4093333333333335</v>
      </c>
      <c r="AT794" s="12">
        <f t="shared" si="241"/>
        <v>-1.8423333333333334</v>
      </c>
    </row>
    <row r="795" spans="1:46" ht="16.5" x14ac:dyDescent="0.4">
      <c r="A795" s="4" t="s">
        <v>3509</v>
      </c>
      <c r="B795" s="4" t="s">
        <v>3526</v>
      </c>
      <c r="C795" s="4" t="s">
        <v>3528</v>
      </c>
      <c r="D795" s="4" t="s">
        <v>3559</v>
      </c>
      <c r="E795" s="4" t="s">
        <v>3601</v>
      </c>
      <c r="F795" s="4" t="s">
        <v>3643</v>
      </c>
      <c r="G795" s="7" t="str">
        <f>VLOOKUP(A795,[1]done!$A:$I,9,0)</f>
        <v>Oil based pest repellent</v>
      </c>
      <c r="H795" s="7" t="str" cm="1">
        <f t="array" ref="H795">_xlfn.IFS(
OR(ISNUMBER(SEARCH("mouse",E795)),ISNUMBER(SEARCH("rat",E795)),ISNUMBER(SEARCH("mice",E795)),ISNUMBER(SEARCH("rodent",E795))),"Rodent Control",
OR(ISNUMBER(SEARCH("fly",E795)),ISNUMBER(SEARCH("gnat",E795)),ISNUMBER(SEARCH("insect",E795)),ISNUMBER(SEARCH("mosquito",E795))),"Flying Insect Control",
OR(ISNUMBER(SEARCH("roach",E795)),ISNUMBER(SEARCH("ant",E795)),ISNUMBER(SEARCH("spider",E795)),ISNUMBER(SEARCH("cricket",E795)),ISNUMBER(SEARCH("scorpion",E795)),ISNUMBER(SEARCH("centipede",E795)),ISNUMBER(SEARCH("beetle",E795))),"Crawling Insect Control",
OR(ISNUMBER(SEARCH("tree",E795)),ISNUMBER(SEARCH("lantern",E795)),ISNUMBER(SEARCH("garden",E795)),ISNUMBER(SEARCH("plant",E795))),"Garden Pest Control",
OR(ISNUMBER(SEARCH("grass seed",E795)),ISNUMBER(SEARCH("seed mix",E795))),"Grass Seed",
OR(ISNUMBER(SEARCH("lawn food",E795)),ISNUMBER(SEARCH("fertilizer",E795))),"Lawn Fertilizer",
OR(ISNUMBER(SEARCH("patch",E795)),ISNUMBER(SEARCH("repair",E795)),ISNUMBER(SEARCH("thick'r",E795)),ISNUMBER(SEARCH("thick'r lawn",E795)),ISNUMBER(SEARCH("rapid grass",E795))),"Lawn Repair",
OR(ISNUMBER(SEARCH("weed",E795)),ISNUMBER(SEARCH("crabgrass",E795))),"Weed Control",
OR(ISNUMBER(SEARCH("fungicide",E795)),ISNUMBER(SEARCH("moss",E795))),"Disease &amp; Moss Control",
OR(ISNUMBER(SEARCH("plant food",E795)),ISNUMBER(SEARCH("miracid",E795))),"Plant Nutrition",
OR(ISNUMBER(SEARCH("perlite",E795))),"Soil Amendment",
OR(ISNUMBER(SEARCH("spreader",E795)),ISNUMBER(SEARCH("sprayer",E795)),ISNUMBER(SEARCH("mower",E795)),ISNUMBER(SEARCH("sweeper",E795)),ISNUMBER(SEARCH("pruner",E795)),ISNUMBER(SEARCH("trimmer",E795)),ISNUMBER(SEARCH("pole saw",E795))),"Garden Equipment",
TRUE,"Other"
)</f>
        <v>Other</v>
      </c>
      <c r="I795" s="7" t="str" cm="1">
        <f t="array" ref="I795">_xlfn.IFS(
OR(ISNUMBER(SEARCH("glue trap",E795)),ISNUMBER(SEARCH("glue board",E795))),"Glue Traps",
OR(ISNUMBER(SEARCH("snap trap",E795)),ISNUMBER(SEARCH("power-kill",E795)),ISNUMBER(SEARCH("wide pedal",E795)),ISNUMBER(SEARCH("metal pedal",E795))),"Snap Traps",
OR(ISNUMBER(SEARCH("electronic",E795)),ISNUMBER(SEARCH("zapper",E795))),"Electronic Traps",
OR(ISNUMBER(SEARCH("live catch",E795)),ISNUMBER(SEARCH("multi-catch",E795)),ISNUMBER(SEARCH("catch &amp; hold",E795)),ISNUMBER(SEARCH("tin cat",E795))),"Live Catch Traps",
OR(ISNUMBER(SEARCH("bait",E795)),ISNUMBER(SEARCH("poison",E795))),"Bait &amp; Poison",
ISNUMBER(SEARCH("repellent",E795)),"Repellents",
OR(ISNUMBER(SEARCH("fly trap",E795)),ISNUMBER(SEARCH("fly ribbon",E795)),ISNUMBER(SEARCH("fly stick",E795)),ISNUMBER(SEARCH("window fly",E795)),ISNUMBER(SEARCH("fly magnet",E795))),"Fly Traps",
OR(ISNUMBER(SEARCH("uv",E795)),ISNUMBER(SEARCH("fly light",E795)),ISNUMBER(SEARCH("plug-in",E795))),"UV Fly Traps",
ISNUMBER(SEARCH("roach",E795)),"Roach Traps",
ISNUMBER(SEARCH("ant",E795)),"Ant Traps",
ISNUMBER(SEARCH("spider",E795)),"Spider Traps",
ISNUMBER(SEARCH("mosquito",E795)),"Mosquito Traps",
ISNUMBER(SEARCH("beetle",E795)),"Beetle Traps",
ISNUMBER(SEARCH("lantern",E795)),"Lanternfly Control",
OR(ISNUMBER(SEARCH("tree shield",E795)),ISNUMBER(SEARCH("tree banding",E795)),ISNUMBER(SEARCH("insect barrier",E795))),"Tree Barriers",
OR(ISNUMBER(SEARCH("sun &amp; shade",E795)),ISNUMBER(SEARCH("sun and shade",E795))),"Sun &amp; Shade Mix",
ISNUMBER(SEARCH("tall fescue",E795)),"Tall Fescue",
ISNUMBER(SEARCH("bermudagrass",E795)),"Bermudagrass",
ISNUMBER(SEARCH("kentucky",E795)),"Kentucky Bluegrass",
ISNUMBER(SEARCH("zoysia",E795)),"Zoysia",
ISNUMBER(SEARCH("ryegrass",E795)),"Perennial Ryegrass",
ISNUMBER(SEARCH("centipede",E795)),"Centipede Grass",
ISNUMBER(SEARCH("dense shade",E795)),"Dense Shade Mix",
ISNUMBER(SEARCH("southern gold",E795)),"Southern Gold Mix",
ISNUMBER(SEARCH("heat-tolerant blue",E795)),"Heat-Tolerant Blue Mix",
ISNUMBER(SEARCH("high traffic",E795)),"High Traffic Mix",
ISNUMBER(SEARCH("quick fix",E795)),"Quick Fix Mix",
ISNUMBER(SEARCH("starter",E795)),"Starter Fertilizer",
ISNUMBER(SEARCH("weed &amp; feed",E795)),"Weed &amp; Feed",
ISNUMBER(SEARCH("lawn food",E795)),"Lawn Food",
ISNUMBER(SEARCH("triple action",E795)),"Triple Action Fertilizer",
ISNUMBER(SEARCH("green max",E795)),"Green Max Lawn Food",
ISNUMBER(SEARCH("patchmaster",E795)),"PatchMaster Repair",
ISNUMBER(SEARCH("ez seed",E795)),"EZ Seed Repair",
ISNUMBER(SEARCH("rapid grass",E795)),"Rapid Grass",
ISNUMBER(SEARCH("thick'r lawn",E795)),"Thick'R Lawn",
ISNUMBER(SEARCH("fungicide",E795)),"Fungicide",
ISNUMBER(SEARCH("moss",E795)),"Moss Control",
ISNUMBER(SEARCH("perlite",E795)),"Perlite",
ISNUMBER(SEARCH("plant food",E795)),"Plant Food",
ISNUMBER(SEARCH("spreader",E795)),"Spreader",
ISNUMBER(SEARCH("sprayer",E795)),"Sprayer",
ISNUMBER(SEARCH("mower",E795)),"Lawn Mower",
ISNUMBER(SEARCH("sweeper",E795)),"Lawn Sweeper",
OR(ISNUMBER(SEARCH("pruner",E795)),ISNUMBER(SEARCH("trimmer",E795)),ISNUMBER(SEARCH("pole saw",E795))),"Pruning Tools",
TRUE,"Other"
)</f>
        <v>Other</v>
      </c>
      <c r="J795" s="7" t="str">
        <f t="shared" si="228"/>
        <v>Other - Other</v>
      </c>
      <c r="K795" s="4">
        <v>300</v>
      </c>
      <c r="L795" s="4">
        <v>4.5999999999999996</v>
      </c>
      <c r="M795" s="4">
        <v>2205</v>
      </c>
      <c r="N795" s="4" t="s">
        <v>3671</v>
      </c>
      <c r="O795" s="4">
        <f>VLOOKUP(A795,[15]Sheet1!$A:$M,2,0)</f>
        <v>500</v>
      </c>
      <c r="P795" s="4">
        <f>VLOOKUP(A795,[15]Sheet1!$A:$M,3,0)</f>
        <v>500</v>
      </c>
      <c r="Q795" s="4">
        <f>VLOOKUP(A795,[15]Sheet1!$A:$M,4,0)</f>
        <v>0</v>
      </c>
      <c r="R795" s="4">
        <f>VLOOKUP(A795,[15]Sheet1!$A:$M,5,0)</f>
        <v>0</v>
      </c>
      <c r="S795" s="4">
        <f>VLOOKUP(A795,[15]Sheet1!$A:$M,6,0)</f>
        <v>100</v>
      </c>
      <c r="T795" s="4">
        <f>VLOOKUP(A795,[15]Sheet1!$A:$M,7,0)</f>
        <v>600</v>
      </c>
      <c r="U795" s="4">
        <f>VLOOKUP(A795,[15]Sheet1!$A:$M,8,0)</f>
        <v>300</v>
      </c>
      <c r="V795" s="4">
        <f>VLOOKUP(A795,[15]Sheet1!$A:$M,9,0)</f>
        <v>200</v>
      </c>
      <c r="W795" s="4">
        <f>VLOOKUP(A795,[15]Sheet1!$A:$M,10,0)</f>
        <v>300</v>
      </c>
      <c r="X795" s="4">
        <f>VLOOKUP(A795,[15]Sheet1!$A:$M,11,0)</f>
        <v>100</v>
      </c>
      <c r="Y795" s="4">
        <f>VLOOKUP(A795,[15]Sheet1!$A:$M,12,0)</f>
        <v>200</v>
      </c>
      <c r="Z795" s="4">
        <f>VLOOKUP(A795,[15]Sheet1!$A:$M,13,0)</f>
        <v>700</v>
      </c>
      <c r="AA795" s="4">
        <f t="shared" si="229"/>
        <v>3500</v>
      </c>
      <c r="AB795" s="7">
        <f t="shared" si="230"/>
        <v>292</v>
      </c>
      <c r="AC795" s="15">
        <f t="shared" si="231"/>
        <v>291.66666666666669</v>
      </c>
      <c r="AD795" s="16">
        <f t="shared" si="232"/>
        <v>52465</v>
      </c>
      <c r="AE795" s="16">
        <f t="shared" si="233"/>
        <v>4372.0833333333339</v>
      </c>
      <c r="AF795" s="21">
        <v>7.79</v>
      </c>
      <c r="AG795" s="21">
        <v>14.99</v>
      </c>
      <c r="AH795" s="15">
        <f t="shared" si="226"/>
        <v>-0.18626666666666669</v>
      </c>
      <c r="AI795" s="15">
        <f t="shared" si="227"/>
        <v>-0.65193333333333336</v>
      </c>
      <c r="AJ795" s="10">
        <v>0.5</v>
      </c>
      <c r="AK795" s="10">
        <v>0.5</v>
      </c>
      <c r="AL795" s="21">
        <v>7.79</v>
      </c>
      <c r="AM795" s="9">
        <f t="shared" si="234"/>
        <v>2.2484999999999999</v>
      </c>
      <c r="AN795" s="9">
        <f t="shared" si="235"/>
        <v>0.44969999999999999</v>
      </c>
      <c r="AO795" s="9">
        <f t="shared" si="236"/>
        <v>2.9980000000000002</v>
      </c>
      <c r="AP795" s="9">
        <f t="shared" si="237"/>
        <v>0.29980000000000001</v>
      </c>
      <c r="AQ795" s="9">
        <f t="shared" si="238"/>
        <v>2.9980000000000002</v>
      </c>
      <c r="AR795" s="9">
        <f t="shared" si="239"/>
        <v>3.7475000000000001</v>
      </c>
      <c r="AS795" s="11">
        <f t="shared" si="240"/>
        <v>-1.8626666666666669</v>
      </c>
      <c r="AT795" s="12">
        <f t="shared" si="241"/>
        <v>-2.3623333333333334</v>
      </c>
    </row>
    <row r="796" spans="1:46" ht="16.5" x14ac:dyDescent="0.4">
      <c r="A796" s="4" t="s">
        <v>3510</v>
      </c>
      <c r="B796" s="4" t="s">
        <v>3526</v>
      </c>
      <c r="C796" s="4" t="s">
        <v>3528</v>
      </c>
      <c r="D796" s="4" t="s">
        <v>3560</v>
      </c>
      <c r="E796" s="4" t="s">
        <v>3602</v>
      </c>
      <c r="F796" s="4" t="s">
        <v>3644</v>
      </c>
      <c r="G796" s="7" t="str">
        <f>VLOOKUP(A796,[1]done!$A:$I,9,0)</f>
        <v>Other crawling insects</v>
      </c>
      <c r="H796" s="7" t="str" cm="1">
        <f t="array" ref="H796">_xlfn.IFS(
OR(ISNUMBER(SEARCH("mouse",E796)),ISNUMBER(SEARCH("rat",E796)),ISNUMBER(SEARCH("mice",E796)),ISNUMBER(SEARCH("rodent",E796))),"Rodent Control",
OR(ISNUMBER(SEARCH("fly",E796)),ISNUMBER(SEARCH("gnat",E796)),ISNUMBER(SEARCH("insect",E796)),ISNUMBER(SEARCH("mosquito",E796))),"Flying Insect Control",
OR(ISNUMBER(SEARCH("roach",E796)),ISNUMBER(SEARCH("ant",E796)),ISNUMBER(SEARCH("spider",E796)),ISNUMBER(SEARCH("cricket",E796)),ISNUMBER(SEARCH("scorpion",E796)),ISNUMBER(SEARCH("centipede",E796)),ISNUMBER(SEARCH("beetle",E796))),"Crawling Insect Control",
OR(ISNUMBER(SEARCH("tree",E796)),ISNUMBER(SEARCH("lantern",E796)),ISNUMBER(SEARCH("garden",E796)),ISNUMBER(SEARCH("plant",E796))),"Garden Pest Control",
OR(ISNUMBER(SEARCH("grass seed",E796)),ISNUMBER(SEARCH("seed mix",E796))),"Grass Seed",
OR(ISNUMBER(SEARCH("lawn food",E796)),ISNUMBER(SEARCH("fertilizer",E796))),"Lawn Fertilizer",
OR(ISNUMBER(SEARCH("patch",E796)),ISNUMBER(SEARCH("repair",E796)),ISNUMBER(SEARCH("thick'r",E796)),ISNUMBER(SEARCH("thick'r lawn",E796)),ISNUMBER(SEARCH("rapid grass",E796))),"Lawn Repair",
OR(ISNUMBER(SEARCH("weed",E796)),ISNUMBER(SEARCH("crabgrass",E796))),"Weed Control",
OR(ISNUMBER(SEARCH("fungicide",E796)),ISNUMBER(SEARCH("moss",E796))),"Disease &amp; Moss Control",
OR(ISNUMBER(SEARCH("plant food",E796)),ISNUMBER(SEARCH("miracid",E796))),"Plant Nutrition",
OR(ISNUMBER(SEARCH("perlite",E796))),"Soil Amendment",
OR(ISNUMBER(SEARCH("spreader",E796)),ISNUMBER(SEARCH("sprayer",E796)),ISNUMBER(SEARCH("mower",E796)),ISNUMBER(SEARCH("sweeper",E796)),ISNUMBER(SEARCH("pruner",E796)),ISNUMBER(SEARCH("trimmer",E796)),ISNUMBER(SEARCH("pole saw",E796))),"Garden Equipment",
TRUE,"Other"
)</f>
        <v>Crawling Insect Control</v>
      </c>
      <c r="I796" s="7" t="str" cm="1">
        <f t="array" ref="I796">_xlfn.IFS(
OR(ISNUMBER(SEARCH("glue trap",E796)),ISNUMBER(SEARCH("glue board",E796))),"Glue Traps",
OR(ISNUMBER(SEARCH("snap trap",E796)),ISNUMBER(SEARCH("power-kill",E796)),ISNUMBER(SEARCH("wide pedal",E796)),ISNUMBER(SEARCH("metal pedal",E796))),"Snap Traps",
OR(ISNUMBER(SEARCH("electronic",E796)),ISNUMBER(SEARCH("zapper",E796))),"Electronic Traps",
OR(ISNUMBER(SEARCH("live catch",E796)),ISNUMBER(SEARCH("multi-catch",E796)),ISNUMBER(SEARCH("catch &amp; hold",E796)),ISNUMBER(SEARCH("tin cat",E796))),"Live Catch Traps",
OR(ISNUMBER(SEARCH("bait",E796)),ISNUMBER(SEARCH("poison",E796))),"Bait &amp; Poison",
ISNUMBER(SEARCH("repellent",E796)),"Repellents",
OR(ISNUMBER(SEARCH("fly trap",E796)),ISNUMBER(SEARCH("fly ribbon",E796)),ISNUMBER(SEARCH("fly stick",E796)),ISNUMBER(SEARCH("window fly",E796)),ISNUMBER(SEARCH("fly magnet",E796))),"Fly Traps",
OR(ISNUMBER(SEARCH("uv",E796)),ISNUMBER(SEARCH("fly light",E796)),ISNUMBER(SEARCH("plug-in",E796))),"UV Fly Traps",
ISNUMBER(SEARCH("roach",E796)),"Roach Traps",
ISNUMBER(SEARCH("ant",E796)),"Ant Traps",
ISNUMBER(SEARCH("spider",E796)),"Spider Traps",
ISNUMBER(SEARCH("mosquito",E796)),"Mosquito Traps",
ISNUMBER(SEARCH("beetle",E796)),"Beetle Traps",
ISNUMBER(SEARCH("lantern",E796)),"Lanternfly Control",
OR(ISNUMBER(SEARCH("tree shield",E796)),ISNUMBER(SEARCH("tree banding",E796)),ISNUMBER(SEARCH("insect barrier",E796))),"Tree Barriers",
OR(ISNUMBER(SEARCH("sun &amp; shade",E796)),ISNUMBER(SEARCH("sun and shade",E796))),"Sun &amp; Shade Mix",
ISNUMBER(SEARCH("tall fescue",E796)),"Tall Fescue",
ISNUMBER(SEARCH("bermudagrass",E796)),"Bermudagrass",
ISNUMBER(SEARCH("kentucky",E796)),"Kentucky Bluegrass",
ISNUMBER(SEARCH("zoysia",E796)),"Zoysia",
ISNUMBER(SEARCH("ryegrass",E796)),"Perennial Ryegrass",
ISNUMBER(SEARCH("centipede",E796)),"Centipede Grass",
ISNUMBER(SEARCH("dense shade",E796)),"Dense Shade Mix",
ISNUMBER(SEARCH("southern gold",E796)),"Southern Gold Mix",
ISNUMBER(SEARCH("heat-tolerant blue",E796)),"Heat-Tolerant Blue Mix",
ISNUMBER(SEARCH("high traffic",E796)),"High Traffic Mix",
ISNUMBER(SEARCH("quick fix",E796)),"Quick Fix Mix",
ISNUMBER(SEARCH("starter",E796)),"Starter Fertilizer",
ISNUMBER(SEARCH("weed &amp; feed",E796)),"Weed &amp; Feed",
ISNUMBER(SEARCH("lawn food",E796)),"Lawn Food",
ISNUMBER(SEARCH("triple action",E796)),"Triple Action Fertilizer",
ISNUMBER(SEARCH("green max",E796)),"Green Max Lawn Food",
ISNUMBER(SEARCH("patchmaster",E796)),"PatchMaster Repair",
ISNUMBER(SEARCH("ez seed",E796)),"EZ Seed Repair",
ISNUMBER(SEARCH("rapid grass",E796)),"Rapid Grass",
ISNUMBER(SEARCH("thick'r lawn",E796)),"Thick'R Lawn",
ISNUMBER(SEARCH("fungicide",E796)),"Fungicide",
ISNUMBER(SEARCH("moss",E796)),"Moss Control",
ISNUMBER(SEARCH("perlite",E796)),"Perlite",
ISNUMBER(SEARCH("plant food",E796)),"Plant Food",
ISNUMBER(SEARCH("spreader",E796)),"Spreader",
ISNUMBER(SEARCH("sprayer",E796)),"Sprayer",
ISNUMBER(SEARCH("mower",E796)),"Lawn Mower",
ISNUMBER(SEARCH("sweeper",E796)),"Lawn Sweeper",
OR(ISNUMBER(SEARCH("pruner",E796)),ISNUMBER(SEARCH("trimmer",E796)),ISNUMBER(SEARCH("pole saw",E796))),"Pruning Tools",
TRUE,"Other"
)</f>
        <v>Ant Traps</v>
      </c>
      <c r="J796" s="7" t="str">
        <f t="shared" si="228"/>
        <v>Crawling Insect Control - Ant Traps</v>
      </c>
      <c r="K796" s="4">
        <v>200</v>
      </c>
      <c r="L796" s="4">
        <v>4.3</v>
      </c>
      <c r="M796" s="4">
        <v>2159</v>
      </c>
      <c r="N796" s="4" t="s">
        <v>3672</v>
      </c>
      <c r="O796" s="4">
        <f>VLOOKUP(A796,[15]Sheet1!$A:$M,2,0)</f>
        <v>50</v>
      </c>
      <c r="P796" s="4">
        <f>VLOOKUP(A796,[15]Sheet1!$A:$M,3,0)</f>
        <v>50</v>
      </c>
      <c r="Q796" s="4">
        <f>VLOOKUP(A796,[15]Sheet1!$A:$M,4,0)</f>
        <v>100</v>
      </c>
      <c r="R796" s="4">
        <f>VLOOKUP(A796,[15]Sheet1!$A:$M,5,0)</f>
        <v>300</v>
      </c>
      <c r="S796" s="4">
        <f>VLOOKUP(A796,[15]Sheet1!$A:$M,6,0)</f>
        <v>400</v>
      </c>
      <c r="T796" s="4">
        <f>VLOOKUP(A796,[15]Sheet1!$A:$M,7,0)</f>
        <v>600</v>
      </c>
      <c r="U796" s="4">
        <f>VLOOKUP(A796,[15]Sheet1!$A:$M,8,0)</f>
        <v>400</v>
      </c>
      <c r="V796" s="4">
        <f>VLOOKUP(A796,[15]Sheet1!$A:$M,9,0)</f>
        <v>500</v>
      </c>
      <c r="W796" s="4">
        <f>VLOOKUP(A796,[15]Sheet1!$A:$M,10,0)</f>
        <v>200</v>
      </c>
      <c r="X796" s="4">
        <f>VLOOKUP(A796,[15]Sheet1!$A:$M,11,0)</f>
        <v>200</v>
      </c>
      <c r="Y796" s="4">
        <f>VLOOKUP(A796,[15]Sheet1!$A:$M,12,0)</f>
        <v>200</v>
      </c>
      <c r="Z796" s="4">
        <f>VLOOKUP(A796,[15]Sheet1!$A:$M,13,0)</f>
        <v>100</v>
      </c>
      <c r="AA796" s="4">
        <f t="shared" si="229"/>
        <v>3100</v>
      </c>
      <c r="AB796" s="7">
        <f t="shared" si="230"/>
        <v>258</v>
      </c>
      <c r="AC796" s="15">
        <f t="shared" si="231"/>
        <v>258.33333333333331</v>
      </c>
      <c r="AD796" s="16">
        <f t="shared" si="232"/>
        <v>89869</v>
      </c>
      <c r="AE796" s="16">
        <f t="shared" si="233"/>
        <v>7489.0833333333321</v>
      </c>
      <c r="AF796" s="21">
        <v>9.1999999999999993</v>
      </c>
      <c r="AG796" s="21">
        <v>28.99</v>
      </c>
      <c r="AH796" s="15">
        <f t="shared" si="226"/>
        <v>9.3066666666666603E-2</v>
      </c>
      <c r="AI796" s="15">
        <f t="shared" si="227"/>
        <v>0.3257333333333331</v>
      </c>
      <c r="AJ796" s="10">
        <v>0.5</v>
      </c>
      <c r="AK796" s="10">
        <v>0.5</v>
      </c>
      <c r="AL796" s="21">
        <v>9.1999999999999993</v>
      </c>
      <c r="AM796" s="9">
        <f t="shared" si="234"/>
        <v>4.3484999999999996</v>
      </c>
      <c r="AN796" s="9">
        <f t="shared" si="235"/>
        <v>0.86969999999999992</v>
      </c>
      <c r="AO796" s="9">
        <f t="shared" si="236"/>
        <v>5.798</v>
      </c>
      <c r="AP796" s="9">
        <f t="shared" si="237"/>
        <v>0.57979999999999998</v>
      </c>
      <c r="AQ796" s="9">
        <f t="shared" si="238"/>
        <v>5.798</v>
      </c>
      <c r="AR796" s="9">
        <f t="shared" si="239"/>
        <v>7.2474999999999996</v>
      </c>
      <c r="AS796" s="11">
        <f t="shared" si="240"/>
        <v>0.93066666666666598</v>
      </c>
      <c r="AT796" s="12">
        <f t="shared" si="241"/>
        <v>-3.5666666666667034E-2</v>
      </c>
    </row>
    <row r="797" spans="1:46" ht="16.5" x14ac:dyDescent="0.4">
      <c r="A797" s="4" t="s">
        <v>3511</v>
      </c>
      <c r="B797" s="4" t="s">
        <v>3526</v>
      </c>
      <c r="C797" s="4" t="s">
        <v>3530</v>
      </c>
      <c r="D797" s="4" t="s">
        <v>3561</v>
      </c>
      <c r="E797" s="4" t="s">
        <v>3603</v>
      </c>
      <c r="F797" s="4" t="s">
        <v>3645</v>
      </c>
      <c r="G797" s="7" t="str">
        <f>VLOOKUP(A797,[1]done!$A:$I,9,0)</f>
        <v>Other crawling insects</v>
      </c>
      <c r="H797" s="7" t="str" cm="1">
        <f t="array" ref="H797">_xlfn.IFS(
OR(ISNUMBER(SEARCH("mouse",E797)),ISNUMBER(SEARCH("rat",E797)),ISNUMBER(SEARCH("mice",E797)),ISNUMBER(SEARCH("rodent",E797))),"Rodent Control",
OR(ISNUMBER(SEARCH("fly",E797)),ISNUMBER(SEARCH("gnat",E797)),ISNUMBER(SEARCH("insect",E797)),ISNUMBER(SEARCH("mosquito",E797))),"Flying Insect Control",
OR(ISNUMBER(SEARCH("roach",E797)),ISNUMBER(SEARCH("ant",E797)),ISNUMBER(SEARCH("spider",E797)),ISNUMBER(SEARCH("cricket",E797)),ISNUMBER(SEARCH("scorpion",E797)),ISNUMBER(SEARCH("centipede",E797)),ISNUMBER(SEARCH("beetle",E797))),"Crawling Insect Control",
OR(ISNUMBER(SEARCH("tree",E797)),ISNUMBER(SEARCH("lantern",E797)),ISNUMBER(SEARCH("garden",E797)),ISNUMBER(SEARCH("plant",E797))),"Garden Pest Control",
OR(ISNUMBER(SEARCH("grass seed",E797)),ISNUMBER(SEARCH("seed mix",E797))),"Grass Seed",
OR(ISNUMBER(SEARCH("lawn food",E797)),ISNUMBER(SEARCH("fertilizer",E797))),"Lawn Fertilizer",
OR(ISNUMBER(SEARCH("patch",E797)),ISNUMBER(SEARCH("repair",E797)),ISNUMBER(SEARCH("thick'r",E797)),ISNUMBER(SEARCH("thick'r lawn",E797)),ISNUMBER(SEARCH("rapid grass",E797))),"Lawn Repair",
OR(ISNUMBER(SEARCH("weed",E797)),ISNUMBER(SEARCH("crabgrass",E797))),"Weed Control",
OR(ISNUMBER(SEARCH("fungicide",E797)),ISNUMBER(SEARCH("moss",E797))),"Disease &amp; Moss Control",
OR(ISNUMBER(SEARCH("plant food",E797)),ISNUMBER(SEARCH("miracid",E797))),"Plant Nutrition",
OR(ISNUMBER(SEARCH("perlite",E797))),"Soil Amendment",
OR(ISNUMBER(SEARCH("spreader",E797)),ISNUMBER(SEARCH("sprayer",E797)),ISNUMBER(SEARCH("mower",E797)),ISNUMBER(SEARCH("sweeper",E797)),ISNUMBER(SEARCH("pruner",E797)),ISNUMBER(SEARCH("trimmer",E797)),ISNUMBER(SEARCH("pole saw",E797))),"Garden Equipment",
TRUE,"Other"
)</f>
        <v>Flying Insect Control</v>
      </c>
      <c r="I797" s="7" t="str" cm="1">
        <f t="array" ref="I797">_xlfn.IFS(
OR(ISNUMBER(SEARCH("glue trap",E797)),ISNUMBER(SEARCH("glue board",E797))),"Glue Traps",
OR(ISNUMBER(SEARCH("snap trap",E797)),ISNUMBER(SEARCH("power-kill",E797)),ISNUMBER(SEARCH("wide pedal",E797)),ISNUMBER(SEARCH("metal pedal",E797))),"Snap Traps",
OR(ISNUMBER(SEARCH("electronic",E797)),ISNUMBER(SEARCH("zapper",E797))),"Electronic Traps",
OR(ISNUMBER(SEARCH("live catch",E797)),ISNUMBER(SEARCH("multi-catch",E797)),ISNUMBER(SEARCH("catch &amp; hold",E797)),ISNUMBER(SEARCH("tin cat",E797))),"Live Catch Traps",
OR(ISNUMBER(SEARCH("bait",E797)),ISNUMBER(SEARCH("poison",E797))),"Bait &amp; Poison",
ISNUMBER(SEARCH("repellent",E797)),"Repellents",
OR(ISNUMBER(SEARCH("fly trap",E797)),ISNUMBER(SEARCH("fly ribbon",E797)),ISNUMBER(SEARCH("fly stick",E797)),ISNUMBER(SEARCH("window fly",E797)),ISNUMBER(SEARCH("fly magnet",E797))),"Fly Traps",
OR(ISNUMBER(SEARCH("uv",E797)),ISNUMBER(SEARCH("fly light",E797)),ISNUMBER(SEARCH("plug-in",E797))),"UV Fly Traps",
ISNUMBER(SEARCH("roach",E797)),"Roach Traps",
ISNUMBER(SEARCH("ant",E797)),"Ant Traps",
ISNUMBER(SEARCH("spider",E797)),"Spider Traps",
ISNUMBER(SEARCH("mosquito",E797)),"Mosquito Traps",
ISNUMBER(SEARCH("beetle",E797)),"Beetle Traps",
ISNUMBER(SEARCH("lantern",E797)),"Lanternfly Control",
OR(ISNUMBER(SEARCH("tree shield",E797)),ISNUMBER(SEARCH("tree banding",E797)),ISNUMBER(SEARCH("insect barrier",E797))),"Tree Barriers",
OR(ISNUMBER(SEARCH("sun &amp; shade",E797)),ISNUMBER(SEARCH("sun and shade",E797))),"Sun &amp; Shade Mix",
ISNUMBER(SEARCH("tall fescue",E797)),"Tall Fescue",
ISNUMBER(SEARCH("bermudagrass",E797)),"Bermudagrass",
ISNUMBER(SEARCH("kentucky",E797)),"Kentucky Bluegrass",
ISNUMBER(SEARCH("zoysia",E797)),"Zoysia",
ISNUMBER(SEARCH("ryegrass",E797)),"Perennial Ryegrass",
ISNUMBER(SEARCH("centipede",E797)),"Centipede Grass",
ISNUMBER(SEARCH("dense shade",E797)),"Dense Shade Mix",
ISNUMBER(SEARCH("southern gold",E797)),"Southern Gold Mix",
ISNUMBER(SEARCH("heat-tolerant blue",E797)),"Heat-Tolerant Blue Mix",
ISNUMBER(SEARCH("high traffic",E797)),"High Traffic Mix",
ISNUMBER(SEARCH("quick fix",E797)),"Quick Fix Mix",
ISNUMBER(SEARCH("starter",E797)),"Starter Fertilizer",
ISNUMBER(SEARCH("weed &amp; feed",E797)),"Weed &amp; Feed",
ISNUMBER(SEARCH("lawn food",E797)),"Lawn Food",
ISNUMBER(SEARCH("triple action",E797)),"Triple Action Fertilizer",
ISNUMBER(SEARCH("green max",E797)),"Green Max Lawn Food",
ISNUMBER(SEARCH("patchmaster",E797)),"PatchMaster Repair",
ISNUMBER(SEARCH("ez seed",E797)),"EZ Seed Repair",
ISNUMBER(SEARCH("rapid grass",E797)),"Rapid Grass",
ISNUMBER(SEARCH("thick'r lawn",E797)),"Thick'R Lawn",
ISNUMBER(SEARCH("fungicide",E797)),"Fungicide",
ISNUMBER(SEARCH("moss",E797)),"Moss Control",
ISNUMBER(SEARCH("perlite",E797)),"Perlite",
ISNUMBER(SEARCH("plant food",E797)),"Plant Food",
ISNUMBER(SEARCH("spreader",E797)),"Spreader",
ISNUMBER(SEARCH("sprayer",E797)),"Sprayer",
ISNUMBER(SEARCH("mower",E797)),"Lawn Mower",
ISNUMBER(SEARCH("sweeper",E797)),"Lawn Sweeper",
OR(ISNUMBER(SEARCH("pruner",E797)),ISNUMBER(SEARCH("trimmer",E797)),ISNUMBER(SEARCH("pole saw",E797))),"Pruning Tools",
TRUE,"Other"
)</f>
        <v>Roach Traps</v>
      </c>
      <c r="J797" s="7" t="str">
        <f t="shared" si="228"/>
        <v>Flying Insect Control - Roach Traps</v>
      </c>
      <c r="K797" s="4">
        <v>200</v>
      </c>
      <c r="L797" s="4">
        <v>4.3</v>
      </c>
      <c r="M797" s="4">
        <v>78</v>
      </c>
      <c r="O797" s="4">
        <f>VLOOKUP(A797,[15]Sheet1!$A:$M,2,0)</f>
        <v>0</v>
      </c>
      <c r="P797" s="4">
        <f>VLOOKUP(A797,[15]Sheet1!$A:$M,3,0)</f>
        <v>0</v>
      </c>
      <c r="Q797" s="4">
        <f>VLOOKUP(A797,[15]Sheet1!$A:$M,4,0)</f>
        <v>100</v>
      </c>
      <c r="R797" s="4">
        <f>VLOOKUP(A797,[15]Sheet1!$A:$M,5,0)</f>
        <v>700</v>
      </c>
      <c r="S797" s="4">
        <f>VLOOKUP(A797,[15]Sheet1!$A:$M,6,0)</f>
        <v>50</v>
      </c>
      <c r="T797" s="4">
        <f>VLOOKUP(A797,[15]Sheet1!$A:$M,7,0)</f>
        <v>200</v>
      </c>
      <c r="U797" s="4">
        <f>VLOOKUP(A797,[15]Sheet1!$A:$M,8,0)</f>
        <v>50</v>
      </c>
      <c r="V797" s="4">
        <f>VLOOKUP(A797,[15]Sheet1!$A:$M,9,0)</f>
        <v>100</v>
      </c>
      <c r="W797" s="4">
        <f>VLOOKUP(A797,[15]Sheet1!$A:$M,10,0)</f>
        <v>200</v>
      </c>
      <c r="X797" s="4">
        <f>VLOOKUP(A797,[15]Sheet1!$A:$M,11,0)</f>
        <v>0</v>
      </c>
      <c r="Y797" s="4">
        <f>VLOOKUP(A797,[15]Sheet1!$A:$M,12,0)</f>
        <v>0</v>
      </c>
      <c r="Z797" s="4">
        <f>VLOOKUP(A797,[15]Sheet1!$A:$M,13,0)</f>
        <v>0</v>
      </c>
      <c r="AA797" s="4">
        <f t="shared" si="229"/>
        <v>1400</v>
      </c>
      <c r="AB797" s="7">
        <f t="shared" si="230"/>
        <v>117</v>
      </c>
      <c r="AC797" s="15">
        <f t="shared" si="231"/>
        <v>116.66666666666667</v>
      </c>
      <c r="AD797" s="16">
        <f t="shared" si="232"/>
        <v>27985.999999999996</v>
      </c>
      <c r="AE797" s="16">
        <f t="shared" si="233"/>
        <v>2332.1666666666665</v>
      </c>
      <c r="AF797" s="21">
        <v>5.61</v>
      </c>
      <c r="AG797" s="21">
        <v>19.989999999999998</v>
      </c>
      <c r="AH797" s="15">
        <f t="shared" si="226"/>
        <v>9.2399999999999871E-2</v>
      </c>
      <c r="AI797" s="15">
        <f t="shared" si="227"/>
        <v>0.32339999999999947</v>
      </c>
      <c r="AJ797" s="10">
        <v>0.5</v>
      </c>
      <c r="AK797" s="10">
        <v>0.5</v>
      </c>
      <c r="AL797" s="21">
        <v>5.61</v>
      </c>
      <c r="AM797" s="9">
        <f t="shared" si="234"/>
        <v>2.9984999999999995</v>
      </c>
      <c r="AN797" s="9">
        <f t="shared" si="235"/>
        <v>0.5996999999999999</v>
      </c>
      <c r="AO797" s="9">
        <f t="shared" si="236"/>
        <v>3.9979999999999998</v>
      </c>
      <c r="AP797" s="9">
        <f t="shared" si="237"/>
        <v>0.39979999999999999</v>
      </c>
      <c r="AQ797" s="9">
        <f t="shared" si="238"/>
        <v>3.9979999999999998</v>
      </c>
      <c r="AR797" s="9">
        <f t="shared" si="239"/>
        <v>4.9974999999999996</v>
      </c>
      <c r="AS797" s="11">
        <f t="shared" si="240"/>
        <v>0.9239999999999986</v>
      </c>
      <c r="AT797" s="12">
        <f t="shared" si="241"/>
        <v>0.25766666666666538</v>
      </c>
    </row>
    <row r="798" spans="1:46" ht="16.5" x14ac:dyDescent="0.4">
      <c r="A798" s="4" t="s">
        <v>3512</v>
      </c>
      <c r="B798" s="4" t="s">
        <v>3526</v>
      </c>
      <c r="C798" s="4" t="s">
        <v>3528</v>
      </c>
      <c r="D798" s="4" t="s">
        <v>3562</v>
      </c>
      <c r="E798" s="4" t="s">
        <v>3604</v>
      </c>
      <c r="F798" s="4" t="s">
        <v>3646</v>
      </c>
      <c r="G798" s="7" t="str">
        <f>VLOOKUP(A798,[1]done!$A:$I,9,0)</f>
        <v>Cockroach</v>
      </c>
      <c r="H798" s="7" t="str" cm="1">
        <f t="array" ref="H798">_xlfn.IFS(
OR(ISNUMBER(SEARCH("mouse",E798)),ISNUMBER(SEARCH("rat",E798)),ISNUMBER(SEARCH("mice",E798)),ISNUMBER(SEARCH("rodent",E798))),"Rodent Control",
OR(ISNUMBER(SEARCH("fly",E798)),ISNUMBER(SEARCH("gnat",E798)),ISNUMBER(SEARCH("insect",E798)),ISNUMBER(SEARCH("mosquito",E798))),"Flying Insect Control",
OR(ISNUMBER(SEARCH("roach",E798)),ISNUMBER(SEARCH("ant",E798)),ISNUMBER(SEARCH("spider",E798)),ISNUMBER(SEARCH("cricket",E798)),ISNUMBER(SEARCH("scorpion",E798)),ISNUMBER(SEARCH("centipede",E798)),ISNUMBER(SEARCH("beetle",E798))),"Crawling Insect Control",
OR(ISNUMBER(SEARCH("tree",E798)),ISNUMBER(SEARCH("lantern",E798)),ISNUMBER(SEARCH("garden",E798)),ISNUMBER(SEARCH("plant",E798))),"Garden Pest Control",
OR(ISNUMBER(SEARCH("grass seed",E798)),ISNUMBER(SEARCH("seed mix",E798))),"Grass Seed",
OR(ISNUMBER(SEARCH("lawn food",E798)),ISNUMBER(SEARCH("fertilizer",E798))),"Lawn Fertilizer",
OR(ISNUMBER(SEARCH("patch",E798)),ISNUMBER(SEARCH("repair",E798)),ISNUMBER(SEARCH("thick'r",E798)),ISNUMBER(SEARCH("thick'r lawn",E798)),ISNUMBER(SEARCH("rapid grass",E798))),"Lawn Repair",
OR(ISNUMBER(SEARCH("weed",E798)),ISNUMBER(SEARCH("crabgrass",E798))),"Weed Control",
OR(ISNUMBER(SEARCH("fungicide",E798)),ISNUMBER(SEARCH("moss",E798))),"Disease &amp; Moss Control",
OR(ISNUMBER(SEARCH("plant food",E798)),ISNUMBER(SEARCH("miracid",E798))),"Plant Nutrition",
OR(ISNUMBER(SEARCH("perlite",E798))),"Soil Amendment",
OR(ISNUMBER(SEARCH("spreader",E798)),ISNUMBER(SEARCH("sprayer",E798)),ISNUMBER(SEARCH("mower",E798)),ISNUMBER(SEARCH("sweeper",E798)),ISNUMBER(SEARCH("pruner",E798)),ISNUMBER(SEARCH("trimmer",E798)),ISNUMBER(SEARCH("pole saw",E798))),"Garden Equipment",
TRUE,"Other"
)</f>
        <v>Crawling Insect Control</v>
      </c>
      <c r="I798" s="7" t="str" cm="1">
        <f t="array" ref="I798">_xlfn.IFS(
OR(ISNUMBER(SEARCH("glue trap",E798)),ISNUMBER(SEARCH("glue board",E798))),"Glue Traps",
OR(ISNUMBER(SEARCH("snap trap",E798)),ISNUMBER(SEARCH("power-kill",E798)),ISNUMBER(SEARCH("wide pedal",E798)),ISNUMBER(SEARCH("metal pedal",E798))),"Snap Traps",
OR(ISNUMBER(SEARCH("electronic",E798)),ISNUMBER(SEARCH("zapper",E798))),"Electronic Traps",
OR(ISNUMBER(SEARCH("live catch",E798)),ISNUMBER(SEARCH("multi-catch",E798)),ISNUMBER(SEARCH("catch &amp; hold",E798)),ISNUMBER(SEARCH("tin cat",E798))),"Live Catch Traps",
OR(ISNUMBER(SEARCH("bait",E798)),ISNUMBER(SEARCH("poison",E798))),"Bait &amp; Poison",
ISNUMBER(SEARCH("repellent",E798)),"Repellents",
OR(ISNUMBER(SEARCH("fly trap",E798)),ISNUMBER(SEARCH("fly ribbon",E798)),ISNUMBER(SEARCH("fly stick",E798)),ISNUMBER(SEARCH("window fly",E798)),ISNUMBER(SEARCH("fly magnet",E798))),"Fly Traps",
OR(ISNUMBER(SEARCH("uv",E798)),ISNUMBER(SEARCH("fly light",E798)),ISNUMBER(SEARCH("plug-in",E798))),"UV Fly Traps",
ISNUMBER(SEARCH("roach",E798)),"Roach Traps",
ISNUMBER(SEARCH("ant",E798)),"Ant Traps",
ISNUMBER(SEARCH("spider",E798)),"Spider Traps",
ISNUMBER(SEARCH("mosquito",E798)),"Mosquito Traps",
ISNUMBER(SEARCH("beetle",E798)),"Beetle Traps",
ISNUMBER(SEARCH("lantern",E798)),"Lanternfly Control",
OR(ISNUMBER(SEARCH("tree shield",E798)),ISNUMBER(SEARCH("tree banding",E798)),ISNUMBER(SEARCH("insect barrier",E798))),"Tree Barriers",
OR(ISNUMBER(SEARCH("sun &amp; shade",E798)),ISNUMBER(SEARCH("sun and shade",E798))),"Sun &amp; Shade Mix",
ISNUMBER(SEARCH("tall fescue",E798)),"Tall Fescue",
ISNUMBER(SEARCH("bermudagrass",E798)),"Bermudagrass",
ISNUMBER(SEARCH("kentucky",E798)),"Kentucky Bluegrass",
ISNUMBER(SEARCH("zoysia",E798)),"Zoysia",
ISNUMBER(SEARCH("ryegrass",E798)),"Perennial Ryegrass",
ISNUMBER(SEARCH("centipede",E798)),"Centipede Grass",
ISNUMBER(SEARCH("dense shade",E798)),"Dense Shade Mix",
ISNUMBER(SEARCH("southern gold",E798)),"Southern Gold Mix",
ISNUMBER(SEARCH("heat-tolerant blue",E798)),"Heat-Tolerant Blue Mix",
ISNUMBER(SEARCH("high traffic",E798)),"High Traffic Mix",
ISNUMBER(SEARCH("quick fix",E798)),"Quick Fix Mix",
ISNUMBER(SEARCH("starter",E798)),"Starter Fertilizer",
ISNUMBER(SEARCH("weed &amp; feed",E798)),"Weed &amp; Feed",
ISNUMBER(SEARCH("lawn food",E798)),"Lawn Food",
ISNUMBER(SEARCH("triple action",E798)),"Triple Action Fertilizer",
ISNUMBER(SEARCH("green max",E798)),"Green Max Lawn Food",
ISNUMBER(SEARCH("patchmaster",E798)),"PatchMaster Repair",
ISNUMBER(SEARCH("ez seed",E798)),"EZ Seed Repair",
ISNUMBER(SEARCH("rapid grass",E798)),"Rapid Grass",
ISNUMBER(SEARCH("thick'r lawn",E798)),"Thick'R Lawn",
ISNUMBER(SEARCH("fungicide",E798)),"Fungicide",
ISNUMBER(SEARCH("moss",E798)),"Moss Control",
ISNUMBER(SEARCH("perlite",E798)),"Perlite",
ISNUMBER(SEARCH("plant food",E798)),"Plant Food",
ISNUMBER(SEARCH("spreader",E798)),"Spreader",
ISNUMBER(SEARCH("sprayer",E798)),"Sprayer",
ISNUMBER(SEARCH("mower",E798)),"Lawn Mower",
ISNUMBER(SEARCH("sweeper",E798)),"Lawn Sweeper",
OR(ISNUMBER(SEARCH("pruner",E798)),ISNUMBER(SEARCH("trimmer",E798)),ISNUMBER(SEARCH("pole saw",E798))),"Pruning Tools",
TRUE,"Other"
)</f>
        <v>Roach Traps</v>
      </c>
      <c r="J798" s="7" t="str">
        <f t="shared" si="228"/>
        <v>Crawling Insect Control - Roach Traps</v>
      </c>
      <c r="K798" s="4">
        <v>200</v>
      </c>
      <c r="L798" s="4">
        <v>3.9</v>
      </c>
      <c r="M798" s="4">
        <v>1285</v>
      </c>
      <c r="O798" s="4">
        <f>VLOOKUP(A798,[15]Sheet1!$A:$M,2,0)</f>
        <v>0</v>
      </c>
      <c r="P798" s="4">
        <f>VLOOKUP(A798,[15]Sheet1!$A:$M,3,0)</f>
        <v>0</v>
      </c>
      <c r="Q798" s="4">
        <f>VLOOKUP(A798,[15]Sheet1!$A:$M,4,0)</f>
        <v>0</v>
      </c>
      <c r="R798" s="4">
        <f>VLOOKUP(A798,[15]Sheet1!$A:$M,5,0)</f>
        <v>50</v>
      </c>
      <c r="S798" s="4">
        <f>VLOOKUP(A798,[15]Sheet1!$A:$M,6,0)</f>
        <v>50</v>
      </c>
      <c r="T798" s="4">
        <f>VLOOKUP(A798,[15]Sheet1!$A:$M,7,0)</f>
        <v>100</v>
      </c>
      <c r="U798" s="4">
        <f>VLOOKUP(A798,[15]Sheet1!$A:$M,8,0)</f>
        <v>100</v>
      </c>
      <c r="V798" s="4">
        <f>VLOOKUP(A798,[15]Sheet1!$A:$M,9,0)</f>
        <v>200</v>
      </c>
      <c r="W798" s="4">
        <f>VLOOKUP(A798,[15]Sheet1!$A:$M,10,0)</f>
        <v>200</v>
      </c>
      <c r="X798" s="4">
        <f>VLOOKUP(A798,[15]Sheet1!$A:$M,11,0)</f>
        <v>100</v>
      </c>
      <c r="Y798" s="4">
        <f>VLOOKUP(A798,[15]Sheet1!$A:$M,12,0)</f>
        <v>0</v>
      </c>
      <c r="Z798" s="4">
        <f>VLOOKUP(A798,[15]Sheet1!$A:$M,13,0)</f>
        <v>0</v>
      </c>
      <c r="AA798" s="4">
        <f t="shared" si="229"/>
        <v>800</v>
      </c>
      <c r="AB798" s="7">
        <f t="shared" si="230"/>
        <v>67</v>
      </c>
      <c r="AC798" s="15">
        <f t="shared" si="231"/>
        <v>66.666666666666671</v>
      </c>
      <c r="AD798" s="16">
        <f t="shared" si="232"/>
        <v>10712</v>
      </c>
      <c r="AE798" s="16">
        <f t="shared" si="233"/>
        <v>892.66666666666674</v>
      </c>
      <c r="AF798" s="21">
        <v>5.22</v>
      </c>
      <c r="AG798" s="21">
        <v>13.39</v>
      </c>
      <c r="AH798" s="15">
        <f t="shared" si="226"/>
        <v>-5.7599999999999964E-2</v>
      </c>
      <c r="AI798" s="15">
        <f t="shared" si="227"/>
        <v>-0.20159999999999986</v>
      </c>
      <c r="AJ798" s="10">
        <v>0.5</v>
      </c>
      <c r="AK798" s="10">
        <v>0.5</v>
      </c>
      <c r="AL798" s="21">
        <v>5.22</v>
      </c>
      <c r="AM798" s="9">
        <f t="shared" si="234"/>
        <v>2.0085000000000002</v>
      </c>
      <c r="AN798" s="9">
        <f t="shared" si="235"/>
        <v>0.4017</v>
      </c>
      <c r="AO798" s="9">
        <f t="shared" si="236"/>
        <v>2.6780000000000004</v>
      </c>
      <c r="AP798" s="9">
        <f t="shared" si="237"/>
        <v>0.26780000000000004</v>
      </c>
      <c r="AQ798" s="9">
        <f t="shared" si="238"/>
        <v>2.6780000000000004</v>
      </c>
      <c r="AR798" s="9">
        <f t="shared" si="239"/>
        <v>3.3475000000000001</v>
      </c>
      <c r="AS798" s="11">
        <f t="shared" si="240"/>
        <v>-0.57599999999999962</v>
      </c>
      <c r="AT798" s="12">
        <f t="shared" si="241"/>
        <v>-1.0223333333333329</v>
      </c>
    </row>
    <row r="799" spans="1:46" ht="16.5" x14ac:dyDescent="0.4">
      <c r="A799" s="4" t="s">
        <v>3513</v>
      </c>
      <c r="B799" s="4" t="s">
        <v>3526</v>
      </c>
      <c r="C799" s="4" t="s">
        <v>3528</v>
      </c>
      <c r="D799" s="4" t="s">
        <v>3563</v>
      </c>
      <c r="E799" s="4" t="s">
        <v>3605</v>
      </c>
      <c r="F799" s="4" t="s">
        <v>3647</v>
      </c>
      <c r="G799" s="7" t="str">
        <f>VLOOKUP(A799,[1]done!$A:$I,9,0)</f>
        <v>Other Harris</v>
      </c>
      <c r="H799" s="7" t="str" cm="1">
        <f t="array" ref="H799">_xlfn.IFS(
OR(ISNUMBER(SEARCH("mouse",E799)),ISNUMBER(SEARCH("rat",E799)),ISNUMBER(SEARCH("mice",E799)),ISNUMBER(SEARCH("rodent",E799))),"Rodent Control",
OR(ISNUMBER(SEARCH("fly",E799)),ISNUMBER(SEARCH("gnat",E799)),ISNUMBER(SEARCH("insect",E799)),ISNUMBER(SEARCH("mosquito",E799))),"Flying Insect Control",
OR(ISNUMBER(SEARCH("roach",E799)),ISNUMBER(SEARCH("ant",E799)),ISNUMBER(SEARCH("spider",E799)),ISNUMBER(SEARCH("cricket",E799)),ISNUMBER(SEARCH("scorpion",E799)),ISNUMBER(SEARCH("centipede",E799)),ISNUMBER(SEARCH("beetle",E799))),"Crawling Insect Control",
OR(ISNUMBER(SEARCH("tree",E799)),ISNUMBER(SEARCH("lantern",E799)),ISNUMBER(SEARCH("garden",E799)),ISNUMBER(SEARCH("plant",E799))),"Garden Pest Control",
OR(ISNUMBER(SEARCH("grass seed",E799)),ISNUMBER(SEARCH("seed mix",E799))),"Grass Seed",
OR(ISNUMBER(SEARCH("lawn food",E799)),ISNUMBER(SEARCH("fertilizer",E799))),"Lawn Fertilizer",
OR(ISNUMBER(SEARCH("patch",E799)),ISNUMBER(SEARCH("repair",E799)),ISNUMBER(SEARCH("thick'r",E799)),ISNUMBER(SEARCH("thick'r lawn",E799)),ISNUMBER(SEARCH("rapid grass",E799))),"Lawn Repair",
OR(ISNUMBER(SEARCH("weed",E799)),ISNUMBER(SEARCH("crabgrass",E799))),"Weed Control",
OR(ISNUMBER(SEARCH("fungicide",E799)),ISNUMBER(SEARCH("moss",E799))),"Disease &amp; Moss Control",
OR(ISNUMBER(SEARCH("plant food",E799)),ISNUMBER(SEARCH("miracid",E799))),"Plant Nutrition",
OR(ISNUMBER(SEARCH("perlite",E799))),"Soil Amendment",
OR(ISNUMBER(SEARCH("spreader",E799)),ISNUMBER(SEARCH("sprayer",E799)),ISNUMBER(SEARCH("mower",E799)),ISNUMBER(SEARCH("sweeper",E799)),ISNUMBER(SEARCH("pruner",E799)),ISNUMBER(SEARCH("trimmer",E799)),ISNUMBER(SEARCH("pole saw",E799))),"Garden Equipment",
TRUE,"Other"
)</f>
        <v>Rodent Control</v>
      </c>
      <c r="I799" s="7" t="str" cm="1">
        <f t="array" ref="I799">_xlfn.IFS(
OR(ISNUMBER(SEARCH("glue trap",E799)),ISNUMBER(SEARCH("glue board",E799))),"Glue Traps",
OR(ISNUMBER(SEARCH("snap trap",E799)),ISNUMBER(SEARCH("power-kill",E799)),ISNUMBER(SEARCH("wide pedal",E799)),ISNUMBER(SEARCH("metal pedal",E799))),"Snap Traps",
OR(ISNUMBER(SEARCH("electronic",E799)),ISNUMBER(SEARCH("zapper",E799))),"Electronic Traps",
OR(ISNUMBER(SEARCH("live catch",E799)),ISNUMBER(SEARCH("multi-catch",E799)),ISNUMBER(SEARCH("catch &amp; hold",E799)),ISNUMBER(SEARCH("tin cat",E799))),"Live Catch Traps",
OR(ISNUMBER(SEARCH("bait",E799)),ISNUMBER(SEARCH("poison",E799))),"Bait &amp; Poison",
ISNUMBER(SEARCH("repellent",E799)),"Repellents",
OR(ISNUMBER(SEARCH("fly trap",E799)),ISNUMBER(SEARCH("fly ribbon",E799)),ISNUMBER(SEARCH("fly stick",E799)),ISNUMBER(SEARCH("window fly",E799)),ISNUMBER(SEARCH("fly magnet",E799))),"Fly Traps",
OR(ISNUMBER(SEARCH("uv",E799)),ISNUMBER(SEARCH("fly light",E799)),ISNUMBER(SEARCH("plug-in",E799))),"UV Fly Traps",
ISNUMBER(SEARCH("roach",E799)),"Roach Traps",
ISNUMBER(SEARCH("ant",E799)),"Ant Traps",
ISNUMBER(SEARCH("spider",E799)),"Spider Traps",
ISNUMBER(SEARCH("mosquito",E799)),"Mosquito Traps",
ISNUMBER(SEARCH("beetle",E799)),"Beetle Traps",
ISNUMBER(SEARCH("lantern",E799)),"Lanternfly Control",
OR(ISNUMBER(SEARCH("tree shield",E799)),ISNUMBER(SEARCH("tree banding",E799)),ISNUMBER(SEARCH("insect barrier",E799))),"Tree Barriers",
OR(ISNUMBER(SEARCH("sun &amp; shade",E799)),ISNUMBER(SEARCH("sun and shade",E799))),"Sun &amp; Shade Mix",
ISNUMBER(SEARCH("tall fescue",E799)),"Tall Fescue",
ISNUMBER(SEARCH("bermudagrass",E799)),"Bermudagrass",
ISNUMBER(SEARCH("kentucky",E799)),"Kentucky Bluegrass",
ISNUMBER(SEARCH("zoysia",E799)),"Zoysia",
ISNUMBER(SEARCH("ryegrass",E799)),"Perennial Ryegrass",
ISNUMBER(SEARCH("centipede",E799)),"Centipede Grass",
ISNUMBER(SEARCH("dense shade",E799)),"Dense Shade Mix",
ISNUMBER(SEARCH("southern gold",E799)),"Southern Gold Mix",
ISNUMBER(SEARCH("heat-tolerant blue",E799)),"Heat-Tolerant Blue Mix",
ISNUMBER(SEARCH("high traffic",E799)),"High Traffic Mix",
ISNUMBER(SEARCH("quick fix",E799)),"Quick Fix Mix",
ISNUMBER(SEARCH("starter",E799)),"Starter Fertilizer",
ISNUMBER(SEARCH("weed &amp; feed",E799)),"Weed &amp; Feed",
ISNUMBER(SEARCH("lawn food",E799)),"Lawn Food",
ISNUMBER(SEARCH("triple action",E799)),"Triple Action Fertilizer",
ISNUMBER(SEARCH("green max",E799)),"Green Max Lawn Food",
ISNUMBER(SEARCH("patchmaster",E799)),"PatchMaster Repair",
ISNUMBER(SEARCH("ez seed",E799)),"EZ Seed Repair",
ISNUMBER(SEARCH("rapid grass",E799)),"Rapid Grass",
ISNUMBER(SEARCH("thick'r lawn",E799)),"Thick'R Lawn",
ISNUMBER(SEARCH("fungicide",E799)),"Fungicide",
ISNUMBER(SEARCH("moss",E799)),"Moss Control",
ISNUMBER(SEARCH("perlite",E799)),"Perlite",
ISNUMBER(SEARCH("plant food",E799)),"Plant Food",
ISNUMBER(SEARCH("spreader",E799)),"Spreader",
ISNUMBER(SEARCH("sprayer",E799)),"Sprayer",
ISNUMBER(SEARCH("mower",E799)),"Lawn Mower",
ISNUMBER(SEARCH("sweeper",E799)),"Lawn Sweeper",
OR(ISNUMBER(SEARCH("pruner",E799)),ISNUMBER(SEARCH("trimmer",E799)),ISNUMBER(SEARCH("pole saw",E799))),"Pruning Tools",
TRUE,"Other"
)</f>
        <v>Other</v>
      </c>
      <c r="J799" s="7" t="str">
        <f t="shared" si="228"/>
        <v>Rodent Control - Other</v>
      </c>
      <c r="K799" s="4">
        <v>100</v>
      </c>
      <c r="L799" s="4">
        <v>4.7</v>
      </c>
      <c r="M799" s="4">
        <v>320</v>
      </c>
      <c r="N799" s="4" t="s">
        <v>2136</v>
      </c>
      <c r="O799" s="4">
        <f>VLOOKUP(A799,[15]Sheet1!$A:$M,2,0)</f>
        <v>100</v>
      </c>
      <c r="P799" s="4">
        <f>VLOOKUP(A799,[15]Sheet1!$A:$M,3,0)</f>
        <v>100</v>
      </c>
      <c r="Q799" s="4">
        <f>VLOOKUP(A799,[15]Sheet1!$A:$M,4,0)</f>
        <v>100</v>
      </c>
      <c r="R799" s="4">
        <f>VLOOKUP(A799,[15]Sheet1!$A:$M,5,0)</f>
        <v>100</v>
      </c>
      <c r="S799" s="4">
        <f>VLOOKUP(A799,[15]Sheet1!$A:$M,6,0)</f>
        <v>200</v>
      </c>
      <c r="T799" s="4">
        <f>VLOOKUP(A799,[15]Sheet1!$A:$M,7,0)</f>
        <v>300</v>
      </c>
      <c r="U799" s="4">
        <f>VLOOKUP(A799,[15]Sheet1!$A:$M,8,0)</f>
        <v>200</v>
      </c>
      <c r="V799" s="4">
        <f>VLOOKUP(A799,[15]Sheet1!$A:$M,9,0)</f>
        <v>100</v>
      </c>
      <c r="W799" s="4">
        <f>VLOOKUP(A799,[15]Sheet1!$A:$M,10,0)</f>
        <v>100</v>
      </c>
      <c r="X799" s="4">
        <f>VLOOKUP(A799,[15]Sheet1!$A:$M,11,0)</f>
        <v>100</v>
      </c>
      <c r="Y799" s="4">
        <f>VLOOKUP(A799,[15]Sheet1!$A:$M,12,0)</f>
        <v>100</v>
      </c>
      <c r="Z799" s="4">
        <f>VLOOKUP(A799,[15]Sheet1!$A:$M,13,0)</f>
        <v>100</v>
      </c>
      <c r="AA799" s="4">
        <f t="shared" si="229"/>
        <v>1600</v>
      </c>
      <c r="AB799" s="7">
        <f t="shared" si="230"/>
        <v>133</v>
      </c>
      <c r="AC799" s="15">
        <f t="shared" si="231"/>
        <v>133.33333333333334</v>
      </c>
      <c r="AD799" s="16">
        <f t="shared" si="232"/>
        <v>43184</v>
      </c>
      <c r="AE799" s="16">
        <f t="shared" si="233"/>
        <v>3598.6666666666665</v>
      </c>
      <c r="AF799" s="21">
        <v>9.68</v>
      </c>
      <c r="AG799" s="21">
        <v>26.99</v>
      </c>
      <c r="AH799" s="15">
        <f t="shared" si="226"/>
        <v>7.7333333333333108E-3</v>
      </c>
      <c r="AI799" s="15">
        <f t="shared" si="227"/>
        <v>2.7066666666666583E-2</v>
      </c>
      <c r="AJ799" s="10">
        <v>0.5</v>
      </c>
      <c r="AK799" s="10">
        <v>0.5</v>
      </c>
      <c r="AL799" s="21">
        <v>9.68</v>
      </c>
      <c r="AM799" s="9">
        <f t="shared" si="234"/>
        <v>4.0484999999999998</v>
      </c>
      <c r="AN799" s="9">
        <f t="shared" si="235"/>
        <v>0.80969999999999998</v>
      </c>
      <c r="AO799" s="9">
        <f t="shared" si="236"/>
        <v>5.3979999999999997</v>
      </c>
      <c r="AP799" s="9">
        <f t="shared" si="237"/>
        <v>0.53979999999999995</v>
      </c>
      <c r="AQ799" s="9">
        <f t="shared" si="238"/>
        <v>5.3979999999999997</v>
      </c>
      <c r="AR799" s="9">
        <f t="shared" si="239"/>
        <v>6.7474999999999996</v>
      </c>
      <c r="AS799" s="11">
        <f t="shared" si="240"/>
        <v>7.7333333333333101E-2</v>
      </c>
      <c r="AT799" s="12">
        <f t="shared" si="241"/>
        <v>-0.82233333333333347</v>
      </c>
    </row>
    <row r="800" spans="1:46" ht="16.5" x14ac:dyDescent="0.4">
      <c r="A800" s="4" t="s">
        <v>3514</v>
      </c>
      <c r="B800" s="4" t="s">
        <v>3526</v>
      </c>
      <c r="C800" s="4" t="s">
        <v>3528</v>
      </c>
      <c r="D800" s="4" t="s">
        <v>3564</v>
      </c>
      <c r="E800" s="4" t="s">
        <v>3606</v>
      </c>
      <c r="F800" s="4" t="s">
        <v>3648</v>
      </c>
      <c r="G800" s="7" t="str">
        <f>VLOOKUP(A800,[1]done!$A:$I,9,0)</f>
        <v>Oil based pest repellent</v>
      </c>
      <c r="H800" s="7" t="str" cm="1">
        <f t="array" ref="H800">_xlfn.IFS(
OR(ISNUMBER(SEARCH("mouse",E800)),ISNUMBER(SEARCH("rat",E800)),ISNUMBER(SEARCH("mice",E800)),ISNUMBER(SEARCH("rodent",E800))),"Rodent Control",
OR(ISNUMBER(SEARCH("fly",E800)),ISNUMBER(SEARCH("gnat",E800)),ISNUMBER(SEARCH("insect",E800)),ISNUMBER(SEARCH("mosquito",E800))),"Flying Insect Control",
OR(ISNUMBER(SEARCH("roach",E800)),ISNUMBER(SEARCH("ant",E800)),ISNUMBER(SEARCH("spider",E800)),ISNUMBER(SEARCH("cricket",E800)),ISNUMBER(SEARCH("scorpion",E800)),ISNUMBER(SEARCH("centipede",E800)),ISNUMBER(SEARCH("beetle",E800))),"Crawling Insect Control",
OR(ISNUMBER(SEARCH("tree",E800)),ISNUMBER(SEARCH("lantern",E800)),ISNUMBER(SEARCH("garden",E800)),ISNUMBER(SEARCH("plant",E800))),"Garden Pest Control",
OR(ISNUMBER(SEARCH("grass seed",E800)),ISNUMBER(SEARCH("seed mix",E800))),"Grass Seed",
OR(ISNUMBER(SEARCH("lawn food",E800)),ISNUMBER(SEARCH("fertilizer",E800))),"Lawn Fertilizer",
OR(ISNUMBER(SEARCH("patch",E800)),ISNUMBER(SEARCH("repair",E800)),ISNUMBER(SEARCH("thick'r",E800)),ISNUMBER(SEARCH("thick'r lawn",E800)),ISNUMBER(SEARCH("rapid grass",E800))),"Lawn Repair",
OR(ISNUMBER(SEARCH("weed",E800)),ISNUMBER(SEARCH("crabgrass",E800))),"Weed Control",
OR(ISNUMBER(SEARCH("fungicide",E800)),ISNUMBER(SEARCH("moss",E800))),"Disease &amp; Moss Control",
OR(ISNUMBER(SEARCH("plant food",E800)),ISNUMBER(SEARCH("miracid",E800))),"Plant Nutrition",
OR(ISNUMBER(SEARCH("perlite",E800))),"Soil Amendment",
OR(ISNUMBER(SEARCH("spreader",E800)),ISNUMBER(SEARCH("sprayer",E800)),ISNUMBER(SEARCH("mower",E800)),ISNUMBER(SEARCH("sweeper",E800)),ISNUMBER(SEARCH("pruner",E800)),ISNUMBER(SEARCH("trimmer",E800)),ISNUMBER(SEARCH("pole saw",E800))),"Garden Equipment",
TRUE,"Other"
)</f>
        <v>Crawling Insect Control</v>
      </c>
      <c r="I800" s="7" t="str" cm="1">
        <f t="array" ref="I800">_xlfn.IFS(
OR(ISNUMBER(SEARCH("glue trap",E800)),ISNUMBER(SEARCH("glue board",E800))),"Glue Traps",
OR(ISNUMBER(SEARCH("snap trap",E800)),ISNUMBER(SEARCH("power-kill",E800)),ISNUMBER(SEARCH("wide pedal",E800)),ISNUMBER(SEARCH("metal pedal",E800))),"Snap Traps",
OR(ISNUMBER(SEARCH("electronic",E800)),ISNUMBER(SEARCH("zapper",E800))),"Electronic Traps",
OR(ISNUMBER(SEARCH("live catch",E800)),ISNUMBER(SEARCH("multi-catch",E800)),ISNUMBER(SEARCH("catch &amp; hold",E800)),ISNUMBER(SEARCH("tin cat",E800))),"Live Catch Traps",
OR(ISNUMBER(SEARCH("bait",E800)),ISNUMBER(SEARCH("poison",E800))),"Bait &amp; Poison",
ISNUMBER(SEARCH("repellent",E800)),"Repellents",
OR(ISNUMBER(SEARCH("fly trap",E800)),ISNUMBER(SEARCH("fly ribbon",E800)),ISNUMBER(SEARCH("fly stick",E800)),ISNUMBER(SEARCH("window fly",E800)),ISNUMBER(SEARCH("fly magnet",E800))),"Fly Traps",
OR(ISNUMBER(SEARCH("uv",E800)),ISNUMBER(SEARCH("fly light",E800)),ISNUMBER(SEARCH("plug-in",E800))),"UV Fly Traps",
ISNUMBER(SEARCH("roach",E800)),"Roach Traps",
ISNUMBER(SEARCH("ant",E800)),"Ant Traps",
ISNUMBER(SEARCH("spider",E800)),"Spider Traps",
ISNUMBER(SEARCH("mosquito",E800)),"Mosquito Traps",
ISNUMBER(SEARCH("beetle",E800)),"Beetle Traps",
ISNUMBER(SEARCH("lantern",E800)),"Lanternfly Control",
OR(ISNUMBER(SEARCH("tree shield",E800)),ISNUMBER(SEARCH("tree banding",E800)),ISNUMBER(SEARCH("insect barrier",E800))),"Tree Barriers",
OR(ISNUMBER(SEARCH("sun &amp; shade",E800)),ISNUMBER(SEARCH("sun and shade",E800))),"Sun &amp; Shade Mix",
ISNUMBER(SEARCH("tall fescue",E800)),"Tall Fescue",
ISNUMBER(SEARCH("bermudagrass",E800)),"Bermudagrass",
ISNUMBER(SEARCH("kentucky",E800)),"Kentucky Bluegrass",
ISNUMBER(SEARCH("zoysia",E800)),"Zoysia",
ISNUMBER(SEARCH("ryegrass",E800)),"Perennial Ryegrass",
ISNUMBER(SEARCH("centipede",E800)),"Centipede Grass",
ISNUMBER(SEARCH("dense shade",E800)),"Dense Shade Mix",
ISNUMBER(SEARCH("southern gold",E800)),"Southern Gold Mix",
ISNUMBER(SEARCH("heat-tolerant blue",E800)),"Heat-Tolerant Blue Mix",
ISNUMBER(SEARCH("high traffic",E800)),"High Traffic Mix",
ISNUMBER(SEARCH("quick fix",E800)),"Quick Fix Mix",
ISNUMBER(SEARCH("starter",E800)),"Starter Fertilizer",
ISNUMBER(SEARCH("weed &amp; feed",E800)),"Weed &amp; Feed",
ISNUMBER(SEARCH("lawn food",E800)),"Lawn Food",
ISNUMBER(SEARCH("triple action",E800)),"Triple Action Fertilizer",
ISNUMBER(SEARCH("green max",E800)),"Green Max Lawn Food",
ISNUMBER(SEARCH("patchmaster",E800)),"PatchMaster Repair",
ISNUMBER(SEARCH("ez seed",E800)),"EZ Seed Repair",
ISNUMBER(SEARCH("rapid grass",E800)),"Rapid Grass",
ISNUMBER(SEARCH("thick'r lawn",E800)),"Thick'R Lawn",
ISNUMBER(SEARCH("fungicide",E800)),"Fungicide",
ISNUMBER(SEARCH("moss",E800)),"Moss Control",
ISNUMBER(SEARCH("perlite",E800)),"Perlite",
ISNUMBER(SEARCH("plant food",E800)),"Plant Food",
ISNUMBER(SEARCH("spreader",E800)),"Spreader",
ISNUMBER(SEARCH("sprayer",E800)),"Sprayer",
ISNUMBER(SEARCH("mower",E800)),"Lawn Mower",
ISNUMBER(SEARCH("sweeper",E800)),"Lawn Sweeper",
OR(ISNUMBER(SEARCH("pruner",E800)),ISNUMBER(SEARCH("trimmer",E800)),ISNUMBER(SEARCH("pole saw",E800))),"Pruning Tools",
TRUE,"Other"
)</f>
        <v>Ant Traps</v>
      </c>
      <c r="J800" s="7" t="str">
        <f t="shared" si="228"/>
        <v>Crawling Insect Control - Ant Traps</v>
      </c>
      <c r="K800" s="4">
        <v>100</v>
      </c>
      <c r="L800" s="4">
        <v>4.7</v>
      </c>
      <c r="M800" s="4">
        <v>1551</v>
      </c>
      <c r="N800" s="4" t="s">
        <v>3673</v>
      </c>
      <c r="O800" s="4">
        <f>VLOOKUP(A800,[15]Sheet1!$A:$M,2,0)</f>
        <v>50</v>
      </c>
      <c r="P800" s="4">
        <f>VLOOKUP(A800,[15]Sheet1!$A:$M,3,0)</f>
        <v>50</v>
      </c>
      <c r="Q800" s="4">
        <f>VLOOKUP(A800,[15]Sheet1!$A:$M,4,0)</f>
        <v>0</v>
      </c>
      <c r="R800" s="4">
        <f>VLOOKUP(A800,[15]Sheet1!$A:$M,5,0)</f>
        <v>0</v>
      </c>
      <c r="S800" s="4">
        <f>VLOOKUP(A800,[15]Sheet1!$A:$M,6,0)</f>
        <v>100</v>
      </c>
      <c r="T800" s="4">
        <f>VLOOKUP(A800,[15]Sheet1!$A:$M,7,0)</f>
        <v>100</v>
      </c>
      <c r="U800" s="4">
        <f>VLOOKUP(A800,[15]Sheet1!$A:$M,8,0)</f>
        <v>100</v>
      </c>
      <c r="V800" s="4">
        <f>VLOOKUP(A800,[15]Sheet1!$A:$M,9,0)</f>
        <v>100</v>
      </c>
      <c r="W800" s="4">
        <f>VLOOKUP(A800,[15]Sheet1!$A:$M,10,0)</f>
        <v>100</v>
      </c>
      <c r="X800" s="4">
        <f>VLOOKUP(A800,[15]Sheet1!$A:$M,11,0)</f>
        <v>0</v>
      </c>
      <c r="Y800" s="4">
        <f>VLOOKUP(A800,[15]Sheet1!$A:$M,12,0)</f>
        <v>0</v>
      </c>
      <c r="Z800" s="4">
        <f>VLOOKUP(A800,[15]Sheet1!$A:$M,13,0)</f>
        <v>200</v>
      </c>
      <c r="AA800" s="4">
        <f t="shared" si="229"/>
        <v>800</v>
      </c>
      <c r="AB800" s="7">
        <f t="shared" si="230"/>
        <v>67</v>
      </c>
      <c r="AC800" s="15">
        <f t="shared" si="231"/>
        <v>66.666666666666671</v>
      </c>
      <c r="AD800" s="16">
        <f t="shared" si="232"/>
        <v>11992</v>
      </c>
      <c r="AE800" s="16">
        <f t="shared" si="233"/>
        <v>999.33333333333337</v>
      </c>
      <c r="AF800" s="21">
        <v>6.31</v>
      </c>
      <c r="AG800" s="21">
        <v>14.99</v>
      </c>
      <c r="AH800" s="15">
        <f t="shared" si="226"/>
        <v>-8.7600000000000011E-2</v>
      </c>
      <c r="AI800" s="15">
        <f t="shared" si="227"/>
        <v>-0.30659999999999998</v>
      </c>
      <c r="AJ800" s="10">
        <v>0.5</v>
      </c>
      <c r="AK800" s="10">
        <v>0.5</v>
      </c>
      <c r="AL800" s="21">
        <v>6.31</v>
      </c>
      <c r="AM800" s="9">
        <f t="shared" si="234"/>
        <v>2.2484999999999999</v>
      </c>
      <c r="AN800" s="9">
        <f t="shared" si="235"/>
        <v>0.44969999999999999</v>
      </c>
      <c r="AO800" s="9">
        <f t="shared" si="236"/>
        <v>2.9980000000000002</v>
      </c>
      <c r="AP800" s="9">
        <f t="shared" si="237"/>
        <v>0.29980000000000001</v>
      </c>
      <c r="AQ800" s="9">
        <f t="shared" si="238"/>
        <v>2.9980000000000002</v>
      </c>
      <c r="AR800" s="9">
        <f t="shared" si="239"/>
        <v>3.7475000000000001</v>
      </c>
      <c r="AS800" s="11">
        <f t="shared" si="240"/>
        <v>-0.876</v>
      </c>
      <c r="AT800" s="12">
        <f t="shared" si="241"/>
        <v>-1.3756666666666666</v>
      </c>
    </row>
    <row r="801" spans="1:46" ht="16.5" x14ac:dyDescent="0.4">
      <c r="A801" s="4" t="s">
        <v>3515</v>
      </c>
      <c r="B801" s="4" t="s">
        <v>3526</v>
      </c>
      <c r="C801" s="4" t="s">
        <v>3528</v>
      </c>
      <c r="D801" s="4" t="s">
        <v>3565</v>
      </c>
      <c r="E801" s="4" t="s">
        <v>3607</v>
      </c>
      <c r="F801" s="4" t="s">
        <v>3649</v>
      </c>
      <c r="G801" s="7" t="str">
        <f>VLOOKUP(A801,[1]done!$A:$I,9,0)</f>
        <v>Oil based pest repellent</v>
      </c>
      <c r="H801" s="7" t="str" cm="1">
        <f t="array" ref="H801">_xlfn.IFS(
OR(ISNUMBER(SEARCH("mouse",E801)),ISNUMBER(SEARCH("rat",E801)),ISNUMBER(SEARCH("mice",E801)),ISNUMBER(SEARCH("rodent",E801))),"Rodent Control",
OR(ISNUMBER(SEARCH("fly",E801)),ISNUMBER(SEARCH("gnat",E801)),ISNUMBER(SEARCH("insect",E801)),ISNUMBER(SEARCH("mosquito",E801))),"Flying Insect Control",
OR(ISNUMBER(SEARCH("roach",E801)),ISNUMBER(SEARCH("ant",E801)),ISNUMBER(SEARCH("spider",E801)),ISNUMBER(SEARCH("cricket",E801)),ISNUMBER(SEARCH("scorpion",E801)),ISNUMBER(SEARCH("centipede",E801)),ISNUMBER(SEARCH("beetle",E801))),"Crawling Insect Control",
OR(ISNUMBER(SEARCH("tree",E801)),ISNUMBER(SEARCH("lantern",E801)),ISNUMBER(SEARCH("garden",E801)),ISNUMBER(SEARCH("plant",E801))),"Garden Pest Control",
OR(ISNUMBER(SEARCH("grass seed",E801)),ISNUMBER(SEARCH("seed mix",E801))),"Grass Seed",
OR(ISNUMBER(SEARCH("lawn food",E801)),ISNUMBER(SEARCH("fertilizer",E801))),"Lawn Fertilizer",
OR(ISNUMBER(SEARCH("patch",E801)),ISNUMBER(SEARCH("repair",E801)),ISNUMBER(SEARCH("thick'r",E801)),ISNUMBER(SEARCH("thick'r lawn",E801)),ISNUMBER(SEARCH("rapid grass",E801))),"Lawn Repair",
OR(ISNUMBER(SEARCH("weed",E801)),ISNUMBER(SEARCH("crabgrass",E801))),"Weed Control",
OR(ISNUMBER(SEARCH("fungicide",E801)),ISNUMBER(SEARCH("moss",E801))),"Disease &amp; Moss Control",
OR(ISNUMBER(SEARCH("plant food",E801)),ISNUMBER(SEARCH("miracid",E801))),"Plant Nutrition",
OR(ISNUMBER(SEARCH("perlite",E801))),"Soil Amendment",
OR(ISNUMBER(SEARCH("spreader",E801)),ISNUMBER(SEARCH("sprayer",E801)),ISNUMBER(SEARCH("mower",E801)),ISNUMBER(SEARCH("sweeper",E801)),ISNUMBER(SEARCH("pruner",E801)),ISNUMBER(SEARCH("trimmer",E801)),ISNUMBER(SEARCH("pole saw",E801))),"Garden Equipment",
TRUE,"Other"
)</f>
        <v>Other</v>
      </c>
      <c r="I801" s="7" t="str" cm="1">
        <f t="array" ref="I801">_xlfn.IFS(
OR(ISNUMBER(SEARCH("glue trap",E801)),ISNUMBER(SEARCH("glue board",E801))),"Glue Traps",
OR(ISNUMBER(SEARCH("snap trap",E801)),ISNUMBER(SEARCH("power-kill",E801)),ISNUMBER(SEARCH("wide pedal",E801)),ISNUMBER(SEARCH("metal pedal",E801))),"Snap Traps",
OR(ISNUMBER(SEARCH("electronic",E801)),ISNUMBER(SEARCH("zapper",E801))),"Electronic Traps",
OR(ISNUMBER(SEARCH("live catch",E801)),ISNUMBER(SEARCH("multi-catch",E801)),ISNUMBER(SEARCH("catch &amp; hold",E801)),ISNUMBER(SEARCH("tin cat",E801))),"Live Catch Traps",
OR(ISNUMBER(SEARCH("bait",E801)),ISNUMBER(SEARCH("poison",E801))),"Bait &amp; Poison",
ISNUMBER(SEARCH("repellent",E801)),"Repellents",
OR(ISNUMBER(SEARCH("fly trap",E801)),ISNUMBER(SEARCH("fly ribbon",E801)),ISNUMBER(SEARCH("fly stick",E801)),ISNUMBER(SEARCH("window fly",E801)),ISNUMBER(SEARCH("fly magnet",E801))),"Fly Traps",
OR(ISNUMBER(SEARCH("uv",E801)),ISNUMBER(SEARCH("fly light",E801)),ISNUMBER(SEARCH("plug-in",E801))),"UV Fly Traps",
ISNUMBER(SEARCH("roach",E801)),"Roach Traps",
ISNUMBER(SEARCH("ant",E801)),"Ant Traps",
ISNUMBER(SEARCH("spider",E801)),"Spider Traps",
ISNUMBER(SEARCH("mosquito",E801)),"Mosquito Traps",
ISNUMBER(SEARCH("beetle",E801)),"Beetle Traps",
ISNUMBER(SEARCH("lantern",E801)),"Lanternfly Control",
OR(ISNUMBER(SEARCH("tree shield",E801)),ISNUMBER(SEARCH("tree banding",E801)),ISNUMBER(SEARCH("insect barrier",E801))),"Tree Barriers",
OR(ISNUMBER(SEARCH("sun &amp; shade",E801)),ISNUMBER(SEARCH("sun and shade",E801))),"Sun &amp; Shade Mix",
ISNUMBER(SEARCH("tall fescue",E801)),"Tall Fescue",
ISNUMBER(SEARCH("bermudagrass",E801)),"Bermudagrass",
ISNUMBER(SEARCH("kentucky",E801)),"Kentucky Bluegrass",
ISNUMBER(SEARCH("zoysia",E801)),"Zoysia",
ISNUMBER(SEARCH("ryegrass",E801)),"Perennial Ryegrass",
ISNUMBER(SEARCH("centipede",E801)),"Centipede Grass",
ISNUMBER(SEARCH("dense shade",E801)),"Dense Shade Mix",
ISNUMBER(SEARCH("southern gold",E801)),"Southern Gold Mix",
ISNUMBER(SEARCH("heat-tolerant blue",E801)),"Heat-Tolerant Blue Mix",
ISNUMBER(SEARCH("high traffic",E801)),"High Traffic Mix",
ISNUMBER(SEARCH("quick fix",E801)),"Quick Fix Mix",
ISNUMBER(SEARCH("starter",E801)),"Starter Fertilizer",
ISNUMBER(SEARCH("weed &amp; feed",E801)),"Weed &amp; Feed",
ISNUMBER(SEARCH("lawn food",E801)),"Lawn Food",
ISNUMBER(SEARCH("triple action",E801)),"Triple Action Fertilizer",
ISNUMBER(SEARCH("green max",E801)),"Green Max Lawn Food",
ISNUMBER(SEARCH("patchmaster",E801)),"PatchMaster Repair",
ISNUMBER(SEARCH("ez seed",E801)),"EZ Seed Repair",
ISNUMBER(SEARCH("rapid grass",E801)),"Rapid Grass",
ISNUMBER(SEARCH("thick'r lawn",E801)),"Thick'R Lawn",
ISNUMBER(SEARCH("fungicide",E801)),"Fungicide",
ISNUMBER(SEARCH("moss",E801)),"Moss Control",
ISNUMBER(SEARCH("perlite",E801)),"Perlite",
ISNUMBER(SEARCH("plant food",E801)),"Plant Food",
ISNUMBER(SEARCH("spreader",E801)),"Spreader",
ISNUMBER(SEARCH("sprayer",E801)),"Sprayer",
ISNUMBER(SEARCH("mower",E801)),"Lawn Mower",
ISNUMBER(SEARCH("sweeper",E801)),"Lawn Sweeper",
OR(ISNUMBER(SEARCH("pruner",E801)),ISNUMBER(SEARCH("trimmer",E801)),ISNUMBER(SEARCH("pole saw",E801))),"Pruning Tools",
TRUE,"Other"
)</f>
        <v>Other</v>
      </c>
      <c r="J801" s="7" t="str">
        <f t="shared" si="228"/>
        <v>Other - Other</v>
      </c>
      <c r="K801" s="4">
        <v>100</v>
      </c>
      <c r="L801" s="4">
        <v>4.5</v>
      </c>
      <c r="M801" s="4">
        <v>1032</v>
      </c>
      <c r="N801" s="4" t="s">
        <v>3674</v>
      </c>
      <c r="O801" s="4">
        <f>VLOOKUP(A801,[15]Sheet1!$A:$M,2,0)</f>
        <v>100</v>
      </c>
      <c r="P801" s="4">
        <f>VLOOKUP(A801,[15]Sheet1!$A:$M,3,0)</f>
        <v>100</v>
      </c>
      <c r="Q801" s="4">
        <f>VLOOKUP(A801,[15]Sheet1!$A:$M,4,0)</f>
        <v>100</v>
      </c>
      <c r="R801" s="4">
        <f>VLOOKUP(A801,[15]Sheet1!$A:$M,5,0)</f>
        <v>200</v>
      </c>
      <c r="S801" s="4">
        <f>VLOOKUP(A801,[15]Sheet1!$A:$M,6,0)</f>
        <v>400</v>
      </c>
      <c r="T801" s="4">
        <f>VLOOKUP(A801,[15]Sheet1!$A:$M,7,0)</f>
        <v>200</v>
      </c>
      <c r="U801" s="4">
        <f>VLOOKUP(A801,[15]Sheet1!$A:$M,8,0)</f>
        <v>200</v>
      </c>
      <c r="V801" s="4">
        <f>VLOOKUP(A801,[15]Sheet1!$A:$M,9,0)</f>
        <v>200</v>
      </c>
      <c r="W801" s="4">
        <f>VLOOKUP(A801,[15]Sheet1!$A:$M,10,0)</f>
        <v>100</v>
      </c>
      <c r="X801" s="4">
        <f>VLOOKUP(A801,[15]Sheet1!$A:$M,11,0)</f>
        <v>200</v>
      </c>
      <c r="Y801" s="4">
        <f>VLOOKUP(A801,[15]Sheet1!$A:$M,12,0)</f>
        <v>100</v>
      </c>
      <c r="Z801" s="4">
        <f>VLOOKUP(A801,[15]Sheet1!$A:$M,13,0)</f>
        <v>100</v>
      </c>
      <c r="AA801" s="4">
        <f t="shared" si="229"/>
        <v>2000</v>
      </c>
      <c r="AB801" s="7">
        <f t="shared" si="230"/>
        <v>167</v>
      </c>
      <c r="AC801" s="15">
        <f t="shared" si="231"/>
        <v>166.66666666666666</v>
      </c>
      <c r="AD801" s="16">
        <f t="shared" si="232"/>
        <v>30560</v>
      </c>
      <c r="AE801" s="16">
        <f t="shared" si="233"/>
        <v>2546.6666666666665</v>
      </c>
      <c r="AF801" s="21">
        <v>7.79</v>
      </c>
      <c r="AG801" s="21">
        <v>15.28</v>
      </c>
      <c r="AH801" s="15">
        <f t="shared" ref="AH801:AH862" si="242">0.1*AS801</f>
        <v>-0.1785333333333334</v>
      </c>
      <c r="AI801" s="15">
        <f t="shared" ref="AI801:AI862" si="243">0.35*AS801</f>
        <v>-0.62486666666666679</v>
      </c>
      <c r="AJ801" s="10">
        <v>0.5</v>
      </c>
      <c r="AK801" s="10">
        <v>0.5</v>
      </c>
      <c r="AL801" s="21">
        <v>7.79</v>
      </c>
      <c r="AM801" s="9">
        <f t="shared" si="234"/>
        <v>2.2919999999999998</v>
      </c>
      <c r="AN801" s="9">
        <f t="shared" si="235"/>
        <v>0.45839999999999997</v>
      </c>
      <c r="AO801" s="9">
        <f t="shared" si="236"/>
        <v>3.056</v>
      </c>
      <c r="AP801" s="9">
        <f t="shared" si="237"/>
        <v>0.30559999999999998</v>
      </c>
      <c r="AQ801" s="9">
        <f t="shared" si="238"/>
        <v>3.056</v>
      </c>
      <c r="AR801" s="9">
        <f t="shared" si="239"/>
        <v>3.82</v>
      </c>
      <c r="AS801" s="11">
        <f t="shared" si="240"/>
        <v>-1.7853333333333339</v>
      </c>
      <c r="AT801" s="12">
        <f t="shared" si="241"/>
        <v>-2.2946666666666671</v>
      </c>
    </row>
    <row r="802" spans="1:46" ht="16.5" x14ac:dyDescent="0.4">
      <c r="A802" s="4" t="s">
        <v>3516</v>
      </c>
      <c r="B802" s="4" t="s">
        <v>3526</v>
      </c>
      <c r="C802" s="4" t="s">
        <v>3526</v>
      </c>
      <c r="D802" s="4" t="s">
        <v>3566</v>
      </c>
      <c r="E802" s="4" t="s">
        <v>3608</v>
      </c>
      <c r="F802" s="4" t="s">
        <v>3650</v>
      </c>
      <c r="G802" s="7" t="str">
        <f>VLOOKUP(A802,[1]done!$A:$I,9,0)</f>
        <v>Other Harris</v>
      </c>
      <c r="H802" s="7" t="str" cm="1">
        <f t="array" ref="H802">_xlfn.IFS(
OR(ISNUMBER(SEARCH("mouse",E802)),ISNUMBER(SEARCH("rat",E802)),ISNUMBER(SEARCH("mice",E802)),ISNUMBER(SEARCH("rodent",E802))),"Rodent Control",
OR(ISNUMBER(SEARCH("fly",E802)),ISNUMBER(SEARCH("gnat",E802)),ISNUMBER(SEARCH("insect",E802)),ISNUMBER(SEARCH("mosquito",E802))),"Flying Insect Control",
OR(ISNUMBER(SEARCH("roach",E802)),ISNUMBER(SEARCH("ant",E802)),ISNUMBER(SEARCH("spider",E802)),ISNUMBER(SEARCH("cricket",E802)),ISNUMBER(SEARCH("scorpion",E802)),ISNUMBER(SEARCH("centipede",E802)),ISNUMBER(SEARCH("beetle",E802))),"Crawling Insect Control",
OR(ISNUMBER(SEARCH("tree",E802)),ISNUMBER(SEARCH("lantern",E802)),ISNUMBER(SEARCH("garden",E802)),ISNUMBER(SEARCH("plant",E802))),"Garden Pest Control",
OR(ISNUMBER(SEARCH("grass seed",E802)),ISNUMBER(SEARCH("seed mix",E802))),"Grass Seed",
OR(ISNUMBER(SEARCH("lawn food",E802)),ISNUMBER(SEARCH("fertilizer",E802))),"Lawn Fertilizer",
OR(ISNUMBER(SEARCH("patch",E802)),ISNUMBER(SEARCH("repair",E802)),ISNUMBER(SEARCH("thick'r",E802)),ISNUMBER(SEARCH("thick'r lawn",E802)),ISNUMBER(SEARCH("rapid grass",E802))),"Lawn Repair",
OR(ISNUMBER(SEARCH("weed",E802)),ISNUMBER(SEARCH("crabgrass",E802))),"Weed Control",
OR(ISNUMBER(SEARCH("fungicide",E802)),ISNUMBER(SEARCH("moss",E802))),"Disease &amp; Moss Control",
OR(ISNUMBER(SEARCH("plant food",E802)),ISNUMBER(SEARCH("miracid",E802))),"Plant Nutrition",
OR(ISNUMBER(SEARCH("perlite",E802))),"Soil Amendment",
OR(ISNUMBER(SEARCH("spreader",E802)),ISNUMBER(SEARCH("sprayer",E802)),ISNUMBER(SEARCH("mower",E802)),ISNUMBER(SEARCH("sweeper",E802)),ISNUMBER(SEARCH("pruner",E802)),ISNUMBER(SEARCH("trimmer",E802)),ISNUMBER(SEARCH("pole saw",E802))),"Garden Equipment",
TRUE,"Other"
)</f>
        <v>Other</v>
      </c>
      <c r="I802" s="7" t="str" cm="1">
        <f t="array" ref="I802">_xlfn.IFS(
OR(ISNUMBER(SEARCH("glue trap",E802)),ISNUMBER(SEARCH("glue board",E802))),"Glue Traps",
OR(ISNUMBER(SEARCH("snap trap",E802)),ISNUMBER(SEARCH("power-kill",E802)),ISNUMBER(SEARCH("wide pedal",E802)),ISNUMBER(SEARCH("metal pedal",E802))),"Snap Traps",
OR(ISNUMBER(SEARCH("electronic",E802)),ISNUMBER(SEARCH("zapper",E802))),"Electronic Traps",
OR(ISNUMBER(SEARCH("live catch",E802)),ISNUMBER(SEARCH("multi-catch",E802)),ISNUMBER(SEARCH("catch &amp; hold",E802)),ISNUMBER(SEARCH("tin cat",E802))),"Live Catch Traps",
OR(ISNUMBER(SEARCH("bait",E802)),ISNUMBER(SEARCH("poison",E802))),"Bait &amp; Poison",
ISNUMBER(SEARCH("repellent",E802)),"Repellents",
OR(ISNUMBER(SEARCH("fly trap",E802)),ISNUMBER(SEARCH("fly ribbon",E802)),ISNUMBER(SEARCH("fly stick",E802)),ISNUMBER(SEARCH("window fly",E802)),ISNUMBER(SEARCH("fly magnet",E802))),"Fly Traps",
OR(ISNUMBER(SEARCH("uv",E802)),ISNUMBER(SEARCH("fly light",E802)),ISNUMBER(SEARCH("plug-in",E802))),"UV Fly Traps",
ISNUMBER(SEARCH("roach",E802)),"Roach Traps",
ISNUMBER(SEARCH("ant",E802)),"Ant Traps",
ISNUMBER(SEARCH("spider",E802)),"Spider Traps",
ISNUMBER(SEARCH("mosquito",E802)),"Mosquito Traps",
ISNUMBER(SEARCH("beetle",E802)),"Beetle Traps",
ISNUMBER(SEARCH("lantern",E802)),"Lanternfly Control",
OR(ISNUMBER(SEARCH("tree shield",E802)),ISNUMBER(SEARCH("tree banding",E802)),ISNUMBER(SEARCH("insect barrier",E802))),"Tree Barriers",
OR(ISNUMBER(SEARCH("sun &amp; shade",E802)),ISNUMBER(SEARCH("sun and shade",E802))),"Sun &amp; Shade Mix",
ISNUMBER(SEARCH("tall fescue",E802)),"Tall Fescue",
ISNUMBER(SEARCH("bermudagrass",E802)),"Bermudagrass",
ISNUMBER(SEARCH("kentucky",E802)),"Kentucky Bluegrass",
ISNUMBER(SEARCH("zoysia",E802)),"Zoysia",
ISNUMBER(SEARCH("ryegrass",E802)),"Perennial Ryegrass",
ISNUMBER(SEARCH("centipede",E802)),"Centipede Grass",
ISNUMBER(SEARCH("dense shade",E802)),"Dense Shade Mix",
ISNUMBER(SEARCH("southern gold",E802)),"Southern Gold Mix",
ISNUMBER(SEARCH("heat-tolerant blue",E802)),"Heat-Tolerant Blue Mix",
ISNUMBER(SEARCH("high traffic",E802)),"High Traffic Mix",
ISNUMBER(SEARCH("quick fix",E802)),"Quick Fix Mix",
ISNUMBER(SEARCH("starter",E802)),"Starter Fertilizer",
ISNUMBER(SEARCH("weed &amp; feed",E802)),"Weed &amp; Feed",
ISNUMBER(SEARCH("lawn food",E802)),"Lawn Food",
ISNUMBER(SEARCH("triple action",E802)),"Triple Action Fertilizer",
ISNUMBER(SEARCH("green max",E802)),"Green Max Lawn Food",
ISNUMBER(SEARCH("patchmaster",E802)),"PatchMaster Repair",
ISNUMBER(SEARCH("ez seed",E802)),"EZ Seed Repair",
ISNUMBER(SEARCH("rapid grass",E802)),"Rapid Grass",
ISNUMBER(SEARCH("thick'r lawn",E802)),"Thick'R Lawn",
ISNUMBER(SEARCH("fungicide",E802)),"Fungicide",
ISNUMBER(SEARCH("moss",E802)),"Moss Control",
ISNUMBER(SEARCH("perlite",E802)),"Perlite",
ISNUMBER(SEARCH("plant food",E802)),"Plant Food",
ISNUMBER(SEARCH("spreader",E802)),"Spreader",
ISNUMBER(SEARCH("sprayer",E802)),"Sprayer",
ISNUMBER(SEARCH("mower",E802)),"Lawn Mower",
ISNUMBER(SEARCH("sweeper",E802)),"Lawn Sweeper",
OR(ISNUMBER(SEARCH("pruner",E802)),ISNUMBER(SEARCH("trimmer",E802)),ISNUMBER(SEARCH("pole saw",E802))),"Pruning Tools",
TRUE,"Other"
)</f>
        <v>Other</v>
      </c>
      <c r="J802" s="7" t="str">
        <f t="shared" si="228"/>
        <v>Other - Other</v>
      </c>
      <c r="K802" s="4">
        <v>100</v>
      </c>
      <c r="L802" s="4">
        <v>4.5999999999999996</v>
      </c>
      <c r="M802" s="4">
        <v>111</v>
      </c>
      <c r="N802" s="4" t="s">
        <v>3675</v>
      </c>
      <c r="O802" s="4">
        <f>VLOOKUP(A802,[15]Sheet1!$A:$M,2,0)</f>
        <v>0</v>
      </c>
      <c r="P802" s="4">
        <f>VLOOKUP(A802,[15]Sheet1!$A:$M,3,0)</f>
        <v>0</v>
      </c>
      <c r="Q802" s="4">
        <f>VLOOKUP(A802,[15]Sheet1!$A:$M,4,0)</f>
        <v>200</v>
      </c>
      <c r="R802" s="4">
        <f>VLOOKUP(A802,[15]Sheet1!$A:$M,5,0)</f>
        <v>400</v>
      </c>
      <c r="S802" s="4">
        <f>VLOOKUP(A802,[15]Sheet1!$A:$M,6,0)</f>
        <v>200</v>
      </c>
      <c r="T802" s="4">
        <f>VLOOKUP(A802,[15]Sheet1!$A:$M,7,0)</f>
        <v>400</v>
      </c>
      <c r="U802" s="4">
        <f>VLOOKUP(A802,[15]Sheet1!$A:$M,8,0)</f>
        <v>300</v>
      </c>
      <c r="V802" s="4">
        <f>VLOOKUP(A802,[15]Sheet1!$A:$M,9,0)</f>
        <v>400</v>
      </c>
      <c r="W802" s="4">
        <f>VLOOKUP(A802,[15]Sheet1!$A:$M,10,0)</f>
        <v>100</v>
      </c>
      <c r="X802" s="4">
        <f>VLOOKUP(A802,[15]Sheet1!$A:$M,11,0)</f>
        <v>0</v>
      </c>
      <c r="Y802" s="4">
        <f>VLOOKUP(A802,[15]Sheet1!$A:$M,12,0)</f>
        <v>0</v>
      </c>
      <c r="Z802" s="4">
        <f>VLOOKUP(A802,[15]Sheet1!$A:$M,13,0)</f>
        <v>0</v>
      </c>
      <c r="AA802" s="4">
        <f t="shared" si="229"/>
        <v>2000</v>
      </c>
      <c r="AB802" s="7">
        <f t="shared" si="230"/>
        <v>167</v>
      </c>
      <c r="AC802" s="15">
        <f t="shared" si="231"/>
        <v>166.66666666666666</v>
      </c>
      <c r="AD802" s="16">
        <f t="shared" si="232"/>
        <v>37980</v>
      </c>
      <c r="AE802" s="16">
        <f t="shared" si="233"/>
        <v>3164.9999999999995</v>
      </c>
      <c r="AF802" s="21">
        <v>5.61</v>
      </c>
      <c r="AG802" s="21">
        <v>18.989999999999998</v>
      </c>
      <c r="AH802" s="15">
        <f t="shared" si="242"/>
        <v>6.5733333333333199E-2</v>
      </c>
      <c r="AI802" s="15">
        <f t="shared" si="243"/>
        <v>0.23006666666666617</v>
      </c>
      <c r="AJ802" s="10">
        <v>0.5</v>
      </c>
      <c r="AK802" s="10">
        <v>0.5</v>
      </c>
      <c r="AL802" s="21">
        <v>5.61</v>
      </c>
      <c r="AM802" s="9">
        <f t="shared" si="234"/>
        <v>2.8484999999999996</v>
      </c>
      <c r="AN802" s="9">
        <f t="shared" si="235"/>
        <v>0.56969999999999998</v>
      </c>
      <c r="AO802" s="9">
        <f t="shared" si="236"/>
        <v>3.798</v>
      </c>
      <c r="AP802" s="9">
        <f t="shared" si="237"/>
        <v>0.37979999999999997</v>
      </c>
      <c r="AQ802" s="9">
        <f t="shared" si="238"/>
        <v>3.798</v>
      </c>
      <c r="AR802" s="9">
        <f t="shared" si="239"/>
        <v>4.7474999999999996</v>
      </c>
      <c r="AS802" s="11">
        <f t="shared" si="240"/>
        <v>0.65733333333333199</v>
      </c>
      <c r="AT802" s="12">
        <f t="shared" si="241"/>
        <v>2.4333333333332281E-2</v>
      </c>
    </row>
    <row r="803" spans="1:46" ht="16.5" x14ac:dyDescent="0.4">
      <c r="A803" s="4" t="s">
        <v>3517</v>
      </c>
      <c r="B803" s="4" t="s">
        <v>3526</v>
      </c>
      <c r="C803" s="4" t="s">
        <v>3528</v>
      </c>
      <c r="D803" s="4" t="s">
        <v>3567</v>
      </c>
      <c r="E803" s="4" t="s">
        <v>3609</v>
      </c>
      <c r="F803" s="4" t="s">
        <v>3651</v>
      </c>
      <c r="G803" s="7" t="str">
        <f>VLOOKUP(A803,[1]done!$A:$I,9,0)</f>
        <v>Insecticide/Fungicide</v>
      </c>
      <c r="H803" s="7" t="str" cm="1">
        <f t="array" ref="H803">_xlfn.IFS(
OR(ISNUMBER(SEARCH("mouse",E803)),ISNUMBER(SEARCH("rat",E803)),ISNUMBER(SEARCH("mice",E803)),ISNUMBER(SEARCH("rodent",E803))),"Rodent Control",
OR(ISNUMBER(SEARCH("fly",E803)),ISNUMBER(SEARCH("gnat",E803)),ISNUMBER(SEARCH("insect",E803)),ISNUMBER(SEARCH("mosquito",E803))),"Flying Insect Control",
OR(ISNUMBER(SEARCH("roach",E803)),ISNUMBER(SEARCH("ant",E803)),ISNUMBER(SEARCH("spider",E803)),ISNUMBER(SEARCH("cricket",E803)),ISNUMBER(SEARCH("scorpion",E803)),ISNUMBER(SEARCH("centipede",E803)),ISNUMBER(SEARCH("beetle",E803))),"Crawling Insect Control",
OR(ISNUMBER(SEARCH("tree",E803)),ISNUMBER(SEARCH("lantern",E803)),ISNUMBER(SEARCH("garden",E803)),ISNUMBER(SEARCH("plant",E803))),"Garden Pest Control",
OR(ISNUMBER(SEARCH("grass seed",E803)),ISNUMBER(SEARCH("seed mix",E803))),"Grass Seed",
OR(ISNUMBER(SEARCH("lawn food",E803)),ISNUMBER(SEARCH("fertilizer",E803))),"Lawn Fertilizer",
OR(ISNUMBER(SEARCH("patch",E803)),ISNUMBER(SEARCH("repair",E803)),ISNUMBER(SEARCH("thick'r",E803)),ISNUMBER(SEARCH("thick'r lawn",E803)),ISNUMBER(SEARCH("rapid grass",E803))),"Lawn Repair",
OR(ISNUMBER(SEARCH("weed",E803)),ISNUMBER(SEARCH("crabgrass",E803))),"Weed Control",
OR(ISNUMBER(SEARCH("fungicide",E803)),ISNUMBER(SEARCH("moss",E803))),"Disease &amp; Moss Control",
OR(ISNUMBER(SEARCH("plant food",E803)),ISNUMBER(SEARCH("miracid",E803))),"Plant Nutrition",
OR(ISNUMBER(SEARCH("perlite",E803))),"Soil Amendment",
OR(ISNUMBER(SEARCH("spreader",E803)),ISNUMBER(SEARCH("sprayer",E803)),ISNUMBER(SEARCH("mower",E803)),ISNUMBER(SEARCH("sweeper",E803)),ISNUMBER(SEARCH("pruner",E803)),ISNUMBER(SEARCH("trimmer",E803)),ISNUMBER(SEARCH("pole saw",E803))),"Garden Equipment",
TRUE,"Other"
)</f>
        <v>Other</v>
      </c>
      <c r="I803" s="7" t="str" cm="1">
        <f t="array" ref="I803">_xlfn.IFS(
OR(ISNUMBER(SEARCH("glue trap",E803)),ISNUMBER(SEARCH("glue board",E803))),"Glue Traps",
OR(ISNUMBER(SEARCH("snap trap",E803)),ISNUMBER(SEARCH("power-kill",E803)),ISNUMBER(SEARCH("wide pedal",E803)),ISNUMBER(SEARCH("metal pedal",E803))),"Snap Traps",
OR(ISNUMBER(SEARCH("electronic",E803)),ISNUMBER(SEARCH("zapper",E803))),"Electronic Traps",
OR(ISNUMBER(SEARCH("live catch",E803)),ISNUMBER(SEARCH("multi-catch",E803)),ISNUMBER(SEARCH("catch &amp; hold",E803)),ISNUMBER(SEARCH("tin cat",E803))),"Live Catch Traps",
OR(ISNUMBER(SEARCH("bait",E803)),ISNUMBER(SEARCH("poison",E803))),"Bait &amp; Poison",
ISNUMBER(SEARCH("repellent",E803)),"Repellents",
OR(ISNUMBER(SEARCH("fly trap",E803)),ISNUMBER(SEARCH("fly ribbon",E803)),ISNUMBER(SEARCH("fly stick",E803)),ISNUMBER(SEARCH("window fly",E803)),ISNUMBER(SEARCH("fly magnet",E803))),"Fly Traps",
OR(ISNUMBER(SEARCH("uv",E803)),ISNUMBER(SEARCH("fly light",E803)),ISNUMBER(SEARCH("plug-in",E803))),"UV Fly Traps",
ISNUMBER(SEARCH("roach",E803)),"Roach Traps",
ISNUMBER(SEARCH("ant",E803)),"Ant Traps",
ISNUMBER(SEARCH("spider",E803)),"Spider Traps",
ISNUMBER(SEARCH("mosquito",E803)),"Mosquito Traps",
ISNUMBER(SEARCH("beetle",E803)),"Beetle Traps",
ISNUMBER(SEARCH("lantern",E803)),"Lanternfly Control",
OR(ISNUMBER(SEARCH("tree shield",E803)),ISNUMBER(SEARCH("tree banding",E803)),ISNUMBER(SEARCH("insect barrier",E803))),"Tree Barriers",
OR(ISNUMBER(SEARCH("sun &amp; shade",E803)),ISNUMBER(SEARCH("sun and shade",E803))),"Sun &amp; Shade Mix",
ISNUMBER(SEARCH("tall fescue",E803)),"Tall Fescue",
ISNUMBER(SEARCH("bermudagrass",E803)),"Bermudagrass",
ISNUMBER(SEARCH("kentucky",E803)),"Kentucky Bluegrass",
ISNUMBER(SEARCH("zoysia",E803)),"Zoysia",
ISNUMBER(SEARCH("ryegrass",E803)),"Perennial Ryegrass",
ISNUMBER(SEARCH("centipede",E803)),"Centipede Grass",
ISNUMBER(SEARCH("dense shade",E803)),"Dense Shade Mix",
ISNUMBER(SEARCH("southern gold",E803)),"Southern Gold Mix",
ISNUMBER(SEARCH("heat-tolerant blue",E803)),"Heat-Tolerant Blue Mix",
ISNUMBER(SEARCH("high traffic",E803)),"High Traffic Mix",
ISNUMBER(SEARCH("quick fix",E803)),"Quick Fix Mix",
ISNUMBER(SEARCH("starter",E803)),"Starter Fertilizer",
ISNUMBER(SEARCH("weed &amp; feed",E803)),"Weed &amp; Feed",
ISNUMBER(SEARCH("lawn food",E803)),"Lawn Food",
ISNUMBER(SEARCH("triple action",E803)),"Triple Action Fertilizer",
ISNUMBER(SEARCH("green max",E803)),"Green Max Lawn Food",
ISNUMBER(SEARCH("patchmaster",E803)),"PatchMaster Repair",
ISNUMBER(SEARCH("ez seed",E803)),"EZ Seed Repair",
ISNUMBER(SEARCH("rapid grass",E803)),"Rapid Grass",
ISNUMBER(SEARCH("thick'r lawn",E803)),"Thick'R Lawn",
ISNUMBER(SEARCH("fungicide",E803)),"Fungicide",
ISNUMBER(SEARCH("moss",E803)),"Moss Control",
ISNUMBER(SEARCH("perlite",E803)),"Perlite",
ISNUMBER(SEARCH("plant food",E803)),"Plant Food",
ISNUMBER(SEARCH("spreader",E803)),"Spreader",
ISNUMBER(SEARCH("sprayer",E803)),"Sprayer",
ISNUMBER(SEARCH("mower",E803)),"Lawn Mower",
ISNUMBER(SEARCH("sweeper",E803)),"Lawn Sweeper",
OR(ISNUMBER(SEARCH("pruner",E803)),ISNUMBER(SEARCH("trimmer",E803)),ISNUMBER(SEARCH("pole saw",E803))),"Pruning Tools",
TRUE,"Other"
)</f>
        <v>Other</v>
      </c>
      <c r="J803" s="7" t="str">
        <f t="shared" si="228"/>
        <v>Other - Other</v>
      </c>
      <c r="K803" s="4">
        <v>100</v>
      </c>
      <c r="L803" s="4">
        <v>3.5</v>
      </c>
      <c r="M803" s="4">
        <v>248</v>
      </c>
      <c r="N803" s="4" t="s">
        <v>3676</v>
      </c>
      <c r="O803" s="4">
        <f>VLOOKUP(A803,[15]Sheet1!$A:$M,2,0)</f>
        <v>50</v>
      </c>
      <c r="P803" s="4">
        <f>VLOOKUP(A803,[15]Sheet1!$A:$M,3,0)</f>
        <v>50</v>
      </c>
      <c r="Q803" s="4">
        <f>VLOOKUP(A803,[15]Sheet1!$A:$M,4,0)</f>
        <v>50</v>
      </c>
      <c r="R803" s="4">
        <f>VLOOKUP(A803,[15]Sheet1!$A:$M,5,0)</f>
        <v>0</v>
      </c>
      <c r="S803" s="4">
        <f>VLOOKUP(A803,[15]Sheet1!$A:$M,6,0)</f>
        <v>200</v>
      </c>
      <c r="T803" s="4">
        <f>VLOOKUP(A803,[15]Sheet1!$A:$M,7,0)</f>
        <v>400</v>
      </c>
      <c r="U803" s="4">
        <f>VLOOKUP(A803,[15]Sheet1!$A:$M,8,0)</f>
        <v>400</v>
      </c>
      <c r="V803" s="4">
        <f>VLOOKUP(A803,[15]Sheet1!$A:$M,9,0)</f>
        <v>200</v>
      </c>
      <c r="W803" s="4">
        <f>VLOOKUP(A803,[15]Sheet1!$A:$M,10,0)</f>
        <v>100</v>
      </c>
      <c r="X803" s="4">
        <f>VLOOKUP(A803,[15]Sheet1!$A:$M,11,0)</f>
        <v>0</v>
      </c>
      <c r="Y803" s="4">
        <f>VLOOKUP(A803,[15]Sheet1!$A:$M,12,0)</f>
        <v>0</v>
      </c>
      <c r="Z803" s="4">
        <f>VLOOKUP(A803,[15]Sheet1!$A:$M,13,0)</f>
        <v>0</v>
      </c>
      <c r="AA803" s="4">
        <f t="shared" si="229"/>
        <v>1450</v>
      </c>
      <c r="AB803" s="7">
        <f t="shared" si="230"/>
        <v>121</v>
      </c>
      <c r="AC803" s="15">
        <f t="shared" si="231"/>
        <v>120.83333333333333</v>
      </c>
      <c r="AD803" s="16">
        <f t="shared" si="232"/>
        <v>36235.5</v>
      </c>
      <c r="AE803" s="16">
        <f t="shared" si="233"/>
        <v>3019.6249999999995</v>
      </c>
      <c r="AF803" s="21">
        <v>9.3699999999999992</v>
      </c>
      <c r="AG803" s="21">
        <v>24.99</v>
      </c>
      <c r="AH803" s="15">
        <f t="shared" si="242"/>
        <v>-2.4933333333333432E-2</v>
      </c>
      <c r="AI803" s="15">
        <f t="shared" si="243"/>
        <v>-8.7266666666666992E-2</v>
      </c>
      <c r="AJ803" s="10">
        <v>0.5</v>
      </c>
      <c r="AK803" s="10">
        <v>0.5</v>
      </c>
      <c r="AL803" s="21">
        <v>9.3699999999999992</v>
      </c>
      <c r="AM803" s="9">
        <f t="shared" si="234"/>
        <v>3.7484999999999995</v>
      </c>
      <c r="AN803" s="9">
        <f t="shared" si="235"/>
        <v>0.74969999999999992</v>
      </c>
      <c r="AO803" s="9">
        <f t="shared" si="236"/>
        <v>4.9980000000000002</v>
      </c>
      <c r="AP803" s="9">
        <f t="shared" si="237"/>
        <v>0.49979999999999997</v>
      </c>
      <c r="AQ803" s="9">
        <f t="shared" si="238"/>
        <v>4.9980000000000002</v>
      </c>
      <c r="AR803" s="9">
        <f t="shared" si="239"/>
        <v>6.2474999999999996</v>
      </c>
      <c r="AS803" s="11">
        <f t="shared" si="240"/>
        <v>-0.24933333333333429</v>
      </c>
      <c r="AT803" s="12">
        <f t="shared" si="241"/>
        <v>-1.0823333333333338</v>
      </c>
    </row>
    <row r="804" spans="1:46" ht="16.5" x14ac:dyDescent="0.4">
      <c r="A804" s="4" t="s">
        <v>3518</v>
      </c>
      <c r="B804" s="4" t="s">
        <v>3526</v>
      </c>
      <c r="C804" s="4" t="s">
        <v>3528</v>
      </c>
      <c r="D804" s="4" t="s">
        <v>3568</v>
      </c>
      <c r="E804" s="4" t="s">
        <v>3610</v>
      </c>
      <c r="F804" s="4" t="s">
        <v>3652</v>
      </c>
      <c r="G804" s="7" t="str">
        <f>VLOOKUP(A804,[1]done!$A:$I,9,0)</f>
        <v>Oil based pest repellent</v>
      </c>
      <c r="H804" s="7" t="str" cm="1">
        <f t="array" ref="H804">_xlfn.IFS(
OR(ISNUMBER(SEARCH("mouse",E804)),ISNUMBER(SEARCH("rat",E804)),ISNUMBER(SEARCH("mice",E804)),ISNUMBER(SEARCH("rodent",E804))),"Rodent Control",
OR(ISNUMBER(SEARCH("fly",E804)),ISNUMBER(SEARCH("gnat",E804)),ISNUMBER(SEARCH("insect",E804)),ISNUMBER(SEARCH("mosquito",E804))),"Flying Insect Control",
OR(ISNUMBER(SEARCH("roach",E804)),ISNUMBER(SEARCH("ant",E804)),ISNUMBER(SEARCH("spider",E804)),ISNUMBER(SEARCH("cricket",E804)),ISNUMBER(SEARCH("scorpion",E804)),ISNUMBER(SEARCH("centipede",E804)),ISNUMBER(SEARCH("beetle",E804))),"Crawling Insect Control",
OR(ISNUMBER(SEARCH("tree",E804)),ISNUMBER(SEARCH("lantern",E804)),ISNUMBER(SEARCH("garden",E804)),ISNUMBER(SEARCH("plant",E804))),"Garden Pest Control",
OR(ISNUMBER(SEARCH("grass seed",E804)),ISNUMBER(SEARCH("seed mix",E804))),"Grass Seed",
OR(ISNUMBER(SEARCH("lawn food",E804)),ISNUMBER(SEARCH("fertilizer",E804))),"Lawn Fertilizer",
OR(ISNUMBER(SEARCH("patch",E804)),ISNUMBER(SEARCH("repair",E804)),ISNUMBER(SEARCH("thick'r",E804)),ISNUMBER(SEARCH("thick'r lawn",E804)),ISNUMBER(SEARCH("rapid grass",E804))),"Lawn Repair",
OR(ISNUMBER(SEARCH("weed",E804)),ISNUMBER(SEARCH("crabgrass",E804))),"Weed Control",
OR(ISNUMBER(SEARCH("fungicide",E804)),ISNUMBER(SEARCH("moss",E804))),"Disease &amp; Moss Control",
OR(ISNUMBER(SEARCH("plant food",E804)),ISNUMBER(SEARCH("miracid",E804))),"Plant Nutrition",
OR(ISNUMBER(SEARCH("perlite",E804))),"Soil Amendment",
OR(ISNUMBER(SEARCH("spreader",E804)),ISNUMBER(SEARCH("sprayer",E804)),ISNUMBER(SEARCH("mower",E804)),ISNUMBER(SEARCH("sweeper",E804)),ISNUMBER(SEARCH("pruner",E804)),ISNUMBER(SEARCH("trimmer",E804)),ISNUMBER(SEARCH("pole saw",E804))),"Garden Equipment",
TRUE,"Other"
)</f>
        <v>Crawling Insect Control</v>
      </c>
      <c r="I804" s="7" t="str" cm="1">
        <f t="array" ref="I804">_xlfn.IFS(
OR(ISNUMBER(SEARCH("glue trap",E804)),ISNUMBER(SEARCH("glue board",E804))),"Glue Traps",
OR(ISNUMBER(SEARCH("snap trap",E804)),ISNUMBER(SEARCH("power-kill",E804)),ISNUMBER(SEARCH("wide pedal",E804)),ISNUMBER(SEARCH("metal pedal",E804))),"Snap Traps",
OR(ISNUMBER(SEARCH("electronic",E804)),ISNUMBER(SEARCH("zapper",E804))),"Electronic Traps",
OR(ISNUMBER(SEARCH("live catch",E804)),ISNUMBER(SEARCH("multi-catch",E804)),ISNUMBER(SEARCH("catch &amp; hold",E804)),ISNUMBER(SEARCH("tin cat",E804))),"Live Catch Traps",
OR(ISNUMBER(SEARCH("bait",E804)),ISNUMBER(SEARCH("poison",E804))),"Bait &amp; Poison",
ISNUMBER(SEARCH("repellent",E804)),"Repellents",
OR(ISNUMBER(SEARCH("fly trap",E804)),ISNUMBER(SEARCH("fly ribbon",E804)),ISNUMBER(SEARCH("fly stick",E804)),ISNUMBER(SEARCH("window fly",E804)),ISNUMBER(SEARCH("fly magnet",E804))),"Fly Traps",
OR(ISNUMBER(SEARCH("uv",E804)),ISNUMBER(SEARCH("fly light",E804)),ISNUMBER(SEARCH("plug-in",E804))),"UV Fly Traps",
ISNUMBER(SEARCH("roach",E804)),"Roach Traps",
ISNUMBER(SEARCH("ant",E804)),"Ant Traps",
ISNUMBER(SEARCH("spider",E804)),"Spider Traps",
ISNUMBER(SEARCH("mosquito",E804)),"Mosquito Traps",
ISNUMBER(SEARCH("beetle",E804)),"Beetle Traps",
ISNUMBER(SEARCH("lantern",E804)),"Lanternfly Control",
OR(ISNUMBER(SEARCH("tree shield",E804)),ISNUMBER(SEARCH("tree banding",E804)),ISNUMBER(SEARCH("insect barrier",E804))),"Tree Barriers",
OR(ISNUMBER(SEARCH("sun &amp; shade",E804)),ISNUMBER(SEARCH("sun and shade",E804))),"Sun &amp; Shade Mix",
ISNUMBER(SEARCH("tall fescue",E804)),"Tall Fescue",
ISNUMBER(SEARCH("bermudagrass",E804)),"Bermudagrass",
ISNUMBER(SEARCH("kentucky",E804)),"Kentucky Bluegrass",
ISNUMBER(SEARCH("zoysia",E804)),"Zoysia",
ISNUMBER(SEARCH("ryegrass",E804)),"Perennial Ryegrass",
ISNUMBER(SEARCH("centipede",E804)),"Centipede Grass",
ISNUMBER(SEARCH("dense shade",E804)),"Dense Shade Mix",
ISNUMBER(SEARCH("southern gold",E804)),"Southern Gold Mix",
ISNUMBER(SEARCH("heat-tolerant blue",E804)),"Heat-Tolerant Blue Mix",
ISNUMBER(SEARCH("high traffic",E804)),"High Traffic Mix",
ISNUMBER(SEARCH("quick fix",E804)),"Quick Fix Mix",
ISNUMBER(SEARCH("starter",E804)),"Starter Fertilizer",
ISNUMBER(SEARCH("weed &amp; feed",E804)),"Weed &amp; Feed",
ISNUMBER(SEARCH("lawn food",E804)),"Lawn Food",
ISNUMBER(SEARCH("triple action",E804)),"Triple Action Fertilizer",
ISNUMBER(SEARCH("green max",E804)),"Green Max Lawn Food",
ISNUMBER(SEARCH("patchmaster",E804)),"PatchMaster Repair",
ISNUMBER(SEARCH("ez seed",E804)),"EZ Seed Repair",
ISNUMBER(SEARCH("rapid grass",E804)),"Rapid Grass",
ISNUMBER(SEARCH("thick'r lawn",E804)),"Thick'R Lawn",
ISNUMBER(SEARCH("fungicide",E804)),"Fungicide",
ISNUMBER(SEARCH("moss",E804)),"Moss Control",
ISNUMBER(SEARCH("perlite",E804)),"Perlite",
ISNUMBER(SEARCH("plant food",E804)),"Plant Food",
ISNUMBER(SEARCH("spreader",E804)),"Spreader",
ISNUMBER(SEARCH("sprayer",E804)),"Sprayer",
ISNUMBER(SEARCH("mower",E804)),"Lawn Mower",
ISNUMBER(SEARCH("sweeper",E804)),"Lawn Sweeper",
OR(ISNUMBER(SEARCH("pruner",E804)),ISNUMBER(SEARCH("trimmer",E804)),ISNUMBER(SEARCH("pole saw",E804))),"Pruning Tools",
TRUE,"Other"
)</f>
        <v>Ant Traps</v>
      </c>
      <c r="J804" s="7" t="str">
        <f t="shared" si="228"/>
        <v>Crawling Insect Control - Ant Traps</v>
      </c>
      <c r="K804" s="4">
        <v>100</v>
      </c>
      <c r="L804" s="4">
        <v>4.8</v>
      </c>
      <c r="M804" s="4">
        <v>558</v>
      </c>
      <c r="N804" s="4" t="s">
        <v>3677</v>
      </c>
      <c r="O804" s="4">
        <f>VLOOKUP(A804,[15]Sheet1!$A:$M,2,0)</f>
        <v>50</v>
      </c>
      <c r="P804" s="4">
        <f>VLOOKUP(A804,[15]Sheet1!$A:$M,3,0)</f>
        <v>50</v>
      </c>
      <c r="Q804" s="4">
        <f>VLOOKUP(A804,[15]Sheet1!$A:$M,4,0)</f>
        <v>50</v>
      </c>
      <c r="R804" s="4">
        <f>VLOOKUP(A804,[15]Sheet1!$A:$M,5,0)</f>
        <v>50</v>
      </c>
      <c r="S804" s="4">
        <f>VLOOKUP(A804,[15]Sheet1!$A:$M,6,0)</f>
        <v>200</v>
      </c>
      <c r="T804" s="4">
        <f>VLOOKUP(A804,[15]Sheet1!$A:$M,7,0)</f>
        <v>600</v>
      </c>
      <c r="U804" s="4">
        <f>VLOOKUP(A804,[15]Sheet1!$A:$M,8,0)</f>
        <v>200</v>
      </c>
      <c r="V804" s="4">
        <f>VLOOKUP(A804,[15]Sheet1!$A:$M,9,0)</f>
        <v>400</v>
      </c>
      <c r="W804" s="4">
        <f>VLOOKUP(A804,[15]Sheet1!$A:$M,10,0)</f>
        <v>100</v>
      </c>
      <c r="X804" s="4">
        <f>VLOOKUP(A804,[15]Sheet1!$A:$M,11,0)</f>
        <v>50</v>
      </c>
      <c r="Y804" s="4">
        <f>VLOOKUP(A804,[15]Sheet1!$A:$M,12,0)</f>
        <v>50</v>
      </c>
      <c r="Z804" s="4">
        <f>VLOOKUP(A804,[15]Sheet1!$A:$M,13,0)</f>
        <v>100</v>
      </c>
      <c r="AA804" s="4">
        <f t="shared" si="229"/>
        <v>1900</v>
      </c>
      <c r="AB804" s="7">
        <f t="shared" si="230"/>
        <v>158</v>
      </c>
      <c r="AC804" s="15">
        <f t="shared" si="231"/>
        <v>158.33333333333334</v>
      </c>
      <c r="AD804" s="16">
        <f t="shared" si="232"/>
        <v>37981</v>
      </c>
      <c r="AE804" s="16">
        <f t="shared" si="233"/>
        <v>3165.0833333333335</v>
      </c>
      <c r="AF804" s="21">
        <v>8.1199999999999992</v>
      </c>
      <c r="AG804" s="21">
        <v>19.989999999999998</v>
      </c>
      <c r="AH804" s="15">
        <f t="shared" si="242"/>
        <v>-7.4933333333333393E-2</v>
      </c>
      <c r="AI804" s="15">
        <f t="shared" si="243"/>
        <v>-0.26226666666666687</v>
      </c>
      <c r="AJ804" s="10">
        <v>0.5</v>
      </c>
      <c r="AK804" s="10">
        <v>0.5</v>
      </c>
      <c r="AL804" s="21">
        <v>8.1199999999999992</v>
      </c>
      <c r="AM804" s="9">
        <f t="shared" si="234"/>
        <v>2.9984999999999995</v>
      </c>
      <c r="AN804" s="9">
        <f t="shared" si="235"/>
        <v>0.5996999999999999</v>
      </c>
      <c r="AO804" s="9">
        <f t="shared" si="236"/>
        <v>3.9979999999999998</v>
      </c>
      <c r="AP804" s="9">
        <f t="shared" si="237"/>
        <v>0.39979999999999999</v>
      </c>
      <c r="AQ804" s="9">
        <f t="shared" si="238"/>
        <v>3.9979999999999998</v>
      </c>
      <c r="AR804" s="9">
        <f t="shared" si="239"/>
        <v>4.9974999999999996</v>
      </c>
      <c r="AS804" s="11">
        <f t="shared" si="240"/>
        <v>-0.74933333333333396</v>
      </c>
      <c r="AT804" s="12">
        <f t="shared" si="241"/>
        <v>-1.4156666666666673</v>
      </c>
    </row>
    <row r="805" spans="1:46" ht="16.5" x14ac:dyDescent="0.4">
      <c r="A805" s="4" t="s">
        <v>3519</v>
      </c>
      <c r="B805" s="4" t="s">
        <v>3526</v>
      </c>
      <c r="C805" s="4" t="s">
        <v>3530</v>
      </c>
      <c r="D805" s="4" t="s">
        <v>3569</v>
      </c>
      <c r="E805" s="4" t="s">
        <v>3611</v>
      </c>
      <c r="F805" s="4" t="s">
        <v>3653</v>
      </c>
      <c r="G805" s="7" t="str">
        <f>VLOOKUP(A805,[1]done!$A:$I,9,0)</f>
        <v>Other Glue boards for insects or rodents</v>
      </c>
      <c r="H805" s="7" t="str" cm="1">
        <f t="array" ref="H805">_xlfn.IFS(
OR(ISNUMBER(SEARCH("mouse",E805)),ISNUMBER(SEARCH("rat",E805)),ISNUMBER(SEARCH("mice",E805)),ISNUMBER(SEARCH("rodent",E805))),"Rodent Control",
OR(ISNUMBER(SEARCH("fly",E805)),ISNUMBER(SEARCH("gnat",E805)),ISNUMBER(SEARCH("insect",E805)),ISNUMBER(SEARCH("mosquito",E805))),"Flying Insect Control",
OR(ISNUMBER(SEARCH("roach",E805)),ISNUMBER(SEARCH("ant",E805)),ISNUMBER(SEARCH("spider",E805)),ISNUMBER(SEARCH("cricket",E805)),ISNUMBER(SEARCH("scorpion",E805)),ISNUMBER(SEARCH("centipede",E805)),ISNUMBER(SEARCH("beetle",E805))),"Crawling Insect Control",
OR(ISNUMBER(SEARCH("tree",E805)),ISNUMBER(SEARCH("lantern",E805)),ISNUMBER(SEARCH("garden",E805)),ISNUMBER(SEARCH("plant",E805))),"Garden Pest Control",
OR(ISNUMBER(SEARCH("grass seed",E805)),ISNUMBER(SEARCH("seed mix",E805))),"Grass Seed",
OR(ISNUMBER(SEARCH("lawn food",E805)),ISNUMBER(SEARCH("fertilizer",E805))),"Lawn Fertilizer",
OR(ISNUMBER(SEARCH("patch",E805)),ISNUMBER(SEARCH("repair",E805)),ISNUMBER(SEARCH("thick'r",E805)),ISNUMBER(SEARCH("thick'r lawn",E805)),ISNUMBER(SEARCH("rapid grass",E805))),"Lawn Repair",
OR(ISNUMBER(SEARCH("weed",E805)),ISNUMBER(SEARCH("crabgrass",E805))),"Weed Control",
OR(ISNUMBER(SEARCH("fungicide",E805)),ISNUMBER(SEARCH("moss",E805))),"Disease &amp; Moss Control",
OR(ISNUMBER(SEARCH("plant food",E805)),ISNUMBER(SEARCH("miracid",E805))),"Plant Nutrition",
OR(ISNUMBER(SEARCH("perlite",E805))),"Soil Amendment",
OR(ISNUMBER(SEARCH("spreader",E805)),ISNUMBER(SEARCH("sprayer",E805)),ISNUMBER(SEARCH("mower",E805)),ISNUMBER(SEARCH("sweeper",E805)),ISNUMBER(SEARCH("pruner",E805)),ISNUMBER(SEARCH("trimmer",E805)),ISNUMBER(SEARCH("pole saw",E805))),"Garden Equipment",
TRUE,"Other"
)</f>
        <v>Crawling Insect Control</v>
      </c>
      <c r="I805" s="7" t="str" cm="1">
        <f t="array" ref="I805">_xlfn.IFS(
OR(ISNUMBER(SEARCH("glue trap",E805)),ISNUMBER(SEARCH("glue board",E805))),"Glue Traps",
OR(ISNUMBER(SEARCH("snap trap",E805)),ISNUMBER(SEARCH("power-kill",E805)),ISNUMBER(SEARCH("wide pedal",E805)),ISNUMBER(SEARCH("metal pedal",E805))),"Snap Traps",
OR(ISNUMBER(SEARCH("electronic",E805)),ISNUMBER(SEARCH("zapper",E805))),"Electronic Traps",
OR(ISNUMBER(SEARCH("live catch",E805)),ISNUMBER(SEARCH("multi-catch",E805)),ISNUMBER(SEARCH("catch &amp; hold",E805)),ISNUMBER(SEARCH("tin cat",E805))),"Live Catch Traps",
OR(ISNUMBER(SEARCH("bait",E805)),ISNUMBER(SEARCH("poison",E805))),"Bait &amp; Poison",
ISNUMBER(SEARCH("repellent",E805)),"Repellents",
OR(ISNUMBER(SEARCH("fly trap",E805)),ISNUMBER(SEARCH("fly ribbon",E805)),ISNUMBER(SEARCH("fly stick",E805)),ISNUMBER(SEARCH("window fly",E805)),ISNUMBER(SEARCH("fly magnet",E805))),"Fly Traps",
OR(ISNUMBER(SEARCH("uv",E805)),ISNUMBER(SEARCH("fly light",E805)),ISNUMBER(SEARCH("plug-in",E805))),"UV Fly Traps",
ISNUMBER(SEARCH("roach",E805)),"Roach Traps",
ISNUMBER(SEARCH("ant",E805)),"Ant Traps",
ISNUMBER(SEARCH("spider",E805)),"Spider Traps",
ISNUMBER(SEARCH("mosquito",E805)),"Mosquito Traps",
ISNUMBER(SEARCH("beetle",E805)),"Beetle Traps",
ISNUMBER(SEARCH("lantern",E805)),"Lanternfly Control",
OR(ISNUMBER(SEARCH("tree shield",E805)),ISNUMBER(SEARCH("tree banding",E805)),ISNUMBER(SEARCH("insect barrier",E805))),"Tree Barriers",
OR(ISNUMBER(SEARCH("sun &amp; shade",E805)),ISNUMBER(SEARCH("sun and shade",E805))),"Sun &amp; Shade Mix",
ISNUMBER(SEARCH("tall fescue",E805)),"Tall Fescue",
ISNUMBER(SEARCH("bermudagrass",E805)),"Bermudagrass",
ISNUMBER(SEARCH("kentucky",E805)),"Kentucky Bluegrass",
ISNUMBER(SEARCH("zoysia",E805)),"Zoysia",
ISNUMBER(SEARCH("ryegrass",E805)),"Perennial Ryegrass",
ISNUMBER(SEARCH("centipede",E805)),"Centipede Grass",
ISNUMBER(SEARCH("dense shade",E805)),"Dense Shade Mix",
ISNUMBER(SEARCH("southern gold",E805)),"Southern Gold Mix",
ISNUMBER(SEARCH("heat-tolerant blue",E805)),"Heat-Tolerant Blue Mix",
ISNUMBER(SEARCH("high traffic",E805)),"High Traffic Mix",
ISNUMBER(SEARCH("quick fix",E805)),"Quick Fix Mix",
ISNUMBER(SEARCH("starter",E805)),"Starter Fertilizer",
ISNUMBER(SEARCH("weed &amp; feed",E805)),"Weed &amp; Feed",
ISNUMBER(SEARCH("lawn food",E805)),"Lawn Food",
ISNUMBER(SEARCH("triple action",E805)),"Triple Action Fertilizer",
ISNUMBER(SEARCH("green max",E805)),"Green Max Lawn Food",
ISNUMBER(SEARCH("patchmaster",E805)),"PatchMaster Repair",
ISNUMBER(SEARCH("ez seed",E805)),"EZ Seed Repair",
ISNUMBER(SEARCH("rapid grass",E805)),"Rapid Grass",
ISNUMBER(SEARCH("thick'r lawn",E805)),"Thick'R Lawn",
ISNUMBER(SEARCH("fungicide",E805)),"Fungicide",
ISNUMBER(SEARCH("moss",E805)),"Moss Control",
ISNUMBER(SEARCH("perlite",E805)),"Perlite",
ISNUMBER(SEARCH("plant food",E805)),"Plant Food",
ISNUMBER(SEARCH("spreader",E805)),"Spreader",
ISNUMBER(SEARCH("sprayer",E805)),"Sprayer",
ISNUMBER(SEARCH("mower",E805)),"Lawn Mower",
ISNUMBER(SEARCH("sweeper",E805)),"Lawn Sweeper",
OR(ISNUMBER(SEARCH("pruner",E805)),ISNUMBER(SEARCH("trimmer",E805)),ISNUMBER(SEARCH("pole saw",E805))),"Pruning Tools",
TRUE,"Other"
)</f>
        <v>Sprayer</v>
      </c>
      <c r="J805" s="7" t="str">
        <f t="shared" si="228"/>
        <v>Crawling Insect Control - Sprayer</v>
      </c>
      <c r="K805" s="4">
        <v>100</v>
      </c>
      <c r="L805" s="4">
        <v>4.2</v>
      </c>
      <c r="M805" s="4">
        <v>51</v>
      </c>
      <c r="N805" s="4" t="s">
        <v>3678</v>
      </c>
      <c r="O805" s="4">
        <f>VLOOKUP(A805,[15]Sheet1!$A:$M,2,0)</f>
        <v>0</v>
      </c>
      <c r="P805" s="4">
        <f>VLOOKUP(A805,[15]Sheet1!$A:$M,3,0)</f>
        <v>0</v>
      </c>
      <c r="Q805" s="4">
        <f>VLOOKUP(A805,[15]Sheet1!$A:$M,4,0)</f>
        <v>0</v>
      </c>
      <c r="R805" s="4">
        <f>VLOOKUP(A805,[15]Sheet1!$A:$M,5,0)</f>
        <v>50</v>
      </c>
      <c r="S805" s="4">
        <f>VLOOKUP(A805,[15]Sheet1!$A:$M,6,0)</f>
        <v>50</v>
      </c>
      <c r="T805" s="4">
        <f>VLOOKUP(A805,[15]Sheet1!$A:$M,7,0)</f>
        <v>50</v>
      </c>
      <c r="U805" s="4">
        <f>VLOOKUP(A805,[15]Sheet1!$A:$M,8,0)</f>
        <v>50</v>
      </c>
      <c r="V805" s="4">
        <f>VLOOKUP(A805,[15]Sheet1!$A:$M,9,0)</f>
        <v>100</v>
      </c>
      <c r="W805" s="4">
        <f>VLOOKUP(A805,[15]Sheet1!$A:$M,10,0)</f>
        <v>100</v>
      </c>
      <c r="X805" s="4">
        <f>VLOOKUP(A805,[15]Sheet1!$A:$M,11,0)</f>
        <v>0</v>
      </c>
      <c r="Y805" s="4">
        <f>VLOOKUP(A805,[15]Sheet1!$A:$M,12,0)</f>
        <v>0</v>
      </c>
      <c r="Z805" s="4">
        <f>VLOOKUP(A805,[15]Sheet1!$A:$M,13,0)</f>
        <v>0</v>
      </c>
      <c r="AA805" s="4">
        <f t="shared" si="229"/>
        <v>400</v>
      </c>
      <c r="AB805" s="7">
        <f t="shared" si="230"/>
        <v>33</v>
      </c>
      <c r="AC805" s="15">
        <f t="shared" si="231"/>
        <v>33.333333333333336</v>
      </c>
      <c r="AD805" s="16">
        <f t="shared" si="232"/>
        <v>10796</v>
      </c>
      <c r="AE805" s="16">
        <f t="shared" si="233"/>
        <v>899.66666666666663</v>
      </c>
      <c r="AF805" s="21">
        <v>9.2799999999999994</v>
      </c>
      <c r="AG805" s="21">
        <v>26.99</v>
      </c>
      <c r="AH805" s="15">
        <f t="shared" si="242"/>
        <v>3.4400000000000007E-2</v>
      </c>
      <c r="AI805" s="15">
        <f t="shared" si="243"/>
        <v>0.12040000000000001</v>
      </c>
      <c r="AJ805" s="10">
        <v>0.5</v>
      </c>
      <c r="AK805" s="10">
        <v>0.5</v>
      </c>
      <c r="AL805" s="21">
        <v>9.2799999999999994</v>
      </c>
      <c r="AM805" s="9">
        <f t="shared" si="234"/>
        <v>4.0484999999999998</v>
      </c>
      <c r="AN805" s="9">
        <f t="shared" si="235"/>
        <v>0.80969999999999998</v>
      </c>
      <c r="AO805" s="9">
        <f t="shared" si="236"/>
        <v>5.3979999999999997</v>
      </c>
      <c r="AP805" s="9">
        <f t="shared" si="237"/>
        <v>0.53979999999999995</v>
      </c>
      <c r="AQ805" s="9">
        <f t="shared" si="238"/>
        <v>5.3979999999999997</v>
      </c>
      <c r="AR805" s="9">
        <f t="shared" si="239"/>
        <v>6.7474999999999996</v>
      </c>
      <c r="AS805" s="11">
        <f t="shared" si="240"/>
        <v>0.34400000000000003</v>
      </c>
      <c r="AT805" s="12">
        <f t="shared" si="241"/>
        <v>-0.55566666666666664</v>
      </c>
    </row>
    <row r="806" spans="1:46" ht="16.5" x14ac:dyDescent="0.4">
      <c r="A806" s="4" t="s">
        <v>3520</v>
      </c>
      <c r="B806" s="4" t="s">
        <v>3526</v>
      </c>
      <c r="C806" s="4" t="s">
        <v>3528</v>
      </c>
      <c r="D806" s="4" t="s">
        <v>3570</v>
      </c>
      <c r="E806" s="4" t="s">
        <v>3612</v>
      </c>
      <c r="F806" s="4" t="s">
        <v>3654</v>
      </c>
      <c r="G806" s="7" t="str">
        <f>VLOOKUP(A806,[1]done!$A:$I,9,0)</f>
        <v>Other Harris</v>
      </c>
      <c r="H806" s="7" t="str" cm="1">
        <f t="array" ref="H806">_xlfn.IFS(
OR(ISNUMBER(SEARCH("mouse",E806)),ISNUMBER(SEARCH("rat",E806)),ISNUMBER(SEARCH("mice",E806)),ISNUMBER(SEARCH("rodent",E806))),"Rodent Control",
OR(ISNUMBER(SEARCH("fly",E806)),ISNUMBER(SEARCH("gnat",E806)),ISNUMBER(SEARCH("insect",E806)),ISNUMBER(SEARCH("mosquito",E806))),"Flying Insect Control",
OR(ISNUMBER(SEARCH("roach",E806)),ISNUMBER(SEARCH("ant",E806)),ISNUMBER(SEARCH("spider",E806)),ISNUMBER(SEARCH("cricket",E806)),ISNUMBER(SEARCH("scorpion",E806)),ISNUMBER(SEARCH("centipede",E806)),ISNUMBER(SEARCH("beetle",E806))),"Crawling Insect Control",
OR(ISNUMBER(SEARCH("tree",E806)),ISNUMBER(SEARCH("lantern",E806)),ISNUMBER(SEARCH("garden",E806)),ISNUMBER(SEARCH("plant",E806))),"Garden Pest Control",
OR(ISNUMBER(SEARCH("grass seed",E806)),ISNUMBER(SEARCH("seed mix",E806))),"Grass Seed",
OR(ISNUMBER(SEARCH("lawn food",E806)),ISNUMBER(SEARCH("fertilizer",E806))),"Lawn Fertilizer",
OR(ISNUMBER(SEARCH("patch",E806)),ISNUMBER(SEARCH("repair",E806)),ISNUMBER(SEARCH("thick'r",E806)),ISNUMBER(SEARCH("thick'r lawn",E806)),ISNUMBER(SEARCH("rapid grass",E806))),"Lawn Repair",
OR(ISNUMBER(SEARCH("weed",E806)),ISNUMBER(SEARCH("crabgrass",E806))),"Weed Control",
OR(ISNUMBER(SEARCH("fungicide",E806)),ISNUMBER(SEARCH("moss",E806))),"Disease &amp; Moss Control",
OR(ISNUMBER(SEARCH("plant food",E806)),ISNUMBER(SEARCH("miracid",E806))),"Plant Nutrition",
OR(ISNUMBER(SEARCH("perlite",E806))),"Soil Amendment",
OR(ISNUMBER(SEARCH("spreader",E806)),ISNUMBER(SEARCH("sprayer",E806)),ISNUMBER(SEARCH("mower",E806)),ISNUMBER(SEARCH("sweeper",E806)),ISNUMBER(SEARCH("pruner",E806)),ISNUMBER(SEARCH("trimmer",E806)),ISNUMBER(SEARCH("pole saw",E806))),"Garden Equipment",
TRUE,"Other"
)</f>
        <v>Other</v>
      </c>
      <c r="I806" s="7" t="str" cm="1">
        <f t="array" ref="I806">_xlfn.IFS(
OR(ISNUMBER(SEARCH("glue trap",E806)),ISNUMBER(SEARCH("glue board",E806))),"Glue Traps",
OR(ISNUMBER(SEARCH("snap trap",E806)),ISNUMBER(SEARCH("power-kill",E806)),ISNUMBER(SEARCH("wide pedal",E806)),ISNUMBER(SEARCH("metal pedal",E806))),"Snap Traps",
OR(ISNUMBER(SEARCH("electronic",E806)),ISNUMBER(SEARCH("zapper",E806))),"Electronic Traps",
OR(ISNUMBER(SEARCH("live catch",E806)),ISNUMBER(SEARCH("multi-catch",E806)),ISNUMBER(SEARCH("catch &amp; hold",E806)),ISNUMBER(SEARCH("tin cat",E806))),"Live Catch Traps",
OR(ISNUMBER(SEARCH("bait",E806)),ISNUMBER(SEARCH("poison",E806))),"Bait &amp; Poison",
ISNUMBER(SEARCH("repellent",E806)),"Repellents",
OR(ISNUMBER(SEARCH("fly trap",E806)),ISNUMBER(SEARCH("fly ribbon",E806)),ISNUMBER(SEARCH("fly stick",E806)),ISNUMBER(SEARCH("window fly",E806)),ISNUMBER(SEARCH("fly magnet",E806))),"Fly Traps",
OR(ISNUMBER(SEARCH("uv",E806)),ISNUMBER(SEARCH("fly light",E806)),ISNUMBER(SEARCH("plug-in",E806))),"UV Fly Traps",
ISNUMBER(SEARCH("roach",E806)),"Roach Traps",
ISNUMBER(SEARCH("ant",E806)),"Ant Traps",
ISNUMBER(SEARCH("spider",E806)),"Spider Traps",
ISNUMBER(SEARCH("mosquito",E806)),"Mosquito Traps",
ISNUMBER(SEARCH("beetle",E806)),"Beetle Traps",
ISNUMBER(SEARCH("lantern",E806)),"Lanternfly Control",
OR(ISNUMBER(SEARCH("tree shield",E806)),ISNUMBER(SEARCH("tree banding",E806)),ISNUMBER(SEARCH("insect barrier",E806))),"Tree Barriers",
OR(ISNUMBER(SEARCH("sun &amp; shade",E806)),ISNUMBER(SEARCH("sun and shade",E806))),"Sun &amp; Shade Mix",
ISNUMBER(SEARCH("tall fescue",E806)),"Tall Fescue",
ISNUMBER(SEARCH("bermudagrass",E806)),"Bermudagrass",
ISNUMBER(SEARCH("kentucky",E806)),"Kentucky Bluegrass",
ISNUMBER(SEARCH("zoysia",E806)),"Zoysia",
ISNUMBER(SEARCH("ryegrass",E806)),"Perennial Ryegrass",
ISNUMBER(SEARCH("centipede",E806)),"Centipede Grass",
ISNUMBER(SEARCH("dense shade",E806)),"Dense Shade Mix",
ISNUMBER(SEARCH("southern gold",E806)),"Southern Gold Mix",
ISNUMBER(SEARCH("heat-tolerant blue",E806)),"Heat-Tolerant Blue Mix",
ISNUMBER(SEARCH("high traffic",E806)),"High Traffic Mix",
ISNUMBER(SEARCH("quick fix",E806)),"Quick Fix Mix",
ISNUMBER(SEARCH("starter",E806)),"Starter Fertilizer",
ISNUMBER(SEARCH("weed &amp; feed",E806)),"Weed &amp; Feed",
ISNUMBER(SEARCH("lawn food",E806)),"Lawn Food",
ISNUMBER(SEARCH("triple action",E806)),"Triple Action Fertilizer",
ISNUMBER(SEARCH("green max",E806)),"Green Max Lawn Food",
ISNUMBER(SEARCH("patchmaster",E806)),"PatchMaster Repair",
ISNUMBER(SEARCH("ez seed",E806)),"EZ Seed Repair",
ISNUMBER(SEARCH("rapid grass",E806)),"Rapid Grass",
ISNUMBER(SEARCH("thick'r lawn",E806)),"Thick'R Lawn",
ISNUMBER(SEARCH("fungicide",E806)),"Fungicide",
ISNUMBER(SEARCH("moss",E806)),"Moss Control",
ISNUMBER(SEARCH("perlite",E806)),"Perlite",
ISNUMBER(SEARCH("plant food",E806)),"Plant Food",
ISNUMBER(SEARCH("spreader",E806)),"Spreader",
ISNUMBER(SEARCH("sprayer",E806)),"Sprayer",
ISNUMBER(SEARCH("mower",E806)),"Lawn Mower",
ISNUMBER(SEARCH("sweeper",E806)),"Lawn Sweeper",
OR(ISNUMBER(SEARCH("pruner",E806)),ISNUMBER(SEARCH("trimmer",E806)),ISNUMBER(SEARCH("pole saw",E806))),"Pruning Tools",
TRUE,"Other"
)</f>
        <v>Other</v>
      </c>
      <c r="J806" s="7" t="str">
        <f t="shared" si="228"/>
        <v>Other - Other</v>
      </c>
      <c r="K806" s="4">
        <v>50</v>
      </c>
      <c r="L806" s="4">
        <v>4.8</v>
      </c>
      <c r="M806" s="4">
        <v>1223</v>
      </c>
      <c r="N806" s="4" t="s">
        <v>3679</v>
      </c>
      <c r="O806" s="4">
        <f>VLOOKUP(A806,[15]Sheet1!$A:$M,2,0)</f>
        <v>0</v>
      </c>
      <c r="P806" s="4">
        <f>VLOOKUP(A806,[15]Sheet1!$A:$M,3,0)</f>
        <v>0</v>
      </c>
      <c r="Q806" s="4">
        <f>VLOOKUP(A806,[15]Sheet1!$A:$M,4,0)</f>
        <v>0</v>
      </c>
      <c r="R806" s="4">
        <f>VLOOKUP(A806,[15]Sheet1!$A:$M,5,0)</f>
        <v>100</v>
      </c>
      <c r="S806" s="4">
        <f>VLOOKUP(A806,[15]Sheet1!$A:$M,6,0)</f>
        <v>2000</v>
      </c>
      <c r="T806" s="4">
        <f>VLOOKUP(A806,[15]Sheet1!$A:$M,7,0)</f>
        <v>4000</v>
      </c>
      <c r="U806" s="4">
        <f>VLOOKUP(A806,[15]Sheet1!$A:$M,8,0)</f>
        <v>3000</v>
      </c>
      <c r="V806" s="4">
        <f>VLOOKUP(A806,[15]Sheet1!$A:$M,9,0)</f>
        <v>200</v>
      </c>
      <c r="W806" s="4">
        <f>VLOOKUP(A806,[15]Sheet1!$A:$M,10,0)</f>
        <v>100</v>
      </c>
      <c r="X806" s="4">
        <f>VLOOKUP(A806,[15]Sheet1!$A:$M,11,0)</f>
        <v>1000</v>
      </c>
      <c r="Y806" s="4">
        <f>VLOOKUP(A806,[15]Sheet1!$A:$M,12,0)</f>
        <v>300</v>
      </c>
      <c r="Z806" s="4">
        <f>VLOOKUP(A806,[15]Sheet1!$A:$M,13,0)</f>
        <v>0</v>
      </c>
      <c r="AA806" s="4">
        <f t="shared" si="229"/>
        <v>10700</v>
      </c>
      <c r="AB806" s="7">
        <f t="shared" si="230"/>
        <v>892</v>
      </c>
      <c r="AC806" s="15">
        <f t="shared" si="231"/>
        <v>891.66666666666663</v>
      </c>
      <c r="AD806" s="16">
        <f t="shared" si="232"/>
        <v>381776</v>
      </c>
      <c r="AE806" s="16">
        <f t="shared" si="233"/>
        <v>31814.666666666664</v>
      </c>
      <c r="AF806" s="21">
        <v>10.11</v>
      </c>
      <c r="AG806" s="21">
        <v>35.68</v>
      </c>
      <c r="AH806" s="15">
        <f t="shared" si="242"/>
        <v>0.21079999999999988</v>
      </c>
      <c r="AI806" s="15">
        <f t="shared" si="243"/>
        <v>0.73779999999999957</v>
      </c>
      <c r="AJ806" s="10">
        <v>0.5</v>
      </c>
      <c r="AK806" s="10">
        <v>0.5</v>
      </c>
      <c r="AL806" s="21">
        <v>10.11</v>
      </c>
      <c r="AM806" s="9">
        <f t="shared" si="234"/>
        <v>5.3519999999999994</v>
      </c>
      <c r="AN806" s="9">
        <f t="shared" si="235"/>
        <v>1.0704</v>
      </c>
      <c r="AO806" s="9">
        <f t="shared" si="236"/>
        <v>7.1360000000000001</v>
      </c>
      <c r="AP806" s="9">
        <f t="shared" si="237"/>
        <v>0.71360000000000001</v>
      </c>
      <c r="AQ806" s="9">
        <f t="shared" si="238"/>
        <v>7.1360000000000001</v>
      </c>
      <c r="AR806" s="9">
        <f t="shared" si="239"/>
        <v>8.92</v>
      </c>
      <c r="AS806" s="11">
        <f t="shared" si="240"/>
        <v>2.1079999999999988</v>
      </c>
      <c r="AT806" s="12">
        <f t="shared" si="241"/>
        <v>0.91866666666666552</v>
      </c>
    </row>
    <row r="807" spans="1:46" ht="16.5" x14ac:dyDescent="0.4">
      <c r="A807" s="4" t="s">
        <v>3521</v>
      </c>
      <c r="B807" s="4" t="s">
        <v>3526</v>
      </c>
      <c r="C807" s="4" t="s">
        <v>3533</v>
      </c>
      <c r="D807" s="4" t="s">
        <v>3571</v>
      </c>
      <c r="E807" s="4" t="s">
        <v>3613</v>
      </c>
      <c r="F807" s="4" t="s">
        <v>3655</v>
      </c>
      <c r="G807" s="7" t="str">
        <f>VLOOKUP(A807,[1]done!$A:$I,9,0)</f>
        <v>Other crawling insects</v>
      </c>
      <c r="H807" s="7" t="str" cm="1">
        <f t="array" ref="H807">_xlfn.IFS(
OR(ISNUMBER(SEARCH("mouse",E807)),ISNUMBER(SEARCH("rat",E807)),ISNUMBER(SEARCH("mice",E807)),ISNUMBER(SEARCH("rodent",E807))),"Rodent Control",
OR(ISNUMBER(SEARCH("fly",E807)),ISNUMBER(SEARCH("gnat",E807)),ISNUMBER(SEARCH("insect",E807)),ISNUMBER(SEARCH("mosquito",E807))),"Flying Insect Control",
OR(ISNUMBER(SEARCH("roach",E807)),ISNUMBER(SEARCH("ant",E807)),ISNUMBER(SEARCH("spider",E807)),ISNUMBER(SEARCH("cricket",E807)),ISNUMBER(SEARCH("scorpion",E807)),ISNUMBER(SEARCH("centipede",E807)),ISNUMBER(SEARCH("beetle",E807))),"Crawling Insect Control",
OR(ISNUMBER(SEARCH("tree",E807)),ISNUMBER(SEARCH("lantern",E807)),ISNUMBER(SEARCH("garden",E807)),ISNUMBER(SEARCH("plant",E807))),"Garden Pest Control",
OR(ISNUMBER(SEARCH("grass seed",E807)),ISNUMBER(SEARCH("seed mix",E807))),"Grass Seed",
OR(ISNUMBER(SEARCH("lawn food",E807)),ISNUMBER(SEARCH("fertilizer",E807))),"Lawn Fertilizer",
OR(ISNUMBER(SEARCH("patch",E807)),ISNUMBER(SEARCH("repair",E807)),ISNUMBER(SEARCH("thick'r",E807)),ISNUMBER(SEARCH("thick'r lawn",E807)),ISNUMBER(SEARCH("rapid grass",E807))),"Lawn Repair",
OR(ISNUMBER(SEARCH("weed",E807)),ISNUMBER(SEARCH("crabgrass",E807))),"Weed Control",
OR(ISNUMBER(SEARCH("fungicide",E807)),ISNUMBER(SEARCH("moss",E807))),"Disease &amp; Moss Control",
OR(ISNUMBER(SEARCH("plant food",E807)),ISNUMBER(SEARCH("miracid",E807))),"Plant Nutrition",
OR(ISNUMBER(SEARCH("perlite",E807))),"Soil Amendment",
OR(ISNUMBER(SEARCH("spreader",E807)),ISNUMBER(SEARCH("sprayer",E807)),ISNUMBER(SEARCH("mower",E807)),ISNUMBER(SEARCH("sweeper",E807)),ISNUMBER(SEARCH("pruner",E807)),ISNUMBER(SEARCH("trimmer",E807)),ISNUMBER(SEARCH("pole saw",E807))),"Garden Equipment",
TRUE,"Other"
)</f>
        <v>Crawling Insect Control</v>
      </c>
      <c r="I807" s="7" t="str" cm="1">
        <f t="array" ref="I807">_xlfn.IFS(
OR(ISNUMBER(SEARCH("glue trap",E807)),ISNUMBER(SEARCH("glue board",E807))),"Glue Traps",
OR(ISNUMBER(SEARCH("snap trap",E807)),ISNUMBER(SEARCH("power-kill",E807)),ISNUMBER(SEARCH("wide pedal",E807)),ISNUMBER(SEARCH("metal pedal",E807))),"Snap Traps",
OR(ISNUMBER(SEARCH("electronic",E807)),ISNUMBER(SEARCH("zapper",E807))),"Electronic Traps",
OR(ISNUMBER(SEARCH("live catch",E807)),ISNUMBER(SEARCH("multi-catch",E807)),ISNUMBER(SEARCH("catch &amp; hold",E807)),ISNUMBER(SEARCH("tin cat",E807))),"Live Catch Traps",
OR(ISNUMBER(SEARCH("bait",E807)),ISNUMBER(SEARCH("poison",E807))),"Bait &amp; Poison",
ISNUMBER(SEARCH("repellent",E807)),"Repellents",
OR(ISNUMBER(SEARCH("fly trap",E807)),ISNUMBER(SEARCH("fly ribbon",E807)),ISNUMBER(SEARCH("fly stick",E807)),ISNUMBER(SEARCH("window fly",E807)),ISNUMBER(SEARCH("fly magnet",E807))),"Fly Traps",
OR(ISNUMBER(SEARCH("uv",E807)),ISNUMBER(SEARCH("fly light",E807)),ISNUMBER(SEARCH("plug-in",E807))),"UV Fly Traps",
ISNUMBER(SEARCH("roach",E807)),"Roach Traps",
ISNUMBER(SEARCH("ant",E807)),"Ant Traps",
ISNUMBER(SEARCH("spider",E807)),"Spider Traps",
ISNUMBER(SEARCH("mosquito",E807)),"Mosquito Traps",
ISNUMBER(SEARCH("beetle",E807)),"Beetle Traps",
ISNUMBER(SEARCH("lantern",E807)),"Lanternfly Control",
OR(ISNUMBER(SEARCH("tree shield",E807)),ISNUMBER(SEARCH("tree banding",E807)),ISNUMBER(SEARCH("insect barrier",E807))),"Tree Barriers",
OR(ISNUMBER(SEARCH("sun &amp; shade",E807)),ISNUMBER(SEARCH("sun and shade",E807))),"Sun &amp; Shade Mix",
ISNUMBER(SEARCH("tall fescue",E807)),"Tall Fescue",
ISNUMBER(SEARCH("bermudagrass",E807)),"Bermudagrass",
ISNUMBER(SEARCH("kentucky",E807)),"Kentucky Bluegrass",
ISNUMBER(SEARCH("zoysia",E807)),"Zoysia",
ISNUMBER(SEARCH("ryegrass",E807)),"Perennial Ryegrass",
ISNUMBER(SEARCH("centipede",E807)),"Centipede Grass",
ISNUMBER(SEARCH("dense shade",E807)),"Dense Shade Mix",
ISNUMBER(SEARCH("southern gold",E807)),"Southern Gold Mix",
ISNUMBER(SEARCH("heat-tolerant blue",E807)),"Heat-Tolerant Blue Mix",
ISNUMBER(SEARCH("high traffic",E807)),"High Traffic Mix",
ISNUMBER(SEARCH("quick fix",E807)),"Quick Fix Mix",
ISNUMBER(SEARCH("starter",E807)),"Starter Fertilizer",
ISNUMBER(SEARCH("weed &amp; feed",E807)),"Weed &amp; Feed",
ISNUMBER(SEARCH("lawn food",E807)),"Lawn Food",
ISNUMBER(SEARCH("triple action",E807)),"Triple Action Fertilizer",
ISNUMBER(SEARCH("green max",E807)),"Green Max Lawn Food",
ISNUMBER(SEARCH("patchmaster",E807)),"PatchMaster Repair",
ISNUMBER(SEARCH("ez seed",E807)),"EZ Seed Repair",
ISNUMBER(SEARCH("rapid grass",E807)),"Rapid Grass",
ISNUMBER(SEARCH("thick'r lawn",E807)),"Thick'R Lawn",
ISNUMBER(SEARCH("fungicide",E807)),"Fungicide",
ISNUMBER(SEARCH("moss",E807)),"Moss Control",
ISNUMBER(SEARCH("perlite",E807)),"Perlite",
ISNUMBER(SEARCH("plant food",E807)),"Plant Food",
ISNUMBER(SEARCH("spreader",E807)),"Spreader",
ISNUMBER(SEARCH("sprayer",E807)),"Sprayer",
ISNUMBER(SEARCH("mower",E807)),"Lawn Mower",
ISNUMBER(SEARCH("sweeper",E807)),"Lawn Sweeper",
OR(ISNUMBER(SEARCH("pruner",E807)),ISNUMBER(SEARCH("trimmer",E807)),ISNUMBER(SEARCH("pole saw",E807))),"Pruning Tools",
TRUE,"Other"
)</f>
        <v>Spider Traps</v>
      </c>
      <c r="J807" s="7" t="str">
        <f t="shared" si="228"/>
        <v>Crawling Insect Control - Spider Traps</v>
      </c>
      <c r="K807" s="4">
        <v>50</v>
      </c>
      <c r="L807" s="4">
        <v>4.2</v>
      </c>
      <c r="M807" s="4">
        <v>1246</v>
      </c>
      <c r="N807" s="4" t="s">
        <v>2136</v>
      </c>
      <c r="O807" s="4">
        <f>VLOOKUP(A807,[15]Sheet1!$A:$M,2,0)</f>
        <v>0</v>
      </c>
      <c r="P807" s="4">
        <f>VLOOKUP(A807,[15]Sheet1!$A:$M,3,0)</f>
        <v>0</v>
      </c>
      <c r="Q807" s="4">
        <f>VLOOKUP(A807,[15]Sheet1!$A:$M,4,0)</f>
        <v>0</v>
      </c>
      <c r="R807" s="4">
        <f>VLOOKUP(A807,[15]Sheet1!$A:$M,5,0)</f>
        <v>0</v>
      </c>
      <c r="S807" s="4">
        <f>VLOOKUP(A807,[15]Sheet1!$A:$M,6,0)</f>
        <v>0</v>
      </c>
      <c r="T807" s="4">
        <f>VLOOKUP(A807,[15]Sheet1!$A:$M,7,0)</f>
        <v>0</v>
      </c>
      <c r="U807" s="4">
        <f>VLOOKUP(A807,[15]Sheet1!$A:$M,8,0)</f>
        <v>0</v>
      </c>
      <c r="V807" s="4">
        <f>VLOOKUP(A807,[15]Sheet1!$A:$M,9,0)</f>
        <v>0</v>
      </c>
      <c r="W807" s="4">
        <f>VLOOKUP(A807,[15]Sheet1!$A:$M,10,0)</f>
        <v>50</v>
      </c>
      <c r="X807" s="4">
        <f>VLOOKUP(A807,[15]Sheet1!$A:$M,11,0)</f>
        <v>50</v>
      </c>
      <c r="Y807" s="4">
        <f>VLOOKUP(A807,[15]Sheet1!$A:$M,12,0)</f>
        <v>0</v>
      </c>
      <c r="Z807" s="4">
        <f>VLOOKUP(A807,[15]Sheet1!$A:$M,13,0)</f>
        <v>0</v>
      </c>
      <c r="AA807" s="4">
        <f t="shared" si="229"/>
        <v>100</v>
      </c>
      <c r="AB807" s="7">
        <f t="shared" si="230"/>
        <v>8</v>
      </c>
      <c r="AC807" s="15">
        <f t="shared" si="231"/>
        <v>8.3333333333333339</v>
      </c>
      <c r="AD807" s="16">
        <f t="shared" si="232"/>
        <v>1755.9999999999998</v>
      </c>
      <c r="AE807" s="16">
        <f t="shared" si="233"/>
        <v>146.33333333333334</v>
      </c>
      <c r="AF807" s="21">
        <v>6.31</v>
      </c>
      <c r="AG807" s="21">
        <v>17.559999999999999</v>
      </c>
      <c r="AH807" s="15">
        <f t="shared" si="242"/>
        <v>-1.9066666666666669E-2</v>
      </c>
      <c r="AI807" s="15">
        <f t="shared" si="243"/>
        <v>-6.6733333333333339E-2</v>
      </c>
      <c r="AJ807" s="10">
        <v>0.5</v>
      </c>
      <c r="AK807" s="10">
        <v>0.5</v>
      </c>
      <c r="AL807" s="21">
        <v>6.31</v>
      </c>
      <c r="AM807" s="9">
        <f t="shared" si="234"/>
        <v>2.6339999999999999</v>
      </c>
      <c r="AN807" s="9">
        <f t="shared" si="235"/>
        <v>0.52679999999999993</v>
      </c>
      <c r="AO807" s="9">
        <f t="shared" si="236"/>
        <v>3.512</v>
      </c>
      <c r="AP807" s="9">
        <f t="shared" si="237"/>
        <v>0.35119999999999996</v>
      </c>
      <c r="AQ807" s="9">
        <f t="shared" si="238"/>
        <v>3.512</v>
      </c>
      <c r="AR807" s="9">
        <f t="shared" si="239"/>
        <v>4.3899999999999997</v>
      </c>
      <c r="AS807" s="11">
        <f t="shared" si="240"/>
        <v>-0.19066666666666668</v>
      </c>
      <c r="AT807" s="12">
        <f t="shared" si="241"/>
        <v>-0.7759999999999998</v>
      </c>
    </row>
    <row r="808" spans="1:46" ht="16.5" x14ac:dyDescent="0.4">
      <c r="A808" s="4" t="s">
        <v>3522</v>
      </c>
      <c r="B808" s="4" t="s">
        <v>3526</v>
      </c>
      <c r="C808" s="4" t="s">
        <v>3528</v>
      </c>
      <c r="D808" s="4" t="s">
        <v>3572</v>
      </c>
      <c r="E808" s="4" t="s">
        <v>3614</v>
      </c>
      <c r="F808" s="4" t="s">
        <v>3656</v>
      </c>
      <c r="G808" s="7" t="str">
        <f>VLOOKUP(A808,[1]done!$A:$I,9,0)</f>
        <v>Other Harris</v>
      </c>
      <c r="H808" s="7" t="str" cm="1">
        <f t="array" ref="H808">_xlfn.IFS(
OR(ISNUMBER(SEARCH("mouse",E808)),ISNUMBER(SEARCH("rat",E808)),ISNUMBER(SEARCH("mice",E808)),ISNUMBER(SEARCH("rodent",E808))),"Rodent Control",
OR(ISNUMBER(SEARCH("fly",E808)),ISNUMBER(SEARCH("gnat",E808)),ISNUMBER(SEARCH("insect",E808)),ISNUMBER(SEARCH("mosquito",E808))),"Flying Insect Control",
OR(ISNUMBER(SEARCH("roach",E808)),ISNUMBER(SEARCH("ant",E808)),ISNUMBER(SEARCH("spider",E808)),ISNUMBER(SEARCH("cricket",E808)),ISNUMBER(SEARCH("scorpion",E808)),ISNUMBER(SEARCH("centipede",E808)),ISNUMBER(SEARCH("beetle",E808))),"Crawling Insect Control",
OR(ISNUMBER(SEARCH("tree",E808)),ISNUMBER(SEARCH("lantern",E808)),ISNUMBER(SEARCH("garden",E808)),ISNUMBER(SEARCH("plant",E808))),"Garden Pest Control",
OR(ISNUMBER(SEARCH("grass seed",E808)),ISNUMBER(SEARCH("seed mix",E808))),"Grass Seed",
OR(ISNUMBER(SEARCH("lawn food",E808)),ISNUMBER(SEARCH("fertilizer",E808))),"Lawn Fertilizer",
OR(ISNUMBER(SEARCH("patch",E808)),ISNUMBER(SEARCH("repair",E808)),ISNUMBER(SEARCH("thick'r",E808)),ISNUMBER(SEARCH("thick'r lawn",E808)),ISNUMBER(SEARCH("rapid grass",E808))),"Lawn Repair",
OR(ISNUMBER(SEARCH("weed",E808)),ISNUMBER(SEARCH("crabgrass",E808))),"Weed Control",
OR(ISNUMBER(SEARCH("fungicide",E808)),ISNUMBER(SEARCH("moss",E808))),"Disease &amp; Moss Control",
OR(ISNUMBER(SEARCH("plant food",E808)),ISNUMBER(SEARCH("miracid",E808))),"Plant Nutrition",
OR(ISNUMBER(SEARCH("perlite",E808))),"Soil Amendment",
OR(ISNUMBER(SEARCH("spreader",E808)),ISNUMBER(SEARCH("sprayer",E808)),ISNUMBER(SEARCH("mower",E808)),ISNUMBER(SEARCH("sweeper",E808)),ISNUMBER(SEARCH("pruner",E808)),ISNUMBER(SEARCH("trimmer",E808)),ISNUMBER(SEARCH("pole saw",E808))),"Garden Equipment",
TRUE,"Other"
)</f>
        <v>Other</v>
      </c>
      <c r="I808" s="7" t="str" cm="1">
        <f t="array" ref="I808">_xlfn.IFS(
OR(ISNUMBER(SEARCH("glue trap",E808)),ISNUMBER(SEARCH("glue board",E808))),"Glue Traps",
OR(ISNUMBER(SEARCH("snap trap",E808)),ISNUMBER(SEARCH("power-kill",E808)),ISNUMBER(SEARCH("wide pedal",E808)),ISNUMBER(SEARCH("metal pedal",E808))),"Snap Traps",
OR(ISNUMBER(SEARCH("electronic",E808)),ISNUMBER(SEARCH("zapper",E808))),"Electronic Traps",
OR(ISNUMBER(SEARCH("live catch",E808)),ISNUMBER(SEARCH("multi-catch",E808)),ISNUMBER(SEARCH("catch &amp; hold",E808)),ISNUMBER(SEARCH("tin cat",E808))),"Live Catch Traps",
OR(ISNUMBER(SEARCH("bait",E808)),ISNUMBER(SEARCH("poison",E808))),"Bait &amp; Poison",
ISNUMBER(SEARCH("repellent",E808)),"Repellents",
OR(ISNUMBER(SEARCH("fly trap",E808)),ISNUMBER(SEARCH("fly ribbon",E808)),ISNUMBER(SEARCH("fly stick",E808)),ISNUMBER(SEARCH("window fly",E808)),ISNUMBER(SEARCH("fly magnet",E808))),"Fly Traps",
OR(ISNUMBER(SEARCH("uv",E808)),ISNUMBER(SEARCH("fly light",E808)),ISNUMBER(SEARCH("plug-in",E808))),"UV Fly Traps",
ISNUMBER(SEARCH("roach",E808)),"Roach Traps",
ISNUMBER(SEARCH("ant",E808)),"Ant Traps",
ISNUMBER(SEARCH("spider",E808)),"Spider Traps",
ISNUMBER(SEARCH("mosquito",E808)),"Mosquito Traps",
ISNUMBER(SEARCH("beetle",E808)),"Beetle Traps",
ISNUMBER(SEARCH("lantern",E808)),"Lanternfly Control",
OR(ISNUMBER(SEARCH("tree shield",E808)),ISNUMBER(SEARCH("tree banding",E808)),ISNUMBER(SEARCH("insect barrier",E808))),"Tree Barriers",
OR(ISNUMBER(SEARCH("sun &amp; shade",E808)),ISNUMBER(SEARCH("sun and shade",E808))),"Sun &amp; Shade Mix",
ISNUMBER(SEARCH("tall fescue",E808)),"Tall Fescue",
ISNUMBER(SEARCH("bermudagrass",E808)),"Bermudagrass",
ISNUMBER(SEARCH("kentucky",E808)),"Kentucky Bluegrass",
ISNUMBER(SEARCH("zoysia",E808)),"Zoysia",
ISNUMBER(SEARCH("ryegrass",E808)),"Perennial Ryegrass",
ISNUMBER(SEARCH("centipede",E808)),"Centipede Grass",
ISNUMBER(SEARCH("dense shade",E808)),"Dense Shade Mix",
ISNUMBER(SEARCH("southern gold",E808)),"Southern Gold Mix",
ISNUMBER(SEARCH("heat-tolerant blue",E808)),"Heat-Tolerant Blue Mix",
ISNUMBER(SEARCH("high traffic",E808)),"High Traffic Mix",
ISNUMBER(SEARCH("quick fix",E808)),"Quick Fix Mix",
ISNUMBER(SEARCH("starter",E808)),"Starter Fertilizer",
ISNUMBER(SEARCH("weed &amp; feed",E808)),"Weed &amp; Feed",
ISNUMBER(SEARCH("lawn food",E808)),"Lawn Food",
ISNUMBER(SEARCH("triple action",E808)),"Triple Action Fertilizer",
ISNUMBER(SEARCH("green max",E808)),"Green Max Lawn Food",
ISNUMBER(SEARCH("patchmaster",E808)),"PatchMaster Repair",
ISNUMBER(SEARCH("ez seed",E808)),"EZ Seed Repair",
ISNUMBER(SEARCH("rapid grass",E808)),"Rapid Grass",
ISNUMBER(SEARCH("thick'r lawn",E808)),"Thick'R Lawn",
ISNUMBER(SEARCH("fungicide",E808)),"Fungicide",
ISNUMBER(SEARCH("moss",E808)),"Moss Control",
ISNUMBER(SEARCH("perlite",E808)),"Perlite",
ISNUMBER(SEARCH("plant food",E808)),"Plant Food",
ISNUMBER(SEARCH("spreader",E808)),"Spreader",
ISNUMBER(SEARCH("sprayer",E808)),"Sprayer",
ISNUMBER(SEARCH("mower",E808)),"Lawn Mower",
ISNUMBER(SEARCH("sweeper",E808)),"Lawn Sweeper",
OR(ISNUMBER(SEARCH("pruner",E808)),ISNUMBER(SEARCH("trimmer",E808)),ISNUMBER(SEARCH("pole saw",E808))),"Pruning Tools",
TRUE,"Other"
)</f>
        <v>Other</v>
      </c>
      <c r="J808" s="7" t="str">
        <f t="shared" si="228"/>
        <v>Other - Other</v>
      </c>
      <c r="K808" s="4">
        <v>50</v>
      </c>
      <c r="L808" s="4">
        <v>4.7</v>
      </c>
      <c r="M808" s="4">
        <v>2142</v>
      </c>
      <c r="N808" s="4" t="s">
        <v>3680</v>
      </c>
      <c r="O808" s="4">
        <f>VLOOKUP(A808,[15]Sheet1!$A:$M,2,0)</f>
        <v>50</v>
      </c>
      <c r="P808" s="4">
        <f>VLOOKUP(A808,[15]Sheet1!$A:$M,3,0)</f>
        <v>50</v>
      </c>
      <c r="Q808" s="4">
        <f>VLOOKUP(A808,[15]Sheet1!$A:$M,4,0)</f>
        <v>100</v>
      </c>
      <c r="R808" s="4">
        <f>VLOOKUP(A808,[15]Sheet1!$A:$M,5,0)</f>
        <v>100</v>
      </c>
      <c r="S808" s="4">
        <f>VLOOKUP(A808,[15]Sheet1!$A:$M,6,0)</f>
        <v>100</v>
      </c>
      <c r="T808" s="4">
        <f>VLOOKUP(A808,[15]Sheet1!$A:$M,7,0)</f>
        <v>100</v>
      </c>
      <c r="U808" s="4">
        <f>VLOOKUP(A808,[15]Sheet1!$A:$M,8,0)</f>
        <v>50</v>
      </c>
      <c r="V808" s="4">
        <f>VLOOKUP(A808,[15]Sheet1!$A:$M,9,0)</f>
        <v>50</v>
      </c>
      <c r="W808" s="4">
        <f>VLOOKUP(A808,[15]Sheet1!$A:$M,10,0)</f>
        <v>50</v>
      </c>
      <c r="X808" s="4">
        <f>VLOOKUP(A808,[15]Sheet1!$A:$M,11,0)</f>
        <v>100</v>
      </c>
      <c r="Y808" s="4">
        <f>VLOOKUP(A808,[15]Sheet1!$A:$M,12,0)</f>
        <v>50</v>
      </c>
      <c r="Z808" s="4">
        <f>VLOOKUP(A808,[15]Sheet1!$A:$M,13,0)</f>
        <v>50</v>
      </c>
      <c r="AA808" s="4">
        <f t="shared" si="229"/>
        <v>850</v>
      </c>
      <c r="AB808" s="7">
        <f t="shared" si="230"/>
        <v>71</v>
      </c>
      <c r="AC808" s="15">
        <f t="shared" si="231"/>
        <v>70.833333333333329</v>
      </c>
      <c r="AD808" s="16">
        <f t="shared" si="232"/>
        <v>21241.5</v>
      </c>
      <c r="AE808" s="16">
        <f t="shared" si="233"/>
        <v>1770.1249999999998</v>
      </c>
      <c r="AF808" s="21">
        <v>8.0399999999999991</v>
      </c>
      <c r="AG808" s="21">
        <v>24.99</v>
      </c>
      <c r="AH808" s="15">
        <f t="shared" si="242"/>
        <v>6.3733333333333239E-2</v>
      </c>
      <c r="AI808" s="15">
        <f t="shared" si="243"/>
        <v>0.22306666666666633</v>
      </c>
      <c r="AJ808" s="10">
        <v>0.5</v>
      </c>
      <c r="AK808" s="10">
        <v>0.5</v>
      </c>
      <c r="AL808" s="21">
        <v>8.0399999999999991</v>
      </c>
      <c r="AM808" s="9">
        <f t="shared" si="234"/>
        <v>3.7484999999999995</v>
      </c>
      <c r="AN808" s="9">
        <f t="shared" si="235"/>
        <v>0.74969999999999992</v>
      </c>
      <c r="AO808" s="9">
        <f t="shared" si="236"/>
        <v>4.9980000000000002</v>
      </c>
      <c r="AP808" s="9">
        <f t="shared" si="237"/>
        <v>0.49979999999999997</v>
      </c>
      <c r="AQ808" s="9">
        <f t="shared" si="238"/>
        <v>4.9980000000000002</v>
      </c>
      <c r="AR808" s="9">
        <f t="shared" si="239"/>
        <v>6.2474999999999996</v>
      </c>
      <c r="AS808" s="11">
        <f t="shared" si="240"/>
        <v>0.63733333333333242</v>
      </c>
      <c r="AT808" s="12">
        <f t="shared" si="241"/>
        <v>-0.19566666666666718</v>
      </c>
    </row>
    <row r="809" spans="1:46" ht="16.5" x14ac:dyDescent="0.4">
      <c r="A809" s="4" t="s">
        <v>3523</v>
      </c>
      <c r="B809" s="4" t="s">
        <v>3526</v>
      </c>
      <c r="C809" s="4" t="s">
        <v>3528</v>
      </c>
      <c r="D809" s="4" t="s">
        <v>3573</v>
      </c>
      <c r="E809" s="4" t="s">
        <v>3615</v>
      </c>
      <c r="F809" s="4" t="s">
        <v>3657</v>
      </c>
      <c r="G809" s="7" t="str">
        <f>VLOOKUP(A809,[1]done!$A:$I,9,0)</f>
        <v>Other Harris</v>
      </c>
      <c r="H809" s="7" t="str" cm="1">
        <f t="array" ref="H809">_xlfn.IFS(
OR(ISNUMBER(SEARCH("mouse",E809)),ISNUMBER(SEARCH("rat",E809)),ISNUMBER(SEARCH("mice",E809)),ISNUMBER(SEARCH("rodent",E809))),"Rodent Control",
OR(ISNUMBER(SEARCH("fly",E809)),ISNUMBER(SEARCH("gnat",E809)),ISNUMBER(SEARCH("insect",E809)),ISNUMBER(SEARCH("mosquito",E809))),"Flying Insect Control",
OR(ISNUMBER(SEARCH("roach",E809)),ISNUMBER(SEARCH("ant",E809)),ISNUMBER(SEARCH("spider",E809)),ISNUMBER(SEARCH("cricket",E809)),ISNUMBER(SEARCH("scorpion",E809)),ISNUMBER(SEARCH("centipede",E809)),ISNUMBER(SEARCH("beetle",E809))),"Crawling Insect Control",
OR(ISNUMBER(SEARCH("tree",E809)),ISNUMBER(SEARCH("lantern",E809)),ISNUMBER(SEARCH("garden",E809)),ISNUMBER(SEARCH("plant",E809))),"Garden Pest Control",
OR(ISNUMBER(SEARCH("grass seed",E809)),ISNUMBER(SEARCH("seed mix",E809))),"Grass Seed",
OR(ISNUMBER(SEARCH("lawn food",E809)),ISNUMBER(SEARCH("fertilizer",E809))),"Lawn Fertilizer",
OR(ISNUMBER(SEARCH("patch",E809)),ISNUMBER(SEARCH("repair",E809)),ISNUMBER(SEARCH("thick'r",E809)),ISNUMBER(SEARCH("thick'r lawn",E809)),ISNUMBER(SEARCH("rapid grass",E809))),"Lawn Repair",
OR(ISNUMBER(SEARCH("weed",E809)),ISNUMBER(SEARCH("crabgrass",E809))),"Weed Control",
OR(ISNUMBER(SEARCH("fungicide",E809)),ISNUMBER(SEARCH("moss",E809))),"Disease &amp; Moss Control",
OR(ISNUMBER(SEARCH("plant food",E809)),ISNUMBER(SEARCH("miracid",E809))),"Plant Nutrition",
OR(ISNUMBER(SEARCH("perlite",E809))),"Soil Amendment",
OR(ISNUMBER(SEARCH("spreader",E809)),ISNUMBER(SEARCH("sprayer",E809)),ISNUMBER(SEARCH("mower",E809)),ISNUMBER(SEARCH("sweeper",E809)),ISNUMBER(SEARCH("pruner",E809)),ISNUMBER(SEARCH("trimmer",E809)),ISNUMBER(SEARCH("pole saw",E809))),"Garden Equipment",
TRUE,"Other"
)</f>
        <v>Other</v>
      </c>
      <c r="I809" s="7" t="str" cm="1">
        <f t="array" ref="I809">_xlfn.IFS(
OR(ISNUMBER(SEARCH("glue trap",E809)),ISNUMBER(SEARCH("glue board",E809))),"Glue Traps",
OR(ISNUMBER(SEARCH("snap trap",E809)),ISNUMBER(SEARCH("power-kill",E809)),ISNUMBER(SEARCH("wide pedal",E809)),ISNUMBER(SEARCH("metal pedal",E809))),"Snap Traps",
OR(ISNUMBER(SEARCH("electronic",E809)),ISNUMBER(SEARCH("zapper",E809))),"Electronic Traps",
OR(ISNUMBER(SEARCH("live catch",E809)),ISNUMBER(SEARCH("multi-catch",E809)),ISNUMBER(SEARCH("catch &amp; hold",E809)),ISNUMBER(SEARCH("tin cat",E809))),"Live Catch Traps",
OR(ISNUMBER(SEARCH("bait",E809)),ISNUMBER(SEARCH("poison",E809))),"Bait &amp; Poison",
ISNUMBER(SEARCH("repellent",E809)),"Repellents",
OR(ISNUMBER(SEARCH("fly trap",E809)),ISNUMBER(SEARCH("fly ribbon",E809)),ISNUMBER(SEARCH("fly stick",E809)),ISNUMBER(SEARCH("window fly",E809)),ISNUMBER(SEARCH("fly magnet",E809))),"Fly Traps",
OR(ISNUMBER(SEARCH("uv",E809)),ISNUMBER(SEARCH("fly light",E809)),ISNUMBER(SEARCH("plug-in",E809))),"UV Fly Traps",
ISNUMBER(SEARCH("roach",E809)),"Roach Traps",
ISNUMBER(SEARCH("ant",E809)),"Ant Traps",
ISNUMBER(SEARCH("spider",E809)),"Spider Traps",
ISNUMBER(SEARCH("mosquito",E809)),"Mosquito Traps",
ISNUMBER(SEARCH("beetle",E809)),"Beetle Traps",
ISNUMBER(SEARCH("lantern",E809)),"Lanternfly Control",
OR(ISNUMBER(SEARCH("tree shield",E809)),ISNUMBER(SEARCH("tree banding",E809)),ISNUMBER(SEARCH("insect barrier",E809))),"Tree Barriers",
OR(ISNUMBER(SEARCH("sun &amp; shade",E809)),ISNUMBER(SEARCH("sun and shade",E809))),"Sun &amp; Shade Mix",
ISNUMBER(SEARCH("tall fescue",E809)),"Tall Fescue",
ISNUMBER(SEARCH("bermudagrass",E809)),"Bermudagrass",
ISNUMBER(SEARCH("kentucky",E809)),"Kentucky Bluegrass",
ISNUMBER(SEARCH("zoysia",E809)),"Zoysia",
ISNUMBER(SEARCH("ryegrass",E809)),"Perennial Ryegrass",
ISNUMBER(SEARCH("centipede",E809)),"Centipede Grass",
ISNUMBER(SEARCH("dense shade",E809)),"Dense Shade Mix",
ISNUMBER(SEARCH("southern gold",E809)),"Southern Gold Mix",
ISNUMBER(SEARCH("heat-tolerant blue",E809)),"Heat-Tolerant Blue Mix",
ISNUMBER(SEARCH("high traffic",E809)),"High Traffic Mix",
ISNUMBER(SEARCH("quick fix",E809)),"Quick Fix Mix",
ISNUMBER(SEARCH("starter",E809)),"Starter Fertilizer",
ISNUMBER(SEARCH("weed &amp; feed",E809)),"Weed &amp; Feed",
ISNUMBER(SEARCH("lawn food",E809)),"Lawn Food",
ISNUMBER(SEARCH("triple action",E809)),"Triple Action Fertilizer",
ISNUMBER(SEARCH("green max",E809)),"Green Max Lawn Food",
ISNUMBER(SEARCH("patchmaster",E809)),"PatchMaster Repair",
ISNUMBER(SEARCH("ez seed",E809)),"EZ Seed Repair",
ISNUMBER(SEARCH("rapid grass",E809)),"Rapid Grass",
ISNUMBER(SEARCH("thick'r lawn",E809)),"Thick'R Lawn",
ISNUMBER(SEARCH("fungicide",E809)),"Fungicide",
ISNUMBER(SEARCH("moss",E809)),"Moss Control",
ISNUMBER(SEARCH("perlite",E809)),"Perlite",
ISNUMBER(SEARCH("plant food",E809)),"Plant Food",
ISNUMBER(SEARCH("spreader",E809)),"Spreader",
ISNUMBER(SEARCH("sprayer",E809)),"Sprayer",
ISNUMBER(SEARCH("mower",E809)),"Lawn Mower",
ISNUMBER(SEARCH("sweeper",E809)),"Lawn Sweeper",
OR(ISNUMBER(SEARCH("pruner",E809)),ISNUMBER(SEARCH("trimmer",E809)),ISNUMBER(SEARCH("pole saw",E809))),"Pruning Tools",
TRUE,"Other"
)</f>
        <v>Other</v>
      </c>
      <c r="J809" s="7" t="str">
        <f t="shared" si="228"/>
        <v>Other - Other</v>
      </c>
      <c r="K809" s="4">
        <v>50</v>
      </c>
      <c r="L809" s="4">
        <v>4.5999999999999996</v>
      </c>
      <c r="M809" s="4">
        <v>770</v>
      </c>
      <c r="N809" s="4" t="s">
        <v>3681</v>
      </c>
      <c r="O809" s="4">
        <f>VLOOKUP(A809,[15]Sheet1!$A:$M,2,0)</f>
        <v>200</v>
      </c>
      <c r="P809" s="4">
        <f>VLOOKUP(A809,[15]Sheet1!$A:$M,3,0)</f>
        <v>200</v>
      </c>
      <c r="Q809" s="4">
        <f>VLOOKUP(A809,[15]Sheet1!$A:$M,4,0)</f>
        <v>200</v>
      </c>
      <c r="R809" s="4">
        <f>VLOOKUP(A809,[15]Sheet1!$A:$M,5,0)</f>
        <v>200</v>
      </c>
      <c r="S809" s="4">
        <f>VLOOKUP(A809,[15]Sheet1!$A:$M,6,0)</f>
        <v>200</v>
      </c>
      <c r="T809" s="4">
        <f>VLOOKUP(A809,[15]Sheet1!$A:$M,7,0)</f>
        <v>200</v>
      </c>
      <c r="U809" s="4">
        <f>VLOOKUP(A809,[15]Sheet1!$A:$M,8,0)</f>
        <v>100</v>
      </c>
      <c r="V809" s="4">
        <f>VLOOKUP(A809,[15]Sheet1!$A:$M,9,0)</f>
        <v>50</v>
      </c>
      <c r="W809" s="4">
        <f>VLOOKUP(A809,[15]Sheet1!$A:$M,10,0)</f>
        <v>50</v>
      </c>
      <c r="X809" s="4">
        <f>VLOOKUP(A809,[15]Sheet1!$A:$M,11,0)</f>
        <v>100</v>
      </c>
      <c r="Y809" s="4">
        <f>VLOOKUP(A809,[15]Sheet1!$A:$M,12,0)</f>
        <v>100</v>
      </c>
      <c r="Z809" s="4">
        <f>VLOOKUP(A809,[15]Sheet1!$A:$M,13,0)</f>
        <v>100</v>
      </c>
      <c r="AA809" s="4">
        <f t="shared" si="229"/>
        <v>1700</v>
      </c>
      <c r="AB809" s="7">
        <f t="shared" si="230"/>
        <v>142</v>
      </c>
      <c r="AC809" s="15">
        <f t="shared" si="231"/>
        <v>141.66666666666666</v>
      </c>
      <c r="AD809" s="16">
        <f t="shared" si="232"/>
        <v>32282.999999999996</v>
      </c>
      <c r="AE809" s="16">
        <f t="shared" si="233"/>
        <v>2690.2499999999995</v>
      </c>
      <c r="AF809" s="21">
        <v>6.9</v>
      </c>
      <c r="AG809" s="21">
        <v>18.989999999999998</v>
      </c>
      <c r="AH809" s="15">
        <f t="shared" si="242"/>
        <v>-2.0266666666666804E-2</v>
      </c>
      <c r="AI809" s="15">
        <f t="shared" si="243"/>
        <v>-7.0933333333333806E-2</v>
      </c>
      <c r="AJ809" s="10">
        <v>0.5</v>
      </c>
      <c r="AK809" s="10">
        <v>0.5</v>
      </c>
      <c r="AL809" s="21">
        <v>6.9</v>
      </c>
      <c r="AM809" s="9">
        <f t="shared" si="234"/>
        <v>2.8484999999999996</v>
      </c>
      <c r="AN809" s="9">
        <f t="shared" si="235"/>
        <v>0.56969999999999998</v>
      </c>
      <c r="AO809" s="9">
        <f t="shared" si="236"/>
        <v>3.798</v>
      </c>
      <c r="AP809" s="9">
        <f t="shared" si="237"/>
        <v>0.37979999999999997</v>
      </c>
      <c r="AQ809" s="9">
        <f t="shared" si="238"/>
        <v>3.798</v>
      </c>
      <c r="AR809" s="9">
        <f t="shared" si="239"/>
        <v>4.7474999999999996</v>
      </c>
      <c r="AS809" s="11">
        <f t="shared" si="240"/>
        <v>-0.20266666666666802</v>
      </c>
      <c r="AT809" s="12">
        <f t="shared" si="241"/>
        <v>-0.83566666666666778</v>
      </c>
    </row>
    <row r="810" spans="1:46" ht="16.5" x14ac:dyDescent="0.4">
      <c r="A810" s="4" t="s">
        <v>3524</v>
      </c>
      <c r="B810" s="4" t="s">
        <v>3526</v>
      </c>
      <c r="C810" s="4" t="s">
        <v>3533</v>
      </c>
      <c r="D810" s="4" t="s">
        <v>3574</v>
      </c>
      <c r="E810" s="4" t="s">
        <v>3616</v>
      </c>
      <c r="F810" s="4" t="s">
        <v>3658</v>
      </c>
      <c r="G810" s="7" t="str">
        <f>VLOOKUP(A810,[1]done!$A:$I,9,0)</f>
        <v>Other crawling insects</v>
      </c>
      <c r="H810" s="7" t="str" cm="1">
        <f t="array" ref="H810">_xlfn.IFS(
OR(ISNUMBER(SEARCH("mouse",E810)),ISNUMBER(SEARCH("rat",E810)),ISNUMBER(SEARCH("mice",E810)),ISNUMBER(SEARCH("rodent",E810))),"Rodent Control",
OR(ISNUMBER(SEARCH("fly",E810)),ISNUMBER(SEARCH("gnat",E810)),ISNUMBER(SEARCH("insect",E810)),ISNUMBER(SEARCH("mosquito",E810))),"Flying Insect Control",
OR(ISNUMBER(SEARCH("roach",E810)),ISNUMBER(SEARCH("ant",E810)),ISNUMBER(SEARCH("spider",E810)),ISNUMBER(SEARCH("cricket",E810)),ISNUMBER(SEARCH("scorpion",E810)),ISNUMBER(SEARCH("centipede",E810)),ISNUMBER(SEARCH("beetle",E810))),"Crawling Insect Control",
OR(ISNUMBER(SEARCH("tree",E810)),ISNUMBER(SEARCH("lantern",E810)),ISNUMBER(SEARCH("garden",E810)),ISNUMBER(SEARCH("plant",E810))),"Garden Pest Control",
OR(ISNUMBER(SEARCH("grass seed",E810)),ISNUMBER(SEARCH("seed mix",E810))),"Grass Seed",
OR(ISNUMBER(SEARCH("lawn food",E810)),ISNUMBER(SEARCH("fertilizer",E810))),"Lawn Fertilizer",
OR(ISNUMBER(SEARCH("patch",E810)),ISNUMBER(SEARCH("repair",E810)),ISNUMBER(SEARCH("thick'r",E810)),ISNUMBER(SEARCH("thick'r lawn",E810)),ISNUMBER(SEARCH("rapid grass",E810))),"Lawn Repair",
OR(ISNUMBER(SEARCH("weed",E810)),ISNUMBER(SEARCH("crabgrass",E810))),"Weed Control",
OR(ISNUMBER(SEARCH("fungicide",E810)),ISNUMBER(SEARCH("moss",E810))),"Disease &amp; Moss Control",
OR(ISNUMBER(SEARCH("plant food",E810)),ISNUMBER(SEARCH("miracid",E810))),"Plant Nutrition",
OR(ISNUMBER(SEARCH("perlite",E810))),"Soil Amendment",
OR(ISNUMBER(SEARCH("spreader",E810)),ISNUMBER(SEARCH("sprayer",E810)),ISNUMBER(SEARCH("mower",E810)),ISNUMBER(SEARCH("sweeper",E810)),ISNUMBER(SEARCH("pruner",E810)),ISNUMBER(SEARCH("trimmer",E810)),ISNUMBER(SEARCH("pole saw",E810))),"Garden Equipment",
TRUE,"Other"
)</f>
        <v>Crawling Insect Control</v>
      </c>
      <c r="I810" s="7" t="str" cm="1">
        <f t="array" ref="I810">_xlfn.IFS(
OR(ISNUMBER(SEARCH("glue trap",E810)),ISNUMBER(SEARCH("glue board",E810))),"Glue Traps",
OR(ISNUMBER(SEARCH("snap trap",E810)),ISNUMBER(SEARCH("power-kill",E810)),ISNUMBER(SEARCH("wide pedal",E810)),ISNUMBER(SEARCH("metal pedal",E810))),"Snap Traps",
OR(ISNUMBER(SEARCH("electronic",E810)),ISNUMBER(SEARCH("zapper",E810))),"Electronic Traps",
OR(ISNUMBER(SEARCH("live catch",E810)),ISNUMBER(SEARCH("multi-catch",E810)),ISNUMBER(SEARCH("catch &amp; hold",E810)),ISNUMBER(SEARCH("tin cat",E810))),"Live Catch Traps",
OR(ISNUMBER(SEARCH("bait",E810)),ISNUMBER(SEARCH("poison",E810))),"Bait &amp; Poison",
ISNUMBER(SEARCH("repellent",E810)),"Repellents",
OR(ISNUMBER(SEARCH("fly trap",E810)),ISNUMBER(SEARCH("fly ribbon",E810)),ISNUMBER(SEARCH("fly stick",E810)),ISNUMBER(SEARCH("window fly",E810)),ISNUMBER(SEARCH("fly magnet",E810))),"Fly Traps",
OR(ISNUMBER(SEARCH("uv",E810)),ISNUMBER(SEARCH("fly light",E810)),ISNUMBER(SEARCH("plug-in",E810))),"UV Fly Traps",
ISNUMBER(SEARCH("roach",E810)),"Roach Traps",
ISNUMBER(SEARCH("ant",E810)),"Ant Traps",
ISNUMBER(SEARCH("spider",E810)),"Spider Traps",
ISNUMBER(SEARCH("mosquito",E810)),"Mosquito Traps",
ISNUMBER(SEARCH("beetle",E810)),"Beetle Traps",
ISNUMBER(SEARCH("lantern",E810)),"Lanternfly Control",
OR(ISNUMBER(SEARCH("tree shield",E810)),ISNUMBER(SEARCH("tree banding",E810)),ISNUMBER(SEARCH("insect barrier",E810))),"Tree Barriers",
OR(ISNUMBER(SEARCH("sun &amp; shade",E810)),ISNUMBER(SEARCH("sun and shade",E810))),"Sun &amp; Shade Mix",
ISNUMBER(SEARCH("tall fescue",E810)),"Tall Fescue",
ISNUMBER(SEARCH("bermudagrass",E810)),"Bermudagrass",
ISNUMBER(SEARCH("kentucky",E810)),"Kentucky Bluegrass",
ISNUMBER(SEARCH("zoysia",E810)),"Zoysia",
ISNUMBER(SEARCH("ryegrass",E810)),"Perennial Ryegrass",
ISNUMBER(SEARCH("centipede",E810)),"Centipede Grass",
ISNUMBER(SEARCH("dense shade",E810)),"Dense Shade Mix",
ISNUMBER(SEARCH("southern gold",E810)),"Southern Gold Mix",
ISNUMBER(SEARCH("heat-tolerant blue",E810)),"Heat-Tolerant Blue Mix",
ISNUMBER(SEARCH("high traffic",E810)),"High Traffic Mix",
ISNUMBER(SEARCH("quick fix",E810)),"Quick Fix Mix",
ISNUMBER(SEARCH("starter",E810)),"Starter Fertilizer",
ISNUMBER(SEARCH("weed &amp; feed",E810)),"Weed &amp; Feed",
ISNUMBER(SEARCH("lawn food",E810)),"Lawn Food",
ISNUMBER(SEARCH("triple action",E810)),"Triple Action Fertilizer",
ISNUMBER(SEARCH("green max",E810)),"Green Max Lawn Food",
ISNUMBER(SEARCH("patchmaster",E810)),"PatchMaster Repair",
ISNUMBER(SEARCH("ez seed",E810)),"EZ Seed Repair",
ISNUMBER(SEARCH("rapid grass",E810)),"Rapid Grass",
ISNUMBER(SEARCH("thick'r lawn",E810)),"Thick'R Lawn",
ISNUMBER(SEARCH("fungicide",E810)),"Fungicide",
ISNUMBER(SEARCH("moss",E810)),"Moss Control",
ISNUMBER(SEARCH("perlite",E810)),"Perlite",
ISNUMBER(SEARCH("plant food",E810)),"Plant Food",
ISNUMBER(SEARCH("spreader",E810)),"Spreader",
ISNUMBER(SEARCH("sprayer",E810)),"Sprayer",
ISNUMBER(SEARCH("mower",E810)),"Lawn Mower",
ISNUMBER(SEARCH("sweeper",E810)),"Lawn Sweeper",
OR(ISNUMBER(SEARCH("pruner",E810)),ISNUMBER(SEARCH("trimmer",E810)),ISNUMBER(SEARCH("pole saw",E810))),"Pruning Tools",
TRUE,"Other"
)</f>
        <v>Glue Traps</v>
      </c>
      <c r="J810" s="7" t="str">
        <f t="shared" si="228"/>
        <v>Crawling Insect Control - Glue Traps</v>
      </c>
      <c r="K810" s="4">
        <v>50</v>
      </c>
      <c r="L810" s="4">
        <v>4</v>
      </c>
      <c r="M810" s="4">
        <v>270</v>
      </c>
      <c r="N810" s="4" t="s">
        <v>1400</v>
      </c>
      <c r="O810" s="4">
        <f>VLOOKUP(A810,[15]Sheet1!$A:$M,2,0)</f>
        <v>0</v>
      </c>
      <c r="P810" s="4">
        <f>VLOOKUP(A810,[15]Sheet1!$A:$M,3,0)</f>
        <v>0</v>
      </c>
      <c r="Q810" s="4">
        <f>VLOOKUP(A810,[15]Sheet1!$A:$M,4,0)</f>
        <v>0</v>
      </c>
      <c r="R810" s="4">
        <f>VLOOKUP(A810,[15]Sheet1!$A:$M,5,0)</f>
        <v>0</v>
      </c>
      <c r="S810" s="4">
        <f>VLOOKUP(A810,[15]Sheet1!$A:$M,6,0)</f>
        <v>0</v>
      </c>
      <c r="T810" s="4">
        <f>VLOOKUP(A810,[15]Sheet1!$A:$M,7,0)</f>
        <v>0</v>
      </c>
      <c r="U810" s="4">
        <f>VLOOKUP(A810,[15]Sheet1!$A:$M,8,0)</f>
        <v>0</v>
      </c>
      <c r="V810" s="4">
        <f>VLOOKUP(A810,[15]Sheet1!$A:$M,9,0)</f>
        <v>0</v>
      </c>
      <c r="W810" s="4">
        <f>VLOOKUP(A810,[15]Sheet1!$A:$M,10,0)</f>
        <v>50</v>
      </c>
      <c r="X810" s="4">
        <f>VLOOKUP(A810,[15]Sheet1!$A:$M,11,0)</f>
        <v>0</v>
      </c>
      <c r="Y810" s="4">
        <f>VLOOKUP(A810,[15]Sheet1!$A:$M,12,0)</f>
        <v>0</v>
      </c>
      <c r="Z810" s="4">
        <f>VLOOKUP(A810,[15]Sheet1!$A:$M,13,0)</f>
        <v>0</v>
      </c>
      <c r="AA810" s="4">
        <f t="shared" si="229"/>
        <v>50</v>
      </c>
      <c r="AB810" s="7">
        <f t="shared" si="230"/>
        <v>4</v>
      </c>
      <c r="AC810" s="15">
        <f t="shared" si="231"/>
        <v>4.166666666666667</v>
      </c>
      <c r="AD810" s="16">
        <f t="shared" si="232"/>
        <v>443.49999999999994</v>
      </c>
      <c r="AE810" s="16">
        <f t="shared" si="233"/>
        <v>36.958333333333336</v>
      </c>
      <c r="AF810" s="21">
        <v>2.65</v>
      </c>
      <c r="AG810" s="21">
        <v>8.8699999999999992</v>
      </c>
      <c r="AH810" s="15">
        <f t="shared" si="242"/>
        <v>-6.8000000000000508E-3</v>
      </c>
      <c r="AI810" s="15">
        <f t="shared" si="243"/>
        <v>-2.3800000000000175E-2</v>
      </c>
      <c r="AJ810" s="10">
        <v>0.5</v>
      </c>
      <c r="AK810" s="10">
        <v>0.5</v>
      </c>
      <c r="AL810" s="21">
        <v>2.65</v>
      </c>
      <c r="AM810" s="9">
        <f t="shared" si="234"/>
        <v>1.3304999999999998</v>
      </c>
      <c r="AN810" s="9">
        <f t="shared" si="235"/>
        <v>0.26609999999999995</v>
      </c>
      <c r="AO810" s="9">
        <f t="shared" si="236"/>
        <v>1.774</v>
      </c>
      <c r="AP810" s="9">
        <f t="shared" si="237"/>
        <v>0.17739999999999997</v>
      </c>
      <c r="AQ810" s="9">
        <f t="shared" si="238"/>
        <v>1.774</v>
      </c>
      <c r="AR810" s="9">
        <f t="shared" si="239"/>
        <v>2.2174999999999998</v>
      </c>
      <c r="AS810" s="11">
        <f t="shared" si="240"/>
        <v>-6.8000000000000504E-2</v>
      </c>
      <c r="AT810" s="12">
        <f t="shared" si="241"/>
        <v>-0.36366666666666703</v>
      </c>
    </row>
    <row r="811" spans="1:46" ht="16.5" x14ac:dyDescent="0.4">
      <c r="A811" s="4" t="s">
        <v>3525</v>
      </c>
      <c r="B811" s="4" t="s">
        <v>3526</v>
      </c>
      <c r="C811" s="4" t="s">
        <v>3528</v>
      </c>
      <c r="D811" s="4" t="s">
        <v>3575</v>
      </c>
      <c r="E811" s="4" t="s">
        <v>3617</v>
      </c>
      <c r="F811" s="4" t="s">
        <v>3659</v>
      </c>
      <c r="G811" s="7" t="str">
        <f>VLOOKUP(A811,[1]done!$A:$I,9,0)</f>
        <v>Other Glue boards for insects or rodents</v>
      </c>
      <c r="H811" s="7" t="str" cm="1">
        <f t="array" ref="H811">_xlfn.IFS(
OR(ISNUMBER(SEARCH("mouse",E811)),ISNUMBER(SEARCH("rat",E811)),ISNUMBER(SEARCH("mice",E811)),ISNUMBER(SEARCH("rodent",E811))),"Rodent Control",
OR(ISNUMBER(SEARCH("fly",E811)),ISNUMBER(SEARCH("gnat",E811)),ISNUMBER(SEARCH("insect",E811)),ISNUMBER(SEARCH("mosquito",E811))),"Flying Insect Control",
OR(ISNUMBER(SEARCH("roach",E811)),ISNUMBER(SEARCH("ant",E811)),ISNUMBER(SEARCH("spider",E811)),ISNUMBER(SEARCH("cricket",E811)),ISNUMBER(SEARCH("scorpion",E811)),ISNUMBER(SEARCH("centipede",E811)),ISNUMBER(SEARCH("beetle",E811))),"Crawling Insect Control",
OR(ISNUMBER(SEARCH("tree",E811)),ISNUMBER(SEARCH("lantern",E811)),ISNUMBER(SEARCH("garden",E811)),ISNUMBER(SEARCH("plant",E811))),"Garden Pest Control",
OR(ISNUMBER(SEARCH("grass seed",E811)),ISNUMBER(SEARCH("seed mix",E811))),"Grass Seed",
OR(ISNUMBER(SEARCH("lawn food",E811)),ISNUMBER(SEARCH("fertilizer",E811))),"Lawn Fertilizer",
OR(ISNUMBER(SEARCH("patch",E811)),ISNUMBER(SEARCH("repair",E811)),ISNUMBER(SEARCH("thick'r",E811)),ISNUMBER(SEARCH("thick'r lawn",E811)),ISNUMBER(SEARCH("rapid grass",E811))),"Lawn Repair",
OR(ISNUMBER(SEARCH("weed",E811)),ISNUMBER(SEARCH("crabgrass",E811))),"Weed Control",
OR(ISNUMBER(SEARCH("fungicide",E811)),ISNUMBER(SEARCH("moss",E811))),"Disease &amp; Moss Control",
OR(ISNUMBER(SEARCH("plant food",E811)),ISNUMBER(SEARCH("miracid",E811))),"Plant Nutrition",
OR(ISNUMBER(SEARCH("perlite",E811))),"Soil Amendment",
OR(ISNUMBER(SEARCH("spreader",E811)),ISNUMBER(SEARCH("sprayer",E811)),ISNUMBER(SEARCH("mower",E811)),ISNUMBER(SEARCH("sweeper",E811)),ISNUMBER(SEARCH("pruner",E811)),ISNUMBER(SEARCH("trimmer",E811)),ISNUMBER(SEARCH("pole saw",E811))),"Garden Equipment",
TRUE,"Other"
)</f>
        <v>Garden Pest Control</v>
      </c>
      <c r="I811" s="7" t="str" cm="1">
        <f t="array" ref="I811">_xlfn.IFS(
OR(ISNUMBER(SEARCH("glue trap",E811)),ISNUMBER(SEARCH("glue board",E811))),"Glue Traps",
OR(ISNUMBER(SEARCH("snap trap",E811)),ISNUMBER(SEARCH("power-kill",E811)),ISNUMBER(SEARCH("wide pedal",E811)),ISNUMBER(SEARCH("metal pedal",E811))),"Snap Traps",
OR(ISNUMBER(SEARCH("electronic",E811)),ISNUMBER(SEARCH("zapper",E811))),"Electronic Traps",
OR(ISNUMBER(SEARCH("live catch",E811)),ISNUMBER(SEARCH("multi-catch",E811)),ISNUMBER(SEARCH("catch &amp; hold",E811)),ISNUMBER(SEARCH("tin cat",E811))),"Live Catch Traps",
OR(ISNUMBER(SEARCH("bait",E811)),ISNUMBER(SEARCH("poison",E811))),"Bait &amp; Poison",
ISNUMBER(SEARCH("repellent",E811)),"Repellents",
OR(ISNUMBER(SEARCH("fly trap",E811)),ISNUMBER(SEARCH("fly ribbon",E811)),ISNUMBER(SEARCH("fly stick",E811)),ISNUMBER(SEARCH("window fly",E811)),ISNUMBER(SEARCH("fly magnet",E811))),"Fly Traps",
OR(ISNUMBER(SEARCH("uv",E811)),ISNUMBER(SEARCH("fly light",E811)),ISNUMBER(SEARCH("plug-in",E811))),"UV Fly Traps",
ISNUMBER(SEARCH("roach",E811)),"Roach Traps",
ISNUMBER(SEARCH("ant",E811)),"Ant Traps",
ISNUMBER(SEARCH("spider",E811)),"Spider Traps",
ISNUMBER(SEARCH("mosquito",E811)),"Mosquito Traps",
ISNUMBER(SEARCH("beetle",E811)),"Beetle Traps",
ISNUMBER(SEARCH("lantern",E811)),"Lanternfly Control",
OR(ISNUMBER(SEARCH("tree shield",E811)),ISNUMBER(SEARCH("tree banding",E811)),ISNUMBER(SEARCH("insect barrier",E811))),"Tree Barriers",
OR(ISNUMBER(SEARCH("sun &amp; shade",E811)),ISNUMBER(SEARCH("sun and shade",E811))),"Sun &amp; Shade Mix",
ISNUMBER(SEARCH("tall fescue",E811)),"Tall Fescue",
ISNUMBER(SEARCH("bermudagrass",E811)),"Bermudagrass",
ISNUMBER(SEARCH("kentucky",E811)),"Kentucky Bluegrass",
ISNUMBER(SEARCH("zoysia",E811)),"Zoysia",
ISNUMBER(SEARCH("ryegrass",E811)),"Perennial Ryegrass",
ISNUMBER(SEARCH("centipede",E811)),"Centipede Grass",
ISNUMBER(SEARCH("dense shade",E811)),"Dense Shade Mix",
ISNUMBER(SEARCH("southern gold",E811)),"Southern Gold Mix",
ISNUMBER(SEARCH("heat-tolerant blue",E811)),"Heat-Tolerant Blue Mix",
ISNUMBER(SEARCH("high traffic",E811)),"High Traffic Mix",
ISNUMBER(SEARCH("quick fix",E811)),"Quick Fix Mix",
ISNUMBER(SEARCH("starter",E811)),"Starter Fertilizer",
ISNUMBER(SEARCH("weed &amp; feed",E811)),"Weed &amp; Feed",
ISNUMBER(SEARCH("lawn food",E811)),"Lawn Food",
ISNUMBER(SEARCH("triple action",E811)),"Triple Action Fertilizer",
ISNUMBER(SEARCH("green max",E811)),"Green Max Lawn Food",
ISNUMBER(SEARCH("patchmaster",E811)),"PatchMaster Repair",
ISNUMBER(SEARCH("ez seed",E811)),"EZ Seed Repair",
ISNUMBER(SEARCH("rapid grass",E811)),"Rapid Grass",
ISNUMBER(SEARCH("thick'r lawn",E811)),"Thick'R Lawn",
ISNUMBER(SEARCH("fungicide",E811)),"Fungicide",
ISNUMBER(SEARCH("moss",E811)),"Moss Control",
ISNUMBER(SEARCH("perlite",E811)),"Perlite",
ISNUMBER(SEARCH("plant food",E811)),"Plant Food",
ISNUMBER(SEARCH("spreader",E811)),"Spreader",
ISNUMBER(SEARCH("sprayer",E811)),"Sprayer",
ISNUMBER(SEARCH("mower",E811)),"Lawn Mower",
ISNUMBER(SEARCH("sweeper",E811)),"Lawn Sweeper",
OR(ISNUMBER(SEARCH("pruner",E811)),ISNUMBER(SEARCH("trimmer",E811)),ISNUMBER(SEARCH("pole saw",E811))),"Pruning Tools",
TRUE,"Other"
)</f>
        <v>Sprayer</v>
      </c>
      <c r="J811" s="7" t="str">
        <f t="shared" si="228"/>
        <v>Garden Pest Control - Sprayer</v>
      </c>
      <c r="K811" s="4">
        <v>50</v>
      </c>
      <c r="L811" s="4">
        <v>3.9</v>
      </c>
      <c r="M811" s="4">
        <v>3723</v>
      </c>
      <c r="N811" s="4" t="s">
        <v>3682</v>
      </c>
      <c r="O811" s="4">
        <f>VLOOKUP(A811,[15]Sheet1!$A:$M,2,0)</f>
        <v>50</v>
      </c>
      <c r="P811" s="4">
        <f>VLOOKUP(A811,[15]Sheet1!$A:$M,3,0)</f>
        <v>100</v>
      </c>
      <c r="Q811" s="4">
        <f>VLOOKUP(A811,[15]Sheet1!$A:$M,4,0)</f>
        <v>100</v>
      </c>
      <c r="R811" s="4">
        <f>VLOOKUP(A811,[15]Sheet1!$A:$M,5,0)</f>
        <v>100</v>
      </c>
      <c r="S811" s="4">
        <f>VLOOKUP(A811,[15]Sheet1!$A:$M,6,0)</f>
        <v>200</v>
      </c>
      <c r="T811" s="4">
        <f>VLOOKUP(A811,[15]Sheet1!$A:$M,7,0)</f>
        <v>200</v>
      </c>
      <c r="U811" s="4">
        <f>VLOOKUP(A811,[15]Sheet1!$A:$M,8,0)</f>
        <v>100</v>
      </c>
      <c r="V811" s="4">
        <f>VLOOKUP(A811,[15]Sheet1!$A:$M,9,0)</f>
        <v>200</v>
      </c>
      <c r="W811" s="4">
        <f>VLOOKUP(A811,[15]Sheet1!$A:$M,10,0)</f>
        <v>50</v>
      </c>
      <c r="X811" s="4">
        <f>VLOOKUP(A811,[15]Sheet1!$A:$M,11,0)</f>
        <v>300</v>
      </c>
      <c r="Y811" s="4">
        <f>VLOOKUP(A811,[15]Sheet1!$A:$M,12,0)</f>
        <v>100</v>
      </c>
      <c r="Z811" s="4">
        <f>VLOOKUP(A811,[15]Sheet1!$A:$M,13,0)</f>
        <v>100</v>
      </c>
      <c r="AA811" s="4">
        <f t="shared" si="229"/>
        <v>1600</v>
      </c>
      <c r="AB811" s="7">
        <f t="shared" si="230"/>
        <v>133</v>
      </c>
      <c r="AC811" s="15">
        <f t="shared" si="231"/>
        <v>133.33333333333334</v>
      </c>
      <c r="AD811" s="16">
        <f t="shared" si="232"/>
        <v>28912</v>
      </c>
      <c r="AE811" s="16">
        <f t="shared" si="233"/>
        <v>2409.3333333333335</v>
      </c>
      <c r="AF811" s="21">
        <v>8.1199999999999992</v>
      </c>
      <c r="AG811" s="21">
        <v>18.07</v>
      </c>
      <c r="AH811" s="15">
        <f t="shared" si="242"/>
        <v>-0.12613333333333329</v>
      </c>
      <c r="AI811" s="15">
        <f t="shared" si="243"/>
        <v>-0.44146666666666645</v>
      </c>
      <c r="AJ811" s="10">
        <v>0.5</v>
      </c>
      <c r="AK811" s="10">
        <v>0.5</v>
      </c>
      <c r="AL811" s="21">
        <v>8.1199999999999992</v>
      </c>
      <c r="AM811" s="9">
        <f t="shared" si="234"/>
        <v>2.7105000000000001</v>
      </c>
      <c r="AN811" s="9">
        <f t="shared" si="235"/>
        <v>0.54210000000000003</v>
      </c>
      <c r="AO811" s="9">
        <f t="shared" si="236"/>
        <v>3.6140000000000003</v>
      </c>
      <c r="AP811" s="9">
        <f t="shared" si="237"/>
        <v>0.3614</v>
      </c>
      <c r="AQ811" s="9">
        <f t="shared" si="238"/>
        <v>3.6140000000000003</v>
      </c>
      <c r="AR811" s="9">
        <f t="shared" si="239"/>
        <v>4.5175000000000001</v>
      </c>
      <c r="AS811" s="11">
        <f t="shared" si="240"/>
        <v>-1.2613333333333328</v>
      </c>
      <c r="AT811" s="12">
        <f t="shared" si="241"/>
        <v>-1.8636666666666659</v>
      </c>
    </row>
    <row r="812" spans="1:46" ht="16.5" x14ac:dyDescent="0.4">
      <c r="A812" s="4" t="s">
        <v>3683</v>
      </c>
      <c r="B812" s="4" t="s">
        <v>3710</v>
      </c>
      <c r="C812" s="4" t="s">
        <v>3710</v>
      </c>
      <c r="D812" s="4" t="s">
        <v>3711</v>
      </c>
      <c r="E812" s="4" t="s">
        <v>3735</v>
      </c>
      <c r="F812" s="4" t="s">
        <v>3756</v>
      </c>
      <c r="G812" s="7" t="str">
        <f>VLOOKUP(A812,[1]done!$A:$I,9,0)</f>
        <v>Mosquito/Fly</v>
      </c>
      <c r="H812" s="7" t="str" cm="1">
        <f t="array" ref="H812">_xlfn.IFS(
OR(ISNUMBER(SEARCH("mouse",E812)),ISNUMBER(SEARCH("rat",E812)),ISNUMBER(SEARCH("mice",E812)),ISNUMBER(SEARCH("rodent",E812))),"Rodent Control",
OR(ISNUMBER(SEARCH("fly",E812)),ISNUMBER(SEARCH("gnat",E812)),ISNUMBER(SEARCH("insect",E812)),ISNUMBER(SEARCH("mosquito",E812))),"Flying Insect Control",
OR(ISNUMBER(SEARCH("roach",E812)),ISNUMBER(SEARCH("ant",E812)),ISNUMBER(SEARCH("spider",E812)),ISNUMBER(SEARCH("cricket",E812)),ISNUMBER(SEARCH("scorpion",E812)),ISNUMBER(SEARCH("centipede",E812)),ISNUMBER(SEARCH("beetle",E812))),"Crawling Insect Control",
OR(ISNUMBER(SEARCH("tree",E812)),ISNUMBER(SEARCH("lantern",E812)),ISNUMBER(SEARCH("garden",E812)),ISNUMBER(SEARCH("plant",E812))),"Garden Pest Control",
OR(ISNUMBER(SEARCH("grass seed",E812)),ISNUMBER(SEARCH("seed mix",E812))),"Grass Seed",
OR(ISNUMBER(SEARCH("lawn food",E812)),ISNUMBER(SEARCH("fertilizer",E812))),"Lawn Fertilizer",
OR(ISNUMBER(SEARCH("patch",E812)),ISNUMBER(SEARCH("repair",E812)),ISNUMBER(SEARCH("thick'r",E812)),ISNUMBER(SEARCH("thick'r lawn",E812)),ISNUMBER(SEARCH("rapid grass",E812))),"Lawn Repair",
OR(ISNUMBER(SEARCH("weed",E812)),ISNUMBER(SEARCH("crabgrass",E812))),"Weed Control",
OR(ISNUMBER(SEARCH("fungicide",E812)),ISNUMBER(SEARCH("moss",E812))),"Disease &amp; Moss Control",
OR(ISNUMBER(SEARCH("plant food",E812)),ISNUMBER(SEARCH("miracid",E812))),"Plant Nutrition",
OR(ISNUMBER(SEARCH("perlite",E812))),"Soil Amendment",
OR(ISNUMBER(SEARCH("spreader",E812)),ISNUMBER(SEARCH("sprayer",E812)),ISNUMBER(SEARCH("mower",E812)),ISNUMBER(SEARCH("sweeper",E812)),ISNUMBER(SEARCH("pruner",E812)),ISNUMBER(SEARCH("trimmer",E812)),ISNUMBER(SEARCH("pole saw",E812))),"Garden Equipment",
TRUE,"Other"
)</f>
        <v>Flying Insect Control</v>
      </c>
      <c r="I812" s="7" t="str" cm="1">
        <f t="array" ref="I812">_xlfn.IFS(
OR(ISNUMBER(SEARCH("glue trap",E812)),ISNUMBER(SEARCH("glue board",E812))),"Glue Traps",
OR(ISNUMBER(SEARCH("snap trap",E812)),ISNUMBER(SEARCH("power-kill",E812)),ISNUMBER(SEARCH("wide pedal",E812)),ISNUMBER(SEARCH("metal pedal",E812))),"Snap Traps",
OR(ISNUMBER(SEARCH("electronic",E812)),ISNUMBER(SEARCH("zapper",E812))),"Electronic Traps",
OR(ISNUMBER(SEARCH("live catch",E812)),ISNUMBER(SEARCH("multi-catch",E812)),ISNUMBER(SEARCH("catch &amp; hold",E812)),ISNUMBER(SEARCH("tin cat",E812))),"Live Catch Traps",
OR(ISNUMBER(SEARCH("bait",E812)),ISNUMBER(SEARCH("poison",E812))),"Bait &amp; Poison",
ISNUMBER(SEARCH("repellent",E812)),"Repellents",
OR(ISNUMBER(SEARCH("fly trap",E812)),ISNUMBER(SEARCH("fly ribbon",E812)),ISNUMBER(SEARCH("fly stick",E812)),ISNUMBER(SEARCH("window fly",E812)),ISNUMBER(SEARCH("fly magnet",E812))),"Fly Traps",
OR(ISNUMBER(SEARCH("uv",E812)),ISNUMBER(SEARCH("fly light",E812)),ISNUMBER(SEARCH("plug-in",E812))),"UV Fly Traps",
ISNUMBER(SEARCH("roach",E812)),"Roach Traps",
ISNUMBER(SEARCH("ant",E812)),"Ant Traps",
ISNUMBER(SEARCH("spider",E812)),"Spider Traps",
ISNUMBER(SEARCH("mosquito",E812)),"Mosquito Traps",
ISNUMBER(SEARCH("beetle",E812)),"Beetle Traps",
ISNUMBER(SEARCH("lantern",E812)),"Lanternfly Control",
OR(ISNUMBER(SEARCH("tree shield",E812)),ISNUMBER(SEARCH("tree banding",E812)),ISNUMBER(SEARCH("insect barrier",E812))),"Tree Barriers",
OR(ISNUMBER(SEARCH("sun &amp; shade",E812)),ISNUMBER(SEARCH("sun and shade",E812))),"Sun &amp; Shade Mix",
ISNUMBER(SEARCH("tall fescue",E812)),"Tall Fescue",
ISNUMBER(SEARCH("bermudagrass",E812)),"Bermudagrass",
ISNUMBER(SEARCH("kentucky",E812)),"Kentucky Bluegrass",
ISNUMBER(SEARCH("zoysia",E812)),"Zoysia",
ISNUMBER(SEARCH("ryegrass",E812)),"Perennial Ryegrass",
ISNUMBER(SEARCH("centipede",E812)),"Centipede Grass",
ISNUMBER(SEARCH("dense shade",E812)),"Dense Shade Mix",
ISNUMBER(SEARCH("southern gold",E812)),"Southern Gold Mix",
ISNUMBER(SEARCH("heat-tolerant blue",E812)),"Heat-Tolerant Blue Mix",
ISNUMBER(SEARCH("high traffic",E812)),"High Traffic Mix",
ISNUMBER(SEARCH("quick fix",E812)),"Quick Fix Mix",
ISNUMBER(SEARCH("starter",E812)),"Starter Fertilizer",
ISNUMBER(SEARCH("weed &amp; feed",E812)),"Weed &amp; Feed",
ISNUMBER(SEARCH("lawn food",E812)),"Lawn Food",
ISNUMBER(SEARCH("triple action",E812)),"Triple Action Fertilizer",
ISNUMBER(SEARCH("green max",E812)),"Green Max Lawn Food",
ISNUMBER(SEARCH("patchmaster",E812)),"PatchMaster Repair",
ISNUMBER(SEARCH("ez seed",E812)),"EZ Seed Repair",
ISNUMBER(SEARCH("rapid grass",E812)),"Rapid Grass",
ISNUMBER(SEARCH("thick'r lawn",E812)),"Thick'R Lawn",
ISNUMBER(SEARCH("fungicide",E812)),"Fungicide",
ISNUMBER(SEARCH("moss",E812)),"Moss Control",
ISNUMBER(SEARCH("perlite",E812)),"Perlite",
ISNUMBER(SEARCH("plant food",E812)),"Plant Food",
ISNUMBER(SEARCH("spreader",E812)),"Spreader",
ISNUMBER(SEARCH("sprayer",E812)),"Sprayer",
ISNUMBER(SEARCH("mower",E812)),"Lawn Mower",
ISNUMBER(SEARCH("sweeper",E812)),"Lawn Sweeper",
OR(ISNUMBER(SEARCH("pruner",E812)),ISNUMBER(SEARCH("trimmer",E812)),ISNUMBER(SEARCH("pole saw",E812))),"Pruning Tools",
TRUE,"Other"
)</f>
        <v>UV Fly Traps</v>
      </c>
      <c r="J812" s="7" t="str">
        <f t="shared" si="228"/>
        <v>Flying Insect Control - UV Fly Traps</v>
      </c>
      <c r="K812" s="4">
        <v>2000</v>
      </c>
      <c r="L812" s="4">
        <v>4.0999999999999996</v>
      </c>
      <c r="M812" s="4">
        <v>775</v>
      </c>
      <c r="N812" s="4" t="s">
        <v>3783</v>
      </c>
      <c r="O812" s="4">
        <f>VLOOKUP(A812,[16]Sheet1!$A:$M,2,0)</f>
        <v>0</v>
      </c>
      <c r="P812" s="4">
        <f>VLOOKUP(A812,[16]Sheet1!$A:$M,3,0)</f>
        <v>0</v>
      </c>
      <c r="Q812" s="4">
        <f>VLOOKUP(A812,[16]Sheet1!$A:$M,4,0)</f>
        <v>0</v>
      </c>
      <c r="R812" s="4">
        <f>VLOOKUP(A812,[16]Sheet1!$A:$M,5,0)</f>
        <v>0</v>
      </c>
      <c r="S812" s="4">
        <f>VLOOKUP(A812,[16]Sheet1!$A:$M,6,0)</f>
        <v>0</v>
      </c>
      <c r="T812" s="4">
        <f>VLOOKUP(A812,[16]Sheet1!$A:$M,7,0)</f>
        <v>0</v>
      </c>
      <c r="U812" s="4">
        <f>VLOOKUP(A812,[16]Sheet1!$A:$M,8,0)</f>
        <v>0</v>
      </c>
      <c r="V812" s="4">
        <f>VLOOKUP(A812,[16]Sheet1!$A:$M,9,0)</f>
        <v>0</v>
      </c>
      <c r="W812" s="4">
        <f>VLOOKUP(A812,[16]Sheet1!$A:$M,10,0)</f>
        <v>2000</v>
      </c>
      <c r="X812" s="4">
        <f>VLOOKUP(A812,[16]Sheet1!$A:$M,11,0)</f>
        <v>0</v>
      </c>
      <c r="Y812" s="4">
        <f>VLOOKUP(A812,[16]Sheet1!$A:$M,12,0)</f>
        <v>0</v>
      </c>
      <c r="Z812" s="4">
        <f>VLOOKUP(A812,[16]Sheet1!$A:$M,13,0)</f>
        <v>0</v>
      </c>
      <c r="AA812" s="4">
        <f t="shared" ref="AA812:AA838" si="244">SUM(O812:Z812)</f>
        <v>2000</v>
      </c>
      <c r="AB812" s="7">
        <f t="shared" ref="AB812:AB838" si="245">ROUND(AA812/12,0)</f>
        <v>167</v>
      </c>
      <c r="AC812" s="15">
        <f t="shared" ref="AC812:AC838" si="246">AVERAGE(O812:Z812)</f>
        <v>166.66666666666666</v>
      </c>
      <c r="AD812" s="16">
        <f t="shared" ref="AD812:AD838" si="247">AG812*AA812</f>
        <v>19980</v>
      </c>
      <c r="AE812" s="16">
        <f t="shared" ref="AE812:AE861" si="248">AG812*AC812</f>
        <v>1665</v>
      </c>
      <c r="AF812" s="21">
        <v>3.24</v>
      </c>
      <c r="AG812" s="21">
        <v>9.99</v>
      </c>
      <c r="AH812" s="15">
        <f t="shared" si="242"/>
        <v>-1.626666666666671E-2</v>
      </c>
      <c r="AI812" s="15">
        <f t="shared" si="243"/>
        <v>-5.6933333333333482E-2</v>
      </c>
      <c r="AJ812" s="10">
        <v>0.5</v>
      </c>
      <c r="AK812" s="10">
        <v>0.5</v>
      </c>
      <c r="AL812" s="21">
        <v>3.24</v>
      </c>
      <c r="AM812" s="9">
        <f t="shared" si="234"/>
        <v>1.4984999999999999</v>
      </c>
      <c r="AN812" s="9">
        <f t="shared" si="235"/>
        <v>0.29970000000000002</v>
      </c>
      <c r="AO812" s="9">
        <f t="shared" si="236"/>
        <v>1.9980000000000002</v>
      </c>
      <c r="AP812" s="9">
        <f t="shared" si="237"/>
        <v>0.19980000000000001</v>
      </c>
      <c r="AQ812" s="9">
        <f t="shared" si="238"/>
        <v>1.9980000000000002</v>
      </c>
      <c r="AR812" s="9">
        <f t="shared" si="239"/>
        <v>2.4975000000000001</v>
      </c>
      <c r="AS812" s="11">
        <f t="shared" si="240"/>
        <v>-0.1626666666666671</v>
      </c>
      <c r="AT812" s="12">
        <f t="shared" si="241"/>
        <v>-0.49566666666666698</v>
      </c>
    </row>
    <row r="813" spans="1:46" ht="16.5" x14ac:dyDescent="0.4">
      <c r="A813" s="4" t="s">
        <v>3684</v>
      </c>
      <c r="B813" s="4" t="s">
        <v>3710</v>
      </c>
      <c r="C813" s="4" t="s">
        <v>3710</v>
      </c>
      <c r="D813" s="4" t="s">
        <v>3712</v>
      </c>
      <c r="E813" s="4" t="s">
        <v>3736</v>
      </c>
      <c r="F813" s="4" t="s">
        <v>3757</v>
      </c>
      <c r="G813" s="7" t="str">
        <f>VLOOKUP(A813,[1]done!$A:$I,9,0)</f>
        <v>Mosquito/Fly</v>
      </c>
      <c r="H813" s="7" t="str" cm="1">
        <f t="array" ref="H813">_xlfn.IFS(
OR(ISNUMBER(SEARCH("mouse",E813)),ISNUMBER(SEARCH("rat",E813)),ISNUMBER(SEARCH("mice",E813)),ISNUMBER(SEARCH("rodent",E813))),"Rodent Control",
OR(ISNUMBER(SEARCH("fly",E813)),ISNUMBER(SEARCH("gnat",E813)),ISNUMBER(SEARCH("insect",E813)),ISNUMBER(SEARCH("mosquito",E813))),"Flying Insect Control",
OR(ISNUMBER(SEARCH("roach",E813)),ISNUMBER(SEARCH("ant",E813)),ISNUMBER(SEARCH("spider",E813)),ISNUMBER(SEARCH("cricket",E813)),ISNUMBER(SEARCH("scorpion",E813)),ISNUMBER(SEARCH("centipede",E813)),ISNUMBER(SEARCH("beetle",E813))),"Crawling Insect Control",
OR(ISNUMBER(SEARCH("tree",E813)),ISNUMBER(SEARCH("lantern",E813)),ISNUMBER(SEARCH("garden",E813)),ISNUMBER(SEARCH("plant",E813))),"Garden Pest Control",
OR(ISNUMBER(SEARCH("grass seed",E813)),ISNUMBER(SEARCH("seed mix",E813))),"Grass Seed",
OR(ISNUMBER(SEARCH("lawn food",E813)),ISNUMBER(SEARCH("fertilizer",E813))),"Lawn Fertilizer",
OR(ISNUMBER(SEARCH("patch",E813)),ISNUMBER(SEARCH("repair",E813)),ISNUMBER(SEARCH("thick'r",E813)),ISNUMBER(SEARCH("thick'r lawn",E813)),ISNUMBER(SEARCH("rapid grass",E813))),"Lawn Repair",
OR(ISNUMBER(SEARCH("weed",E813)),ISNUMBER(SEARCH("crabgrass",E813))),"Weed Control",
OR(ISNUMBER(SEARCH("fungicide",E813)),ISNUMBER(SEARCH("moss",E813))),"Disease &amp; Moss Control",
OR(ISNUMBER(SEARCH("plant food",E813)),ISNUMBER(SEARCH("miracid",E813))),"Plant Nutrition",
OR(ISNUMBER(SEARCH("perlite",E813))),"Soil Amendment",
OR(ISNUMBER(SEARCH("spreader",E813)),ISNUMBER(SEARCH("sprayer",E813)),ISNUMBER(SEARCH("mower",E813)),ISNUMBER(SEARCH("sweeper",E813)),ISNUMBER(SEARCH("pruner",E813)),ISNUMBER(SEARCH("trimmer",E813)),ISNUMBER(SEARCH("pole saw",E813))),"Garden Equipment",
TRUE,"Other"
)</f>
        <v>Flying Insect Control</v>
      </c>
      <c r="I813" s="7" t="str" cm="1">
        <f t="array" ref="I813">_xlfn.IFS(
OR(ISNUMBER(SEARCH("glue trap",E813)),ISNUMBER(SEARCH("glue board",E813))),"Glue Traps",
OR(ISNUMBER(SEARCH("snap trap",E813)),ISNUMBER(SEARCH("power-kill",E813)),ISNUMBER(SEARCH("wide pedal",E813)),ISNUMBER(SEARCH("metal pedal",E813))),"Snap Traps",
OR(ISNUMBER(SEARCH("electronic",E813)),ISNUMBER(SEARCH("zapper",E813))),"Electronic Traps",
OR(ISNUMBER(SEARCH("live catch",E813)),ISNUMBER(SEARCH("multi-catch",E813)),ISNUMBER(SEARCH("catch &amp; hold",E813)),ISNUMBER(SEARCH("tin cat",E813))),"Live Catch Traps",
OR(ISNUMBER(SEARCH("bait",E813)),ISNUMBER(SEARCH("poison",E813))),"Bait &amp; Poison",
ISNUMBER(SEARCH("repellent",E813)),"Repellents",
OR(ISNUMBER(SEARCH("fly trap",E813)),ISNUMBER(SEARCH("fly ribbon",E813)),ISNUMBER(SEARCH("fly stick",E813)),ISNUMBER(SEARCH("window fly",E813)),ISNUMBER(SEARCH("fly magnet",E813))),"Fly Traps",
OR(ISNUMBER(SEARCH("uv",E813)),ISNUMBER(SEARCH("fly light",E813)),ISNUMBER(SEARCH("plug-in",E813))),"UV Fly Traps",
ISNUMBER(SEARCH("roach",E813)),"Roach Traps",
ISNUMBER(SEARCH("ant",E813)),"Ant Traps",
ISNUMBER(SEARCH("spider",E813)),"Spider Traps",
ISNUMBER(SEARCH("mosquito",E813)),"Mosquito Traps",
ISNUMBER(SEARCH("beetle",E813)),"Beetle Traps",
ISNUMBER(SEARCH("lantern",E813)),"Lanternfly Control",
OR(ISNUMBER(SEARCH("tree shield",E813)),ISNUMBER(SEARCH("tree banding",E813)),ISNUMBER(SEARCH("insect barrier",E813))),"Tree Barriers",
OR(ISNUMBER(SEARCH("sun &amp; shade",E813)),ISNUMBER(SEARCH("sun and shade",E813))),"Sun &amp; Shade Mix",
ISNUMBER(SEARCH("tall fescue",E813)),"Tall Fescue",
ISNUMBER(SEARCH("bermudagrass",E813)),"Bermudagrass",
ISNUMBER(SEARCH("kentucky",E813)),"Kentucky Bluegrass",
ISNUMBER(SEARCH("zoysia",E813)),"Zoysia",
ISNUMBER(SEARCH("ryegrass",E813)),"Perennial Ryegrass",
ISNUMBER(SEARCH("centipede",E813)),"Centipede Grass",
ISNUMBER(SEARCH("dense shade",E813)),"Dense Shade Mix",
ISNUMBER(SEARCH("southern gold",E813)),"Southern Gold Mix",
ISNUMBER(SEARCH("heat-tolerant blue",E813)),"Heat-Tolerant Blue Mix",
ISNUMBER(SEARCH("high traffic",E813)),"High Traffic Mix",
ISNUMBER(SEARCH("quick fix",E813)),"Quick Fix Mix",
ISNUMBER(SEARCH("starter",E813)),"Starter Fertilizer",
ISNUMBER(SEARCH("weed &amp; feed",E813)),"Weed &amp; Feed",
ISNUMBER(SEARCH("lawn food",E813)),"Lawn Food",
ISNUMBER(SEARCH("triple action",E813)),"Triple Action Fertilizer",
ISNUMBER(SEARCH("green max",E813)),"Green Max Lawn Food",
ISNUMBER(SEARCH("patchmaster",E813)),"PatchMaster Repair",
ISNUMBER(SEARCH("ez seed",E813)),"EZ Seed Repair",
ISNUMBER(SEARCH("rapid grass",E813)),"Rapid Grass",
ISNUMBER(SEARCH("thick'r lawn",E813)),"Thick'R Lawn",
ISNUMBER(SEARCH("fungicide",E813)),"Fungicide",
ISNUMBER(SEARCH("moss",E813)),"Moss Control",
ISNUMBER(SEARCH("perlite",E813)),"Perlite",
ISNUMBER(SEARCH("plant food",E813)),"Plant Food",
ISNUMBER(SEARCH("spreader",E813)),"Spreader",
ISNUMBER(SEARCH("sprayer",E813)),"Sprayer",
ISNUMBER(SEARCH("mower",E813)),"Lawn Mower",
ISNUMBER(SEARCH("sweeper",E813)),"Lawn Sweeper",
OR(ISNUMBER(SEARCH("pruner",E813)),ISNUMBER(SEARCH("trimmer",E813)),ISNUMBER(SEARCH("pole saw",E813))),"Pruning Tools",
TRUE,"Other"
)</f>
        <v>Fly Traps</v>
      </c>
      <c r="J813" s="7" t="str">
        <f t="shared" si="228"/>
        <v>Flying Insect Control - Fly Traps</v>
      </c>
      <c r="K813" s="4">
        <v>1000</v>
      </c>
      <c r="L813" s="4">
        <v>4</v>
      </c>
      <c r="M813" s="4">
        <v>322</v>
      </c>
      <c r="N813" s="4" t="s">
        <v>3784</v>
      </c>
      <c r="O813" s="4">
        <f>VLOOKUP(A813,[16]Sheet1!$A:$M,2,0)</f>
        <v>0</v>
      </c>
      <c r="P813" s="4">
        <f>VLOOKUP(A813,[16]Sheet1!$A:$M,3,0)</f>
        <v>0</v>
      </c>
      <c r="Q813" s="4">
        <f>VLOOKUP(A813,[16]Sheet1!$A:$M,4,0)</f>
        <v>0</v>
      </c>
      <c r="R813" s="4">
        <f>VLOOKUP(A813,[16]Sheet1!$A:$M,5,0)</f>
        <v>0</v>
      </c>
      <c r="S813" s="4">
        <f>VLOOKUP(A813,[16]Sheet1!$A:$M,6,0)</f>
        <v>200</v>
      </c>
      <c r="T813" s="4">
        <f>VLOOKUP(A813,[16]Sheet1!$A:$M,7,0)</f>
        <v>200</v>
      </c>
      <c r="U813" s="4">
        <f>VLOOKUP(A813,[16]Sheet1!$A:$M,8,0)</f>
        <v>300</v>
      </c>
      <c r="V813" s="4">
        <f>VLOOKUP(A813,[16]Sheet1!$A:$M,9,0)</f>
        <v>1000</v>
      </c>
      <c r="W813" s="4">
        <f>VLOOKUP(A813,[16]Sheet1!$A:$M,10,0)</f>
        <v>1000</v>
      </c>
      <c r="X813" s="4">
        <f>VLOOKUP(A813,[16]Sheet1!$A:$M,11,0)</f>
        <v>0</v>
      </c>
      <c r="Y813" s="4">
        <f>VLOOKUP(A813,[16]Sheet1!$A:$M,12,0)</f>
        <v>0</v>
      </c>
      <c r="Z813" s="4">
        <f>VLOOKUP(A813,[16]Sheet1!$A:$M,13,0)</f>
        <v>0</v>
      </c>
      <c r="AA813" s="4">
        <f t="shared" si="244"/>
        <v>2700</v>
      </c>
      <c r="AB813" s="7">
        <f t="shared" si="245"/>
        <v>225</v>
      </c>
      <c r="AC813" s="15">
        <f t="shared" si="246"/>
        <v>225</v>
      </c>
      <c r="AD813" s="16">
        <f t="shared" si="247"/>
        <v>24273</v>
      </c>
      <c r="AE813" s="16">
        <f t="shared" si="248"/>
        <v>2022.75</v>
      </c>
      <c r="AF813" s="21">
        <v>3.24</v>
      </c>
      <c r="AG813" s="21">
        <v>8.99</v>
      </c>
      <c r="AH813" s="15">
        <f t="shared" si="242"/>
        <v>-4.2933333333333344E-2</v>
      </c>
      <c r="AI813" s="15">
        <f t="shared" si="243"/>
        <v>-0.15026666666666669</v>
      </c>
      <c r="AJ813" s="10">
        <v>0.5</v>
      </c>
      <c r="AK813" s="10">
        <v>0.5</v>
      </c>
      <c r="AL813" s="21">
        <v>3.24</v>
      </c>
      <c r="AM813" s="9">
        <f t="shared" si="234"/>
        <v>1.3485</v>
      </c>
      <c r="AN813" s="9">
        <f t="shared" si="235"/>
        <v>0.2697</v>
      </c>
      <c r="AO813" s="9">
        <f t="shared" si="236"/>
        <v>1.798</v>
      </c>
      <c r="AP813" s="9">
        <f t="shared" si="237"/>
        <v>0.17980000000000002</v>
      </c>
      <c r="AQ813" s="9">
        <f t="shared" si="238"/>
        <v>1.798</v>
      </c>
      <c r="AR813" s="9">
        <f t="shared" si="239"/>
        <v>2.2475000000000001</v>
      </c>
      <c r="AS813" s="11">
        <f t="shared" si="240"/>
        <v>-0.4293333333333334</v>
      </c>
      <c r="AT813" s="12">
        <f t="shared" si="241"/>
        <v>-0.72900000000000009</v>
      </c>
    </row>
    <row r="814" spans="1:46" ht="16.5" x14ac:dyDescent="0.4">
      <c r="A814" s="4" t="s">
        <v>3685</v>
      </c>
      <c r="B814" s="4" t="s">
        <v>3710</v>
      </c>
      <c r="C814" s="4" t="s">
        <v>3710</v>
      </c>
      <c r="D814" s="4" t="s">
        <v>3713</v>
      </c>
      <c r="E814" s="4" t="s">
        <v>3737</v>
      </c>
      <c r="F814" s="4" t="s">
        <v>3758</v>
      </c>
      <c r="G814" s="7" t="str">
        <f>VLOOKUP(A814,[1]done!$A:$I,9,0)</f>
        <v>Mosquito/Fly</v>
      </c>
      <c r="H814" s="7" t="str" cm="1">
        <f t="array" ref="H814">_xlfn.IFS(
OR(ISNUMBER(SEARCH("mouse",E814)),ISNUMBER(SEARCH("rat",E814)),ISNUMBER(SEARCH("mice",E814)),ISNUMBER(SEARCH("rodent",E814))),"Rodent Control",
OR(ISNUMBER(SEARCH("fly",E814)),ISNUMBER(SEARCH("gnat",E814)),ISNUMBER(SEARCH("insect",E814)),ISNUMBER(SEARCH("mosquito",E814))),"Flying Insect Control",
OR(ISNUMBER(SEARCH("roach",E814)),ISNUMBER(SEARCH("ant",E814)),ISNUMBER(SEARCH("spider",E814)),ISNUMBER(SEARCH("cricket",E814)),ISNUMBER(SEARCH("scorpion",E814)),ISNUMBER(SEARCH("centipede",E814)),ISNUMBER(SEARCH("beetle",E814))),"Crawling Insect Control",
OR(ISNUMBER(SEARCH("tree",E814)),ISNUMBER(SEARCH("lantern",E814)),ISNUMBER(SEARCH("garden",E814)),ISNUMBER(SEARCH("plant",E814))),"Garden Pest Control",
OR(ISNUMBER(SEARCH("grass seed",E814)),ISNUMBER(SEARCH("seed mix",E814))),"Grass Seed",
OR(ISNUMBER(SEARCH("lawn food",E814)),ISNUMBER(SEARCH("fertilizer",E814))),"Lawn Fertilizer",
OR(ISNUMBER(SEARCH("patch",E814)),ISNUMBER(SEARCH("repair",E814)),ISNUMBER(SEARCH("thick'r",E814)),ISNUMBER(SEARCH("thick'r lawn",E814)),ISNUMBER(SEARCH("rapid grass",E814))),"Lawn Repair",
OR(ISNUMBER(SEARCH("weed",E814)),ISNUMBER(SEARCH("crabgrass",E814))),"Weed Control",
OR(ISNUMBER(SEARCH("fungicide",E814)),ISNUMBER(SEARCH("moss",E814))),"Disease &amp; Moss Control",
OR(ISNUMBER(SEARCH("plant food",E814)),ISNUMBER(SEARCH("miracid",E814))),"Plant Nutrition",
OR(ISNUMBER(SEARCH("perlite",E814))),"Soil Amendment",
OR(ISNUMBER(SEARCH("spreader",E814)),ISNUMBER(SEARCH("sprayer",E814)),ISNUMBER(SEARCH("mower",E814)),ISNUMBER(SEARCH("sweeper",E814)),ISNUMBER(SEARCH("pruner",E814)),ISNUMBER(SEARCH("trimmer",E814)),ISNUMBER(SEARCH("pole saw",E814))),"Garden Equipment",
TRUE,"Other"
)</f>
        <v>Flying Insect Control</v>
      </c>
      <c r="I814" s="7" t="str" cm="1">
        <f t="array" ref="I814">_xlfn.IFS(
OR(ISNUMBER(SEARCH("glue trap",E814)),ISNUMBER(SEARCH("glue board",E814))),"Glue Traps",
OR(ISNUMBER(SEARCH("snap trap",E814)),ISNUMBER(SEARCH("power-kill",E814)),ISNUMBER(SEARCH("wide pedal",E814)),ISNUMBER(SEARCH("metal pedal",E814))),"Snap Traps",
OR(ISNUMBER(SEARCH("electronic",E814)),ISNUMBER(SEARCH("zapper",E814))),"Electronic Traps",
OR(ISNUMBER(SEARCH("live catch",E814)),ISNUMBER(SEARCH("multi-catch",E814)),ISNUMBER(SEARCH("catch &amp; hold",E814)),ISNUMBER(SEARCH("tin cat",E814))),"Live Catch Traps",
OR(ISNUMBER(SEARCH("bait",E814)),ISNUMBER(SEARCH("poison",E814))),"Bait &amp; Poison",
ISNUMBER(SEARCH("repellent",E814)),"Repellents",
OR(ISNUMBER(SEARCH("fly trap",E814)),ISNUMBER(SEARCH("fly ribbon",E814)),ISNUMBER(SEARCH("fly stick",E814)),ISNUMBER(SEARCH("window fly",E814)),ISNUMBER(SEARCH("fly magnet",E814))),"Fly Traps",
OR(ISNUMBER(SEARCH("uv",E814)),ISNUMBER(SEARCH("fly light",E814)),ISNUMBER(SEARCH("plug-in",E814))),"UV Fly Traps",
ISNUMBER(SEARCH("roach",E814)),"Roach Traps",
ISNUMBER(SEARCH("ant",E814)),"Ant Traps",
ISNUMBER(SEARCH("spider",E814)),"Spider Traps",
ISNUMBER(SEARCH("mosquito",E814)),"Mosquito Traps",
ISNUMBER(SEARCH("beetle",E814)),"Beetle Traps",
ISNUMBER(SEARCH("lantern",E814)),"Lanternfly Control",
OR(ISNUMBER(SEARCH("tree shield",E814)),ISNUMBER(SEARCH("tree banding",E814)),ISNUMBER(SEARCH("insect barrier",E814))),"Tree Barriers",
OR(ISNUMBER(SEARCH("sun &amp; shade",E814)),ISNUMBER(SEARCH("sun and shade",E814))),"Sun &amp; Shade Mix",
ISNUMBER(SEARCH("tall fescue",E814)),"Tall Fescue",
ISNUMBER(SEARCH("bermudagrass",E814)),"Bermudagrass",
ISNUMBER(SEARCH("kentucky",E814)),"Kentucky Bluegrass",
ISNUMBER(SEARCH("zoysia",E814)),"Zoysia",
ISNUMBER(SEARCH("ryegrass",E814)),"Perennial Ryegrass",
ISNUMBER(SEARCH("centipede",E814)),"Centipede Grass",
ISNUMBER(SEARCH("dense shade",E814)),"Dense Shade Mix",
ISNUMBER(SEARCH("southern gold",E814)),"Southern Gold Mix",
ISNUMBER(SEARCH("heat-tolerant blue",E814)),"Heat-Tolerant Blue Mix",
ISNUMBER(SEARCH("high traffic",E814)),"High Traffic Mix",
ISNUMBER(SEARCH("quick fix",E814)),"Quick Fix Mix",
ISNUMBER(SEARCH("starter",E814)),"Starter Fertilizer",
ISNUMBER(SEARCH("weed &amp; feed",E814)),"Weed &amp; Feed",
ISNUMBER(SEARCH("lawn food",E814)),"Lawn Food",
ISNUMBER(SEARCH("triple action",E814)),"Triple Action Fertilizer",
ISNUMBER(SEARCH("green max",E814)),"Green Max Lawn Food",
ISNUMBER(SEARCH("patchmaster",E814)),"PatchMaster Repair",
ISNUMBER(SEARCH("ez seed",E814)),"EZ Seed Repair",
ISNUMBER(SEARCH("rapid grass",E814)),"Rapid Grass",
ISNUMBER(SEARCH("thick'r lawn",E814)),"Thick'R Lawn",
ISNUMBER(SEARCH("fungicide",E814)),"Fungicide",
ISNUMBER(SEARCH("moss",E814)),"Moss Control",
ISNUMBER(SEARCH("perlite",E814)),"Perlite",
ISNUMBER(SEARCH("plant food",E814)),"Plant Food",
ISNUMBER(SEARCH("spreader",E814)),"Spreader",
ISNUMBER(SEARCH("sprayer",E814)),"Sprayer",
ISNUMBER(SEARCH("mower",E814)),"Lawn Mower",
ISNUMBER(SEARCH("sweeper",E814)),"Lawn Sweeper",
OR(ISNUMBER(SEARCH("pruner",E814)),ISNUMBER(SEARCH("trimmer",E814)),ISNUMBER(SEARCH("pole saw",E814))),"Pruning Tools",
TRUE,"Other"
)</f>
        <v>UV Fly Traps</v>
      </c>
      <c r="J814" s="7" t="str">
        <f t="shared" ref="J814:J862" si="249">H814&amp;" - "&amp;I814</f>
        <v>Flying Insect Control - UV Fly Traps</v>
      </c>
      <c r="K814" s="4">
        <v>1000</v>
      </c>
      <c r="L814" s="4">
        <v>3.9</v>
      </c>
      <c r="M814" s="4">
        <v>298</v>
      </c>
      <c r="O814" s="4">
        <f>VLOOKUP(A814,[16]Sheet1!$A:$M,2,0)</f>
        <v>0</v>
      </c>
      <c r="P814" s="4">
        <f>VLOOKUP(A814,[16]Sheet1!$A:$M,3,0)</f>
        <v>0</v>
      </c>
      <c r="Q814" s="4">
        <f>VLOOKUP(A814,[16]Sheet1!$A:$M,4,0)</f>
        <v>0</v>
      </c>
      <c r="R814" s="4">
        <f>VLOOKUP(A814,[16]Sheet1!$A:$M,5,0)</f>
        <v>0</v>
      </c>
      <c r="S814" s="4">
        <f>VLOOKUP(A814,[16]Sheet1!$A:$M,6,0)</f>
        <v>500</v>
      </c>
      <c r="T814" s="4">
        <f>VLOOKUP(A814,[16]Sheet1!$A:$M,7,0)</f>
        <v>1000</v>
      </c>
      <c r="U814" s="4">
        <f>VLOOKUP(A814,[16]Sheet1!$A:$M,8,0)</f>
        <v>1000</v>
      </c>
      <c r="V814" s="4">
        <f>VLOOKUP(A814,[16]Sheet1!$A:$M,9,0)</f>
        <v>1000</v>
      </c>
      <c r="W814" s="4">
        <f>VLOOKUP(A814,[16]Sheet1!$A:$M,10,0)</f>
        <v>1000</v>
      </c>
      <c r="X814" s="4">
        <f>VLOOKUP(A814,[16]Sheet1!$A:$M,11,0)</f>
        <v>0</v>
      </c>
      <c r="Y814" s="4">
        <f>VLOOKUP(A814,[16]Sheet1!$A:$M,12,0)</f>
        <v>0</v>
      </c>
      <c r="Z814" s="4">
        <f>VLOOKUP(A814,[16]Sheet1!$A:$M,13,0)</f>
        <v>0</v>
      </c>
      <c r="AA814" s="4">
        <f t="shared" si="244"/>
        <v>4500</v>
      </c>
      <c r="AB814" s="7">
        <f t="shared" si="245"/>
        <v>375</v>
      </c>
      <c r="AC814" s="15">
        <f t="shared" si="246"/>
        <v>375</v>
      </c>
      <c r="AD814" s="16">
        <f t="shared" si="247"/>
        <v>31455</v>
      </c>
      <c r="AE814" s="16">
        <f t="shared" si="248"/>
        <v>2621.25</v>
      </c>
      <c r="AF814" s="21">
        <v>3.24</v>
      </c>
      <c r="AG814" s="21">
        <v>6.99</v>
      </c>
      <c r="AH814" s="15">
        <f t="shared" si="242"/>
        <v>-9.6266666666666695E-2</v>
      </c>
      <c r="AI814" s="15">
        <f t="shared" si="243"/>
        <v>-0.33693333333333342</v>
      </c>
      <c r="AJ814" s="10">
        <v>0.5</v>
      </c>
      <c r="AK814" s="10">
        <v>0.5</v>
      </c>
      <c r="AL814" s="21">
        <v>3.24</v>
      </c>
      <c r="AM814" s="9">
        <f t="shared" si="234"/>
        <v>1.0485</v>
      </c>
      <c r="AN814" s="9">
        <f t="shared" si="235"/>
        <v>0.2097</v>
      </c>
      <c r="AO814" s="9">
        <f t="shared" si="236"/>
        <v>1.3980000000000001</v>
      </c>
      <c r="AP814" s="9">
        <f t="shared" si="237"/>
        <v>0.13980000000000001</v>
      </c>
      <c r="AQ814" s="9">
        <f t="shared" si="238"/>
        <v>1.3980000000000001</v>
      </c>
      <c r="AR814" s="9">
        <f t="shared" si="239"/>
        <v>1.7475000000000001</v>
      </c>
      <c r="AS814" s="11">
        <f t="shared" si="240"/>
        <v>-0.96266666666666689</v>
      </c>
      <c r="AT814" s="12">
        <f t="shared" si="241"/>
        <v>-1.1956666666666669</v>
      </c>
    </row>
    <row r="815" spans="1:46" ht="16.5" x14ac:dyDescent="0.4">
      <c r="A815" s="4" t="s">
        <v>3686</v>
      </c>
      <c r="B815" s="4" t="s">
        <v>3710</v>
      </c>
      <c r="C815" s="4" t="s">
        <v>3710</v>
      </c>
      <c r="D815" s="4" t="s">
        <v>3714</v>
      </c>
      <c r="E815" s="4" t="s">
        <v>3738</v>
      </c>
      <c r="F815" s="4" t="s">
        <v>3759</v>
      </c>
      <c r="G815" s="7" t="str">
        <f>VLOOKUP(A815,[1]done!$A:$I,9,0)</f>
        <v>Mosquito/Fly</v>
      </c>
      <c r="H815" s="7" t="str" cm="1">
        <f t="array" ref="H815">_xlfn.IFS(
OR(ISNUMBER(SEARCH("mouse",E815)),ISNUMBER(SEARCH("rat",E815)),ISNUMBER(SEARCH("mice",E815)),ISNUMBER(SEARCH("rodent",E815))),"Rodent Control",
OR(ISNUMBER(SEARCH("fly",E815)),ISNUMBER(SEARCH("gnat",E815)),ISNUMBER(SEARCH("insect",E815)),ISNUMBER(SEARCH("mosquito",E815))),"Flying Insect Control",
OR(ISNUMBER(SEARCH("roach",E815)),ISNUMBER(SEARCH("ant",E815)),ISNUMBER(SEARCH("spider",E815)),ISNUMBER(SEARCH("cricket",E815)),ISNUMBER(SEARCH("scorpion",E815)),ISNUMBER(SEARCH("centipede",E815)),ISNUMBER(SEARCH("beetle",E815))),"Crawling Insect Control",
OR(ISNUMBER(SEARCH("tree",E815)),ISNUMBER(SEARCH("lantern",E815)),ISNUMBER(SEARCH("garden",E815)),ISNUMBER(SEARCH("plant",E815))),"Garden Pest Control",
OR(ISNUMBER(SEARCH("grass seed",E815)),ISNUMBER(SEARCH("seed mix",E815))),"Grass Seed",
OR(ISNUMBER(SEARCH("lawn food",E815)),ISNUMBER(SEARCH("fertilizer",E815))),"Lawn Fertilizer",
OR(ISNUMBER(SEARCH("patch",E815)),ISNUMBER(SEARCH("repair",E815)),ISNUMBER(SEARCH("thick'r",E815)),ISNUMBER(SEARCH("thick'r lawn",E815)),ISNUMBER(SEARCH("rapid grass",E815))),"Lawn Repair",
OR(ISNUMBER(SEARCH("weed",E815)),ISNUMBER(SEARCH("crabgrass",E815))),"Weed Control",
OR(ISNUMBER(SEARCH("fungicide",E815)),ISNUMBER(SEARCH("moss",E815))),"Disease &amp; Moss Control",
OR(ISNUMBER(SEARCH("plant food",E815)),ISNUMBER(SEARCH("miracid",E815))),"Plant Nutrition",
OR(ISNUMBER(SEARCH("perlite",E815))),"Soil Amendment",
OR(ISNUMBER(SEARCH("spreader",E815)),ISNUMBER(SEARCH("sprayer",E815)),ISNUMBER(SEARCH("mower",E815)),ISNUMBER(SEARCH("sweeper",E815)),ISNUMBER(SEARCH("pruner",E815)),ISNUMBER(SEARCH("trimmer",E815)),ISNUMBER(SEARCH("pole saw",E815))),"Garden Equipment",
TRUE,"Other"
)</f>
        <v>Flying Insect Control</v>
      </c>
      <c r="I815" s="7" t="str" cm="1">
        <f t="array" ref="I815">_xlfn.IFS(
OR(ISNUMBER(SEARCH("glue trap",E815)),ISNUMBER(SEARCH("glue board",E815))),"Glue Traps",
OR(ISNUMBER(SEARCH("snap trap",E815)),ISNUMBER(SEARCH("power-kill",E815)),ISNUMBER(SEARCH("wide pedal",E815)),ISNUMBER(SEARCH("metal pedal",E815))),"Snap Traps",
OR(ISNUMBER(SEARCH("electronic",E815)),ISNUMBER(SEARCH("zapper",E815))),"Electronic Traps",
OR(ISNUMBER(SEARCH("live catch",E815)),ISNUMBER(SEARCH("multi-catch",E815)),ISNUMBER(SEARCH("catch &amp; hold",E815)),ISNUMBER(SEARCH("tin cat",E815))),"Live Catch Traps",
OR(ISNUMBER(SEARCH("bait",E815)),ISNUMBER(SEARCH("poison",E815))),"Bait &amp; Poison",
ISNUMBER(SEARCH("repellent",E815)),"Repellents",
OR(ISNUMBER(SEARCH("fly trap",E815)),ISNUMBER(SEARCH("fly ribbon",E815)),ISNUMBER(SEARCH("fly stick",E815)),ISNUMBER(SEARCH("window fly",E815)),ISNUMBER(SEARCH("fly magnet",E815))),"Fly Traps",
OR(ISNUMBER(SEARCH("uv",E815)),ISNUMBER(SEARCH("fly light",E815)),ISNUMBER(SEARCH("plug-in",E815))),"UV Fly Traps",
ISNUMBER(SEARCH("roach",E815)),"Roach Traps",
ISNUMBER(SEARCH("ant",E815)),"Ant Traps",
ISNUMBER(SEARCH("spider",E815)),"Spider Traps",
ISNUMBER(SEARCH("mosquito",E815)),"Mosquito Traps",
ISNUMBER(SEARCH("beetle",E815)),"Beetle Traps",
ISNUMBER(SEARCH("lantern",E815)),"Lanternfly Control",
OR(ISNUMBER(SEARCH("tree shield",E815)),ISNUMBER(SEARCH("tree banding",E815)),ISNUMBER(SEARCH("insect barrier",E815))),"Tree Barriers",
OR(ISNUMBER(SEARCH("sun &amp; shade",E815)),ISNUMBER(SEARCH("sun and shade",E815))),"Sun &amp; Shade Mix",
ISNUMBER(SEARCH("tall fescue",E815)),"Tall Fescue",
ISNUMBER(SEARCH("bermudagrass",E815)),"Bermudagrass",
ISNUMBER(SEARCH("kentucky",E815)),"Kentucky Bluegrass",
ISNUMBER(SEARCH("zoysia",E815)),"Zoysia",
ISNUMBER(SEARCH("ryegrass",E815)),"Perennial Ryegrass",
ISNUMBER(SEARCH("centipede",E815)),"Centipede Grass",
ISNUMBER(SEARCH("dense shade",E815)),"Dense Shade Mix",
ISNUMBER(SEARCH("southern gold",E815)),"Southern Gold Mix",
ISNUMBER(SEARCH("heat-tolerant blue",E815)),"Heat-Tolerant Blue Mix",
ISNUMBER(SEARCH("high traffic",E815)),"High Traffic Mix",
ISNUMBER(SEARCH("quick fix",E815)),"Quick Fix Mix",
ISNUMBER(SEARCH("starter",E815)),"Starter Fertilizer",
ISNUMBER(SEARCH("weed &amp; feed",E815)),"Weed &amp; Feed",
ISNUMBER(SEARCH("lawn food",E815)),"Lawn Food",
ISNUMBER(SEARCH("triple action",E815)),"Triple Action Fertilizer",
ISNUMBER(SEARCH("green max",E815)),"Green Max Lawn Food",
ISNUMBER(SEARCH("patchmaster",E815)),"PatchMaster Repair",
ISNUMBER(SEARCH("ez seed",E815)),"EZ Seed Repair",
ISNUMBER(SEARCH("rapid grass",E815)),"Rapid Grass",
ISNUMBER(SEARCH("thick'r lawn",E815)),"Thick'R Lawn",
ISNUMBER(SEARCH("fungicide",E815)),"Fungicide",
ISNUMBER(SEARCH("moss",E815)),"Moss Control",
ISNUMBER(SEARCH("perlite",E815)),"Perlite",
ISNUMBER(SEARCH("plant food",E815)),"Plant Food",
ISNUMBER(SEARCH("spreader",E815)),"Spreader",
ISNUMBER(SEARCH("sprayer",E815)),"Sprayer",
ISNUMBER(SEARCH("mower",E815)),"Lawn Mower",
ISNUMBER(SEARCH("sweeper",E815)),"Lawn Sweeper",
OR(ISNUMBER(SEARCH("pruner",E815)),ISNUMBER(SEARCH("trimmer",E815)),ISNUMBER(SEARCH("pole saw",E815))),"Pruning Tools",
TRUE,"Other"
)</f>
        <v>UV Fly Traps</v>
      </c>
      <c r="J815" s="7" t="str">
        <f t="shared" si="249"/>
        <v>Flying Insect Control - UV Fly Traps</v>
      </c>
      <c r="K815" s="4">
        <v>900</v>
      </c>
      <c r="L815" s="4">
        <v>4.0999999999999996</v>
      </c>
      <c r="M815" s="4">
        <v>775</v>
      </c>
      <c r="N815" s="4" t="s">
        <v>3785</v>
      </c>
      <c r="O815" s="4">
        <f>VLOOKUP(A815,[16]Sheet1!$A:$M,2,0)</f>
        <v>0</v>
      </c>
      <c r="P815" s="4">
        <f>VLOOKUP(A815,[16]Sheet1!$A:$M,3,0)</f>
        <v>0</v>
      </c>
      <c r="Q815" s="4">
        <f>VLOOKUP(A815,[16]Sheet1!$A:$M,4,0)</f>
        <v>0</v>
      </c>
      <c r="R815" s="4">
        <f>VLOOKUP(A815,[16]Sheet1!$A:$M,5,0)</f>
        <v>0</v>
      </c>
      <c r="S815" s="4">
        <f>VLOOKUP(A815,[16]Sheet1!$A:$M,6,0)</f>
        <v>0</v>
      </c>
      <c r="T815" s="4">
        <f>VLOOKUP(A815,[16]Sheet1!$A:$M,7,0)</f>
        <v>0</v>
      </c>
      <c r="U815" s="4">
        <f>VLOOKUP(A815,[16]Sheet1!$A:$M,8,0)</f>
        <v>0</v>
      </c>
      <c r="V815" s="4">
        <f>VLOOKUP(A815,[16]Sheet1!$A:$M,9,0)</f>
        <v>0</v>
      </c>
      <c r="W815" s="4">
        <f>VLOOKUP(A815,[16]Sheet1!$A:$M,10,0)</f>
        <v>800</v>
      </c>
      <c r="X815" s="4">
        <f>VLOOKUP(A815,[16]Sheet1!$A:$M,11,0)</f>
        <v>0</v>
      </c>
      <c r="Y815" s="4">
        <f>VLOOKUP(A815,[16]Sheet1!$A:$M,12,0)</f>
        <v>0</v>
      </c>
      <c r="Z815" s="4">
        <f>VLOOKUP(A815,[16]Sheet1!$A:$M,13,0)</f>
        <v>0</v>
      </c>
      <c r="AA815" s="4">
        <f t="shared" si="244"/>
        <v>800</v>
      </c>
      <c r="AB815" s="7">
        <f t="shared" si="245"/>
        <v>67</v>
      </c>
      <c r="AC815" s="15">
        <f t="shared" si="246"/>
        <v>66.666666666666671</v>
      </c>
      <c r="AD815" s="16">
        <f t="shared" si="247"/>
        <v>14391.999999999998</v>
      </c>
      <c r="AE815" s="16">
        <f t="shared" si="248"/>
        <v>1199.3333333333333</v>
      </c>
      <c r="AF815" s="21">
        <v>4.76</v>
      </c>
      <c r="AG815" s="21">
        <v>17.989999999999998</v>
      </c>
      <c r="AH815" s="15">
        <f t="shared" si="242"/>
        <v>9.5733333333333281E-2</v>
      </c>
      <c r="AI815" s="15">
        <f t="shared" si="243"/>
        <v>0.3350666666666664</v>
      </c>
      <c r="AJ815" s="10">
        <v>0.5</v>
      </c>
      <c r="AK815" s="10">
        <v>0.5</v>
      </c>
      <c r="AL815" s="21">
        <v>4.76</v>
      </c>
      <c r="AM815" s="9">
        <f t="shared" si="234"/>
        <v>2.6984999999999997</v>
      </c>
      <c r="AN815" s="9">
        <f t="shared" si="235"/>
        <v>0.53969999999999996</v>
      </c>
      <c r="AO815" s="9">
        <f t="shared" si="236"/>
        <v>3.5979999999999999</v>
      </c>
      <c r="AP815" s="9">
        <f t="shared" si="237"/>
        <v>0.35979999999999995</v>
      </c>
      <c r="AQ815" s="9">
        <f t="shared" si="238"/>
        <v>3.5979999999999999</v>
      </c>
      <c r="AR815" s="9">
        <f t="shared" si="239"/>
        <v>4.4974999999999996</v>
      </c>
      <c r="AS815" s="11">
        <f t="shared" si="240"/>
        <v>0.9573333333333327</v>
      </c>
      <c r="AT815" s="12">
        <f t="shared" si="241"/>
        <v>0.35766666666666619</v>
      </c>
    </row>
    <row r="816" spans="1:46" ht="16.5" x14ac:dyDescent="0.4">
      <c r="A816" s="4" t="s">
        <v>3687</v>
      </c>
      <c r="B816" s="4" t="s">
        <v>3710</v>
      </c>
      <c r="C816" s="4" t="s">
        <v>3710</v>
      </c>
      <c r="D816" s="4" t="s">
        <v>3715</v>
      </c>
      <c r="E816" s="4" t="s">
        <v>3739</v>
      </c>
      <c r="F816" s="4" t="s">
        <v>3760</v>
      </c>
      <c r="G816" s="7" t="str">
        <f>VLOOKUP(A816,[1]done!$A:$I,9,0)</f>
        <v>Mosquito/Fly</v>
      </c>
      <c r="H816" s="7" t="str" cm="1">
        <f t="array" ref="H816">_xlfn.IFS(
OR(ISNUMBER(SEARCH("mouse",E816)),ISNUMBER(SEARCH("rat",E816)),ISNUMBER(SEARCH("mice",E816)),ISNUMBER(SEARCH("rodent",E816))),"Rodent Control",
OR(ISNUMBER(SEARCH("fly",E816)),ISNUMBER(SEARCH("gnat",E816)),ISNUMBER(SEARCH("insect",E816)),ISNUMBER(SEARCH("mosquito",E816))),"Flying Insect Control",
OR(ISNUMBER(SEARCH("roach",E816)),ISNUMBER(SEARCH("ant",E816)),ISNUMBER(SEARCH("spider",E816)),ISNUMBER(SEARCH("cricket",E816)),ISNUMBER(SEARCH("scorpion",E816)),ISNUMBER(SEARCH("centipede",E816)),ISNUMBER(SEARCH("beetle",E816))),"Crawling Insect Control",
OR(ISNUMBER(SEARCH("tree",E816)),ISNUMBER(SEARCH("lantern",E816)),ISNUMBER(SEARCH("garden",E816)),ISNUMBER(SEARCH("plant",E816))),"Garden Pest Control",
OR(ISNUMBER(SEARCH("grass seed",E816)),ISNUMBER(SEARCH("seed mix",E816))),"Grass Seed",
OR(ISNUMBER(SEARCH("lawn food",E816)),ISNUMBER(SEARCH("fertilizer",E816))),"Lawn Fertilizer",
OR(ISNUMBER(SEARCH("patch",E816)),ISNUMBER(SEARCH("repair",E816)),ISNUMBER(SEARCH("thick'r",E816)),ISNUMBER(SEARCH("thick'r lawn",E816)),ISNUMBER(SEARCH("rapid grass",E816))),"Lawn Repair",
OR(ISNUMBER(SEARCH("weed",E816)),ISNUMBER(SEARCH("crabgrass",E816))),"Weed Control",
OR(ISNUMBER(SEARCH("fungicide",E816)),ISNUMBER(SEARCH("moss",E816))),"Disease &amp; Moss Control",
OR(ISNUMBER(SEARCH("plant food",E816)),ISNUMBER(SEARCH("miracid",E816))),"Plant Nutrition",
OR(ISNUMBER(SEARCH("perlite",E816))),"Soil Amendment",
OR(ISNUMBER(SEARCH("spreader",E816)),ISNUMBER(SEARCH("sprayer",E816)),ISNUMBER(SEARCH("mower",E816)),ISNUMBER(SEARCH("sweeper",E816)),ISNUMBER(SEARCH("pruner",E816)),ISNUMBER(SEARCH("trimmer",E816)),ISNUMBER(SEARCH("pole saw",E816))),"Garden Equipment",
TRUE,"Other"
)</f>
        <v>Flying Insect Control</v>
      </c>
      <c r="I816" s="7" t="str" cm="1">
        <f t="array" ref="I816">_xlfn.IFS(
OR(ISNUMBER(SEARCH("glue trap",E816)),ISNUMBER(SEARCH("glue board",E816))),"Glue Traps",
OR(ISNUMBER(SEARCH("snap trap",E816)),ISNUMBER(SEARCH("power-kill",E816)),ISNUMBER(SEARCH("wide pedal",E816)),ISNUMBER(SEARCH("metal pedal",E816))),"Snap Traps",
OR(ISNUMBER(SEARCH("electronic",E816)),ISNUMBER(SEARCH("zapper",E816))),"Electronic Traps",
OR(ISNUMBER(SEARCH("live catch",E816)),ISNUMBER(SEARCH("multi-catch",E816)),ISNUMBER(SEARCH("catch &amp; hold",E816)),ISNUMBER(SEARCH("tin cat",E816))),"Live Catch Traps",
OR(ISNUMBER(SEARCH("bait",E816)),ISNUMBER(SEARCH("poison",E816))),"Bait &amp; Poison",
ISNUMBER(SEARCH("repellent",E816)),"Repellents",
OR(ISNUMBER(SEARCH("fly trap",E816)),ISNUMBER(SEARCH("fly ribbon",E816)),ISNUMBER(SEARCH("fly stick",E816)),ISNUMBER(SEARCH("window fly",E816)),ISNUMBER(SEARCH("fly magnet",E816))),"Fly Traps",
OR(ISNUMBER(SEARCH("uv",E816)),ISNUMBER(SEARCH("fly light",E816)),ISNUMBER(SEARCH("plug-in",E816))),"UV Fly Traps",
ISNUMBER(SEARCH("roach",E816)),"Roach Traps",
ISNUMBER(SEARCH("ant",E816)),"Ant Traps",
ISNUMBER(SEARCH("spider",E816)),"Spider Traps",
ISNUMBER(SEARCH("mosquito",E816)),"Mosquito Traps",
ISNUMBER(SEARCH("beetle",E816)),"Beetle Traps",
ISNUMBER(SEARCH("lantern",E816)),"Lanternfly Control",
OR(ISNUMBER(SEARCH("tree shield",E816)),ISNUMBER(SEARCH("tree banding",E816)),ISNUMBER(SEARCH("insect barrier",E816))),"Tree Barriers",
OR(ISNUMBER(SEARCH("sun &amp; shade",E816)),ISNUMBER(SEARCH("sun and shade",E816))),"Sun &amp; Shade Mix",
ISNUMBER(SEARCH("tall fescue",E816)),"Tall Fescue",
ISNUMBER(SEARCH("bermudagrass",E816)),"Bermudagrass",
ISNUMBER(SEARCH("kentucky",E816)),"Kentucky Bluegrass",
ISNUMBER(SEARCH("zoysia",E816)),"Zoysia",
ISNUMBER(SEARCH("ryegrass",E816)),"Perennial Ryegrass",
ISNUMBER(SEARCH("centipede",E816)),"Centipede Grass",
ISNUMBER(SEARCH("dense shade",E816)),"Dense Shade Mix",
ISNUMBER(SEARCH("southern gold",E816)),"Southern Gold Mix",
ISNUMBER(SEARCH("heat-tolerant blue",E816)),"Heat-Tolerant Blue Mix",
ISNUMBER(SEARCH("high traffic",E816)),"High Traffic Mix",
ISNUMBER(SEARCH("quick fix",E816)),"Quick Fix Mix",
ISNUMBER(SEARCH("starter",E816)),"Starter Fertilizer",
ISNUMBER(SEARCH("weed &amp; feed",E816)),"Weed &amp; Feed",
ISNUMBER(SEARCH("lawn food",E816)),"Lawn Food",
ISNUMBER(SEARCH("triple action",E816)),"Triple Action Fertilizer",
ISNUMBER(SEARCH("green max",E816)),"Green Max Lawn Food",
ISNUMBER(SEARCH("patchmaster",E816)),"PatchMaster Repair",
ISNUMBER(SEARCH("ez seed",E816)),"EZ Seed Repair",
ISNUMBER(SEARCH("rapid grass",E816)),"Rapid Grass",
ISNUMBER(SEARCH("thick'r lawn",E816)),"Thick'R Lawn",
ISNUMBER(SEARCH("fungicide",E816)),"Fungicide",
ISNUMBER(SEARCH("moss",E816)),"Moss Control",
ISNUMBER(SEARCH("perlite",E816)),"Perlite",
ISNUMBER(SEARCH("plant food",E816)),"Plant Food",
ISNUMBER(SEARCH("spreader",E816)),"Spreader",
ISNUMBER(SEARCH("sprayer",E816)),"Sprayer",
ISNUMBER(SEARCH("mower",E816)),"Lawn Mower",
ISNUMBER(SEARCH("sweeper",E816)),"Lawn Sweeper",
OR(ISNUMBER(SEARCH("pruner",E816)),ISNUMBER(SEARCH("trimmer",E816)),ISNUMBER(SEARCH("pole saw",E816))),"Pruning Tools",
TRUE,"Other"
)</f>
        <v>UV Fly Traps</v>
      </c>
      <c r="J816" s="7" t="str">
        <f t="shared" si="249"/>
        <v>Flying Insect Control - UV Fly Traps</v>
      </c>
      <c r="K816" s="4">
        <v>700</v>
      </c>
      <c r="L816" s="4">
        <v>3.7</v>
      </c>
      <c r="M816" s="4">
        <v>66</v>
      </c>
      <c r="O816" s="4">
        <f>VLOOKUP(A816,[16]Sheet1!$A:$M,2,0)</f>
        <v>0</v>
      </c>
      <c r="P816" s="4">
        <f>VLOOKUP(A816,[16]Sheet1!$A:$M,3,0)</f>
        <v>0</v>
      </c>
      <c r="Q816" s="4">
        <f>VLOOKUP(A816,[16]Sheet1!$A:$M,4,0)</f>
        <v>0</v>
      </c>
      <c r="R816" s="4">
        <f>VLOOKUP(A816,[16]Sheet1!$A:$M,5,0)</f>
        <v>0</v>
      </c>
      <c r="S816" s="4">
        <f>VLOOKUP(A816,[16]Sheet1!$A:$M,6,0)</f>
        <v>0</v>
      </c>
      <c r="T816" s="4">
        <f>VLOOKUP(A816,[16]Sheet1!$A:$M,7,0)</f>
        <v>0</v>
      </c>
      <c r="U816" s="4">
        <f>VLOOKUP(A816,[16]Sheet1!$A:$M,8,0)</f>
        <v>100</v>
      </c>
      <c r="V816" s="4">
        <f>VLOOKUP(A816,[16]Sheet1!$A:$M,9,0)</f>
        <v>600</v>
      </c>
      <c r="W816" s="4">
        <f>VLOOKUP(A816,[16]Sheet1!$A:$M,10,0)</f>
        <v>700</v>
      </c>
      <c r="X816" s="4">
        <f>VLOOKUP(A816,[16]Sheet1!$A:$M,11,0)</f>
        <v>0</v>
      </c>
      <c r="Y816" s="4">
        <f>VLOOKUP(A816,[16]Sheet1!$A:$M,12,0)</f>
        <v>0</v>
      </c>
      <c r="Z816" s="4">
        <f>VLOOKUP(A816,[16]Sheet1!$A:$M,13,0)</f>
        <v>0</v>
      </c>
      <c r="AA816" s="4">
        <f t="shared" si="244"/>
        <v>1400</v>
      </c>
      <c r="AB816" s="7">
        <f t="shared" si="245"/>
        <v>117</v>
      </c>
      <c r="AC816" s="15">
        <f t="shared" si="246"/>
        <v>116.66666666666667</v>
      </c>
      <c r="AD816" s="16">
        <f t="shared" si="247"/>
        <v>11186</v>
      </c>
      <c r="AE816" s="16">
        <f t="shared" si="248"/>
        <v>932.16666666666674</v>
      </c>
      <c r="AF816" s="21">
        <v>3.24</v>
      </c>
      <c r="AG816" s="21">
        <v>7.99</v>
      </c>
      <c r="AH816" s="15">
        <f t="shared" si="242"/>
        <v>-6.9600000000000051E-2</v>
      </c>
      <c r="AI816" s="15">
        <f t="shared" si="243"/>
        <v>-0.24360000000000015</v>
      </c>
      <c r="AJ816" s="10">
        <v>0.5</v>
      </c>
      <c r="AK816" s="10">
        <v>0.5</v>
      </c>
      <c r="AL816" s="21">
        <v>3.24</v>
      </c>
      <c r="AM816" s="9">
        <f t="shared" si="234"/>
        <v>1.1984999999999999</v>
      </c>
      <c r="AN816" s="9">
        <f t="shared" si="235"/>
        <v>0.2397</v>
      </c>
      <c r="AO816" s="9">
        <f t="shared" si="236"/>
        <v>1.5980000000000001</v>
      </c>
      <c r="AP816" s="9">
        <f t="shared" si="237"/>
        <v>0.1598</v>
      </c>
      <c r="AQ816" s="9">
        <f t="shared" si="238"/>
        <v>1.5980000000000001</v>
      </c>
      <c r="AR816" s="9">
        <f t="shared" si="239"/>
        <v>1.9975000000000001</v>
      </c>
      <c r="AS816" s="11">
        <f t="shared" si="240"/>
        <v>-0.69600000000000051</v>
      </c>
      <c r="AT816" s="12">
        <f t="shared" si="241"/>
        <v>-0.96233333333333382</v>
      </c>
    </row>
    <row r="817" spans="1:46" ht="16.5" x14ac:dyDescent="0.4">
      <c r="A817" s="4" t="s">
        <v>3688</v>
      </c>
      <c r="B817" s="4" t="s">
        <v>3710</v>
      </c>
      <c r="C817" s="4" t="s">
        <v>3710</v>
      </c>
      <c r="D817" s="4" t="s">
        <v>3716</v>
      </c>
      <c r="E817" s="4" t="s">
        <v>3740</v>
      </c>
      <c r="F817" s="4" t="s">
        <v>3761</v>
      </c>
      <c r="G817" s="7" t="str">
        <f>VLOOKUP(A817,[1]done!$A:$I,9,0)</f>
        <v>Mosquito/Fly</v>
      </c>
      <c r="H817" s="7" t="str" cm="1">
        <f t="array" ref="H817">_xlfn.IFS(
OR(ISNUMBER(SEARCH("mouse",E817)),ISNUMBER(SEARCH("rat",E817)),ISNUMBER(SEARCH("mice",E817)),ISNUMBER(SEARCH("rodent",E817))),"Rodent Control",
OR(ISNUMBER(SEARCH("fly",E817)),ISNUMBER(SEARCH("gnat",E817)),ISNUMBER(SEARCH("insect",E817)),ISNUMBER(SEARCH("mosquito",E817))),"Flying Insect Control",
OR(ISNUMBER(SEARCH("roach",E817)),ISNUMBER(SEARCH("ant",E817)),ISNUMBER(SEARCH("spider",E817)),ISNUMBER(SEARCH("cricket",E817)),ISNUMBER(SEARCH("scorpion",E817)),ISNUMBER(SEARCH("centipede",E817)),ISNUMBER(SEARCH("beetle",E817))),"Crawling Insect Control",
OR(ISNUMBER(SEARCH("tree",E817)),ISNUMBER(SEARCH("lantern",E817)),ISNUMBER(SEARCH("garden",E817)),ISNUMBER(SEARCH("plant",E817))),"Garden Pest Control",
OR(ISNUMBER(SEARCH("grass seed",E817)),ISNUMBER(SEARCH("seed mix",E817))),"Grass Seed",
OR(ISNUMBER(SEARCH("lawn food",E817)),ISNUMBER(SEARCH("fertilizer",E817))),"Lawn Fertilizer",
OR(ISNUMBER(SEARCH("patch",E817)),ISNUMBER(SEARCH("repair",E817)),ISNUMBER(SEARCH("thick'r",E817)),ISNUMBER(SEARCH("thick'r lawn",E817)),ISNUMBER(SEARCH("rapid grass",E817))),"Lawn Repair",
OR(ISNUMBER(SEARCH("weed",E817)),ISNUMBER(SEARCH("crabgrass",E817))),"Weed Control",
OR(ISNUMBER(SEARCH("fungicide",E817)),ISNUMBER(SEARCH("moss",E817))),"Disease &amp; Moss Control",
OR(ISNUMBER(SEARCH("plant food",E817)),ISNUMBER(SEARCH("miracid",E817))),"Plant Nutrition",
OR(ISNUMBER(SEARCH("perlite",E817))),"Soil Amendment",
OR(ISNUMBER(SEARCH("spreader",E817)),ISNUMBER(SEARCH("sprayer",E817)),ISNUMBER(SEARCH("mower",E817)),ISNUMBER(SEARCH("sweeper",E817)),ISNUMBER(SEARCH("pruner",E817)),ISNUMBER(SEARCH("trimmer",E817)),ISNUMBER(SEARCH("pole saw",E817))),"Garden Equipment",
TRUE,"Other"
)</f>
        <v>Flying Insect Control</v>
      </c>
      <c r="I817" s="7" t="str" cm="1">
        <f t="array" ref="I817">_xlfn.IFS(
OR(ISNUMBER(SEARCH("glue trap",E817)),ISNUMBER(SEARCH("glue board",E817))),"Glue Traps",
OR(ISNUMBER(SEARCH("snap trap",E817)),ISNUMBER(SEARCH("power-kill",E817)),ISNUMBER(SEARCH("wide pedal",E817)),ISNUMBER(SEARCH("metal pedal",E817))),"Snap Traps",
OR(ISNUMBER(SEARCH("electronic",E817)),ISNUMBER(SEARCH("zapper",E817))),"Electronic Traps",
OR(ISNUMBER(SEARCH("live catch",E817)),ISNUMBER(SEARCH("multi-catch",E817)),ISNUMBER(SEARCH("catch &amp; hold",E817)),ISNUMBER(SEARCH("tin cat",E817))),"Live Catch Traps",
OR(ISNUMBER(SEARCH("bait",E817)),ISNUMBER(SEARCH("poison",E817))),"Bait &amp; Poison",
ISNUMBER(SEARCH("repellent",E817)),"Repellents",
OR(ISNUMBER(SEARCH("fly trap",E817)),ISNUMBER(SEARCH("fly ribbon",E817)),ISNUMBER(SEARCH("fly stick",E817)),ISNUMBER(SEARCH("window fly",E817)),ISNUMBER(SEARCH("fly magnet",E817))),"Fly Traps",
OR(ISNUMBER(SEARCH("uv",E817)),ISNUMBER(SEARCH("fly light",E817)),ISNUMBER(SEARCH("plug-in",E817))),"UV Fly Traps",
ISNUMBER(SEARCH("roach",E817)),"Roach Traps",
ISNUMBER(SEARCH("ant",E817)),"Ant Traps",
ISNUMBER(SEARCH("spider",E817)),"Spider Traps",
ISNUMBER(SEARCH("mosquito",E817)),"Mosquito Traps",
ISNUMBER(SEARCH("beetle",E817)),"Beetle Traps",
ISNUMBER(SEARCH("lantern",E817)),"Lanternfly Control",
OR(ISNUMBER(SEARCH("tree shield",E817)),ISNUMBER(SEARCH("tree banding",E817)),ISNUMBER(SEARCH("insect barrier",E817))),"Tree Barriers",
OR(ISNUMBER(SEARCH("sun &amp; shade",E817)),ISNUMBER(SEARCH("sun and shade",E817))),"Sun &amp; Shade Mix",
ISNUMBER(SEARCH("tall fescue",E817)),"Tall Fescue",
ISNUMBER(SEARCH("bermudagrass",E817)),"Bermudagrass",
ISNUMBER(SEARCH("kentucky",E817)),"Kentucky Bluegrass",
ISNUMBER(SEARCH("zoysia",E817)),"Zoysia",
ISNUMBER(SEARCH("ryegrass",E817)),"Perennial Ryegrass",
ISNUMBER(SEARCH("centipede",E817)),"Centipede Grass",
ISNUMBER(SEARCH("dense shade",E817)),"Dense Shade Mix",
ISNUMBER(SEARCH("southern gold",E817)),"Southern Gold Mix",
ISNUMBER(SEARCH("heat-tolerant blue",E817)),"Heat-Tolerant Blue Mix",
ISNUMBER(SEARCH("high traffic",E817)),"High Traffic Mix",
ISNUMBER(SEARCH("quick fix",E817)),"Quick Fix Mix",
ISNUMBER(SEARCH("starter",E817)),"Starter Fertilizer",
ISNUMBER(SEARCH("weed &amp; feed",E817)),"Weed &amp; Feed",
ISNUMBER(SEARCH("lawn food",E817)),"Lawn Food",
ISNUMBER(SEARCH("triple action",E817)),"Triple Action Fertilizer",
ISNUMBER(SEARCH("green max",E817)),"Green Max Lawn Food",
ISNUMBER(SEARCH("patchmaster",E817)),"PatchMaster Repair",
ISNUMBER(SEARCH("ez seed",E817)),"EZ Seed Repair",
ISNUMBER(SEARCH("rapid grass",E817)),"Rapid Grass",
ISNUMBER(SEARCH("thick'r lawn",E817)),"Thick'R Lawn",
ISNUMBER(SEARCH("fungicide",E817)),"Fungicide",
ISNUMBER(SEARCH("moss",E817)),"Moss Control",
ISNUMBER(SEARCH("perlite",E817)),"Perlite",
ISNUMBER(SEARCH("plant food",E817)),"Plant Food",
ISNUMBER(SEARCH("spreader",E817)),"Spreader",
ISNUMBER(SEARCH("sprayer",E817)),"Sprayer",
ISNUMBER(SEARCH("mower",E817)),"Lawn Mower",
ISNUMBER(SEARCH("sweeper",E817)),"Lawn Sweeper",
OR(ISNUMBER(SEARCH("pruner",E817)),ISNUMBER(SEARCH("trimmer",E817)),ISNUMBER(SEARCH("pole saw",E817))),"Pruning Tools",
TRUE,"Other"
)</f>
        <v>Other</v>
      </c>
      <c r="J817" s="7" t="str">
        <f t="shared" si="249"/>
        <v>Flying Insect Control - Other</v>
      </c>
      <c r="K817" s="4">
        <v>600</v>
      </c>
      <c r="L817" s="4">
        <v>4</v>
      </c>
      <c r="M817" s="4">
        <v>89</v>
      </c>
      <c r="O817" s="4">
        <f>VLOOKUP(A817,[16]Sheet1!$A:$M,2,0)</f>
        <v>0</v>
      </c>
      <c r="P817" s="4">
        <f>VLOOKUP(A817,[16]Sheet1!$A:$M,3,0)</f>
        <v>0</v>
      </c>
      <c r="Q817" s="4">
        <f>VLOOKUP(A817,[16]Sheet1!$A:$M,4,0)</f>
        <v>0</v>
      </c>
      <c r="R817" s="4">
        <f>VLOOKUP(A817,[16]Sheet1!$A:$M,5,0)</f>
        <v>0</v>
      </c>
      <c r="S817" s="4">
        <f>VLOOKUP(A817,[16]Sheet1!$A:$M,6,0)</f>
        <v>0</v>
      </c>
      <c r="T817" s="4">
        <f>VLOOKUP(A817,[16]Sheet1!$A:$M,7,0)</f>
        <v>100</v>
      </c>
      <c r="U817" s="4">
        <f>VLOOKUP(A817,[16]Sheet1!$A:$M,8,0)</f>
        <v>700</v>
      </c>
      <c r="V817" s="4">
        <f>VLOOKUP(A817,[16]Sheet1!$A:$M,9,0)</f>
        <v>400</v>
      </c>
      <c r="W817" s="4">
        <f>VLOOKUP(A817,[16]Sheet1!$A:$M,10,0)</f>
        <v>600</v>
      </c>
      <c r="X817" s="4">
        <f>VLOOKUP(A817,[16]Sheet1!$A:$M,11,0)</f>
        <v>0</v>
      </c>
      <c r="Y817" s="4">
        <f>VLOOKUP(A817,[16]Sheet1!$A:$M,12,0)</f>
        <v>0</v>
      </c>
      <c r="Z817" s="4">
        <f>VLOOKUP(A817,[16]Sheet1!$A:$M,13,0)</f>
        <v>0</v>
      </c>
      <c r="AA817" s="4">
        <f t="shared" si="244"/>
        <v>1800</v>
      </c>
      <c r="AB817" s="7">
        <f t="shared" si="245"/>
        <v>150</v>
      </c>
      <c r="AC817" s="15">
        <f t="shared" si="246"/>
        <v>150</v>
      </c>
      <c r="AD817" s="16">
        <f t="shared" si="247"/>
        <v>22302</v>
      </c>
      <c r="AE817" s="16">
        <f t="shared" si="248"/>
        <v>1858.5</v>
      </c>
      <c r="AF817" s="21">
        <v>4.3499999999999996</v>
      </c>
      <c r="AG817" s="21">
        <v>12.39</v>
      </c>
      <c r="AH817" s="15">
        <f t="shared" si="242"/>
        <v>-2.6266666666666647E-2</v>
      </c>
      <c r="AI817" s="15">
        <f t="shared" si="243"/>
        <v>-9.1933333333333242E-2</v>
      </c>
      <c r="AJ817" s="10">
        <v>0.5</v>
      </c>
      <c r="AK817" s="10">
        <v>0.5</v>
      </c>
      <c r="AL817" s="21">
        <v>4.3499999999999996</v>
      </c>
      <c r="AM817" s="9">
        <f t="shared" si="234"/>
        <v>1.8585</v>
      </c>
      <c r="AN817" s="9">
        <f t="shared" si="235"/>
        <v>0.37170000000000003</v>
      </c>
      <c r="AO817" s="9">
        <f t="shared" si="236"/>
        <v>2.4780000000000002</v>
      </c>
      <c r="AP817" s="9">
        <f t="shared" si="237"/>
        <v>0.24780000000000002</v>
      </c>
      <c r="AQ817" s="9">
        <f t="shared" si="238"/>
        <v>2.4780000000000002</v>
      </c>
      <c r="AR817" s="9">
        <f t="shared" si="239"/>
        <v>3.0975000000000001</v>
      </c>
      <c r="AS817" s="11">
        <f t="shared" si="240"/>
        <v>-0.26266666666666644</v>
      </c>
      <c r="AT817" s="12">
        <f t="shared" si="241"/>
        <v>-0.67566666666666642</v>
      </c>
    </row>
    <row r="818" spans="1:46" ht="16.5" x14ac:dyDescent="0.4">
      <c r="A818" s="4" t="s">
        <v>3689</v>
      </c>
      <c r="B818" s="4" t="s">
        <v>3710</v>
      </c>
      <c r="C818" s="4" t="s">
        <v>3710</v>
      </c>
      <c r="D818" s="4" t="s">
        <v>3717</v>
      </c>
      <c r="E818" s="4" t="s">
        <v>3736</v>
      </c>
      <c r="F818" s="4" t="s">
        <v>3762</v>
      </c>
      <c r="G818" s="7" t="str">
        <f>VLOOKUP(A818,[1]done!$A:$I,9,0)</f>
        <v>Mosquito/Fly</v>
      </c>
      <c r="H818" s="7" t="str" cm="1">
        <f t="array" ref="H818">_xlfn.IFS(
OR(ISNUMBER(SEARCH("mouse",E818)),ISNUMBER(SEARCH("rat",E818)),ISNUMBER(SEARCH("mice",E818)),ISNUMBER(SEARCH("rodent",E818))),"Rodent Control",
OR(ISNUMBER(SEARCH("fly",E818)),ISNUMBER(SEARCH("gnat",E818)),ISNUMBER(SEARCH("insect",E818)),ISNUMBER(SEARCH("mosquito",E818))),"Flying Insect Control",
OR(ISNUMBER(SEARCH("roach",E818)),ISNUMBER(SEARCH("ant",E818)),ISNUMBER(SEARCH("spider",E818)),ISNUMBER(SEARCH("cricket",E818)),ISNUMBER(SEARCH("scorpion",E818)),ISNUMBER(SEARCH("centipede",E818)),ISNUMBER(SEARCH("beetle",E818))),"Crawling Insect Control",
OR(ISNUMBER(SEARCH("tree",E818)),ISNUMBER(SEARCH("lantern",E818)),ISNUMBER(SEARCH("garden",E818)),ISNUMBER(SEARCH("plant",E818))),"Garden Pest Control",
OR(ISNUMBER(SEARCH("grass seed",E818)),ISNUMBER(SEARCH("seed mix",E818))),"Grass Seed",
OR(ISNUMBER(SEARCH("lawn food",E818)),ISNUMBER(SEARCH("fertilizer",E818))),"Lawn Fertilizer",
OR(ISNUMBER(SEARCH("patch",E818)),ISNUMBER(SEARCH("repair",E818)),ISNUMBER(SEARCH("thick'r",E818)),ISNUMBER(SEARCH("thick'r lawn",E818)),ISNUMBER(SEARCH("rapid grass",E818))),"Lawn Repair",
OR(ISNUMBER(SEARCH("weed",E818)),ISNUMBER(SEARCH("crabgrass",E818))),"Weed Control",
OR(ISNUMBER(SEARCH("fungicide",E818)),ISNUMBER(SEARCH("moss",E818))),"Disease &amp; Moss Control",
OR(ISNUMBER(SEARCH("plant food",E818)),ISNUMBER(SEARCH("miracid",E818))),"Plant Nutrition",
OR(ISNUMBER(SEARCH("perlite",E818))),"Soil Amendment",
OR(ISNUMBER(SEARCH("spreader",E818)),ISNUMBER(SEARCH("sprayer",E818)),ISNUMBER(SEARCH("mower",E818)),ISNUMBER(SEARCH("sweeper",E818)),ISNUMBER(SEARCH("pruner",E818)),ISNUMBER(SEARCH("trimmer",E818)),ISNUMBER(SEARCH("pole saw",E818))),"Garden Equipment",
TRUE,"Other"
)</f>
        <v>Flying Insect Control</v>
      </c>
      <c r="I818" s="7" t="str" cm="1">
        <f t="array" ref="I818">_xlfn.IFS(
OR(ISNUMBER(SEARCH("glue trap",E818)),ISNUMBER(SEARCH("glue board",E818))),"Glue Traps",
OR(ISNUMBER(SEARCH("snap trap",E818)),ISNUMBER(SEARCH("power-kill",E818)),ISNUMBER(SEARCH("wide pedal",E818)),ISNUMBER(SEARCH("metal pedal",E818))),"Snap Traps",
OR(ISNUMBER(SEARCH("electronic",E818)),ISNUMBER(SEARCH("zapper",E818))),"Electronic Traps",
OR(ISNUMBER(SEARCH("live catch",E818)),ISNUMBER(SEARCH("multi-catch",E818)),ISNUMBER(SEARCH("catch &amp; hold",E818)),ISNUMBER(SEARCH("tin cat",E818))),"Live Catch Traps",
OR(ISNUMBER(SEARCH("bait",E818)),ISNUMBER(SEARCH("poison",E818))),"Bait &amp; Poison",
ISNUMBER(SEARCH("repellent",E818)),"Repellents",
OR(ISNUMBER(SEARCH("fly trap",E818)),ISNUMBER(SEARCH("fly ribbon",E818)),ISNUMBER(SEARCH("fly stick",E818)),ISNUMBER(SEARCH("window fly",E818)),ISNUMBER(SEARCH("fly magnet",E818))),"Fly Traps",
OR(ISNUMBER(SEARCH("uv",E818)),ISNUMBER(SEARCH("fly light",E818)),ISNUMBER(SEARCH("plug-in",E818))),"UV Fly Traps",
ISNUMBER(SEARCH("roach",E818)),"Roach Traps",
ISNUMBER(SEARCH("ant",E818)),"Ant Traps",
ISNUMBER(SEARCH("spider",E818)),"Spider Traps",
ISNUMBER(SEARCH("mosquito",E818)),"Mosquito Traps",
ISNUMBER(SEARCH("beetle",E818)),"Beetle Traps",
ISNUMBER(SEARCH("lantern",E818)),"Lanternfly Control",
OR(ISNUMBER(SEARCH("tree shield",E818)),ISNUMBER(SEARCH("tree banding",E818)),ISNUMBER(SEARCH("insect barrier",E818))),"Tree Barriers",
OR(ISNUMBER(SEARCH("sun &amp; shade",E818)),ISNUMBER(SEARCH("sun and shade",E818))),"Sun &amp; Shade Mix",
ISNUMBER(SEARCH("tall fescue",E818)),"Tall Fescue",
ISNUMBER(SEARCH("bermudagrass",E818)),"Bermudagrass",
ISNUMBER(SEARCH("kentucky",E818)),"Kentucky Bluegrass",
ISNUMBER(SEARCH("zoysia",E818)),"Zoysia",
ISNUMBER(SEARCH("ryegrass",E818)),"Perennial Ryegrass",
ISNUMBER(SEARCH("centipede",E818)),"Centipede Grass",
ISNUMBER(SEARCH("dense shade",E818)),"Dense Shade Mix",
ISNUMBER(SEARCH("southern gold",E818)),"Southern Gold Mix",
ISNUMBER(SEARCH("heat-tolerant blue",E818)),"Heat-Tolerant Blue Mix",
ISNUMBER(SEARCH("high traffic",E818)),"High Traffic Mix",
ISNUMBER(SEARCH("quick fix",E818)),"Quick Fix Mix",
ISNUMBER(SEARCH("starter",E818)),"Starter Fertilizer",
ISNUMBER(SEARCH("weed &amp; feed",E818)),"Weed &amp; Feed",
ISNUMBER(SEARCH("lawn food",E818)),"Lawn Food",
ISNUMBER(SEARCH("triple action",E818)),"Triple Action Fertilizer",
ISNUMBER(SEARCH("green max",E818)),"Green Max Lawn Food",
ISNUMBER(SEARCH("patchmaster",E818)),"PatchMaster Repair",
ISNUMBER(SEARCH("ez seed",E818)),"EZ Seed Repair",
ISNUMBER(SEARCH("rapid grass",E818)),"Rapid Grass",
ISNUMBER(SEARCH("thick'r lawn",E818)),"Thick'R Lawn",
ISNUMBER(SEARCH("fungicide",E818)),"Fungicide",
ISNUMBER(SEARCH("moss",E818)),"Moss Control",
ISNUMBER(SEARCH("perlite",E818)),"Perlite",
ISNUMBER(SEARCH("plant food",E818)),"Plant Food",
ISNUMBER(SEARCH("spreader",E818)),"Spreader",
ISNUMBER(SEARCH("sprayer",E818)),"Sprayer",
ISNUMBER(SEARCH("mower",E818)),"Lawn Mower",
ISNUMBER(SEARCH("sweeper",E818)),"Lawn Sweeper",
OR(ISNUMBER(SEARCH("pruner",E818)),ISNUMBER(SEARCH("trimmer",E818)),ISNUMBER(SEARCH("pole saw",E818))),"Pruning Tools",
TRUE,"Other"
)</f>
        <v>Fly Traps</v>
      </c>
      <c r="J818" s="7" t="str">
        <f t="shared" si="249"/>
        <v>Flying Insect Control - Fly Traps</v>
      </c>
      <c r="K818" s="4">
        <v>400</v>
      </c>
      <c r="L818" s="4">
        <v>4</v>
      </c>
      <c r="M818" s="4">
        <v>322</v>
      </c>
      <c r="N818" s="4" t="s">
        <v>3786</v>
      </c>
      <c r="O818" s="4">
        <f>VLOOKUP(A818,[16]Sheet1!$A:$M,2,0)</f>
        <v>0</v>
      </c>
      <c r="P818" s="4">
        <f>VLOOKUP(A818,[16]Sheet1!$A:$M,3,0)</f>
        <v>0</v>
      </c>
      <c r="Q818" s="4">
        <f>VLOOKUP(A818,[16]Sheet1!$A:$M,4,0)</f>
        <v>0</v>
      </c>
      <c r="R818" s="4">
        <f>VLOOKUP(A818,[16]Sheet1!$A:$M,5,0)</f>
        <v>0</v>
      </c>
      <c r="S818" s="4">
        <f>VLOOKUP(A818,[16]Sheet1!$A:$M,6,0)</f>
        <v>100</v>
      </c>
      <c r="T818" s="4">
        <f>VLOOKUP(A818,[16]Sheet1!$A:$M,7,0)</f>
        <v>100</v>
      </c>
      <c r="U818" s="4">
        <f>VLOOKUP(A818,[16]Sheet1!$A:$M,8,0)</f>
        <v>200</v>
      </c>
      <c r="V818" s="4">
        <f>VLOOKUP(A818,[16]Sheet1!$A:$M,9,0)</f>
        <v>500</v>
      </c>
      <c r="W818" s="4">
        <f>VLOOKUP(A818,[16]Sheet1!$A:$M,10,0)</f>
        <v>400</v>
      </c>
      <c r="X818" s="4">
        <f>VLOOKUP(A818,[16]Sheet1!$A:$M,11,0)</f>
        <v>0</v>
      </c>
      <c r="Y818" s="4">
        <f>VLOOKUP(A818,[16]Sheet1!$A:$M,12,0)</f>
        <v>0</v>
      </c>
      <c r="Z818" s="4">
        <f>VLOOKUP(A818,[16]Sheet1!$A:$M,13,0)</f>
        <v>0</v>
      </c>
      <c r="AA818" s="4">
        <f t="shared" si="244"/>
        <v>1300</v>
      </c>
      <c r="AB818" s="7">
        <f t="shared" si="245"/>
        <v>108</v>
      </c>
      <c r="AC818" s="15">
        <f t="shared" si="246"/>
        <v>108.33333333333333</v>
      </c>
      <c r="AD818" s="16">
        <f t="shared" si="247"/>
        <v>24674</v>
      </c>
      <c r="AE818" s="16">
        <f t="shared" si="248"/>
        <v>2056.1666666666665</v>
      </c>
      <c r="AF818" s="21">
        <v>4.3499999999999996</v>
      </c>
      <c r="AG818" s="21">
        <v>18.98</v>
      </c>
      <c r="AH818" s="15">
        <f t="shared" si="242"/>
        <v>0.14946666666666666</v>
      </c>
      <c r="AI818" s="15">
        <f t="shared" si="243"/>
        <v>0.52313333333333323</v>
      </c>
      <c r="AJ818" s="10">
        <v>0.5</v>
      </c>
      <c r="AK818" s="10">
        <v>0.5</v>
      </c>
      <c r="AL818" s="21">
        <v>4.3499999999999996</v>
      </c>
      <c r="AM818" s="9">
        <f t="shared" si="234"/>
        <v>2.847</v>
      </c>
      <c r="AN818" s="9">
        <f t="shared" si="235"/>
        <v>0.56940000000000002</v>
      </c>
      <c r="AO818" s="9">
        <f t="shared" si="236"/>
        <v>3.7960000000000003</v>
      </c>
      <c r="AP818" s="9">
        <f t="shared" si="237"/>
        <v>0.37959999999999999</v>
      </c>
      <c r="AQ818" s="9">
        <f t="shared" si="238"/>
        <v>3.7960000000000003</v>
      </c>
      <c r="AR818" s="9">
        <f t="shared" si="239"/>
        <v>4.7450000000000001</v>
      </c>
      <c r="AS818" s="11">
        <f t="shared" si="240"/>
        <v>1.4946666666666666</v>
      </c>
      <c r="AT818" s="12">
        <f t="shared" si="241"/>
        <v>0.8620000000000001</v>
      </c>
    </row>
    <row r="819" spans="1:46" ht="16.5" x14ac:dyDescent="0.4">
      <c r="A819" s="4" t="s">
        <v>3690</v>
      </c>
      <c r="B819" s="4" t="s">
        <v>3710</v>
      </c>
      <c r="C819" s="4" t="s">
        <v>3710</v>
      </c>
      <c r="D819" s="4" t="s">
        <v>3718</v>
      </c>
      <c r="E819" s="4" t="s">
        <v>3736</v>
      </c>
      <c r="F819" s="4" t="s">
        <v>3763</v>
      </c>
      <c r="G819" s="7" t="str">
        <f>VLOOKUP(A819,[1]done!$A:$I,9,0)</f>
        <v>Mosquito/Fly</v>
      </c>
      <c r="H819" s="7" t="str" cm="1">
        <f t="array" ref="H819">_xlfn.IFS(
OR(ISNUMBER(SEARCH("mouse",E819)),ISNUMBER(SEARCH("rat",E819)),ISNUMBER(SEARCH("mice",E819)),ISNUMBER(SEARCH("rodent",E819))),"Rodent Control",
OR(ISNUMBER(SEARCH("fly",E819)),ISNUMBER(SEARCH("gnat",E819)),ISNUMBER(SEARCH("insect",E819)),ISNUMBER(SEARCH("mosquito",E819))),"Flying Insect Control",
OR(ISNUMBER(SEARCH("roach",E819)),ISNUMBER(SEARCH("ant",E819)),ISNUMBER(SEARCH("spider",E819)),ISNUMBER(SEARCH("cricket",E819)),ISNUMBER(SEARCH("scorpion",E819)),ISNUMBER(SEARCH("centipede",E819)),ISNUMBER(SEARCH("beetle",E819))),"Crawling Insect Control",
OR(ISNUMBER(SEARCH("tree",E819)),ISNUMBER(SEARCH("lantern",E819)),ISNUMBER(SEARCH("garden",E819)),ISNUMBER(SEARCH("plant",E819))),"Garden Pest Control",
OR(ISNUMBER(SEARCH("grass seed",E819)),ISNUMBER(SEARCH("seed mix",E819))),"Grass Seed",
OR(ISNUMBER(SEARCH("lawn food",E819)),ISNUMBER(SEARCH("fertilizer",E819))),"Lawn Fertilizer",
OR(ISNUMBER(SEARCH("patch",E819)),ISNUMBER(SEARCH("repair",E819)),ISNUMBER(SEARCH("thick'r",E819)),ISNUMBER(SEARCH("thick'r lawn",E819)),ISNUMBER(SEARCH("rapid grass",E819))),"Lawn Repair",
OR(ISNUMBER(SEARCH("weed",E819)),ISNUMBER(SEARCH("crabgrass",E819))),"Weed Control",
OR(ISNUMBER(SEARCH("fungicide",E819)),ISNUMBER(SEARCH("moss",E819))),"Disease &amp; Moss Control",
OR(ISNUMBER(SEARCH("plant food",E819)),ISNUMBER(SEARCH("miracid",E819))),"Plant Nutrition",
OR(ISNUMBER(SEARCH("perlite",E819))),"Soil Amendment",
OR(ISNUMBER(SEARCH("spreader",E819)),ISNUMBER(SEARCH("sprayer",E819)),ISNUMBER(SEARCH("mower",E819)),ISNUMBER(SEARCH("sweeper",E819)),ISNUMBER(SEARCH("pruner",E819)),ISNUMBER(SEARCH("trimmer",E819)),ISNUMBER(SEARCH("pole saw",E819))),"Garden Equipment",
TRUE,"Other"
)</f>
        <v>Flying Insect Control</v>
      </c>
      <c r="I819" s="7" t="str" cm="1">
        <f t="array" ref="I819">_xlfn.IFS(
OR(ISNUMBER(SEARCH("glue trap",E819)),ISNUMBER(SEARCH("glue board",E819))),"Glue Traps",
OR(ISNUMBER(SEARCH("snap trap",E819)),ISNUMBER(SEARCH("power-kill",E819)),ISNUMBER(SEARCH("wide pedal",E819)),ISNUMBER(SEARCH("metal pedal",E819))),"Snap Traps",
OR(ISNUMBER(SEARCH("electronic",E819)),ISNUMBER(SEARCH("zapper",E819))),"Electronic Traps",
OR(ISNUMBER(SEARCH("live catch",E819)),ISNUMBER(SEARCH("multi-catch",E819)),ISNUMBER(SEARCH("catch &amp; hold",E819)),ISNUMBER(SEARCH("tin cat",E819))),"Live Catch Traps",
OR(ISNUMBER(SEARCH("bait",E819)),ISNUMBER(SEARCH("poison",E819))),"Bait &amp; Poison",
ISNUMBER(SEARCH("repellent",E819)),"Repellents",
OR(ISNUMBER(SEARCH("fly trap",E819)),ISNUMBER(SEARCH("fly ribbon",E819)),ISNUMBER(SEARCH("fly stick",E819)),ISNUMBER(SEARCH("window fly",E819)),ISNUMBER(SEARCH("fly magnet",E819))),"Fly Traps",
OR(ISNUMBER(SEARCH("uv",E819)),ISNUMBER(SEARCH("fly light",E819)),ISNUMBER(SEARCH("plug-in",E819))),"UV Fly Traps",
ISNUMBER(SEARCH("roach",E819)),"Roach Traps",
ISNUMBER(SEARCH("ant",E819)),"Ant Traps",
ISNUMBER(SEARCH("spider",E819)),"Spider Traps",
ISNUMBER(SEARCH("mosquito",E819)),"Mosquito Traps",
ISNUMBER(SEARCH("beetle",E819)),"Beetle Traps",
ISNUMBER(SEARCH("lantern",E819)),"Lanternfly Control",
OR(ISNUMBER(SEARCH("tree shield",E819)),ISNUMBER(SEARCH("tree banding",E819)),ISNUMBER(SEARCH("insect barrier",E819))),"Tree Barriers",
OR(ISNUMBER(SEARCH("sun &amp; shade",E819)),ISNUMBER(SEARCH("sun and shade",E819))),"Sun &amp; Shade Mix",
ISNUMBER(SEARCH("tall fescue",E819)),"Tall Fescue",
ISNUMBER(SEARCH("bermudagrass",E819)),"Bermudagrass",
ISNUMBER(SEARCH("kentucky",E819)),"Kentucky Bluegrass",
ISNUMBER(SEARCH("zoysia",E819)),"Zoysia",
ISNUMBER(SEARCH("ryegrass",E819)),"Perennial Ryegrass",
ISNUMBER(SEARCH("centipede",E819)),"Centipede Grass",
ISNUMBER(SEARCH("dense shade",E819)),"Dense Shade Mix",
ISNUMBER(SEARCH("southern gold",E819)),"Southern Gold Mix",
ISNUMBER(SEARCH("heat-tolerant blue",E819)),"Heat-Tolerant Blue Mix",
ISNUMBER(SEARCH("high traffic",E819)),"High Traffic Mix",
ISNUMBER(SEARCH("quick fix",E819)),"Quick Fix Mix",
ISNUMBER(SEARCH("starter",E819)),"Starter Fertilizer",
ISNUMBER(SEARCH("weed &amp; feed",E819)),"Weed &amp; Feed",
ISNUMBER(SEARCH("lawn food",E819)),"Lawn Food",
ISNUMBER(SEARCH("triple action",E819)),"Triple Action Fertilizer",
ISNUMBER(SEARCH("green max",E819)),"Green Max Lawn Food",
ISNUMBER(SEARCH("patchmaster",E819)),"PatchMaster Repair",
ISNUMBER(SEARCH("ez seed",E819)),"EZ Seed Repair",
ISNUMBER(SEARCH("rapid grass",E819)),"Rapid Grass",
ISNUMBER(SEARCH("thick'r lawn",E819)),"Thick'R Lawn",
ISNUMBER(SEARCH("fungicide",E819)),"Fungicide",
ISNUMBER(SEARCH("moss",E819)),"Moss Control",
ISNUMBER(SEARCH("perlite",E819)),"Perlite",
ISNUMBER(SEARCH("plant food",E819)),"Plant Food",
ISNUMBER(SEARCH("spreader",E819)),"Spreader",
ISNUMBER(SEARCH("sprayer",E819)),"Sprayer",
ISNUMBER(SEARCH("mower",E819)),"Lawn Mower",
ISNUMBER(SEARCH("sweeper",E819)),"Lawn Sweeper",
OR(ISNUMBER(SEARCH("pruner",E819)),ISNUMBER(SEARCH("trimmer",E819)),ISNUMBER(SEARCH("pole saw",E819))),"Pruning Tools",
TRUE,"Other"
)</f>
        <v>Fly Traps</v>
      </c>
      <c r="J819" s="7" t="str">
        <f t="shared" si="249"/>
        <v>Flying Insect Control - Fly Traps</v>
      </c>
      <c r="K819" s="4">
        <v>400</v>
      </c>
      <c r="L819" s="4">
        <v>4</v>
      </c>
      <c r="M819" s="4">
        <v>322</v>
      </c>
      <c r="N819" s="4" t="s">
        <v>3787</v>
      </c>
      <c r="O819" s="4">
        <f>VLOOKUP(A819,[16]Sheet1!$A:$M,2,0)</f>
        <v>0</v>
      </c>
      <c r="P819" s="4">
        <f>VLOOKUP(A819,[16]Sheet1!$A:$M,3,0)</f>
        <v>0</v>
      </c>
      <c r="Q819" s="4">
        <f>VLOOKUP(A819,[16]Sheet1!$A:$M,4,0)</f>
        <v>800</v>
      </c>
      <c r="R819" s="4">
        <f>VLOOKUP(A819,[16]Sheet1!$A:$M,5,0)</f>
        <v>800</v>
      </c>
      <c r="S819" s="4">
        <f>VLOOKUP(A819,[16]Sheet1!$A:$M,6,0)</f>
        <v>500</v>
      </c>
      <c r="T819" s="4">
        <f>VLOOKUP(A819,[16]Sheet1!$A:$M,7,0)</f>
        <v>400</v>
      </c>
      <c r="U819" s="4">
        <f>VLOOKUP(A819,[16]Sheet1!$A:$M,8,0)</f>
        <v>200</v>
      </c>
      <c r="V819" s="4">
        <f>VLOOKUP(A819,[16]Sheet1!$A:$M,9,0)</f>
        <v>200</v>
      </c>
      <c r="W819" s="4">
        <f>VLOOKUP(A819,[16]Sheet1!$A:$M,10,0)</f>
        <v>400</v>
      </c>
      <c r="X819" s="4">
        <f>VLOOKUP(A819,[16]Sheet1!$A:$M,11,0)</f>
        <v>0</v>
      </c>
      <c r="Y819" s="4">
        <f>VLOOKUP(A819,[16]Sheet1!$A:$M,12,0)</f>
        <v>0</v>
      </c>
      <c r="Z819" s="4">
        <f>VLOOKUP(A819,[16]Sheet1!$A:$M,13,0)</f>
        <v>0</v>
      </c>
      <c r="AA819" s="4">
        <f t="shared" si="244"/>
        <v>3300</v>
      </c>
      <c r="AB819" s="7">
        <f t="shared" si="245"/>
        <v>275</v>
      </c>
      <c r="AC819" s="15">
        <f t="shared" si="246"/>
        <v>275</v>
      </c>
      <c r="AD819" s="16">
        <f t="shared" si="247"/>
        <v>26367</v>
      </c>
      <c r="AE819" s="16">
        <f t="shared" si="248"/>
        <v>2197.25</v>
      </c>
      <c r="AF819" s="21">
        <v>3.24</v>
      </c>
      <c r="AG819" s="21">
        <v>7.99</v>
      </c>
      <c r="AH819" s="15">
        <f t="shared" si="242"/>
        <v>-6.9600000000000051E-2</v>
      </c>
      <c r="AI819" s="15">
        <f t="shared" si="243"/>
        <v>-0.24360000000000015</v>
      </c>
      <c r="AJ819" s="10">
        <v>0.5</v>
      </c>
      <c r="AK819" s="10">
        <v>0.5</v>
      </c>
      <c r="AL819" s="21">
        <v>3.24</v>
      </c>
      <c r="AM819" s="9">
        <f t="shared" si="234"/>
        <v>1.1984999999999999</v>
      </c>
      <c r="AN819" s="9">
        <f t="shared" si="235"/>
        <v>0.2397</v>
      </c>
      <c r="AO819" s="9">
        <f t="shared" si="236"/>
        <v>1.5980000000000001</v>
      </c>
      <c r="AP819" s="9">
        <f t="shared" si="237"/>
        <v>0.1598</v>
      </c>
      <c r="AQ819" s="9">
        <f t="shared" si="238"/>
        <v>1.5980000000000001</v>
      </c>
      <c r="AR819" s="9">
        <f t="shared" si="239"/>
        <v>1.9975000000000001</v>
      </c>
      <c r="AS819" s="11">
        <f t="shared" si="240"/>
        <v>-0.69600000000000051</v>
      </c>
      <c r="AT819" s="12">
        <f t="shared" si="241"/>
        <v>-0.96233333333333382</v>
      </c>
    </row>
    <row r="820" spans="1:46" ht="16.5" x14ac:dyDescent="0.4">
      <c r="A820" s="4" t="s">
        <v>3691</v>
      </c>
      <c r="B820" s="4" t="s">
        <v>3710</v>
      </c>
      <c r="C820" s="4" t="s">
        <v>3710</v>
      </c>
      <c r="D820" s="4" t="s">
        <v>3719</v>
      </c>
      <c r="E820" s="4" t="s">
        <v>3741</v>
      </c>
      <c r="F820" s="4" t="s">
        <v>3764</v>
      </c>
      <c r="G820" s="7" t="str">
        <f>VLOOKUP(A820,[1]done!$A:$I,9,0)</f>
        <v>Mosquito/Fly</v>
      </c>
      <c r="H820" s="7" t="str" cm="1">
        <f t="array" ref="H820">_xlfn.IFS(
OR(ISNUMBER(SEARCH("mouse",E820)),ISNUMBER(SEARCH("rat",E820)),ISNUMBER(SEARCH("mice",E820)),ISNUMBER(SEARCH("rodent",E820))),"Rodent Control",
OR(ISNUMBER(SEARCH("fly",E820)),ISNUMBER(SEARCH("gnat",E820)),ISNUMBER(SEARCH("insect",E820)),ISNUMBER(SEARCH("mosquito",E820))),"Flying Insect Control",
OR(ISNUMBER(SEARCH("roach",E820)),ISNUMBER(SEARCH("ant",E820)),ISNUMBER(SEARCH("spider",E820)),ISNUMBER(SEARCH("cricket",E820)),ISNUMBER(SEARCH("scorpion",E820)),ISNUMBER(SEARCH("centipede",E820)),ISNUMBER(SEARCH("beetle",E820))),"Crawling Insect Control",
OR(ISNUMBER(SEARCH("tree",E820)),ISNUMBER(SEARCH("lantern",E820)),ISNUMBER(SEARCH("garden",E820)),ISNUMBER(SEARCH("plant",E820))),"Garden Pest Control",
OR(ISNUMBER(SEARCH("grass seed",E820)),ISNUMBER(SEARCH("seed mix",E820))),"Grass Seed",
OR(ISNUMBER(SEARCH("lawn food",E820)),ISNUMBER(SEARCH("fertilizer",E820))),"Lawn Fertilizer",
OR(ISNUMBER(SEARCH("patch",E820)),ISNUMBER(SEARCH("repair",E820)),ISNUMBER(SEARCH("thick'r",E820)),ISNUMBER(SEARCH("thick'r lawn",E820)),ISNUMBER(SEARCH("rapid grass",E820))),"Lawn Repair",
OR(ISNUMBER(SEARCH("weed",E820)),ISNUMBER(SEARCH("crabgrass",E820))),"Weed Control",
OR(ISNUMBER(SEARCH("fungicide",E820)),ISNUMBER(SEARCH("moss",E820))),"Disease &amp; Moss Control",
OR(ISNUMBER(SEARCH("plant food",E820)),ISNUMBER(SEARCH("miracid",E820))),"Plant Nutrition",
OR(ISNUMBER(SEARCH("perlite",E820))),"Soil Amendment",
OR(ISNUMBER(SEARCH("spreader",E820)),ISNUMBER(SEARCH("sprayer",E820)),ISNUMBER(SEARCH("mower",E820)),ISNUMBER(SEARCH("sweeper",E820)),ISNUMBER(SEARCH("pruner",E820)),ISNUMBER(SEARCH("trimmer",E820)),ISNUMBER(SEARCH("pole saw",E820))),"Garden Equipment",
TRUE,"Other"
)</f>
        <v>Flying Insect Control</v>
      </c>
      <c r="I820" s="7" t="str" cm="1">
        <f t="array" ref="I820">_xlfn.IFS(
OR(ISNUMBER(SEARCH("glue trap",E820)),ISNUMBER(SEARCH("glue board",E820))),"Glue Traps",
OR(ISNUMBER(SEARCH("snap trap",E820)),ISNUMBER(SEARCH("power-kill",E820)),ISNUMBER(SEARCH("wide pedal",E820)),ISNUMBER(SEARCH("metal pedal",E820))),"Snap Traps",
OR(ISNUMBER(SEARCH("electronic",E820)),ISNUMBER(SEARCH("zapper",E820))),"Electronic Traps",
OR(ISNUMBER(SEARCH("live catch",E820)),ISNUMBER(SEARCH("multi-catch",E820)),ISNUMBER(SEARCH("catch &amp; hold",E820)),ISNUMBER(SEARCH("tin cat",E820))),"Live Catch Traps",
OR(ISNUMBER(SEARCH("bait",E820)),ISNUMBER(SEARCH("poison",E820))),"Bait &amp; Poison",
ISNUMBER(SEARCH("repellent",E820)),"Repellents",
OR(ISNUMBER(SEARCH("fly trap",E820)),ISNUMBER(SEARCH("fly ribbon",E820)),ISNUMBER(SEARCH("fly stick",E820)),ISNUMBER(SEARCH("window fly",E820)),ISNUMBER(SEARCH("fly magnet",E820))),"Fly Traps",
OR(ISNUMBER(SEARCH("uv",E820)),ISNUMBER(SEARCH("fly light",E820)),ISNUMBER(SEARCH("plug-in",E820))),"UV Fly Traps",
ISNUMBER(SEARCH("roach",E820)),"Roach Traps",
ISNUMBER(SEARCH("ant",E820)),"Ant Traps",
ISNUMBER(SEARCH("spider",E820)),"Spider Traps",
ISNUMBER(SEARCH("mosquito",E820)),"Mosquito Traps",
ISNUMBER(SEARCH("beetle",E820)),"Beetle Traps",
ISNUMBER(SEARCH("lantern",E820)),"Lanternfly Control",
OR(ISNUMBER(SEARCH("tree shield",E820)),ISNUMBER(SEARCH("tree banding",E820)),ISNUMBER(SEARCH("insect barrier",E820))),"Tree Barriers",
OR(ISNUMBER(SEARCH("sun &amp; shade",E820)),ISNUMBER(SEARCH("sun and shade",E820))),"Sun &amp; Shade Mix",
ISNUMBER(SEARCH("tall fescue",E820)),"Tall Fescue",
ISNUMBER(SEARCH("bermudagrass",E820)),"Bermudagrass",
ISNUMBER(SEARCH("kentucky",E820)),"Kentucky Bluegrass",
ISNUMBER(SEARCH("zoysia",E820)),"Zoysia",
ISNUMBER(SEARCH("ryegrass",E820)),"Perennial Ryegrass",
ISNUMBER(SEARCH("centipede",E820)),"Centipede Grass",
ISNUMBER(SEARCH("dense shade",E820)),"Dense Shade Mix",
ISNUMBER(SEARCH("southern gold",E820)),"Southern Gold Mix",
ISNUMBER(SEARCH("heat-tolerant blue",E820)),"Heat-Tolerant Blue Mix",
ISNUMBER(SEARCH("high traffic",E820)),"High Traffic Mix",
ISNUMBER(SEARCH("quick fix",E820)),"Quick Fix Mix",
ISNUMBER(SEARCH("starter",E820)),"Starter Fertilizer",
ISNUMBER(SEARCH("weed &amp; feed",E820)),"Weed &amp; Feed",
ISNUMBER(SEARCH("lawn food",E820)),"Lawn Food",
ISNUMBER(SEARCH("triple action",E820)),"Triple Action Fertilizer",
ISNUMBER(SEARCH("green max",E820)),"Green Max Lawn Food",
ISNUMBER(SEARCH("patchmaster",E820)),"PatchMaster Repair",
ISNUMBER(SEARCH("ez seed",E820)),"EZ Seed Repair",
ISNUMBER(SEARCH("rapid grass",E820)),"Rapid Grass",
ISNUMBER(SEARCH("thick'r lawn",E820)),"Thick'R Lawn",
ISNUMBER(SEARCH("fungicide",E820)),"Fungicide",
ISNUMBER(SEARCH("moss",E820)),"Moss Control",
ISNUMBER(SEARCH("perlite",E820)),"Perlite",
ISNUMBER(SEARCH("plant food",E820)),"Plant Food",
ISNUMBER(SEARCH("spreader",E820)),"Spreader",
ISNUMBER(SEARCH("sprayer",E820)),"Sprayer",
ISNUMBER(SEARCH("mower",E820)),"Lawn Mower",
ISNUMBER(SEARCH("sweeper",E820)),"Lawn Sweeper",
OR(ISNUMBER(SEARCH("pruner",E820)),ISNUMBER(SEARCH("trimmer",E820)),ISNUMBER(SEARCH("pole saw",E820))),"Pruning Tools",
TRUE,"Other"
)</f>
        <v>Other</v>
      </c>
      <c r="J820" s="7" t="str">
        <f t="shared" si="249"/>
        <v>Flying Insect Control - Other</v>
      </c>
      <c r="K820" s="4">
        <v>400</v>
      </c>
      <c r="L820" s="4">
        <v>4.2</v>
      </c>
      <c r="M820" s="4">
        <v>306</v>
      </c>
      <c r="O820" s="4">
        <f>VLOOKUP(A820,[16]Sheet1!$A:$M,2,0)</f>
        <v>0</v>
      </c>
      <c r="P820" s="4">
        <f>VLOOKUP(A820,[16]Sheet1!$A:$M,3,0)</f>
        <v>0</v>
      </c>
      <c r="Q820" s="4">
        <f>VLOOKUP(A820,[16]Sheet1!$A:$M,4,0)</f>
        <v>0</v>
      </c>
      <c r="R820" s="4">
        <f>VLOOKUP(A820,[16]Sheet1!$A:$M,5,0)</f>
        <v>0</v>
      </c>
      <c r="S820" s="4">
        <f>VLOOKUP(A820,[16]Sheet1!$A:$M,6,0)</f>
        <v>1000</v>
      </c>
      <c r="T820" s="4">
        <f>VLOOKUP(A820,[16]Sheet1!$A:$M,7,0)</f>
        <v>1000</v>
      </c>
      <c r="U820" s="4">
        <f>VLOOKUP(A820,[16]Sheet1!$A:$M,8,0)</f>
        <v>1000</v>
      </c>
      <c r="V820" s="4">
        <f>VLOOKUP(A820,[16]Sheet1!$A:$M,9,0)</f>
        <v>1000</v>
      </c>
      <c r="W820" s="4">
        <f>VLOOKUP(A820,[16]Sheet1!$A:$M,10,0)</f>
        <v>400</v>
      </c>
      <c r="X820" s="4">
        <f>VLOOKUP(A820,[16]Sheet1!$A:$M,11,0)</f>
        <v>0</v>
      </c>
      <c r="Y820" s="4">
        <f>VLOOKUP(A820,[16]Sheet1!$A:$M,12,0)</f>
        <v>0</v>
      </c>
      <c r="Z820" s="4">
        <f>VLOOKUP(A820,[16]Sheet1!$A:$M,13,0)</f>
        <v>0</v>
      </c>
      <c r="AA820" s="4">
        <f t="shared" si="244"/>
        <v>4400</v>
      </c>
      <c r="AB820" s="7">
        <f t="shared" si="245"/>
        <v>367</v>
      </c>
      <c r="AC820" s="15">
        <f t="shared" si="246"/>
        <v>366.66666666666669</v>
      </c>
      <c r="AD820" s="16">
        <f t="shared" si="247"/>
        <v>118756</v>
      </c>
      <c r="AE820" s="16">
        <f t="shared" si="248"/>
        <v>9896.3333333333339</v>
      </c>
      <c r="AF820" s="21">
        <v>7.01</v>
      </c>
      <c r="AG820" s="21">
        <v>26.99</v>
      </c>
      <c r="AH820" s="15">
        <f t="shared" si="242"/>
        <v>0.18573333333333331</v>
      </c>
      <c r="AI820" s="15">
        <f t="shared" si="243"/>
        <v>0.65006666666666657</v>
      </c>
      <c r="AJ820" s="10">
        <v>0.5</v>
      </c>
      <c r="AK820" s="10">
        <v>0.5</v>
      </c>
      <c r="AL820" s="21">
        <v>7.01</v>
      </c>
      <c r="AM820" s="9">
        <f t="shared" si="234"/>
        <v>4.0484999999999998</v>
      </c>
      <c r="AN820" s="9">
        <f t="shared" si="235"/>
        <v>0.80969999999999998</v>
      </c>
      <c r="AO820" s="9">
        <f t="shared" si="236"/>
        <v>5.3979999999999997</v>
      </c>
      <c r="AP820" s="9">
        <f t="shared" si="237"/>
        <v>0.53979999999999995</v>
      </c>
      <c r="AQ820" s="9">
        <f t="shared" si="238"/>
        <v>5.3979999999999997</v>
      </c>
      <c r="AR820" s="9">
        <f t="shared" si="239"/>
        <v>6.7474999999999996</v>
      </c>
      <c r="AS820" s="11">
        <f t="shared" si="240"/>
        <v>1.8573333333333331</v>
      </c>
      <c r="AT820" s="12">
        <f t="shared" si="241"/>
        <v>0.95766666666666644</v>
      </c>
    </row>
    <row r="821" spans="1:46" ht="16.5" x14ac:dyDescent="0.4">
      <c r="A821" s="4" t="s">
        <v>3692</v>
      </c>
      <c r="B821" s="4" t="s">
        <v>3710</v>
      </c>
      <c r="C821" s="4" t="s">
        <v>3710</v>
      </c>
      <c r="D821" s="4" t="s">
        <v>3720</v>
      </c>
      <c r="E821" s="4" t="s">
        <v>3742</v>
      </c>
      <c r="F821" s="4" t="s">
        <v>3765</v>
      </c>
      <c r="G821" s="7" t="str">
        <f>VLOOKUP(A821,[1]done!$A:$I,9,0)</f>
        <v>Mosquito/Fly</v>
      </c>
      <c r="H821" s="7" t="str" cm="1">
        <f t="array" ref="H821">_xlfn.IFS(
OR(ISNUMBER(SEARCH("mouse",E821)),ISNUMBER(SEARCH("rat",E821)),ISNUMBER(SEARCH("mice",E821)),ISNUMBER(SEARCH("rodent",E821))),"Rodent Control",
OR(ISNUMBER(SEARCH("fly",E821)),ISNUMBER(SEARCH("gnat",E821)),ISNUMBER(SEARCH("insect",E821)),ISNUMBER(SEARCH("mosquito",E821))),"Flying Insect Control",
OR(ISNUMBER(SEARCH("roach",E821)),ISNUMBER(SEARCH("ant",E821)),ISNUMBER(SEARCH("spider",E821)),ISNUMBER(SEARCH("cricket",E821)),ISNUMBER(SEARCH("scorpion",E821)),ISNUMBER(SEARCH("centipede",E821)),ISNUMBER(SEARCH("beetle",E821))),"Crawling Insect Control",
OR(ISNUMBER(SEARCH("tree",E821)),ISNUMBER(SEARCH("lantern",E821)),ISNUMBER(SEARCH("garden",E821)),ISNUMBER(SEARCH("plant",E821))),"Garden Pest Control",
OR(ISNUMBER(SEARCH("grass seed",E821)),ISNUMBER(SEARCH("seed mix",E821))),"Grass Seed",
OR(ISNUMBER(SEARCH("lawn food",E821)),ISNUMBER(SEARCH("fertilizer",E821))),"Lawn Fertilizer",
OR(ISNUMBER(SEARCH("patch",E821)),ISNUMBER(SEARCH("repair",E821)),ISNUMBER(SEARCH("thick'r",E821)),ISNUMBER(SEARCH("thick'r lawn",E821)),ISNUMBER(SEARCH("rapid grass",E821))),"Lawn Repair",
OR(ISNUMBER(SEARCH("weed",E821)),ISNUMBER(SEARCH("crabgrass",E821))),"Weed Control",
OR(ISNUMBER(SEARCH("fungicide",E821)),ISNUMBER(SEARCH("moss",E821))),"Disease &amp; Moss Control",
OR(ISNUMBER(SEARCH("plant food",E821)),ISNUMBER(SEARCH("miracid",E821))),"Plant Nutrition",
OR(ISNUMBER(SEARCH("perlite",E821))),"Soil Amendment",
OR(ISNUMBER(SEARCH("spreader",E821)),ISNUMBER(SEARCH("sprayer",E821)),ISNUMBER(SEARCH("mower",E821)),ISNUMBER(SEARCH("sweeper",E821)),ISNUMBER(SEARCH("pruner",E821)),ISNUMBER(SEARCH("trimmer",E821)),ISNUMBER(SEARCH("pole saw",E821))),"Garden Equipment",
TRUE,"Other"
)</f>
        <v>Flying Insect Control</v>
      </c>
      <c r="I821" s="7" t="str" cm="1">
        <f t="array" ref="I821">_xlfn.IFS(
OR(ISNUMBER(SEARCH("glue trap",E821)),ISNUMBER(SEARCH("glue board",E821))),"Glue Traps",
OR(ISNUMBER(SEARCH("snap trap",E821)),ISNUMBER(SEARCH("power-kill",E821)),ISNUMBER(SEARCH("wide pedal",E821)),ISNUMBER(SEARCH("metal pedal",E821))),"Snap Traps",
OR(ISNUMBER(SEARCH("electronic",E821)),ISNUMBER(SEARCH("zapper",E821))),"Electronic Traps",
OR(ISNUMBER(SEARCH("live catch",E821)),ISNUMBER(SEARCH("multi-catch",E821)),ISNUMBER(SEARCH("catch &amp; hold",E821)),ISNUMBER(SEARCH("tin cat",E821))),"Live Catch Traps",
OR(ISNUMBER(SEARCH("bait",E821)),ISNUMBER(SEARCH("poison",E821))),"Bait &amp; Poison",
ISNUMBER(SEARCH("repellent",E821)),"Repellents",
OR(ISNUMBER(SEARCH("fly trap",E821)),ISNUMBER(SEARCH("fly ribbon",E821)),ISNUMBER(SEARCH("fly stick",E821)),ISNUMBER(SEARCH("window fly",E821)),ISNUMBER(SEARCH("fly magnet",E821))),"Fly Traps",
OR(ISNUMBER(SEARCH("uv",E821)),ISNUMBER(SEARCH("fly light",E821)),ISNUMBER(SEARCH("plug-in",E821))),"UV Fly Traps",
ISNUMBER(SEARCH("roach",E821)),"Roach Traps",
ISNUMBER(SEARCH("ant",E821)),"Ant Traps",
ISNUMBER(SEARCH("spider",E821)),"Spider Traps",
ISNUMBER(SEARCH("mosquito",E821)),"Mosquito Traps",
ISNUMBER(SEARCH("beetle",E821)),"Beetle Traps",
ISNUMBER(SEARCH("lantern",E821)),"Lanternfly Control",
OR(ISNUMBER(SEARCH("tree shield",E821)),ISNUMBER(SEARCH("tree banding",E821)),ISNUMBER(SEARCH("insect barrier",E821))),"Tree Barriers",
OR(ISNUMBER(SEARCH("sun &amp; shade",E821)),ISNUMBER(SEARCH("sun and shade",E821))),"Sun &amp; Shade Mix",
ISNUMBER(SEARCH("tall fescue",E821)),"Tall Fescue",
ISNUMBER(SEARCH("bermudagrass",E821)),"Bermudagrass",
ISNUMBER(SEARCH("kentucky",E821)),"Kentucky Bluegrass",
ISNUMBER(SEARCH("zoysia",E821)),"Zoysia",
ISNUMBER(SEARCH("ryegrass",E821)),"Perennial Ryegrass",
ISNUMBER(SEARCH("centipede",E821)),"Centipede Grass",
ISNUMBER(SEARCH("dense shade",E821)),"Dense Shade Mix",
ISNUMBER(SEARCH("southern gold",E821)),"Southern Gold Mix",
ISNUMBER(SEARCH("heat-tolerant blue",E821)),"Heat-Tolerant Blue Mix",
ISNUMBER(SEARCH("high traffic",E821)),"High Traffic Mix",
ISNUMBER(SEARCH("quick fix",E821)),"Quick Fix Mix",
ISNUMBER(SEARCH("starter",E821)),"Starter Fertilizer",
ISNUMBER(SEARCH("weed &amp; feed",E821)),"Weed &amp; Feed",
ISNUMBER(SEARCH("lawn food",E821)),"Lawn Food",
ISNUMBER(SEARCH("triple action",E821)),"Triple Action Fertilizer",
ISNUMBER(SEARCH("green max",E821)),"Green Max Lawn Food",
ISNUMBER(SEARCH("patchmaster",E821)),"PatchMaster Repair",
ISNUMBER(SEARCH("ez seed",E821)),"EZ Seed Repair",
ISNUMBER(SEARCH("rapid grass",E821)),"Rapid Grass",
ISNUMBER(SEARCH("thick'r lawn",E821)),"Thick'R Lawn",
ISNUMBER(SEARCH("fungicide",E821)),"Fungicide",
ISNUMBER(SEARCH("moss",E821)),"Moss Control",
ISNUMBER(SEARCH("perlite",E821)),"Perlite",
ISNUMBER(SEARCH("plant food",E821)),"Plant Food",
ISNUMBER(SEARCH("spreader",E821)),"Spreader",
ISNUMBER(SEARCH("sprayer",E821)),"Sprayer",
ISNUMBER(SEARCH("mower",E821)),"Lawn Mower",
ISNUMBER(SEARCH("sweeper",E821)),"Lawn Sweeper",
OR(ISNUMBER(SEARCH("pruner",E821)),ISNUMBER(SEARCH("trimmer",E821)),ISNUMBER(SEARCH("pole saw",E821))),"Pruning Tools",
TRUE,"Other"
)</f>
        <v>Electronic Traps</v>
      </c>
      <c r="J821" s="7" t="str">
        <f t="shared" si="249"/>
        <v>Flying Insect Control - Electronic Traps</v>
      </c>
      <c r="K821" s="4">
        <v>400</v>
      </c>
      <c r="L821" s="4">
        <v>4.2</v>
      </c>
      <c r="M821" s="4">
        <v>218</v>
      </c>
      <c r="O821" s="4">
        <f>VLOOKUP(A821,[16]Sheet1!$A:$M,2,0)</f>
        <v>0</v>
      </c>
      <c r="P821" s="4">
        <f>VLOOKUP(A821,[16]Sheet1!$A:$M,3,0)</f>
        <v>0</v>
      </c>
      <c r="Q821" s="4">
        <f>VLOOKUP(A821,[16]Sheet1!$A:$M,4,0)</f>
        <v>0</v>
      </c>
      <c r="R821" s="4">
        <f>VLOOKUP(A821,[16]Sheet1!$A:$M,5,0)</f>
        <v>0</v>
      </c>
      <c r="S821" s="4">
        <f>VLOOKUP(A821,[16]Sheet1!$A:$M,6,0)</f>
        <v>200</v>
      </c>
      <c r="T821" s="4">
        <f>VLOOKUP(A821,[16]Sheet1!$A:$M,7,0)</f>
        <v>1000</v>
      </c>
      <c r="U821" s="4">
        <f>VLOOKUP(A821,[16]Sheet1!$A:$M,8,0)</f>
        <v>800</v>
      </c>
      <c r="V821" s="4">
        <f>VLOOKUP(A821,[16]Sheet1!$A:$M,9,0)</f>
        <v>1000</v>
      </c>
      <c r="W821" s="4">
        <f>VLOOKUP(A821,[16]Sheet1!$A:$M,10,0)</f>
        <v>400</v>
      </c>
      <c r="X821" s="4">
        <f>VLOOKUP(A821,[16]Sheet1!$A:$M,11,0)</f>
        <v>0</v>
      </c>
      <c r="Y821" s="4">
        <f>VLOOKUP(A821,[16]Sheet1!$A:$M,12,0)</f>
        <v>0</v>
      </c>
      <c r="Z821" s="4">
        <f>VLOOKUP(A821,[16]Sheet1!$A:$M,13,0)</f>
        <v>0</v>
      </c>
      <c r="AA821" s="4">
        <f t="shared" si="244"/>
        <v>3400</v>
      </c>
      <c r="AB821" s="7">
        <f t="shared" si="245"/>
        <v>283</v>
      </c>
      <c r="AC821" s="15">
        <f t="shared" si="246"/>
        <v>283.33333333333331</v>
      </c>
      <c r="AD821" s="16">
        <f t="shared" si="247"/>
        <v>78166</v>
      </c>
      <c r="AE821" s="16">
        <f t="shared" si="248"/>
        <v>6513.8333333333321</v>
      </c>
      <c r="AF821" s="21">
        <v>8.2100000000000009</v>
      </c>
      <c r="AG821" s="21">
        <v>22.99</v>
      </c>
      <c r="AH821" s="15">
        <f t="shared" si="242"/>
        <v>-9.3333333333346733E-4</v>
      </c>
      <c r="AI821" s="15">
        <f t="shared" si="243"/>
        <v>-3.2666666666671357E-3</v>
      </c>
      <c r="AJ821" s="10">
        <v>0.5</v>
      </c>
      <c r="AK821" s="10">
        <v>0.5</v>
      </c>
      <c r="AL821" s="21">
        <v>8.2100000000000009</v>
      </c>
      <c r="AM821" s="9">
        <f t="shared" si="234"/>
        <v>3.4484999999999997</v>
      </c>
      <c r="AN821" s="9">
        <f t="shared" si="235"/>
        <v>0.68969999999999998</v>
      </c>
      <c r="AO821" s="9">
        <f t="shared" si="236"/>
        <v>4.5979999999999999</v>
      </c>
      <c r="AP821" s="9">
        <f t="shared" si="237"/>
        <v>0.45979999999999999</v>
      </c>
      <c r="AQ821" s="9">
        <f t="shared" si="238"/>
        <v>4.5979999999999999</v>
      </c>
      <c r="AR821" s="9">
        <f t="shared" si="239"/>
        <v>5.7474999999999996</v>
      </c>
      <c r="AS821" s="11">
        <f t="shared" si="240"/>
        <v>-9.3333333333346733E-3</v>
      </c>
      <c r="AT821" s="12">
        <f t="shared" si="241"/>
        <v>-0.77566666666666784</v>
      </c>
    </row>
    <row r="822" spans="1:46" ht="16.5" x14ac:dyDescent="0.4">
      <c r="A822" s="4" t="s">
        <v>3693</v>
      </c>
      <c r="B822" s="4" t="s">
        <v>3710</v>
      </c>
      <c r="C822" s="4" t="s">
        <v>3710</v>
      </c>
      <c r="D822" s="4" t="s">
        <v>3721</v>
      </c>
      <c r="E822" s="4" t="s">
        <v>3743</v>
      </c>
      <c r="F822" s="4" t="s">
        <v>3766</v>
      </c>
      <c r="G822" s="7" t="str">
        <f>VLOOKUP(A822,[1]done!$A:$I,9,0)</f>
        <v>Mosquito/Fly</v>
      </c>
      <c r="H822" s="7" t="str" cm="1">
        <f t="array" ref="H822">_xlfn.IFS(
OR(ISNUMBER(SEARCH("mouse",E822)),ISNUMBER(SEARCH("rat",E822)),ISNUMBER(SEARCH("mice",E822)),ISNUMBER(SEARCH("rodent",E822))),"Rodent Control",
OR(ISNUMBER(SEARCH("fly",E822)),ISNUMBER(SEARCH("gnat",E822)),ISNUMBER(SEARCH("insect",E822)),ISNUMBER(SEARCH("mosquito",E822))),"Flying Insect Control",
OR(ISNUMBER(SEARCH("roach",E822)),ISNUMBER(SEARCH("ant",E822)),ISNUMBER(SEARCH("spider",E822)),ISNUMBER(SEARCH("cricket",E822)),ISNUMBER(SEARCH("scorpion",E822)),ISNUMBER(SEARCH("centipede",E822)),ISNUMBER(SEARCH("beetle",E822))),"Crawling Insect Control",
OR(ISNUMBER(SEARCH("tree",E822)),ISNUMBER(SEARCH("lantern",E822)),ISNUMBER(SEARCH("garden",E822)),ISNUMBER(SEARCH("plant",E822))),"Garden Pest Control",
OR(ISNUMBER(SEARCH("grass seed",E822)),ISNUMBER(SEARCH("seed mix",E822))),"Grass Seed",
OR(ISNUMBER(SEARCH("lawn food",E822)),ISNUMBER(SEARCH("fertilizer",E822))),"Lawn Fertilizer",
OR(ISNUMBER(SEARCH("patch",E822)),ISNUMBER(SEARCH("repair",E822)),ISNUMBER(SEARCH("thick'r",E822)),ISNUMBER(SEARCH("thick'r lawn",E822)),ISNUMBER(SEARCH("rapid grass",E822))),"Lawn Repair",
OR(ISNUMBER(SEARCH("weed",E822)),ISNUMBER(SEARCH("crabgrass",E822))),"Weed Control",
OR(ISNUMBER(SEARCH("fungicide",E822)),ISNUMBER(SEARCH("moss",E822))),"Disease &amp; Moss Control",
OR(ISNUMBER(SEARCH("plant food",E822)),ISNUMBER(SEARCH("miracid",E822))),"Plant Nutrition",
OR(ISNUMBER(SEARCH("perlite",E822))),"Soil Amendment",
OR(ISNUMBER(SEARCH("spreader",E822)),ISNUMBER(SEARCH("sprayer",E822)),ISNUMBER(SEARCH("mower",E822)),ISNUMBER(SEARCH("sweeper",E822)),ISNUMBER(SEARCH("pruner",E822)),ISNUMBER(SEARCH("trimmer",E822)),ISNUMBER(SEARCH("pole saw",E822))),"Garden Equipment",
TRUE,"Other"
)</f>
        <v>Flying Insect Control</v>
      </c>
      <c r="I822" s="7" t="str" cm="1">
        <f t="array" ref="I822">_xlfn.IFS(
OR(ISNUMBER(SEARCH("glue trap",E822)),ISNUMBER(SEARCH("glue board",E822))),"Glue Traps",
OR(ISNUMBER(SEARCH("snap trap",E822)),ISNUMBER(SEARCH("power-kill",E822)),ISNUMBER(SEARCH("wide pedal",E822)),ISNUMBER(SEARCH("metal pedal",E822))),"Snap Traps",
OR(ISNUMBER(SEARCH("electronic",E822)),ISNUMBER(SEARCH("zapper",E822))),"Electronic Traps",
OR(ISNUMBER(SEARCH("live catch",E822)),ISNUMBER(SEARCH("multi-catch",E822)),ISNUMBER(SEARCH("catch &amp; hold",E822)),ISNUMBER(SEARCH("tin cat",E822))),"Live Catch Traps",
OR(ISNUMBER(SEARCH("bait",E822)),ISNUMBER(SEARCH("poison",E822))),"Bait &amp; Poison",
ISNUMBER(SEARCH("repellent",E822)),"Repellents",
OR(ISNUMBER(SEARCH("fly trap",E822)),ISNUMBER(SEARCH("fly ribbon",E822)),ISNUMBER(SEARCH("fly stick",E822)),ISNUMBER(SEARCH("window fly",E822)),ISNUMBER(SEARCH("fly magnet",E822))),"Fly Traps",
OR(ISNUMBER(SEARCH("uv",E822)),ISNUMBER(SEARCH("fly light",E822)),ISNUMBER(SEARCH("plug-in",E822))),"UV Fly Traps",
ISNUMBER(SEARCH("roach",E822)),"Roach Traps",
ISNUMBER(SEARCH("ant",E822)),"Ant Traps",
ISNUMBER(SEARCH("spider",E822)),"Spider Traps",
ISNUMBER(SEARCH("mosquito",E822)),"Mosquito Traps",
ISNUMBER(SEARCH("beetle",E822)),"Beetle Traps",
ISNUMBER(SEARCH("lantern",E822)),"Lanternfly Control",
OR(ISNUMBER(SEARCH("tree shield",E822)),ISNUMBER(SEARCH("tree banding",E822)),ISNUMBER(SEARCH("insect barrier",E822))),"Tree Barriers",
OR(ISNUMBER(SEARCH("sun &amp; shade",E822)),ISNUMBER(SEARCH("sun and shade",E822))),"Sun &amp; Shade Mix",
ISNUMBER(SEARCH("tall fescue",E822)),"Tall Fescue",
ISNUMBER(SEARCH("bermudagrass",E822)),"Bermudagrass",
ISNUMBER(SEARCH("kentucky",E822)),"Kentucky Bluegrass",
ISNUMBER(SEARCH("zoysia",E822)),"Zoysia",
ISNUMBER(SEARCH("ryegrass",E822)),"Perennial Ryegrass",
ISNUMBER(SEARCH("centipede",E822)),"Centipede Grass",
ISNUMBER(SEARCH("dense shade",E822)),"Dense Shade Mix",
ISNUMBER(SEARCH("southern gold",E822)),"Southern Gold Mix",
ISNUMBER(SEARCH("heat-tolerant blue",E822)),"Heat-Tolerant Blue Mix",
ISNUMBER(SEARCH("high traffic",E822)),"High Traffic Mix",
ISNUMBER(SEARCH("quick fix",E822)),"Quick Fix Mix",
ISNUMBER(SEARCH("starter",E822)),"Starter Fertilizer",
ISNUMBER(SEARCH("weed &amp; feed",E822)),"Weed &amp; Feed",
ISNUMBER(SEARCH("lawn food",E822)),"Lawn Food",
ISNUMBER(SEARCH("triple action",E822)),"Triple Action Fertilizer",
ISNUMBER(SEARCH("green max",E822)),"Green Max Lawn Food",
ISNUMBER(SEARCH("patchmaster",E822)),"PatchMaster Repair",
ISNUMBER(SEARCH("ez seed",E822)),"EZ Seed Repair",
ISNUMBER(SEARCH("rapid grass",E822)),"Rapid Grass",
ISNUMBER(SEARCH("thick'r lawn",E822)),"Thick'R Lawn",
ISNUMBER(SEARCH("fungicide",E822)),"Fungicide",
ISNUMBER(SEARCH("moss",E822)),"Moss Control",
ISNUMBER(SEARCH("perlite",E822)),"Perlite",
ISNUMBER(SEARCH("plant food",E822)),"Plant Food",
ISNUMBER(SEARCH("spreader",E822)),"Spreader",
ISNUMBER(SEARCH("sprayer",E822)),"Sprayer",
ISNUMBER(SEARCH("mower",E822)),"Lawn Mower",
ISNUMBER(SEARCH("sweeper",E822)),"Lawn Sweeper",
OR(ISNUMBER(SEARCH("pruner",E822)),ISNUMBER(SEARCH("trimmer",E822)),ISNUMBER(SEARCH("pole saw",E822))),"Pruning Tools",
TRUE,"Other"
)</f>
        <v>Electronic Traps</v>
      </c>
      <c r="J822" s="7" t="str">
        <f t="shared" si="249"/>
        <v>Flying Insect Control - Electronic Traps</v>
      </c>
      <c r="K822" s="4">
        <v>400</v>
      </c>
      <c r="L822" s="4">
        <v>4.2</v>
      </c>
      <c r="M822" s="4">
        <v>41</v>
      </c>
      <c r="O822" s="4">
        <f>VLOOKUP(A822,[16]Sheet1!$A:$M,2,0)</f>
        <v>0</v>
      </c>
      <c r="P822" s="4">
        <f>VLOOKUP(A822,[16]Sheet1!$A:$M,3,0)</f>
        <v>0</v>
      </c>
      <c r="Q822" s="4">
        <f>VLOOKUP(A822,[16]Sheet1!$A:$M,4,0)</f>
        <v>0</v>
      </c>
      <c r="R822" s="4">
        <f>VLOOKUP(A822,[16]Sheet1!$A:$M,5,0)</f>
        <v>0</v>
      </c>
      <c r="S822" s="4">
        <f>VLOOKUP(A822,[16]Sheet1!$A:$M,6,0)</f>
        <v>0</v>
      </c>
      <c r="T822" s="4">
        <f>VLOOKUP(A822,[16]Sheet1!$A:$M,7,0)</f>
        <v>0</v>
      </c>
      <c r="U822" s="4">
        <f>VLOOKUP(A822,[16]Sheet1!$A:$M,8,0)</f>
        <v>0</v>
      </c>
      <c r="V822" s="4">
        <f>VLOOKUP(A822,[16]Sheet1!$A:$M,9,0)</f>
        <v>100</v>
      </c>
      <c r="W822" s="4">
        <f>VLOOKUP(A822,[16]Sheet1!$A:$M,10,0)</f>
        <v>400</v>
      </c>
      <c r="X822" s="4">
        <f>VLOOKUP(A822,[16]Sheet1!$A:$M,11,0)</f>
        <v>0</v>
      </c>
      <c r="Y822" s="4">
        <f>VLOOKUP(A822,[16]Sheet1!$A:$M,12,0)</f>
        <v>0</v>
      </c>
      <c r="Z822" s="4">
        <f>VLOOKUP(A822,[16]Sheet1!$A:$M,13,0)</f>
        <v>0</v>
      </c>
      <c r="AA822" s="4">
        <f t="shared" si="244"/>
        <v>500</v>
      </c>
      <c r="AB822" s="7">
        <f t="shared" si="245"/>
        <v>42</v>
      </c>
      <c r="AC822" s="15">
        <f t="shared" si="246"/>
        <v>41.666666666666664</v>
      </c>
      <c r="AD822" s="16">
        <f t="shared" si="247"/>
        <v>22995</v>
      </c>
      <c r="AE822" s="16">
        <f t="shared" si="248"/>
        <v>1916.25</v>
      </c>
      <c r="AF822" s="21">
        <v>8.4</v>
      </c>
      <c r="AG822" s="21">
        <v>45.99</v>
      </c>
      <c r="AH822" s="15">
        <f t="shared" si="242"/>
        <v>0.59973333333333345</v>
      </c>
      <c r="AI822" s="15">
        <f t="shared" si="243"/>
        <v>2.0990666666666669</v>
      </c>
      <c r="AJ822" s="10">
        <v>0.5</v>
      </c>
      <c r="AK822" s="10">
        <v>0.5</v>
      </c>
      <c r="AL822" s="21">
        <v>8.4</v>
      </c>
      <c r="AM822" s="9">
        <f t="shared" si="234"/>
        <v>6.8985000000000003</v>
      </c>
      <c r="AN822" s="9">
        <f t="shared" si="235"/>
        <v>1.3796999999999999</v>
      </c>
      <c r="AO822" s="9">
        <f t="shared" si="236"/>
        <v>9.1980000000000004</v>
      </c>
      <c r="AP822" s="9">
        <f t="shared" si="237"/>
        <v>0.91980000000000006</v>
      </c>
      <c r="AQ822" s="9">
        <f t="shared" si="238"/>
        <v>9.1980000000000004</v>
      </c>
      <c r="AR822" s="9">
        <f t="shared" si="239"/>
        <v>11.4975</v>
      </c>
      <c r="AS822" s="11">
        <f t="shared" si="240"/>
        <v>5.9973333333333345</v>
      </c>
      <c r="AT822" s="12">
        <f t="shared" si="241"/>
        <v>4.464333333333335</v>
      </c>
    </row>
    <row r="823" spans="1:46" ht="16.5" x14ac:dyDescent="0.4">
      <c r="A823" s="4" t="s">
        <v>3694</v>
      </c>
      <c r="B823" s="4" t="s">
        <v>3710</v>
      </c>
      <c r="C823" s="4" t="s">
        <v>3710</v>
      </c>
      <c r="D823" s="4" t="s">
        <v>3722</v>
      </c>
      <c r="E823" s="4" t="s">
        <v>3744</v>
      </c>
      <c r="F823" s="4" t="s">
        <v>3767</v>
      </c>
      <c r="G823" s="7" t="str">
        <f>VLOOKUP(A823,[1]done!$A:$I,9,0)</f>
        <v>Rodent</v>
      </c>
      <c r="H823" s="7" t="str" cm="1">
        <f t="array" ref="H823">_xlfn.IFS(
OR(ISNUMBER(SEARCH("mouse",E823)),ISNUMBER(SEARCH("rat",E823)),ISNUMBER(SEARCH("mice",E823)),ISNUMBER(SEARCH("rodent",E823))),"Rodent Control",
OR(ISNUMBER(SEARCH("fly",E823)),ISNUMBER(SEARCH("gnat",E823)),ISNUMBER(SEARCH("insect",E823)),ISNUMBER(SEARCH("mosquito",E823))),"Flying Insect Control",
OR(ISNUMBER(SEARCH("roach",E823)),ISNUMBER(SEARCH("ant",E823)),ISNUMBER(SEARCH("spider",E823)),ISNUMBER(SEARCH("cricket",E823)),ISNUMBER(SEARCH("scorpion",E823)),ISNUMBER(SEARCH("centipede",E823)),ISNUMBER(SEARCH("beetle",E823))),"Crawling Insect Control",
OR(ISNUMBER(SEARCH("tree",E823)),ISNUMBER(SEARCH("lantern",E823)),ISNUMBER(SEARCH("garden",E823)),ISNUMBER(SEARCH("plant",E823))),"Garden Pest Control",
OR(ISNUMBER(SEARCH("grass seed",E823)),ISNUMBER(SEARCH("seed mix",E823))),"Grass Seed",
OR(ISNUMBER(SEARCH("lawn food",E823)),ISNUMBER(SEARCH("fertilizer",E823))),"Lawn Fertilizer",
OR(ISNUMBER(SEARCH("patch",E823)),ISNUMBER(SEARCH("repair",E823)),ISNUMBER(SEARCH("thick'r",E823)),ISNUMBER(SEARCH("thick'r lawn",E823)),ISNUMBER(SEARCH("rapid grass",E823))),"Lawn Repair",
OR(ISNUMBER(SEARCH("weed",E823)),ISNUMBER(SEARCH("crabgrass",E823))),"Weed Control",
OR(ISNUMBER(SEARCH("fungicide",E823)),ISNUMBER(SEARCH("moss",E823))),"Disease &amp; Moss Control",
OR(ISNUMBER(SEARCH("plant food",E823)),ISNUMBER(SEARCH("miracid",E823))),"Plant Nutrition",
OR(ISNUMBER(SEARCH("perlite",E823))),"Soil Amendment",
OR(ISNUMBER(SEARCH("spreader",E823)),ISNUMBER(SEARCH("sprayer",E823)),ISNUMBER(SEARCH("mower",E823)),ISNUMBER(SEARCH("sweeper",E823)),ISNUMBER(SEARCH("pruner",E823)),ISNUMBER(SEARCH("trimmer",E823)),ISNUMBER(SEARCH("pole saw",E823))),"Garden Equipment",
TRUE,"Other"
)</f>
        <v>Rodent Control</v>
      </c>
      <c r="I823" s="7" t="str" cm="1">
        <f t="array" ref="I823">_xlfn.IFS(
OR(ISNUMBER(SEARCH("glue trap",E823)),ISNUMBER(SEARCH("glue board",E823))),"Glue Traps",
OR(ISNUMBER(SEARCH("snap trap",E823)),ISNUMBER(SEARCH("power-kill",E823)),ISNUMBER(SEARCH("wide pedal",E823)),ISNUMBER(SEARCH("metal pedal",E823))),"Snap Traps",
OR(ISNUMBER(SEARCH("electronic",E823)),ISNUMBER(SEARCH("zapper",E823))),"Electronic Traps",
OR(ISNUMBER(SEARCH("live catch",E823)),ISNUMBER(SEARCH("multi-catch",E823)),ISNUMBER(SEARCH("catch &amp; hold",E823)),ISNUMBER(SEARCH("tin cat",E823))),"Live Catch Traps",
OR(ISNUMBER(SEARCH("bait",E823)),ISNUMBER(SEARCH("poison",E823))),"Bait &amp; Poison",
ISNUMBER(SEARCH("repellent",E823)),"Repellents",
OR(ISNUMBER(SEARCH("fly trap",E823)),ISNUMBER(SEARCH("fly ribbon",E823)),ISNUMBER(SEARCH("fly stick",E823)),ISNUMBER(SEARCH("window fly",E823)),ISNUMBER(SEARCH("fly magnet",E823))),"Fly Traps",
OR(ISNUMBER(SEARCH("uv",E823)),ISNUMBER(SEARCH("fly light",E823)),ISNUMBER(SEARCH("plug-in",E823))),"UV Fly Traps",
ISNUMBER(SEARCH("roach",E823)),"Roach Traps",
ISNUMBER(SEARCH("ant",E823)),"Ant Traps",
ISNUMBER(SEARCH("spider",E823)),"Spider Traps",
ISNUMBER(SEARCH("mosquito",E823)),"Mosquito Traps",
ISNUMBER(SEARCH("beetle",E823)),"Beetle Traps",
ISNUMBER(SEARCH("lantern",E823)),"Lanternfly Control",
OR(ISNUMBER(SEARCH("tree shield",E823)),ISNUMBER(SEARCH("tree banding",E823)),ISNUMBER(SEARCH("insect barrier",E823))),"Tree Barriers",
OR(ISNUMBER(SEARCH("sun &amp; shade",E823)),ISNUMBER(SEARCH("sun and shade",E823))),"Sun &amp; Shade Mix",
ISNUMBER(SEARCH("tall fescue",E823)),"Tall Fescue",
ISNUMBER(SEARCH("bermudagrass",E823)),"Bermudagrass",
ISNUMBER(SEARCH("kentucky",E823)),"Kentucky Bluegrass",
ISNUMBER(SEARCH("zoysia",E823)),"Zoysia",
ISNUMBER(SEARCH("ryegrass",E823)),"Perennial Ryegrass",
ISNUMBER(SEARCH("centipede",E823)),"Centipede Grass",
ISNUMBER(SEARCH("dense shade",E823)),"Dense Shade Mix",
ISNUMBER(SEARCH("southern gold",E823)),"Southern Gold Mix",
ISNUMBER(SEARCH("heat-tolerant blue",E823)),"Heat-Tolerant Blue Mix",
ISNUMBER(SEARCH("high traffic",E823)),"High Traffic Mix",
ISNUMBER(SEARCH("quick fix",E823)),"Quick Fix Mix",
ISNUMBER(SEARCH("starter",E823)),"Starter Fertilizer",
ISNUMBER(SEARCH("weed &amp; feed",E823)),"Weed &amp; Feed",
ISNUMBER(SEARCH("lawn food",E823)),"Lawn Food",
ISNUMBER(SEARCH("triple action",E823)),"Triple Action Fertilizer",
ISNUMBER(SEARCH("green max",E823)),"Green Max Lawn Food",
ISNUMBER(SEARCH("patchmaster",E823)),"PatchMaster Repair",
ISNUMBER(SEARCH("ez seed",E823)),"EZ Seed Repair",
ISNUMBER(SEARCH("rapid grass",E823)),"Rapid Grass",
ISNUMBER(SEARCH("thick'r lawn",E823)),"Thick'R Lawn",
ISNUMBER(SEARCH("fungicide",E823)),"Fungicide",
ISNUMBER(SEARCH("moss",E823)),"Moss Control",
ISNUMBER(SEARCH("perlite",E823)),"Perlite",
ISNUMBER(SEARCH("plant food",E823)),"Plant Food",
ISNUMBER(SEARCH("spreader",E823)),"Spreader",
ISNUMBER(SEARCH("sprayer",E823)),"Sprayer",
ISNUMBER(SEARCH("mower",E823)),"Lawn Mower",
ISNUMBER(SEARCH("sweeper",E823)),"Lawn Sweeper",
OR(ISNUMBER(SEARCH("pruner",E823)),ISNUMBER(SEARCH("trimmer",E823)),ISNUMBER(SEARCH("pole saw",E823))),"Pruning Tools",
TRUE,"Other"
)</f>
        <v>Glue Traps</v>
      </c>
      <c r="J823" s="7" t="str">
        <f t="shared" si="249"/>
        <v>Rodent Control - Glue Traps</v>
      </c>
      <c r="K823" s="4">
        <v>300</v>
      </c>
      <c r="L823" s="4">
        <v>4.2</v>
      </c>
      <c r="M823" s="4">
        <v>209</v>
      </c>
      <c r="O823" s="4">
        <f>VLOOKUP(A823,[16]Sheet1!$A:$M,2,0)</f>
        <v>200</v>
      </c>
      <c r="P823" s="4">
        <f>VLOOKUP(A823,[16]Sheet1!$A:$M,3,0)</f>
        <v>500</v>
      </c>
      <c r="Q823" s="4">
        <f>VLOOKUP(A823,[16]Sheet1!$A:$M,4,0)</f>
        <v>600</v>
      </c>
      <c r="R823" s="4">
        <f>VLOOKUP(A823,[16]Sheet1!$A:$M,5,0)</f>
        <v>600</v>
      </c>
      <c r="S823" s="4">
        <f>VLOOKUP(A823,[16]Sheet1!$A:$M,6,0)</f>
        <v>600</v>
      </c>
      <c r="T823" s="4">
        <f>VLOOKUP(A823,[16]Sheet1!$A:$M,7,0)</f>
        <v>400</v>
      </c>
      <c r="U823" s="4">
        <f>VLOOKUP(A823,[16]Sheet1!$A:$M,8,0)</f>
        <v>400</v>
      </c>
      <c r="V823" s="4">
        <f>VLOOKUP(A823,[16]Sheet1!$A:$M,9,0)</f>
        <v>600</v>
      </c>
      <c r="W823" s="4">
        <f>VLOOKUP(A823,[16]Sheet1!$A:$M,10,0)</f>
        <v>300</v>
      </c>
      <c r="X823" s="4">
        <f>VLOOKUP(A823,[16]Sheet1!$A:$M,11,0)</f>
        <v>400</v>
      </c>
      <c r="Y823" s="4">
        <f>VLOOKUP(A823,[16]Sheet1!$A:$M,12,0)</f>
        <v>700</v>
      </c>
      <c r="Z823" s="4">
        <f>VLOOKUP(A823,[16]Sheet1!$A:$M,13,0)</f>
        <v>300</v>
      </c>
      <c r="AA823" s="4">
        <f t="shared" si="244"/>
        <v>5600</v>
      </c>
      <c r="AB823" s="7">
        <f t="shared" si="245"/>
        <v>467</v>
      </c>
      <c r="AC823" s="15">
        <f t="shared" si="246"/>
        <v>466.66666666666669</v>
      </c>
      <c r="AD823" s="16">
        <f t="shared" si="247"/>
        <v>83944</v>
      </c>
      <c r="AE823" s="16">
        <f t="shared" si="248"/>
        <v>6995.3333333333339</v>
      </c>
      <c r="AF823" s="21">
        <v>6.01</v>
      </c>
      <c r="AG823" s="21">
        <v>14.99</v>
      </c>
      <c r="AH823" s="15">
        <f t="shared" si="242"/>
        <v>-6.7600000000000021E-2</v>
      </c>
      <c r="AI823" s="15">
        <f t="shared" si="243"/>
        <v>-0.23660000000000003</v>
      </c>
      <c r="AJ823" s="10">
        <v>0.5</v>
      </c>
      <c r="AK823" s="10">
        <v>0.5</v>
      </c>
      <c r="AL823" s="21">
        <v>6.01</v>
      </c>
      <c r="AM823" s="9">
        <f t="shared" si="234"/>
        <v>2.2484999999999999</v>
      </c>
      <c r="AN823" s="9">
        <f t="shared" si="235"/>
        <v>0.44969999999999999</v>
      </c>
      <c r="AO823" s="9">
        <f t="shared" si="236"/>
        <v>2.9980000000000002</v>
      </c>
      <c r="AP823" s="9">
        <f t="shared" si="237"/>
        <v>0.29980000000000001</v>
      </c>
      <c r="AQ823" s="9">
        <f t="shared" si="238"/>
        <v>2.9980000000000002</v>
      </c>
      <c r="AR823" s="9">
        <f t="shared" si="239"/>
        <v>3.7475000000000001</v>
      </c>
      <c r="AS823" s="11">
        <f t="shared" si="240"/>
        <v>-0.67600000000000016</v>
      </c>
      <c r="AT823" s="12">
        <f t="shared" si="241"/>
        <v>-1.1756666666666666</v>
      </c>
    </row>
    <row r="824" spans="1:46" ht="16.5" x14ac:dyDescent="0.4">
      <c r="A824" s="4" t="s">
        <v>3695</v>
      </c>
      <c r="B824" s="4" t="s">
        <v>3710</v>
      </c>
      <c r="C824" s="4" t="s">
        <v>3710</v>
      </c>
      <c r="D824" s="4" t="s">
        <v>3723</v>
      </c>
      <c r="E824" s="4" t="s">
        <v>3745</v>
      </c>
      <c r="F824" s="4" t="s">
        <v>3768</v>
      </c>
      <c r="G824" s="7" t="str">
        <f>VLOOKUP(A824,[1]done!$A:$I,9,0)</f>
        <v>Rodent</v>
      </c>
      <c r="H824" s="7" t="str" cm="1">
        <f t="array" ref="H824">_xlfn.IFS(
OR(ISNUMBER(SEARCH("mouse",E824)),ISNUMBER(SEARCH("rat",E824)),ISNUMBER(SEARCH("mice",E824)),ISNUMBER(SEARCH("rodent",E824))),"Rodent Control",
OR(ISNUMBER(SEARCH("fly",E824)),ISNUMBER(SEARCH("gnat",E824)),ISNUMBER(SEARCH("insect",E824)),ISNUMBER(SEARCH("mosquito",E824))),"Flying Insect Control",
OR(ISNUMBER(SEARCH("roach",E824)),ISNUMBER(SEARCH("ant",E824)),ISNUMBER(SEARCH("spider",E824)),ISNUMBER(SEARCH("cricket",E824)),ISNUMBER(SEARCH("scorpion",E824)),ISNUMBER(SEARCH("centipede",E824)),ISNUMBER(SEARCH("beetle",E824))),"Crawling Insect Control",
OR(ISNUMBER(SEARCH("tree",E824)),ISNUMBER(SEARCH("lantern",E824)),ISNUMBER(SEARCH("garden",E824)),ISNUMBER(SEARCH("plant",E824))),"Garden Pest Control",
OR(ISNUMBER(SEARCH("grass seed",E824)),ISNUMBER(SEARCH("seed mix",E824))),"Grass Seed",
OR(ISNUMBER(SEARCH("lawn food",E824)),ISNUMBER(SEARCH("fertilizer",E824))),"Lawn Fertilizer",
OR(ISNUMBER(SEARCH("patch",E824)),ISNUMBER(SEARCH("repair",E824)),ISNUMBER(SEARCH("thick'r",E824)),ISNUMBER(SEARCH("thick'r lawn",E824)),ISNUMBER(SEARCH("rapid grass",E824))),"Lawn Repair",
OR(ISNUMBER(SEARCH("weed",E824)),ISNUMBER(SEARCH("crabgrass",E824))),"Weed Control",
OR(ISNUMBER(SEARCH("fungicide",E824)),ISNUMBER(SEARCH("moss",E824))),"Disease &amp; Moss Control",
OR(ISNUMBER(SEARCH("plant food",E824)),ISNUMBER(SEARCH("miracid",E824))),"Plant Nutrition",
OR(ISNUMBER(SEARCH("perlite",E824))),"Soil Amendment",
OR(ISNUMBER(SEARCH("spreader",E824)),ISNUMBER(SEARCH("sprayer",E824)),ISNUMBER(SEARCH("mower",E824)),ISNUMBER(SEARCH("sweeper",E824)),ISNUMBER(SEARCH("pruner",E824)),ISNUMBER(SEARCH("trimmer",E824)),ISNUMBER(SEARCH("pole saw",E824))),"Garden Equipment",
TRUE,"Other"
)</f>
        <v>Rodent Control</v>
      </c>
      <c r="I824" s="7" t="str" cm="1">
        <f t="array" ref="I824">_xlfn.IFS(
OR(ISNUMBER(SEARCH("glue trap",E824)),ISNUMBER(SEARCH("glue board",E824))),"Glue Traps",
OR(ISNUMBER(SEARCH("snap trap",E824)),ISNUMBER(SEARCH("power-kill",E824)),ISNUMBER(SEARCH("wide pedal",E824)),ISNUMBER(SEARCH("metal pedal",E824))),"Snap Traps",
OR(ISNUMBER(SEARCH("electronic",E824)),ISNUMBER(SEARCH("zapper",E824))),"Electronic Traps",
OR(ISNUMBER(SEARCH("live catch",E824)),ISNUMBER(SEARCH("multi-catch",E824)),ISNUMBER(SEARCH("catch &amp; hold",E824)),ISNUMBER(SEARCH("tin cat",E824))),"Live Catch Traps",
OR(ISNUMBER(SEARCH("bait",E824)),ISNUMBER(SEARCH("poison",E824))),"Bait &amp; Poison",
ISNUMBER(SEARCH("repellent",E824)),"Repellents",
OR(ISNUMBER(SEARCH("fly trap",E824)),ISNUMBER(SEARCH("fly ribbon",E824)),ISNUMBER(SEARCH("fly stick",E824)),ISNUMBER(SEARCH("window fly",E824)),ISNUMBER(SEARCH("fly magnet",E824))),"Fly Traps",
OR(ISNUMBER(SEARCH("uv",E824)),ISNUMBER(SEARCH("fly light",E824)),ISNUMBER(SEARCH("plug-in",E824))),"UV Fly Traps",
ISNUMBER(SEARCH("roach",E824)),"Roach Traps",
ISNUMBER(SEARCH("ant",E824)),"Ant Traps",
ISNUMBER(SEARCH("spider",E824)),"Spider Traps",
ISNUMBER(SEARCH("mosquito",E824)),"Mosquito Traps",
ISNUMBER(SEARCH("beetle",E824)),"Beetle Traps",
ISNUMBER(SEARCH("lantern",E824)),"Lanternfly Control",
OR(ISNUMBER(SEARCH("tree shield",E824)),ISNUMBER(SEARCH("tree banding",E824)),ISNUMBER(SEARCH("insect barrier",E824))),"Tree Barriers",
OR(ISNUMBER(SEARCH("sun &amp; shade",E824)),ISNUMBER(SEARCH("sun and shade",E824))),"Sun &amp; Shade Mix",
ISNUMBER(SEARCH("tall fescue",E824)),"Tall Fescue",
ISNUMBER(SEARCH("bermudagrass",E824)),"Bermudagrass",
ISNUMBER(SEARCH("kentucky",E824)),"Kentucky Bluegrass",
ISNUMBER(SEARCH("zoysia",E824)),"Zoysia",
ISNUMBER(SEARCH("ryegrass",E824)),"Perennial Ryegrass",
ISNUMBER(SEARCH("centipede",E824)),"Centipede Grass",
ISNUMBER(SEARCH("dense shade",E824)),"Dense Shade Mix",
ISNUMBER(SEARCH("southern gold",E824)),"Southern Gold Mix",
ISNUMBER(SEARCH("heat-tolerant blue",E824)),"Heat-Tolerant Blue Mix",
ISNUMBER(SEARCH("high traffic",E824)),"High Traffic Mix",
ISNUMBER(SEARCH("quick fix",E824)),"Quick Fix Mix",
ISNUMBER(SEARCH("starter",E824)),"Starter Fertilizer",
ISNUMBER(SEARCH("weed &amp; feed",E824)),"Weed &amp; Feed",
ISNUMBER(SEARCH("lawn food",E824)),"Lawn Food",
ISNUMBER(SEARCH("triple action",E824)),"Triple Action Fertilizer",
ISNUMBER(SEARCH("green max",E824)),"Green Max Lawn Food",
ISNUMBER(SEARCH("patchmaster",E824)),"PatchMaster Repair",
ISNUMBER(SEARCH("ez seed",E824)),"EZ Seed Repair",
ISNUMBER(SEARCH("rapid grass",E824)),"Rapid Grass",
ISNUMBER(SEARCH("thick'r lawn",E824)),"Thick'R Lawn",
ISNUMBER(SEARCH("fungicide",E824)),"Fungicide",
ISNUMBER(SEARCH("moss",E824)),"Moss Control",
ISNUMBER(SEARCH("perlite",E824)),"Perlite",
ISNUMBER(SEARCH("plant food",E824)),"Plant Food",
ISNUMBER(SEARCH("spreader",E824)),"Spreader",
ISNUMBER(SEARCH("sprayer",E824)),"Sprayer",
ISNUMBER(SEARCH("mower",E824)),"Lawn Mower",
ISNUMBER(SEARCH("sweeper",E824)),"Lawn Sweeper",
OR(ISNUMBER(SEARCH("pruner",E824)),ISNUMBER(SEARCH("trimmer",E824)),ISNUMBER(SEARCH("pole saw",E824))),"Pruning Tools",
TRUE,"Other"
)</f>
        <v>Glue Traps</v>
      </c>
      <c r="J824" s="7" t="str">
        <f t="shared" si="249"/>
        <v>Rodent Control - Glue Traps</v>
      </c>
      <c r="K824" s="4">
        <v>300</v>
      </c>
      <c r="L824" s="4">
        <v>4.3</v>
      </c>
      <c r="M824" s="4">
        <v>575</v>
      </c>
      <c r="N824" s="4" t="s">
        <v>3788</v>
      </c>
      <c r="O824" s="4">
        <f>VLOOKUP(A824,[16]Sheet1!$A:$M,2,0)</f>
        <v>400</v>
      </c>
      <c r="P824" s="4">
        <f>VLOOKUP(A824,[16]Sheet1!$A:$M,3,0)</f>
        <v>100</v>
      </c>
      <c r="Q824" s="4">
        <f>VLOOKUP(A824,[16]Sheet1!$A:$M,4,0)</f>
        <v>100</v>
      </c>
      <c r="R824" s="4">
        <f>VLOOKUP(A824,[16]Sheet1!$A:$M,5,0)</f>
        <v>100</v>
      </c>
      <c r="S824" s="4">
        <f>VLOOKUP(A824,[16]Sheet1!$A:$M,6,0)</f>
        <v>100</v>
      </c>
      <c r="T824" s="4">
        <f>VLOOKUP(A824,[16]Sheet1!$A:$M,7,0)</f>
        <v>50</v>
      </c>
      <c r="U824" s="4">
        <f>VLOOKUP(A824,[16]Sheet1!$A:$M,8,0)</f>
        <v>50</v>
      </c>
      <c r="V824" s="4">
        <f>VLOOKUP(A824,[16]Sheet1!$A:$M,9,0)</f>
        <v>100</v>
      </c>
      <c r="W824" s="4">
        <f>VLOOKUP(A824,[16]Sheet1!$A:$M,10,0)</f>
        <v>300</v>
      </c>
      <c r="X824" s="4">
        <f>VLOOKUP(A824,[16]Sheet1!$A:$M,11,0)</f>
        <v>200</v>
      </c>
      <c r="Y824" s="4">
        <f>VLOOKUP(A824,[16]Sheet1!$A:$M,12,0)</f>
        <v>400</v>
      </c>
      <c r="Z824" s="4">
        <f>VLOOKUP(A824,[16]Sheet1!$A:$M,13,0)</f>
        <v>300</v>
      </c>
      <c r="AA824" s="4">
        <f t="shared" si="244"/>
        <v>2200</v>
      </c>
      <c r="AB824" s="7">
        <f t="shared" si="245"/>
        <v>183</v>
      </c>
      <c r="AC824" s="15">
        <f t="shared" si="246"/>
        <v>183.33333333333334</v>
      </c>
      <c r="AD824" s="16">
        <f t="shared" si="247"/>
        <v>13178</v>
      </c>
      <c r="AE824" s="16">
        <f t="shared" si="248"/>
        <v>1098.1666666666667</v>
      </c>
      <c r="AF824" s="21">
        <v>2.81</v>
      </c>
      <c r="AG824" s="21">
        <v>5.99</v>
      </c>
      <c r="AH824" s="15">
        <f t="shared" si="242"/>
        <v>-9.4266666666666693E-2</v>
      </c>
      <c r="AI824" s="15">
        <f t="shared" si="243"/>
        <v>-0.32993333333333341</v>
      </c>
      <c r="AJ824" s="10">
        <v>0.5</v>
      </c>
      <c r="AK824" s="10">
        <v>0.5</v>
      </c>
      <c r="AL824" s="21">
        <v>2.81</v>
      </c>
      <c r="AM824" s="9">
        <f t="shared" si="234"/>
        <v>0.89849999999999997</v>
      </c>
      <c r="AN824" s="9">
        <f t="shared" si="235"/>
        <v>0.1797</v>
      </c>
      <c r="AO824" s="9">
        <f t="shared" si="236"/>
        <v>1.1980000000000002</v>
      </c>
      <c r="AP824" s="9">
        <f t="shared" si="237"/>
        <v>0.1198</v>
      </c>
      <c r="AQ824" s="9">
        <f t="shared" si="238"/>
        <v>1.1980000000000002</v>
      </c>
      <c r="AR824" s="9">
        <f t="shared" si="239"/>
        <v>1.4975000000000001</v>
      </c>
      <c r="AS824" s="11">
        <f t="shared" si="240"/>
        <v>-0.94266666666666687</v>
      </c>
      <c r="AT824" s="12">
        <f t="shared" si="241"/>
        <v>-1.1423333333333334</v>
      </c>
    </row>
    <row r="825" spans="1:46" ht="16.5" x14ac:dyDescent="0.4">
      <c r="A825" s="4" t="s">
        <v>3696</v>
      </c>
      <c r="B825" s="4" t="s">
        <v>3710</v>
      </c>
      <c r="C825" s="4" t="s">
        <v>3710</v>
      </c>
      <c r="D825" s="4" t="s">
        <v>3724</v>
      </c>
      <c r="E825" s="4" t="s">
        <v>3736</v>
      </c>
      <c r="F825" s="4" t="s">
        <v>3769</v>
      </c>
      <c r="G825" s="7" t="str">
        <f>VLOOKUP(A825,[1]done!$A:$I,9,0)</f>
        <v>Mosquito/Fly</v>
      </c>
      <c r="H825" s="7" t="str" cm="1">
        <f t="array" ref="H825">_xlfn.IFS(
OR(ISNUMBER(SEARCH("mouse",E825)),ISNUMBER(SEARCH("rat",E825)),ISNUMBER(SEARCH("mice",E825)),ISNUMBER(SEARCH("rodent",E825))),"Rodent Control",
OR(ISNUMBER(SEARCH("fly",E825)),ISNUMBER(SEARCH("gnat",E825)),ISNUMBER(SEARCH("insect",E825)),ISNUMBER(SEARCH("mosquito",E825))),"Flying Insect Control",
OR(ISNUMBER(SEARCH("roach",E825)),ISNUMBER(SEARCH("ant",E825)),ISNUMBER(SEARCH("spider",E825)),ISNUMBER(SEARCH("cricket",E825)),ISNUMBER(SEARCH("scorpion",E825)),ISNUMBER(SEARCH("centipede",E825)),ISNUMBER(SEARCH("beetle",E825))),"Crawling Insect Control",
OR(ISNUMBER(SEARCH("tree",E825)),ISNUMBER(SEARCH("lantern",E825)),ISNUMBER(SEARCH("garden",E825)),ISNUMBER(SEARCH("plant",E825))),"Garden Pest Control",
OR(ISNUMBER(SEARCH("grass seed",E825)),ISNUMBER(SEARCH("seed mix",E825))),"Grass Seed",
OR(ISNUMBER(SEARCH("lawn food",E825)),ISNUMBER(SEARCH("fertilizer",E825))),"Lawn Fertilizer",
OR(ISNUMBER(SEARCH("patch",E825)),ISNUMBER(SEARCH("repair",E825)),ISNUMBER(SEARCH("thick'r",E825)),ISNUMBER(SEARCH("thick'r lawn",E825)),ISNUMBER(SEARCH("rapid grass",E825))),"Lawn Repair",
OR(ISNUMBER(SEARCH("weed",E825)),ISNUMBER(SEARCH("crabgrass",E825))),"Weed Control",
OR(ISNUMBER(SEARCH("fungicide",E825)),ISNUMBER(SEARCH("moss",E825))),"Disease &amp; Moss Control",
OR(ISNUMBER(SEARCH("plant food",E825)),ISNUMBER(SEARCH("miracid",E825))),"Plant Nutrition",
OR(ISNUMBER(SEARCH("perlite",E825))),"Soil Amendment",
OR(ISNUMBER(SEARCH("spreader",E825)),ISNUMBER(SEARCH("sprayer",E825)),ISNUMBER(SEARCH("mower",E825)),ISNUMBER(SEARCH("sweeper",E825)),ISNUMBER(SEARCH("pruner",E825)),ISNUMBER(SEARCH("trimmer",E825)),ISNUMBER(SEARCH("pole saw",E825))),"Garden Equipment",
TRUE,"Other"
)</f>
        <v>Flying Insect Control</v>
      </c>
      <c r="I825" s="7" t="str" cm="1">
        <f t="array" ref="I825">_xlfn.IFS(
OR(ISNUMBER(SEARCH("glue trap",E825)),ISNUMBER(SEARCH("glue board",E825))),"Glue Traps",
OR(ISNUMBER(SEARCH("snap trap",E825)),ISNUMBER(SEARCH("power-kill",E825)),ISNUMBER(SEARCH("wide pedal",E825)),ISNUMBER(SEARCH("metal pedal",E825))),"Snap Traps",
OR(ISNUMBER(SEARCH("electronic",E825)),ISNUMBER(SEARCH("zapper",E825))),"Electronic Traps",
OR(ISNUMBER(SEARCH("live catch",E825)),ISNUMBER(SEARCH("multi-catch",E825)),ISNUMBER(SEARCH("catch &amp; hold",E825)),ISNUMBER(SEARCH("tin cat",E825))),"Live Catch Traps",
OR(ISNUMBER(SEARCH("bait",E825)),ISNUMBER(SEARCH("poison",E825))),"Bait &amp; Poison",
ISNUMBER(SEARCH("repellent",E825)),"Repellents",
OR(ISNUMBER(SEARCH("fly trap",E825)),ISNUMBER(SEARCH("fly ribbon",E825)),ISNUMBER(SEARCH("fly stick",E825)),ISNUMBER(SEARCH("window fly",E825)),ISNUMBER(SEARCH("fly magnet",E825))),"Fly Traps",
OR(ISNUMBER(SEARCH("uv",E825)),ISNUMBER(SEARCH("fly light",E825)),ISNUMBER(SEARCH("plug-in",E825))),"UV Fly Traps",
ISNUMBER(SEARCH("roach",E825)),"Roach Traps",
ISNUMBER(SEARCH("ant",E825)),"Ant Traps",
ISNUMBER(SEARCH("spider",E825)),"Spider Traps",
ISNUMBER(SEARCH("mosquito",E825)),"Mosquito Traps",
ISNUMBER(SEARCH("beetle",E825)),"Beetle Traps",
ISNUMBER(SEARCH("lantern",E825)),"Lanternfly Control",
OR(ISNUMBER(SEARCH("tree shield",E825)),ISNUMBER(SEARCH("tree banding",E825)),ISNUMBER(SEARCH("insect barrier",E825))),"Tree Barriers",
OR(ISNUMBER(SEARCH("sun &amp; shade",E825)),ISNUMBER(SEARCH("sun and shade",E825))),"Sun &amp; Shade Mix",
ISNUMBER(SEARCH("tall fescue",E825)),"Tall Fescue",
ISNUMBER(SEARCH("bermudagrass",E825)),"Bermudagrass",
ISNUMBER(SEARCH("kentucky",E825)),"Kentucky Bluegrass",
ISNUMBER(SEARCH("zoysia",E825)),"Zoysia",
ISNUMBER(SEARCH("ryegrass",E825)),"Perennial Ryegrass",
ISNUMBER(SEARCH("centipede",E825)),"Centipede Grass",
ISNUMBER(SEARCH("dense shade",E825)),"Dense Shade Mix",
ISNUMBER(SEARCH("southern gold",E825)),"Southern Gold Mix",
ISNUMBER(SEARCH("heat-tolerant blue",E825)),"Heat-Tolerant Blue Mix",
ISNUMBER(SEARCH("high traffic",E825)),"High Traffic Mix",
ISNUMBER(SEARCH("quick fix",E825)),"Quick Fix Mix",
ISNUMBER(SEARCH("starter",E825)),"Starter Fertilizer",
ISNUMBER(SEARCH("weed &amp; feed",E825)),"Weed &amp; Feed",
ISNUMBER(SEARCH("lawn food",E825)),"Lawn Food",
ISNUMBER(SEARCH("triple action",E825)),"Triple Action Fertilizer",
ISNUMBER(SEARCH("green max",E825)),"Green Max Lawn Food",
ISNUMBER(SEARCH("patchmaster",E825)),"PatchMaster Repair",
ISNUMBER(SEARCH("ez seed",E825)),"EZ Seed Repair",
ISNUMBER(SEARCH("rapid grass",E825)),"Rapid Grass",
ISNUMBER(SEARCH("thick'r lawn",E825)),"Thick'R Lawn",
ISNUMBER(SEARCH("fungicide",E825)),"Fungicide",
ISNUMBER(SEARCH("moss",E825)),"Moss Control",
ISNUMBER(SEARCH("perlite",E825)),"Perlite",
ISNUMBER(SEARCH("plant food",E825)),"Plant Food",
ISNUMBER(SEARCH("spreader",E825)),"Spreader",
ISNUMBER(SEARCH("sprayer",E825)),"Sprayer",
ISNUMBER(SEARCH("mower",E825)),"Lawn Mower",
ISNUMBER(SEARCH("sweeper",E825)),"Lawn Sweeper",
OR(ISNUMBER(SEARCH("pruner",E825)),ISNUMBER(SEARCH("trimmer",E825)),ISNUMBER(SEARCH("pole saw",E825))),"Pruning Tools",
TRUE,"Other"
)</f>
        <v>Fly Traps</v>
      </c>
      <c r="J825" s="7" t="str">
        <f t="shared" si="249"/>
        <v>Flying Insect Control - Fly Traps</v>
      </c>
      <c r="K825" s="4">
        <v>200</v>
      </c>
      <c r="L825" s="4">
        <v>4</v>
      </c>
      <c r="M825" s="4">
        <v>322</v>
      </c>
      <c r="N825" s="4" t="s">
        <v>3789</v>
      </c>
      <c r="O825" s="4">
        <f>VLOOKUP(A825,[16]Sheet1!$A:$M,2,0)</f>
        <v>0</v>
      </c>
      <c r="P825" s="4">
        <f>VLOOKUP(A825,[16]Sheet1!$A:$M,3,0)</f>
        <v>0</v>
      </c>
      <c r="Q825" s="4">
        <f>VLOOKUP(A825,[16]Sheet1!$A:$M,4,0)</f>
        <v>0</v>
      </c>
      <c r="R825" s="4">
        <f>VLOOKUP(A825,[16]Sheet1!$A:$M,5,0)</f>
        <v>0</v>
      </c>
      <c r="S825" s="4">
        <f>VLOOKUP(A825,[16]Sheet1!$A:$M,6,0)</f>
        <v>0</v>
      </c>
      <c r="T825" s="4">
        <f>VLOOKUP(A825,[16]Sheet1!$A:$M,7,0)</f>
        <v>0</v>
      </c>
      <c r="U825" s="4">
        <f>VLOOKUP(A825,[16]Sheet1!$A:$M,8,0)</f>
        <v>0</v>
      </c>
      <c r="V825" s="4">
        <f>VLOOKUP(A825,[16]Sheet1!$A:$M,9,0)</f>
        <v>0</v>
      </c>
      <c r="W825" s="4">
        <f>VLOOKUP(A825,[16]Sheet1!$A:$M,10,0)</f>
        <v>200</v>
      </c>
      <c r="X825" s="4">
        <f>VLOOKUP(A825,[16]Sheet1!$A:$M,11,0)</f>
        <v>0</v>
      </c>
      <c r="Y825" s="4">
        <f>VLOOKUP(A825,[16]Sheet1!$A:$M,12,0)</f>
        <v>0</v>
      </c>
      <c r="Z825" s="4">
        <f>VLOOKUP(A825,[16]Sheet1!$A:$M,13,0)</f>
        <v>0</v>
      </c>
      <c r="AA825" s="4">
        <f t="shared" si="244"/>
        <v>200</v>
      </c>
      <c r="AB825" s="7">
        <f t="shared" si="245"/>
        <v>17</v>
      </c>
      <c r="AC825" s="15">
        <f t="shared" si="246"/>
        <v>16.666666666666668</v>
      </c>
      <c r="AD825" s="16">
        <f t="shared" si="247"/>
        <v>2998</v>
      </c>
      <c r="AE825" s="16">
        <f t="shared" si="248"/>
        <v>249.83333333333334</v>
      </c>
      <c r="AF825" s="21">
        <v>4.3499999999999996</v>
      </c>
      <c r="AG825" s="21">
        <v>14.99</v>
      </c>
      <c r="AH825" s="15">
        <f t="shared" si="242"/>
        <v>4.3066666666666663E-2</v>
      </c>
      <c r="AI825" s="15">
        <f t="shared" si="243"/>
        <v>0.1507333333333333</v>
      </c>
      <c r="AJ825" s="10">
        <v>0.5</v>
      </c>
      <c r="AK825" s="10">
        <v>0.5</v>
      </c>
      <c r="AL825" s="21">
        <v>4.3499999999999996</v>
      </c>
      <c r="AM825" s="9">
        <f t="shared" si="234"/>
        <v>2.2484999999999999</v>
      </c>
      <c r="AN825" s="9">
        <f t="shared" si="235"/>
        <v>0.44969999999999999</v>
      </c>
      <c r="AO825" s="9">
        <f t="shared" si="236"/>
        <v>2.9980000000000002</v>
      </c>
      <c r="AP825" s="9">
        <f t="shared" si="237"/>
        <v>0.29980000000000001</v>
      </c>
      <c r="AQ825" s="9">
        <f t="shared" si="238"/>
        <v>2.9980000000000002</v>
      </c>
      <c r="AR825" s="9">
        <f t="shared" si="239"/>
        <v>3.7475000000000001</v>
      </c>
      <c r="AS825" s="11">
        <f t="shared" si="240"/>
        <v>0.43066666666666659</v>
      </c>
      <c r="AT825" s="12">
        <f t="shared" si="241"/>
        <v>-6.899999999999995E-2</v>
      </c>
    </row>
    <row r="826" spans="1:46" ht="16.5" x14ac:dyDescent="0.4">
      <c r="A826" s="4" t="s">
        <v>3697</v>
      </c>
      <c r="B826" s="4" t="s">
        <v>3710</v>
      </c>
      <c r="C826" s="4" t="s">
        <v>3710</v>
      </c>
      <c r="D826" s="4" t="s">
        <v>3725</v>
      </c>
      <c r="E826" s="4" t="s">
        <v>3746</v>
      </c>
      <c r="F826" s="4" t="s">
        <v>3770</v>
      </c>
      <c r="G826" s="7" t="str">
        <f>VLOOKUP(A826,[1]done!$A:$I,9,0)</f>
        <v>Mosquito/Fly</v>
      </c>
      <c r="H826" s="7" t="str" cm="1">
        <f t="array" ref="H826">_xlfn.IFS(
OR(ISNUMBER(SEARCH("mouse",E826)),ISNUMBER(SEARCH("rat",E826)),ISNUMBER(SEARCH("mice",E826)),ISNUMBER(SEARCH("rodent",E826))),"Rodent Control",
OR(ISNUMBER(SEARCH("fly",E826)),ISNUMBER(SEARCH("gnat",E826)),ISNUMBER(SEARCH("insect",E826)),ISNUMBER(SEARCH("mosquito",E826))),"Flying Insect Control",
OR(ISNUMBER(SEARCH("roach",E826)),ISNUMBER(SEARCH("ant",E826)),ISNUMBER(SEARCH("spider",E826)),ISNUMBER(SEARCH("cricket",E826)),ISNUMBER(SEARCH("scorpion",E826)),ISNUMBER(SEARCH("centipede",E826)),ISNUMBER(SEARCH("beetle",E826))),"Crawling Insect Control",
OR(ISNUMBER(SEARCH("tree",E826)),ISNUMBER(SEARCH("lantern",E826)),ISNUMBER(SEARCH("garden",E826)),ISNUMBER(SEARCH("plant",E826))),"Garden Pest Control",
OR(ISNUMBER(SEARCH("grass seed",E826)),ISNUMBER(SEARCH("seed mix",E826))),"Grass Seed",
OR(ISNUMBER(SEARCH("lawn food",E826)),ISNUMBER(SEARCH("fertilizer",E826))),"Lawn Fertilizer",
OR(ISNUMBER(SEARCH("patch",E826)),ISNUMBER(SEARCH("repair",E826)),ISNUMBER(SEARCH("thick'r",E826)),ISNUMBER(SEARCH("thick'r lawn",E826)),ISNUMBER(SEARCH("rapid grass",E826))),"Lawn Repair",
OR(ISNUMBER(SEARCH("weed",E826)),ISNUMBER(SEARCH("crabgrass",E826))),"Weed Control",
OR(ISNUMBER(SEARCH("fungicide",E826)),ISNUMBER(SEARCH("moss",E826))),"Disease &amp; Moss Control",
OR(ISNUMBER(SEARCH("plant food",E826)),ISNUMBER(SEARCH("miracid",E826))),"Plant Nutrition",
OR(ISNUMBER(SEARCH("perlite",E826))),"Soil Amendment",
OR(ISNUMBER(SEARCH("spreader",E826)),ISNUMBER(SEARCH("sprayer",E826)),ISNUMBER(SEARCH("mower",E826)),ISNUMBER(SEARCH("sweeper",E826)),ISNUMBER(SEARCH("pruner",E826)),ISNUMBER(SEARCH("trimmer",E826)),ISNUMBER(SEARCH("pole saw",E826))),"Garden Equipment",
TRUE,"Other"
)</f>
        <v>Flying Insect Control</v>
      </c>
      <c r="I826" s="7" t="str" cm="1">
        <f t="array" ref="I826">_xlfn.IFS(
OR(ISNUMBER(SEARCH("glue trap",E826)),ISNUMBER(SEARCH("glue board",E826))),"Glue Traps",
OR(ISNUMBER(SEARCH("snap trap",E826)),ISNUMBER(SEARCH("power-kill",E826)),ISNUMBER(SEARCH("wide pedal",E826)),ISNUMBER(SEARCH("metal pedal",E826))),"Snap Traps",
OR(ISNUMBER(SEARCH("electronic",E826)),ISNUMBER(SEARCH("zapper",E826))),"Electronic Traps",
OR(ISNUMBER(SEARCH("live catch",E826)),ISNUMBER(SEARCH("multi-catch",E826)),ISNUMBER(SEARCH("catch &amp; hold",E826)),ISNUMBER(SEARCH("tin cat",E826))),"Live Catch Traps",
OR(ISNUMBER(SEARCH("bait",E826)),ISNUMBER(SEARCH("poison",E826))),"Bait &amp; Poison",
ISNUMBER(SEARCH("repellent",E826)),"Repellents",
OR(ISNUMBER(SEARCH("fly trap",E826)),ISNUMBER(SEARCH("fly ribbon",E826)),ISNUMBER(SEARCH("fly stick",E826)),ISNUMBER(SEARCH("window fly",E826)),ISNUMBER(SEARCH("fly magnet",E826))),"Fly Traps",
OR(ISNUMBER(SEARCH("uv",E826)),ISNUMBER(SEARCH("fly light",E826)),ISNUMBER(SEARCH("plug-in",E826))),"UV Fly Traps",
ISNUMBER(SEARCH("roach",E826)),"Roach Traps",
ISNUMBER(SEARCH("ant",E826)),"Ant Traps",
ISNUMBER(SEARCH("spider",E826)),"Spider Traps",
ISNUMBER(SEARCH("mosquito",E826)),"Mosquito Traps",
ISNUMBER(SEARCH("beetle",E826)),"Beetle Traps",
ISNUMBER(SEARCH("lantern",E826)),"Lanternfly Control",
OR(ISNUMBER(SEARCH("tree shield",E826)),ISNUMBER(SEARCH("tree banding",E826)),ISNUMBER(SEARCH("insect barrier",E826))),"Tree Barriers",
OR(ISNUMBER(SEARCH("sun &amp; shade",E826)),ISNUMBER(SEARCH("sun and shade",E826))),"Sun &amp; Shade Mix",
ISNUMBER(SEARCH("tall fescue",E826)),"Tall Fescue",
ISNUMBER(SEARCH("bermudagrass",E826)),"Bermudagrass",
ISNUMBER(SEARCH("kentucky",E826)),"Kentucky Bluegrass",
ISNUMBER(SEARCH("zoysia",E826)),"Zoysia",
ISNUMBER(SEARCH("ryegrass",E826)),"Perennial Ryegrass",
ISNUMBER(SEARCH("centipede",E826)),"Centipede Grass",
ISNUMBER(SEARCH("dense shade",E826)),"Dense Shade Mix",
ISNUMBER(SEARCH("southern gold",E826)),"Southern Gold Mix",
ISNUMBER(SEARCH("heat-tolerant blue",E826)),"Heat-Tolerant Blue Mix",
ISNUMBER(SEARCH("high traffic",E826)),"High Traffic Mix",
ISNUMBER(SEARCH("quick fix",E826)),"Quick Fix Mix",
ISNUMBER(SEARCH("starter",E826)),"Starter Fertilizer",
ISNUMBER(SEARCH("weed &amp; feed",E826)),"Weed &amp; Feed",
ISNUMBER(SEARCH("lawn food",E826)),"Lawn Food",
ISNUMBER(SEARCH("triple action",E826)),"Triple Action Fertilizer",
ISNUMBER(SEARCH("green max",E826)),"Green Max Lawn Food",
ISNUMBER(SEARCH("patchmaster",E826)),"PatchMaster Repair",
ISNUMBER(SEARCH("ez seed",E826)),"EZ Seed Repair",
ISNUMBER(SEARCH("rapid grass",E826)),"Rapid Grass",
ISNUMBER(SEARCH("thick'r lawn",E826)),"Thick'R Lawn",
ISNUMBER(SEARCH("fungicide",E826)),"Fungicide",
ISNUMBER(SEARCH("moss",E826)),"Moss Control",
ISNUMBER(SEARCH("perlite",E826)),"Perlite",
ISNUMBER(SEARCH("plant food",E826)),"Plant Food",
ISNUMBER(SEARCH("spreader",E826)),"Spreader",
ISNUMBER(SEARCH("sprayer",E826)),"Sprayer",
ISNUMBER(SEARCH("mower",E826)),"Lawn Mower",
ISNUMBER(SEARCH("sweeper",E826)),"Lawn Sweeper",
OR(ISNUMBER(SEARCH("pruner",E826)),ISNUMBER(SEARCH("trimmer",E826)),ISNUMBER(SEARCH("pole saw",E826))),"Pruning Tools",
TRUE,"Other"
)</f>
        <v>Other</v>
      </c>
      <c r="J826" s="7" t="str">
        <f t="shared" si="249"/>
        <v>Flying Insect Control - Other</v>
      </c>
      <c r="K826" s="4">
        <v>200</v>
      </c>
      <c r="L826" s="4">
        <v>4.5</v>
      </c>
      <c r="M826" s="4">
        <v>41</v>
      </c>
      <c r="O826" s="4">
        <f>VLOOKUP(A826,[16]Sheet1!$A:$M,2,0)</f>
        <v>0</v>
      </c>
      <c r="P826" s="4">
        <f>VLOOKUP(A826,[16]Sheet1!$A:$M,3,0)</f>
        <v>0</v>
      </c>
      <c r="Q826" s="4">
        <f>VLOOKUP(A826,[16]Sheet1!$A:$M,4,0)</f>
        <v>0</v>
      </c>
      <c r="R826" s="4">
        <f>VLOOKUP(A826,[16]Sheet1!$A:$M,5,0)</f>
        <v>0</v>
      </c>
      <c r="S826" s="4">
        <f>VLOOKUP(A826,[16]Sheet1!$A:$M,6,0)</f>
        <v>100</v>
      </c>
      <c r="T826" s="4">
        <f>VLOOKUP(A826,[16]Sheet1!$A:$M,7,0)</f>
        <v>100</v>
      </c>
      <c r="U826" s="4">
        <f>VLOOKUP(A826,[16]Sheet1!$A:$M,8,0)</f>
        <v>100</v>
      </c>
      <c r="V826" s="4">
        <f>VLOOKUP(A826,[16]Sheet1!$A:$M,9,0)</f>
        <v>150</v>
      </c>
      <c r="W826" s="4">
        <f>VLOOKUP(A826,[16]Sheet1!$A:$M,10,0)</f>
        <v>150</v>
      </c>
      <c r="X826" s="4">
        <f>VLOOKUP(A826,[16]Sheet1!$A:$M,11,0)</f>
        <v>0</v>
      </c>
      <c r="Y826" s="4">
        <f>VLOOKUP(A826,[16]Sheet1!$A:$M,12,0)</f>
        <v>0</v>
      </c>
      <c r="Z826" s="4">
        <f>VLOOKUP(A826,[16]Sheet1!$A:$M,13,0)</f>
        <v>0</v>
      </c>
      <c r="AA826" s="4">
        <f t="shared" si="244"/>
        <v>600</v>
      </c>
      <c r="AB826" s="7">
        <f t="shared" si="245"/>
        <v>50</v>
      </c>
      <c r="AC826" s="15">
        <f t="shared" si="246"/>
        <v>50</v>
      </c>
      <c r="AD826" s="16">
        <f t="shared" si="247"/>
        <v>5994</v>
      </c>
      <c r="AE826" s="16">
        <f t="shared" si="248"/>
        <v>499.5</v>
      </c>
      <c r="AF826" s="21">
        <v>2.58</v>
      </c>
      <c r="AG826" s="21">
        <v>9.99</v>
      </c>
      <c r="AH826" s="15">
        <f t="shared" si="242"/>
        <v>2.7733333333333301E-2</v>
      </c>
      <c r="AI826" s="15">
        <f t="shared" si="243"/>
        <v>9.7066666666666537E-2</v>
      </c>
      <c r="AJ826" s="10">
        <v>0.5</v>
      </c>
      <c r="AK826" s="10">
        <v>0.5</v>
      </c>
      <c r="AL826" s="21">
        <v>2.58</v>
      </c>
      <c r="AM826" s="9">
        <f t="shared" si="234"/>
        <v>1.4984999999999999</v>
      </c>
      <c r="AN826" s="9">
        <f t="shared" si="235"/>
        <v>0.29970000000000002</v>
      </c>
      <c r="AO826" s="9">
        <f t="shared" si="236"/>
        <v>1.9980000000000002</v>
      </c>
      <c r="AP826" s="9">
        <f t="shared" si="237"/>
        <v>0.19980000000000001</v>
      </c>
      <c r="AQ826" s="9">
        <f t="shared" si="238"/>
        <v>1.9980000000000002</v>
      </c>
      <c r="AR826" s="9">
        <f t="shared" si="239"/>
        <v>2.4975000000000001</v>
      </c>
      <c r="AS826" s="11">
        <f t="shared" si="240"/>
        <v>0.27733333333333299</v>
      </c>
      <c r="AT826" s="12">
        <f t="shared" si="241"/>
        <v>-5.5666666666666899E-2</v>
      </c>
    </row>
    <row r="827" spans="1:46" ht="16.5" x14ac:dyDescent="0.4">
      <c r="A827" s="4" t="s">
        <v>3698</v>
      </c>
      <c r="B827" s="4" t="s">
        <v>3710</v>
      </c>
      <c r="C827" s="4" t="s">
        <v>3710</v>
      </c>
      <c r="D827" s="4" t="s">
        <v>3726</v>
      </c>
      <c r="E827" s="4" t="s">
        <v>3739</v>
      </c>
      <c r="F827" s="4" t="s">
        <v>3771</v>
      </c>
      <c r="G827" s="7" t="str">
        <f>VLOOKUP(A827,[1]done!$A:$I,9,0)</f>
        <v>Mosquito/Fly</v>
      </c>
      <c r="H827" s="7" t="str" cm="1">
        <f t="array" ref="H827">_xlfn.IFS(
OR(ISNUMBER(SEARCH("mouse",E827)),ISNUMBER(SEARCH("rat",E827)),ISNUMBER(SEARCH("mice",E827)),ISNUMBER(SEARCH("rodent",E827))),"Rodent Control",
OR(ISNUMBER(SEARCH("fly",E827)),ISNUMBER(SEARCH("gnat",E827)),ISNUMBER(SEARCH("insect",E827)),ISNUMBER(SEARCH("mosquito",E827))),"Flying Insect Control",
OR(ISNUMBER(SEARCH("roach",E827)),ISNUMBER(SEARCH("ant",E827)),ISNUMBER(SEARCH("spider",E827)),ISNUMBER(SEARCH("cricket",E827)),ISNUMBER(SEARCH("scorpion",E827)),ISNUMBER(SEARCH("centipede",E827)),ISNUMBER(SEARCH("beetle",E827))),"Crawling Insect Control",
OR(ISNUMBER(SEARCH("tree",E827)),ISNUMBER(SEARCH("lantern",E827)),ISNUMBER(SEARCH("garden",E827)),ISNUMBER(SEARCH("plant",E827))),"Garden Pest Control",
OR(ISNUMBER(SEARCH("grass seed",E827)),ISNUMBER(SEARCH("seed mix",E827))),"Grass Seed",
OR(ISNUMBER(SEARCH("lawn food",E827)),ISNUMBER(SEARCH("fertilizer",E827))),"Lawn Fertilizer",
OR(ISNUMBER(SEARCH("patch",E827)),ISNUMBER(SEARCH("repair",E827)),ISNUMBER(SEARCH("thick'r",E827)),ISNUMBER(SEARCH("thick'r lawn",E827)),ISNUMBER(SEARCH("rapid grass",E827))),"Lawn Repair",
OR(ISNUMBER(SEARCH("weed",E827)),ISNUMBER(SEARCH("crabgrass",E827))),"Weed Control",
OR(ISNUMBER(SEARCH("fungicide",E827)),ISNUMBER(SEARCH("moss",E827))),"Disease &amp; Moss Control",
OR(ISNUMBER(SEARCH("plant food",E827)),ISNUMBER(SEARCH("miracid",E827))),"Plant Nutrition",
OR(ISNUMBER(SEARCH("perlite",E827))),"Soil Amendment",
OR(ISNUMBER(SEARCH("spreader",E827)),ISNUMBER(SEARCH("sprayer",E827)),ISNUMBER(SEARCH("mower",E827)),ISNUMBER(SEARCH("sweeper",E827)),ISNUMBER(SEARCH("pruner",E827)),ISNUMBER(SEARCH("trimmer",E827)),ISNUMBER(SEARCH("pole saw",E827))),"Garden Equipment",
TRUE,"Other"
)</f>
        <v>Flying Insect Control</v>
      </c>
      <c r="I827" s="7" t="str" cm="1">
        <f t="array" ref="I827">_xlfn.IFS(
OR(ISNUMBER(SEARCH("glue trap",E827)),ISNUMBER(SEARCH("glue board",E827))),"Glue Traps",
OR(ISNUMBER(SEARCH("snap trap",E827)),ISNUMBER(SEARCH("power-kill",E827)),ISNUMBER(SEARCH("wide pedal",E827)),ISNUMBER(SEARCH("metal pedal",E827))),"Snap Traps",
OR(ISNUMBER(SEARCH("electronic",E827)),ISNUMBER(SEARCH("zapper",E827))),"Electronic Traps",
OR(ISNUMBER(SEARCH("live catch",E827)),ISNUMBER(SEARCH("multi-catch",E827)),ISNUMBER(SEARCH("catch &amp; hold",E827)),ISNUMBER(SEARCH("tin cat",E827))),"Live Catch Traps",
OR(ISNUMBER(SEARCH("bait",E827)),ISNUMBER(SEARCH("poison",E827))),"Bait &amp; Poison",
ISNUMBER(SEARCH("repellent",E827)),"Repellents",
OR(ISNUMBER(SEARCH("fly trap",E827)),ISNUMBER(SEARCH("fly ribbon",E827)),ISNUMBER(SEARCH("fly stick",E827)),ISNUMBER(SEARCH("window fly",E827)),ISNUMBER(SEARCH("fly magnet",E827))),"Fly Traps",
OR(ISNUMBER(SEARCH("uv",E827)),ISNUMBER(SEARCH("fly light",E827)),ISNUMBER(SEARCH("plug-in",E827))),"UV Fly Traps",
ISNUMBER(SEARCH("roach",E827)),"Roach Traps",
ISNUMBER(SEARCH("ant",E827)),"Ant Traps",
ISNUMBER(SEARCH("spider",E827)),"Spider Traps",
ISNUMBER(SEARCH("mosquito",E827)),"Mosquito Traps",
ISNUMBER(SEARCH("beetle",E827)),"Beetle Traps",
ISNUMBER(SEARCH("lantern",E827)),"Lanternfly Control",
OR(ISNUMBER(SEARCH("tree shield",E827)),ISNUMBER(SEARCH("tree banding",E827)),ISNUMBER(SEARCH("insect barrier",E827))),"Tree Barriers",
OR(ISNUMBER(SEARCH("sun &amp; shade",E827)),ISNUMBER(SEARCH("sun and shade",E827))),"Sun &amp; Shade Mix",
ISNUMBER(SEARCH("tall fescue",E827)),"Tall Fescue",
ISNUMBER(SEARCH("bermudagrass",E827)),"Bermudagrass",
ISNUMBER(SEARCH("kentucky",E827)),"Kentucky Bluegrass",
ISNUMBER(SEARCH("zoysia",E827)),"Zoysia",
ISNUMBER(SEARCH("ryegrass",E827)),"Perennial Ryegrass",
ISNUMBER(SEARCH("centipede",E827)),"Centipede Grass",
ISNUMBER(SEARCH("dense shade",E827)),"Dense Shade Mix",
ISNUMBER(SEARCH("southern gold",E827)),"Southern Gold Mix",
ISNUMBER(SEARCH("heat-tolerant blue",E827)),"Heat-Tolerant Blue Mix",
ISNUMBER(SEARCH("high traffic",E827)),"High Traffic Mix",
ISNUMBER(SEARCH("quick fix",E827)),"Quick Fix Mix",
ISNUMBER(SEARCH("starter",E827)),"Starter Fertilizer",
ISNUMBER(SEARCH("weed &amp; feed",E827)),"Weed &amp; Feed",
ISNUMBER(SEARCH("lawn food",E827)),"Lawn Food",
ISNUMBER(SEARCH("triple action",E827)),"Triple Action Fertilizer",
ISNUMBER(SEARCH("green max",E827)),"Green Max Lawn Food",
ISNUMBER(SEARCH("patchmaster",E827)),"PatchMaster Repair",
ISNUMBER(SEARCH("ez seed",E827)),"EZ Seed Repair",
ISNUMBER(SEARCH("rapid grass",E827)),"Rapid Grass",
ISNUMBER(SEARCH("thick'r lawn",E827)),"Thick'R Lawn",
ISNUMBER(SEARCH("fungicide",E827)),"Fungicide",
ISNUMBER(SEARCH("moss",E827)),"Moss Control",
ISNUMBER(SEARCH("perlite",E827)),"Perlite",
ISNUMBER(SEARCH("plant food",E827)),"Plant Food",
ISNUMBER(SEARCH("spreader",E827)),"Spreader",
ISNUMBER(SEARCH("sprayer",E827)),"Sprayer",
ISNUMBER(SEARCH("mower",E827)),"Lawn Mower",
ISNUMBER(SEARCH("sweeper",E827)),"Lawn Sweeper",
OR(ISNUMBER(SEARCH("pruner",E827)),ISNUMBER(SEARCH("trimmer",E827)),ISNUMBER(SEARCH("pole saw",E827))),"Pruning Tools",
TRUE,"Other"
)</f>
        <v>UV Fly Traps</v>
      </c>
      <c r="J827" s="7" t="str">
        <f t="shared" si="249"/>
        <v>Flying Insect Control - UV Fly Traps</v>
      </c>
      <c r="K827" s="4">
        <v>200</v>
      </c>
      <c r="L827" s="4">
        <v>3.7</v>
      </c>
      <c r="M827" s="4">
        <v>64</v>
      </c>
      <c r="O827" s="4">
        <f>VLOOKUP(A827,[16]Sheet1!$A:$M,2,0)</f>
        <v>0</v>
      </c>
      <c r="P827" s="4">
        <f>VLOOKUP(A827,[16]Sheet1!$A:$M,3,0)</f>
        <v>0</v>
      </c>
      <c r="Q827" s="4">
        <f>VLOOKUP(A827,[16]Sheet1!$A:$M,4,0)</f>
        <v>0</v>
      </c>
      <c r="R827" s="4">
        <f>VLOOKUP(A827,[16]Sheet1!$A:$M,5,0)</f>
        <v>0</v>
      </c>
      <c r="S827" s="4">
        <f>VLOOKUP(A827,[16]Sheet1!$A:$M,6,0)</f>
        <v>0</v>
      </c>
      <c r="T827" s="4">
        <f>VLOOKUP(A827,[16]Sheet1!$A:$M,7,0)</f>
        <v>0</v>
      </c>
      <c r="U827" s="4">
        <f>VLOOKUP(A827,[16]Sheet1!$A:$M,8,0)</f>
        <v>0</v>
      </c>
      <c r="V827" s="4">
        <f>VLOOKUP(A827,[16]Sheet1!$A:$M,9,0)</f>
        <v>100</v>
      </c>
      <c r="W827" s="4">
        <f>VLOOKUP(A827,[16]Sheet1!$A:$M,10,0)</f>
        <v>200</v>
      </c>
      <c r="X827" s="4">
        <f>VLOOKUP(A827,[16]Sheet1!$A:$M,11,0)</f>
        <v>0</v>
      </c>
      <c r="Y827" s="4">
        <f>VLOOKUP(A827,[16]Sheet1!$A:$M,12,0)</f>
        <v>0</v>
      </c>
      <c r="Z827" s="4">
        <f>VLOOKUP(A827,[16]Sheet1!$A:$M,13,0)</f>
        <v>0</v>
      </c>
      <c r="AA827" s="4">
        <f t="shared" si="244"/>
        <v>300</v>
      </c>
      <c r="AB827" s="7">
        <f t="shared" si="245"/>
        <v>25</v>
      </c>
      <c r="AC827" s="15">
        <f t="shared" si="246"/>
        <v>25</v>
      </c>
      <c r="AD827" s="16">
        <f t="shared" si="247"/>
        <v>4197</v>
      </c>
      <c r="AE827" s="16">
        <f t="shared" si="248"/>
        <v>349.75</v>
      </c>
      <c r="AF827" s="21">
        <v>4.3499999999999996</v>
      </c>
      <c r="AG827" s="21">
        <v>13.99</v>
      </c>
      <c r="AH827" s="15">
        <f t="shared" si="242"/>
        <v>1.6400000000000029E-2</v>
      </c>
      <c r="AI827" s="15">
        <f t="shared" si="243"/>
        <v>5.7400000000000097E-2</v>
      </c>
      <c r="AJ827" s="10">
        <v>0.5</v>
      </c>
      <c r="AK827" s="10">
        <v>0.5</v>
      </c>
      <c r="AL827" s="21">
        <v>4.3499999999999996</v>
      </c>
      <c r="AM827" s="9">
        <f t="shared" si="234"/>
        <v>2.0985</v>
      </c>
      <c r="AN827" s="9">
        <f t="shared" si="235"/>
        <v>0.41970000000000002</v>
      </c>
      <c r="AO827" s="9">
        <f t="shared" si="236"/>
        <v>2.798</v>
      </c>
      <c r="AP827" s="9">
        <f t="shared" si="237"/>
        <v>0.27979999999999999</v>
      </c>
      <c r="AQ827" s="9">
        <f t="shared" si="238"/>
        <v>2.798</v>
      </c>
      <c r="AR827" s="9">
        <f t="shared" si="239"/>
        <v>3.4975000000000001</v>
      </c>
      <c r="AS827" s="11">
        <f t="shared" si="240"/>
        <v>0.16400000000000028</v>
      </c>
      <c r="AT827" s="12">
        <f t="shared" si="241"/>
        <v>-0.30233333333333307</v>
      </c>
    </row>
    <row r="828" spans="1:46" ht="16.5" x14ac:dyDescent="0.4">
      <c r="A828" s="4" t="s">
        <v>3699</v>
      </c>
      <c r="B828" s="4" t="s">
        <v>3710</v>
      </c>
      <c r="C828" s="4" t="s">
        <v>3710</v>
      </c>
      <c r="D828" s="4" t="s">
        <v>3727</v>
      </c>
      <c r="E828" s="4" t="s">
        <v>3747</v>
      </c>
      <c r="F828" s="4" t="s">
        <v>3772</v>
      </c>
      <c r="G828" s="7" t="str">
        <f>VLOOKUP(A828,[1]done!$A:$I,9,0)</f>
        <v>Mosquito/Fly</v>
      </c>
      <c r="H828" s="7" t="str" cm="1">
        <f t="array" ref="H828">_xlfn.IFS(
OR(ISNUMBER(SEARCH("mouse",E828)),ISNUMBER(SEARCH("rat",E828)),ISNUMBER(SEARCH("mice",E828)),ISNUMBER(SEARCH("rodent",E828))),"Rodent Control",
OR(ISNUMBER(SEARCH("fly",E828)),ISNUMBER(SEARCH("gnat",E828)),ISNUMBER(SEARCH("insect",E828)),ISNUMBER(SEARCH("mosquito",E828))),"Flying Insect Control",
OR(ISNUMBER(SEARCH("roach",E828)),ISNUMBER(SEARCH("ant",E828)),ISNUMBER(SEARCH("spider",E828)),ISNUMBER(SEARCH("cricket",E828)),ISNUMBER(SEARCH("scorpion",E828)),ISNUMBER(SEARCH("centipede",E828)),ISNUMBER(SEARCH("beetle",E828))),"Crawling Insect Control",
OR(ISNUMBER(SEARCH("tree",E828)),ISNUMBER(SEARCH("lantern",E828)),ISNUMBER(SEARCH("garden",E828)),ISNUMBER(SEARCH("plant",E828))),"Garden Pest Control",
OR(ISNUMBER(SEARCH("grass seed",E828)),ISNUMBER(SEARCH("seed mix",E828))),"Grass Seed",
OR(ISNUMBER(SEARCH("lawn food",E828)),ISNUMBER(SEARCH("fertilizer",E828))),"Lawn Fertilizer",
OR(ISNUMBER(SEARCH("patch",E828)),ISNUMBER(SEARCH("repair",E828)),ISNUMBER(SEARCH("thick'r",E828)),ISNUMBER(SEARCH("thick'r lawn",E828)),ISNUMBER(SEARCH("rapid grass",E828))),"Lawn Repair",
OR(ISNUMBER(SEARCH("weed",E828)),ISNUMBER(SEARCH("crabgrass",E828))),"Weed Control",
OR(ISNUMBER(SEARCH("fungicide",E828)),ISNUMBER(SEARCH("moss",E828))),"Disease &amp; Moss Control",
OR(ISNUMBER(SEARCH("plant food",E828)),ISNUMBER(SEARCH("miracid",E828))),"Plant Nutrition",
OR(ISNUMBER(SEARCH("perlite",E828))),"Soil Amendment",
OR(ISNUMBER(SEARCH("spreader",E828)),ISNUMBER(SEARCH("sprayer",E828)),ISNUMBER(SEARCH("mower",E828)),ISNUMBER(SEARCH("sweeper",E828)),ISNUMBER(SEARCH("pruner",E828)),ISNUMBER(SEARCH("trimmer",E828)),ISNUMBER(SEARCH("pole saw",E828))),"Garden Equipment",
TRUE,"Other"
)</f>
        <v>Flying Insect Control</v>
      </c>
      <c r="I828" s="7" t="str" cm="1">
        <f t="array" ref="I828">_xlfn.IFS(
OR(ISNUMBER(SEARCH("glue trap",E828)),ISNUMBER(SEARCH("glue board",E828))),"Glue Traps",
OR(ISNUMBER(SEARCH("snap trap",E828)),ISNUMBER(SEARCH("power-kill",E828)),ISNUMBER(SEARCH("wide pedal",E828)),ISNUMBER(SEARCH("metal pedal",E828))),"Snap Traps",
OR(ISNUMBER(SEARCH("electronic",E828)),ISNUMBER(SEARCH("zapper",E828))),"Electronic Traps",
OR(ISNUMBER(SEARCH("live catch",E828)),ISNUMBER(SEARCH("multi-catch",E828)),ISNUMBER(SEARCH("catch &amp; hold",E828)),ISNUMBER(SEARCH("tin cat",E828))),"Live Catch Traps",
OR(ISNUMBER(SEARCH("bait",E828)),ISNUMBER(SEARCH("poison",E828))),"Bait &amp; Poison",
ISNUMBER(SEARCH("repellent",E828)),"Repellents",
OR(ISNUMBER(SEARCH("fly trap",E828)),ISNUMBER(SEARCH("fly ribbon",E828)),ISNUMBER(SEARCH("fly stick",E828)),ISNUMBER(SEARCH("window fly",E828)),ISNUMBER(SEARCH("fly magnet",E828))),"Fly Traps",
OR(ISNUMBER(SEARCH("uv",E828)),ISNUMBER(SEARCH("fly light",E828)),ISNUMBER(SEARCH("plug-in",E828))),"UV Fly Traps",
ISNUMBER(SEARCH("roach",E828)),"Roach Traps",
ISNUMBER(SEARCH("ant",E828)),"Ant Traps",
ISNUMBER(SEARCH("spider",E828)),"Spider Traps",
ISNUMBER(SEARCH("mosquito",E828)),"Mosquito Traps",
ISNUMBER(SEARCH("beetle",E828)),"Beetle Traps",
ISNUMBER(SEARCH("lantern",E828)),"Lanternfly Control",
OR(ISNUMBER(SEARCH("tree shield",E828)),ISNUMBER(SEARCH("tree banding",E828)),ISNUMBER(SEARCH("insect barrier",E828))),"Tree Barriers",
OR(ISNUMBER(SEARCH("sun &amp; shade",E828)),ISNUMBER(SEARCH("sun and shade",E828))),"Sun &amp; Shade Mix",
ISNUMBER(SEARCH("tall fescue",E828)),"Tall Fescue",
ISNUMBER(SEARCH("bermudagrass",E828)),"Bermudagrass",
ISNUMBER(SEARCH("kentucky",E828)),"Kentucky Bluegrass",
ISNUMBER(SEARCH("zoysia",E828)),"Zoysia",
ISNUMBER(SEARCH("ryegrass",E828)),"Perennial Ryegrass",
ISNUMBER(SEARCH("centipede",E828)),"Centipede Grass",
ISNUMBER(SEARCH("dense shade",E828)),"Dense Shade Mix",
ISNUMBER(SEARCH("southern gold",E828)),"Southern Gold Mix",
ISNUMBER(SEARCH("heat-tolerant blue",E828)),"Heat-Tolerant Blue Mix",
ISNUMBER(SEARCH("high traffic",E828)),"High Traffic Mix",
ISNUMBER(SEARCH("quick fix",E828)),"Quick Fix Mix",
ISNUMBER(SEARCH("starter",E828)),"Starter Fertilizer",
ISNUMBER(SEARCH("weed &amp; feed",E828)),"Weed &amp; Feed",
ISNUMBER(SEARCH("lawn food",E828)),"Lawn Food",
ISNUMBER(SEARCH("triple action",E828)),"Triple Action Fertilizer",
ISNUMBER(SEARCH("green max",E828)),"Green Max Lawn Food",
ISNUMBER(SEARCH("patchmaster",E828)),"PatchMaster Repair",
ISNUMBER(SEARCH("ez seed",E828)),"EZ Seed Repair",
ISNUMBER(SEARCH("rapid grass",E828)),"Rapid Grass",
ISNUMBER(SEARCH("thick'r lawn",E828)),"Thick'R Lawn",
ISNUMBER(SEARCH("fungicide",E828)),"Fungicide",
ISNUMBER(SEARCH("moss",E828)),"Moss Control",
ISNUMBER(SEARCH("perlite",E828)),"Perlite",
ISNUMBER(SEARCH("plant food",E828)),"Plant Food",
ISNUMBER(SEARCH("spreader",E828)),"Spreader",
ISNUMBER(SEARCH("sprayer",E828)),"Sprayer",
ISNUMBER(SEARCH("mower",E828)),"Lawn Mower",
ISNUMBER(SEARCH("sweeper",E828)),"Lawn Sweeper",
OR(ISNUMBER(SEARCH("pruner",E828)),ISNUMBER(SEARCH("trimmer",E828)),ISNUMBER(SEARCH("pole saw",E828))),"Pruning Tools",
TRUE,"Other"
)</f>
        <v>Fly Traps</v>
      </c>
      <c r="J828" s="7" t="str">
        <f t="shared" si="249"/>
        <v>Flying Insect Control - Fly Traps</v>
      </c>
      <c r="K828" s="4">
        <v>200</v>
      </c>
      <c r="L828" s="4">
        <v>4.4000000000000004</v>
      </c>
      <c r="M828" s="4">
        <v>151</v>
      </c>
      <c r="O828" s="4">
        <f>VLOOKUP(A828,[16]Sheet1!$A:$M,2,0)</f>
        <v>0</v>
      </c>
      <c r="P828" s="4">
        <f>VLOOKUP(A828,[16]Sheet1!$A:$M,3,0)</f>
        <v>0</v>
      </c>
      <c r="Q828" s="4">
        <f>VLOOKUP(A828,[16]Sheet1!$A:$M,4,0)</f>
        <v>0</v>
      </c>
      <c r="R828" s="4">
        <f>VLOOKUP(A828,[16]Sheet1!$A:$M,5,0)</f>
        <v>0</v>
      </c>
      <c r="S828" s="4">
        <f>VLOOKUP(A828,[16]Sheet1!$A:$M,6,0)</f>
        <v>100</v>
      </c>
      <c r="T828" s="4">
        <f>VLOOKUP(A828,[16]Sheet1!$A:$M,7,0)</f>
        <v>100</v>
      </c>
      <c r="U828" s="4">
        <f>VLOOKUP(A828,[16]Sheet1!$A:$M,8,0)</f>
        <v>100</v>
      </c>
      <c r="V828" s="4">
        <f>VLOOKUP(A828,[16]Sheet1!$A:$M,9,0)</f>
        <v>100</v>
      </c>
      <c r="W828" s="4">
        <f>VLOOKUP(A828,[16]Sheet1!$A:$M,10,0)</f>
        <v>200</v>
      </c>
      <c r="X828" s="4">
        <f>VLOOKUP(A828,[16]Sheet1!$A:$M,11,0)</f>
        <v>0</v>
      </c>
      <c r="Y828" s="4">
        <f>VLOOKUP(A828,[16]Sheet1!$A:$M,12,0)</f>
        <v>0</v>
      </c>
      <c r="Z828" s="4">
        <f>VLOOKUP(A828,[16]Sheet1!$A:$M,13,0)</f>
        <v>0</v>
      </c>
      <c r="AA828" s="4">
        <f t="shared" si="244"/>
        <v>600</v>
      </c>
      <c r="AB828" s="7">
        <f t="shared" si="245"/>
        <v>50</v>
      </c>
      <c r="AC828" s="15">
        <f t="shared" si="246"/>
        <v>50</v>
      </c>
      <c r="AD828" s="16">
        <f t="shared" si="247"/>
        <v>8394</v>
      </c>
      <c r="AE828" s="16">
        <f t="shared" si="248"/>
        <v>699.5</v>
      </c>
      <c r="AF828" s="21">
        <v>3.54</v>
      </c>
      <c r="AG828" s="21">
        <v>13.99</v>
      </c>
      <c r="AH828" s="15">
        <f t="shared" si="242"/>
        <v>7.0400000000000004E-2</v>
      </c>
      <c r="AI828" s="15">
        <f t="shared" si="243"/>
        <v>0.24640000000000001</v>
      </c>
      <c r="AJ828" s="10">
        <v>0.5</v>
      </c>
      <c r="AK828" s="10">
        <v>0.5</v>
      </c>
      <c r="AL828" s="21">
        <v>3.54</v>
      </c>
      <c r="AM828" s="9">
        <f t="shared" si="234"/>
        <v>2.0985</v>
      </c>
      <c r="AN828" s="9">
        <f t="shared" si="235"/>
        <v>0.41970000000000002</v>
      </c>
      <c r="AO828" s="9">
        <f t="shared" si="236"/>
        <v>2.798</v>
      </c>
      <c r="AP828" s="9">
        <f t="shared" si="237"/>
        <v>0.27979999999999999</v>
      </c>
      <c r="AQ828" s="9">
        <f t="shared" si="238"/>
        <v>2.798</v>
      </c>
      <c r="AR828" s="9">
        <f t="shared" si="239"/>
        <v>3.4975000000000001</v>
      </c>
      <c r="AS828" s="11">
        <f t="shared" si="240"/>
        <v>0.70400000000000007</v>
      </c>
      <c r="AT828" s="12">
        <f t="shared" si="241"/>
        <v>0.23766666666666669</v>
      </c>
    </row>
    <row r="829" spans="1:46" ht="16.5" x14ac:dyDescent="0.4">
      <c r="A829" s="4" t="s">
        <v>3700</v>
      </c>
      <c r="B829" s="4" t="s">
        <v>3710</v>
      </c>
      <c r="C829" s="4" t="s">
        <v>3710</v>
      </c>
      <c r="D829" s="4" t="s">
        <v>3714</v>
      </c>
      <c r="E829" s="4" t="s">
        <v>3748</v>
      </c>
      <c r="F829" s="4" t="s">
        <v>3773</v>
      </c>
      <c r="G829" s="7" t="str">
        <f>VLOOKUP(A829,[1]done!$A:$I,9,0)</f>
        <v>Mosquito/Fly</v>
      </c>
      <c r="H829" s="7" t="str" cm="1">
        <f t="array" ref="H829">_xlfn.IFS(
OR(ISNUMBER(SEARCH("mouse",E829)),ISNUMBER(SEARCH("rat",E829)),ISNUMBER(SEARCH("mice",E829)),ISNUMBER(SEARCH("rodent",E829))),"Rodent Control",
OR(ISNUMBER(SEARCH("fly",E829)),ISNUMBER(SEARCH("gnat",E829)),ISNUMBER(SEARCH("insect",E829)),ISNUMBER(SEARCH("mosquito",E829))),"Flying Insect Control",
OR(ISNUMBER(SEARCH("roach",E829)),ISNUMBER(SEARCH("ant",E829)),ISNUMBER(SEARCH("spider",E829)),ISNUMBER(SEARCH("cricket",E829)),ISNUMBER(SEARCH("scorpion",E829)),ISNUMBER(SEARCH("centipede",E829)),ISNUMBER(SEARCH("beetle",E829))),"Crawling Insect Control",
OR(ISNUMBER(SEARCH("tree",E829)),ISNUMBER(SEARCH("lantern",E829)),ISNUMBER(SEARCH("garden",E829)),ISNUMBER(SEARCH("plant",E829))),"Garden Pest Control",
OR(ISNUMBER(SEARCH("grass seed",E829)),ISNUMBER(SEARCH("seed mix",E829))),"Grass Seed",
OR(ISNUMBER(SEARCH("lawn food",E829)),ISNUMBER(SEARCH("fertilizer",E829))),"Lawn Fertilizer",
OR(ISNUMBER(SEARCH("patch",E829)),ISNUMBER(SEARCH("repair",E829)),ISNUMBER(SEARCH("thick'r",E829)),ISNUMBER(SEARCH("thick'r lawn",E829)),ISNUMBER(SEARCH("rapid grass",E829))),"Lawn Repair",
OR(ISNUMBER(SEARCH("weed",E829)),ISNUMBER(SEARCH("crabgrass",E829))),"Weed Control",
OR(ISNUMBER(SEARCH("fungicide",E829)),ISNUMBER(SEARCH("moss",E829))),"Disease &amp; Moss Control",
OR(ISNUMBER(SEARCH("plant food",E829)),ISNUMBER(SEARCH("miracid",E829))),"Plant Nutrition",
OR(ISNUMBER(SEARCH("perlite",E829))),"Soil Amendment",
OR(ISNUMBER(SEARCH("spreader",E829)),ISNUMBER(SEARCH("sprayer",E829)),ISNUMBER(SEARCH("mower",E829)),ISNUMBER(SEARCH("sweeper",E829)),ISNUMBER(SEARCH("pruner",E829)),ISNUMBER(SEARCH("trimmer",E829)),ISNUMBER(SEARCH("pole saw",E829))),"Garden Equipment",
TRUE,"Other"
)</f>
        <v>Flying Insect Control</v>
      </c>
      <c r="I829" s="7" t="str" cm="1">
        <f t="array" ref="I829">_xlfn.IFS(
OR(ISNUMBER(SEARCH("glue trap",E829)),ISNUMBER(SEARCH("glue board",E829))),"Glue Traps",
OR(ISNUMBER(SEARCH("snap trap",E829)),ISNUMBER(SEARCH("power-kill",E829)),ISNUMBER(SEARCH("wide pedal",E829)),ISNUMBER(SEARCH("metal pedal",E829))),"Snap Traps",
OR(ISNUMBER(SEARCH("electronic",E829)),ISNUMBER(SEARCH("zapper",E829))),"Electronic Traps",
OR(ISNUMBER(SEARCH("live catch",E829)),ISNUMBER(SEARCH("multi-catch",E829)),ISNUMBER(SEARCH("catch &amp; hold",E829)),ISNUMBER(SEARCH("tin cat",E829))),"Live Catch Traps",
OR(ISNUMBER(SEARCH("bait",E829)),ISNUMBER(SEARCH("poison",E829))),"Bait &amp; Poison",
ISNUMBER(SEARCH("repellent",E829)),"Repellents",
OR(ISNUMBER(SEARCH("fly trap",E829)),ISNUMBER(SEARCH("fly ribbon",E829)),ISNUMBER(SEARCH("fly stick",E829)),ISNUMBER(SEARCH("window fly",E829)),ISNUMBER(SEARCH("fly magnet",E829))),"Fly Traps",
OR(ISNUMBER(SEARCH("uv",E829)),ISNUMBER(SEARCH("fly light",E829)),ISNUMBER(SEARCH("plug-in",E829))),"UV Fly Traps",
ISNUMBER(SEARCH("roach",E829)),"Roach Traps",
ISNUMBER(SEARCH("ant",E829)),"Ant Traps",
ISNUMBER(SEARCH("spider",E829)),"Spider Traps",
ISNUMBER(SEARCH("mosquito",E829)),"Mosquito Traps",
ISNUMBER(SEARCH("beetle",E829)),"Beetle Traps",
ISNUMBER(SEARCH("lantern",E829)),"Lanternfly Control",
OR(ISNUMBER(SEARCH("tree shield",E829)),ISNUMBER(SEARCH("tree banding",E829)),ISNUMBER(SEARCH("insect barrier",E829))),"Tree Barriers",
OR(ISNUMBER(SEARCH("sun &amp; shade",E829)),ISNUMBER(SEARCH("sun and shade",E829))),"Sun &amp; Shade Mix",
ISNUMBER(SEARCH("tall fescue",E829)),"Tall Fescue",
ISNUMBER(SEARCH("bermudagrass",E829)),"Bermudagrass",
ISNUMBER(SEARCH("kentucky",E829)),"Kentucky Bluegrass",
ISNUMBER(SEARCH("zoysia",E829)),"Zoysia",
ISNUMBER(SEARCH("ryegrass",E829)),"Perennial Ryegrass",
ISNUMBER(SEARCH("centipede",E829)),"Centipede Grass",
ISNUMBER(SEARCH("dense shade",E829)),"Dense Shade Mix",
ISNUMBER(SEARCH("southern gold",E829)),"Southern Gold Mix",
ISNUMBER(SEARCH("heat-tolerant blue",E829)),"Heat-Tolerant Blue Mix",
ISNUMBER(SEARCH("high traffic",E829)),"High Traffic Mix",
ISNUMBER(SEARCH("quick fix",E829)),"Quick Fix Mix",
ISNUMBER(SEARCH("starter",E829)),"Starter Fertilizer",
ISNUMBER(SEARCH("weed &amp; feed",E829)),"Weed &amp; Feed",
ISNUMBER(SEARCH("lawn food",E829)),"Lawn Food",
ISNUMBER(SEARCH("triple action",E829)),"Triple Action Fertilizer",
ISNUMBER(SEARCH("green max",E829)),"Green Max Lawn Food",
ISNUMBER(SEARCH("patchmaster",E829)),"PatchMaster Repair",
ISNUMBER(SEARCH("ez seed",E829)),"EZ Seed Repair",
ISNUMBER(SEARCH("rapid grass",E829)),"Rapid Grass",
ISNUMBER(SEARCH("thick'r lawn",E829)),"Thick'R Lawn",
ISNUMBER(SEARCH("fungicide",E829)),"Fungicide",
ISNUMBER(SEARCH("moss",E829)),"Moss Control",
ISNUMBER(SEARCH("perlite",E829)),"Perlite",
ISNUMBER(SEARCH("plant food",E829)),"Plant Food",
ISNUMBER(SEARCH("spreader",E829)),"Spreader",
ISNUMBER(SEARCH("sprayer",E829)),"Sprayer",
ISNUMBER(SEARCH("mower",E829)),"Lawn Mower",
ISNUMBER(SEARCH("sweeper",E829)),"Lawn Sweeper",
OR(ISNUMBER(SEARCH("pruner",E829)),ISNUMBER(SEARCH("trimmer",E829)),ISNUMBER(SEARCH("pole saw",E829))),"Pruning Tools",
TRUE,"Other"
)</f>
        <v>UV Fly Traps</v>
      </c>
      <c r="J829" s="7" t="str">
        <f t="shared" si="249"/>
        <v>Flying Insect Control - UV Fly Traps</v>
      </c>
      <c r="K829" s="4">
        <v>100</v>
      </c>
      <c r="L829" s="4">
        <v>4.0999999999999996</v>
      </c>
      <c r="M829" s="4">
        <v>775</v>
      </c>
      <c r="N829" s="4" t="s">
        <v>3790</v>
      </c>
      <c r="O829" s="4">
        <f>VLOOKUP(A829,[16]Sheet1!$A:$M,2,0)</f>
        <v>0</v>
      </c>
      <c r="P829" s="4">
        <f>VLOOKUP(A829,[16]Sheet1!$A:$M,3,0)</f>
        <v>0</v>
      </c>
      <c r="Q829" s="4">
        <f>VLOOKUP(A829,[16]Sheet1!$A:$M,4,0)</f>
        <v>0</v>
      </c>
      <c r="R829" s="4">
        <f>VLOOKUP(A829,[16]Sheet1!$A:$M,5,0)</f>
        <v>0</v>
      </c>
      <c r="S829" s="4">
        <f>VLOOKUP(A829,[16]Sheet1!$A:$M,6,0)</f>
        <v>0</v>
      </c>
      <c r="T829" s="4">
        <f>VLOOKUP(A829,[16]Sheet1!$A:$M,7,0)</f>
        <v>0</v>
      </c>
      <c r="U829" s="4">
        <f>VLOOKUP(A829,[16]Sheet1!$A:$M,8,0)</f>
        <v>0</v>
      </c>
      <c r="V829" s="4">
        <f>VLOOKUP(A829,[16]Sheet1!$A:$M,9,0)</f>
        <v>50</v>
      </c>
      <c r="W829" s="4">
        <f>VLOOKUP(A829,[16]Sheet1!$A:$M,10,0)</f>
        <v>100</v>
      </c>
      <c r="X829" s="4">
        <f>VLOOKUP(A829,[16]Sheet1!$A:$M,11,0)</f>
        <v>0</v>
      </c>
      <c r="Y829" s="4">
        <f>VLOOKUP(A829,[16]Sheet1!$A:$M,12,0)</f>
        <v>0</v>
      </c>
      <c r="Z829" s="4">
        <f>VLOOKUP(A829,[16]Sheet1!$A:$M,13,0)</f>
        <v>0</v>
      </c>
      <c r="AA829" s="4">
        <f t="shared" si="244"/>
        <v>150</v>
      </c>
      <c r="AB829" s="7">
        <f t="shared" si="245"/>
        <v>13</v>
      </c>
      <c r="AC829" s="15">
        <f t="shared" si="246"/>
        <v>12.5</v>
      </c>
      <c r="AD829" s="16">
        <f t="shared" si="247"/>
        <v>2548.4999999999995</v>
      </c>
      <c r="AE829" s="16">
        <f t="shared" si="248"/>
        <v>212.37499999999997</v>
      </c>
      <c r="AF829" s="21">
        <v>4.76</v>
      </c>
      <c r="AG829" s="21">
        <v>16.989999999999998</v>
      </c>
      <c r="AH829" s="15">
        <f t="shared" si="242"/>
        <v>6.9066666666666651E-2</v>
      </c>
      <c r="AI829" s="15">
        <f t="shared" si="243"/>
        <v>0.24173333333333324</v>
      </c>
      <c r="AJ829" s="10">
        <v>0.5</v>
      </c>
      <c r="AK829" s="10">
        <v>0.5</v>
      </c>
      <c r="AL829" s="21">
        <v>4.76</v>
      </c>
      <c r="AM829" s="9">
        <f t="shared" si="234"/>
        <v>2.5484999999999998</v>
      </c>
      <c r="AN829" s="9">
        <f t="shared" si="235"/>
        <v>0.50969999999999993</v>
      </c>
      <c r="AO829" s="9">
        <f t="shared" si="236"/>
        <v>3.3979999999999997</v>
      </c>
      <c r="AP829" s="9">
        <f t="shared" si="237"/>
        <v>0.33979999999999999</v>
      </c>
      <c r="AQ829" s="9">
        <f t="shared" si="238"/>
        <v>3.3979999999999997</v>
      </c>
      <c r="AR829" s="9">
        <f t="shared" si="239"/>
        <v>4.2474999999999996</v>
      </c>
      <c r="AS829" s="11">
        <f t="shared" si="240"/>
        <v>0.69066666666666643</v>
      </c>
      <c r="AT829" s="12">
        <f t="shared" si="241"/>
        <v>0.12433333333333312</v>
      </c>
    </row>
    <row r="830" spans="1:46" ht="16.5" x14ac:dyDescent="0.4">
      <c r="A830" s="4" t="s">
        <v>3701</v>
      </c>
      <c r="B830" s="4" t="s">
        <v>3710</v>
      </c>
      <c r="C830" s="4" t="s">
        <v>3710</v>
      </c>
      <c r="D830" s="4" t="s">
        <v>3711</v>
      </c>
      <c r="E830" s="4" t="s">
        <v>3749</v>
      </c>
      <c r="F830" s="4" t="s">
        <v>3774</v>
      </c>
      <c r="G830" s="7" t="str">
        <f>VLOOKUP(A830,[1]done!$A:$I,9,0)</f>
        <v>Mosquito/Fly</v>
      </c>
      <c r="H830" s="7" t="str" cm="1">
        <f t="array" ref="H830">_xlfn.IFS(
OR(ISNUMBER(SEARCH("mouse",E830)),ISNUMBER(SEARCH("rat",E830)),ISNUMBER(SEARCH("mice",E830)),ISNUMBER(SEARCH("rodent",E830))),"Rodent Control",
OR(ISNUMBER(SEARCH("fly",E830)),ISNUMBER(SEARCH("gnat",E830)),ISNUMBER(SEARCH("insect",E830)),ISNUMBER(SEARCH("mosquito",E830))),"Flying Insect Control",
OR(ISNUMBER(SEARCH("roach",E830)),ISNUMBER(SEARCH("ant",E830)),ISNUMBER(SEARCH("spider",E830)),ISNUMBER(SEARCH("cricket",E830)),ISNUMBER(SEARCH("scorpion",E830)),ISNUMBER(SEARCH("centipede",E830)),ISNUMBER(SEARCH("beetle",E830))),"Crawling Insect Control",
OR(ISNUMBER(SEARCH("tree",E830)),ISNUMBER(SEARCH("lantern",E830)),ISNUMBER(SEARCH("garden",E830)),ISNUMBER(SEARCH("plant",E830))),"Garden Pest Control",
OR(ISNUMBER(SEARCH("grass seed",E830)),ISNUMBER(SEARCH("seed mix",E830))),"Grass Seed",
OR(ISNUMBER(SEARCH("lawn food",E830)),ISNUMBER(SEARCH("fertilizer",E830))),"Lawn Fertilizer",
OR(ISNUMBER(SEARCH("patch",E830)),ISNUMBER(SEARCH("repair",E830)),ISNUMBER(SEARCH("thick'r",E830)),ISNUMBER(SEARCH("thick'r lawn",E830)),ISNUMBER(SEARCH("rapid grass",E830))),"Lawn Repair",
OR(ISNUMBER(SEARCH("weed",E830)),ISNUMBER(SEARCH("crabgrass",E830))),"Weed Control",
OR(ISNUMBER(SEARCH("fungicide",E830)),ISNUMBER(SEARCH("moss",E830))),"Disease &amp; Moss Control",
OR(ISNUMBER(SEARCH("plant food",E830)),ISNUMBER(SEARCH("miracid",E830))),"Plant Nutrition",
OR(ISNUMBER(SEARCH("perlite",E830))),"Soil Amendment",
OR(ISNUMBER(SEARCH("spreader",E830)),ISNUMBER(SEARCH("sprayer",E830)),ISNUMBER(SEARCH("mower",E830)),ISNUMBER(SEARCH("sweeper",E830)),ISNUMBER(SEARCH("pruner",E830)),ISNUMBER(SEARCH("trimmer",E830)),ISNUMBER(SEARCH("pole saw",E830))),"Garden Equipment",
TRUE,"Other"
)</f>
        <v>Flying Insect Control</v>
      </c>
      <c r="I830" s="7" t="str" cm="1">
        <f t="array" ref="I830">_xlfn.IFS(
OR(ISNUMBER(SEARCH("glue trap",E830)),ISNUMBER(SEARCH("glue board",E830))),"Glue Traps",
OR(ISNUMBER(SEARCH("snap trap",E830)),ISNUMBER(SEARCH("power-kill",E830)),ISNUMBER(SEARCH("wide pedal",E830)),ISNUMBER(SEARCH("metal pedal",E830))),"Snap Traps",
OR(ISNUMBER(SEARCH("electronic",E830)),ISNUMBER(SEARCH("zapper",E830))),"Electronic Traps",
OR(ISNUMBER(SEARCH("live catch",E830)),ISNUMBER(SEARCH("multi-catch",E830)),ISNUMBER(SEARCH("catch &amp; hold",E830)),ISNUMBER(SEARCH("tin cat",E830))),"Live Catch Traps",
OR(ISNUMBER(SEARCH("bait",E830)),ISNUMBER(SEARCH("poison",E830))),"Bait &amp; Poison",
ISNUMBER(SEARCH("repellent",E830)),"Repellents",
OR(ISNUMBER(SEARCH("fly trap",E830)),ISNUMBER(SEARCH("fly ribbon",E830)),ISNUMBER(SEARCH("fly stick",E830)),ISNUMBER(SEARCH("window fly",E830)),ISNUMBER(SEARCH("fly magnet",E830))),"Fly Traps",
OR(ISNUMBER(SEARCH("uv",E830)),ISNUMBER(SEARCH("fly light",E830)),ISNUMBER(SEARCH("plug-in",E830))),"UV Fly Traps",
ISNUMBER(SEARCH("roach",E830)),"Roach Traps",
ISNUMBER(SEARCH("ant",E830)),"Ant Traps",
ISNUMBER(SEARCH("spider",E830)),"Spider Traps",
ISNUMBER(SEARCH("mosquito",E830)),"Mosquito Traps",
ISNUMBER(SEARCH("beetle",E830)),"Beetle Traps",
ISNUMBER(SEARCH("lantern",E830)),"Lanternfly Control",
OR(ISNUMBER(SEARCH("tree shield",E830)),ISNUMBER(SEARCH("tree banding",E830)),ISNUMBER(SEARCH("insect barrier",E830))),"Tree Barriers",
OR(ISNUMBER(SEARCH("sun &amp; shade",E830)),ISNUMBER(SEARCH("sun and shade",E830))),"Sun &amp; Shade Mix",
ISNUMBER(SEARCH("tall fescue",E830)),"Tall Fescue",
ISNUMBER(SEARCH("bermudagrass",E830)),"Bermudagrass",
ISNUMBER(SEARCH("kentucky",E830)),"Kentucky Bluegrass",
ISNUMBER(SEARCH("zoysia",E830)),"Zoysia",
ISNUMBER(SEARCH("ryegrass",E830)),"Perennial Ryegrass",
ISNUMBER(SEARCH("centipede",E830)),"Centipede Grass",
ISNUMBER(SEARCH("dense shade",E830)),"Dense Shade Mix",
ISNUMBER(SEARCH("southern gold",E830)),"Southern Gold Mix",
ISNUMBER(SEARCH("heat-tolerant blue",E830)),"Heat-Tolerant Blue Mix",
ISNUMBER(SEARCH("high traffic",E830)),"High Traffic Mix",
ISNUMBER(SEARCH("quick fix",E830)),"Quick Fix Mix",
ISNUMBER(SEARCH("starter",E830)),"Starter Fertilizer",
ISNUMBER(SEARCH("weed &amp; feed",E830)),"Weed &amp; Feed",
ISNUMBER(SEARCH("lawn food",E830)),"Lawn Food",
ISNUMBER(SEARCH("triple action",E830)),"Triple Action Fertilizer",
ISNUMBER(SEARCH("green max",E830)),"Green Max Lawn Food",
ISNUMBER(SEARCH("patchmaster",E830)),"PatchMaster Repair",
ISNUMBER(SEARCH("ez seed",E830)),"EZ Seed Repair",
ISNUMBER(SEARCH("rapid grass",E830)),"Rapid Grass",
ISNUMBER(SEARCH("thick'r lawn",E830)),"Thick'R Lawn",
ISNUMBER(SEARCH("fungicide",E830)),"Fungicide",
ISNUMBER(SEARCH("moss",E830)),"Moss Control",
ISNUMBER(SEARCH("perlite",E830)),"Perlite",
ISNUMBER(SEARCH("plant food",E830)),"Plant Food",
ISNUMBER(SEARCH("spreader",E830)),"Spreader",
ISNUMBER(SEARCH("sprayer",E830)),"Sprayer",
ISNUMBER(SEARCH("mower",E830)),"Lawn Mower",
ISNUMBER(SEARCH("sweeper",E830)),"Lawn Sweeper",
OR(ISNUMBER(SEARCH("pruner",E830)),ISNUMBER(SEARCH("trimmer",E830)),ISNUMBER(SEARCH("pole saw",E830))),"Pruning Tools",
TRUE,"Other"
)</f>
        <v>UV Fly Traps</v>
      </c>
      <c r="J830" s="7" t="str">
        <f t="shared" si="249"/>
        <v>Flying Insect Control - UV Fly Traps</v>
      </c>
      <c r="K830" s="4">
        <v>100</v>
      </c>
      <c r="L830" s="4">
        <v>4.0999999999999996</v>
      </c>
      <c r="M830" s="4">
        <v>770</v>
      </c>
      <c r="N830" s="4" t="s">
        <v>3791</v>
      </c>
      <c r="O830" s="4">
        <f>VLOOKUP(A830,[16]Sheet1!$A:$M,2,0)</f>
        <v>0</v>
      </c>
      <c r="P830" s="4">
        <f>VLOOKUP(A830,[16]Sheet1!$A:$M,3,0)</f>
        <v>0</v>
      </c>
      <c r="Q830" s="4">
        <f>VLOOKUP(A830,[16]Sheet1!$A:$M,4,0)</f>
        <v>0</v>
      </c>
      <c r="R830" s="4">
        <f>VLOOKUP(A830,[16]Sheet1!$A:$M,5,0)</f>
        <v>0</v>
      </c>
      <c r="S830" s="4">
        <f>VLOOKUP(A830,[16]Sheet1!$A:$M,6,0)</f>
        <v>0</v>
      </c>
      <c r="T830" s="4">
        <f>VLOOKUP(A830,[16]Sheet1!$A:$M,7,0)</f>
        <v>0</v>
      </c>
      <c r="U830" s="4">
        <f>VLOOKUP(A830,[16]Sheet1!$A:$M,8,0)</f>
        <v>0</v>
      </c>
      <c r="V830" s="4">
        <f>VLOOKUP(A830,[16]Sheet1!$A:$M,9,0)</f>
        <v>200</v>
      </c>
      <c r="W830" s="4">
        <f>VLOOKUP(A830,[16]Sheet1!$A:$M,10,0)</f>
        <v>100</v>
      </c>
      <c r="X830" s="4">
        <f>VLOOKUP(A830,[16]Sheet1!$A:$M,11,0)</f>
        <v>0</v>
      </c>
      <c r="Y830" s="4">
        <f>VLOOKUP(A830,[16]Sheet1!$A:$M,12,0)</f>
        <v>0</v>
      </c>
      <c r="Z830" s="4">
        <f>VLOOKUP(A830,[16]Sheet1!$A:$M,13,0)</f>
        <v>0</v>
      </c>
      <c r="AA830" s="4">
        <f t="shared" si="244"/>
        <v>300</v>
      </c>
      <c r="AB830" s="7">
        <f t="shared" si="245"/>
        <v>25</v>
      </c>
      <c r="AC830" s="15">
        <f t="shared" si="246"/>
        <v>25</v>
      </c>
      <c r="AD830" s="16">
        <f t="shared" si="247"/>
        <v>2697</v>
      </c>
      <c r="AE830" s="16">
        <f t="shared" si="248"/>
        <v>224.75</v>
      </c>
      <c r="AF830" s="21">
        <v>3.24</v>
      </c>
      <c r="AG830" s="21">
        <v>8.99</v>
      </c>
      <c r="AH830" s="15">
        <f t="shared" si="242"/>
        <v>-4.2933333333333344E-2</v>
      </c>
      <c r="AI830" s="15">
        <f t="shared" si="243"/>
        <v>-0.15026666666666669</v>
      </c>
      <c r="AJ830" s="10">
        <v>0.5</v>
      </c>
      <c r="AK830" s="10">
        <v>0.5</v>
      </c>
      <c r="AL830" s="21">
        <v>3.24</v>
      </c>
      <c r="AM830" s="9">
        <f t="shared" si="234"/>
        <v>1.3485</v>
      </c>
      <c r="AN830" s="9">
        <f t="shared" si="235"/>
        <v>0.2697</v>
      </c>
      <c r="AO830" s="9">
        <f t="shared" si="236"/>
        <v>1.798</v>
      </c>
      <c r="AP830" s="9">
        <f t="shared" si="237"/>
        <v>0.17980000000000002</v>
      </c>
      <c r="AQ830" s="9">
        <f t="shared" si="238"/>
        <v>1.798</v>
      </c>
      <c r="AR830" s="9">
        <f t="shared" si="239"/>
        <v>2.2475000000000001</v>
      </c>
      <c r="AS830" s="11">
        <f t="shared" si="240"/>
        <v>-0.4293333333333334</v>
      </c>
      <c r="AT830" s="12">
        <f t="shared" si="241"/>
        <v>-0.72900000000000009</v>
      </c>
    </row>
    <row r="831" spans="1:46" ht="16.5" x14ac:dyDescent="0.4">
      <c r="A831" s="4" t="s">
        <v>3702</v>
      </c>
      <c r="B831" s="4" t="s">
        <v>3710</v>
      </c>
      <c r="C831" s="4" t="s">
        <v>3710</v>
      </c>
      <c r="D831" s="4" t="s">
        <v>3728</v>
      </c>
      <c r="E831" s="4" t="s">
        <v>3745</v>
      </c>
      <c r="F831" s="4" t="s">
        <v>3775</v>
      </c>
      <c r="G831" s="7" t="str">
        <f>VLOOKUP(A831,[1]done!$A:$I,9,0)</f>
        <v>Rodent</v>
      </c>
      <c r="H831" s="7" t="str" cm="1">
        <f t="array" ref="H831">_xlfn.IFS(
OR(ISNUMBER(SEARCH("mouse",E831)),ISNUMBER(SEARCH("rat",E831)),ISNUMBER(SEARCH("mice",E831)),ISNUMBER(SEARCH("rodent",E831))),"Rodent Control",
OR(ISNUMBER(SEARCH("fly",E831)),ISNUMBER(SEARCH("gnat",E831)),ISNUMBER(SEARCH("insect",E831)),ISNUMBER(SEARCH("mosquito",E831))),"Flying Insect Control",
OR(ISNUMBER(SEARCH("roach",E831)),ISNUMBER(SEARCH("ant",E831)),ISNUMBER(SEARCH("spider",E831)),ISNUMBER(SEARCH("cricket",E831)),ISNUMBER(SEARCH("scorpion",E831)),ISNUMBER(SEARCH("centipede",E831)),ISNUMBER(SEARCH("beetle",E831))),"Crawling Insect Control",
OR(ISNUMBER(SEARCH("tree",E831)),ISNUMBER(SEARCH("lantern",E831)),ISNUMBER(SEARCH("garden",E831)),ISNUMBER(SEARCH("plant",E831))),"Garden Pest Control",
OR(ISNUMBER(SEARCH("grass seed",E831)),ISNUMBER(SEARCH("seed mix",E831))),"Grass Seed",
OR(ISNUMBER(SEARCH("lawn food",E831)),ISNUMBER(SEARCH("fertilizer",E831))),"Lawn Fertilizer",
OR(ISNUMBER(SEARCH("patch",E831)),ISNUMBER(SEARCH("repair",E831)),ISNUMBER(SEARCH("thick'r",E831)),ISNUMBER(SEARCH("thick'r lawn",E831)),ISNUMBER(SEARCH("rapid grass",E831))),"Lawn Repair",
OR(ISNUMBER(SEARCH("weed",E831)),ISNUMBER(SEARCH("crabgrass",E831))),"Weed Control",
OR(ISNUMBER(SEARCH("fungicide",E831)),ISNUMBER(SEARCH("moss",E831))),"Disease &amp; Moss Control",
OR(ISNUMBER(SEARCH("plant food",E831)),ISNUMBER(SEARCH("miracid",E831))),"Plant Nutrition",
OR(ISNUMBER(SEARCH("perlite",E831))),"Soil Amendment",
OR(ISNUMBER(SEARCH("spreader",E831)),ISNUMBER(SEARCH("sprayer",E831)),ISNUMBER(SEARCH("mower",E831)),ISNUMBER(SEARCH("sweeper",E831)),ISNUMBER(SEARCH("pruner",E831)),ISNUMBER(SEARCH("trimmer",E831)),ISNUMBER(SEARCH("pole saw",E831))),"Garden Equipment",
TRUE,"Other"
)</f>
        <v>Rodent Control</v>
      </c>
      <c r="I831" s="7" t="str" cm="1">
        <f t="array" ref="I831">_xlfn.IFS(
OR(ISNUMBER(SEARCH("glue trap",E831)),ISNUMBER(SEARCH("glue board",E831))),"Glue Traps",
OR(ISNUMBER(SEARCH("snap trap",E831)),ISNUMBER(SEARCH("power-kill",E831)),ISNUMBER(SEARCH("wide pedal",E831)),ISNUMBER(SEARCH("metal pedal",E831))),"Snap Traps",
OR(ISNUMBER(SEARCH("electronic",E831)),ISNUMBER(SEARCH("zapper",E831))),"Electronic Traps",
OR(ISNUMBER(SEARCH("live catch",E831)),ISNUMBER(SEARCH("multi-catch",E831)),ISNUMBER(SEARCH("catch &amp; hold",E831)),ISNUMBER(SEARCH("tin cat",E831))),"Live Catch Traps",
OR(ISNUMBER(SEARCH("bait",E831)),ISNUMBER(SEARCH("poison",E831))),"Bait &amp; Poison",
ISNUMBER(SEARCH("repellent",E831)),"Repellents",
OR(ISNUMBER(SEARCH("fly trap",E831)),ISNUMBER(SEARCH("fly ribbon",E831)),ISNUMBER(SEARCH("fly stick",E831)),ISNUMBER(SEARCH("window fly",E831)),ISNUMBER(SEARCH("fly magnet",E831))),"Fly Traps",
OR(ISNUMBER(SEARCH("uv",E831)),ISNUMBER(SEARCH("fly light",E831)),ISNUMBER(SEARCH("plug-in",E831))),"UV Fly Traps",
ISNUMBER(SEARCH("roach",E831)),"Roach Traps",
ISNUMBER(SEARCH("ant",E831)),"Ant Traps",
ISNUMBER(SEARCH("spider",E831)),"Spider Traps",
ISNUMBER(SEARCH("mosquito",E831)),"Mosquito Traps",
ISNUMBER(SEARCH("beetle",E831)),"Beetle Traps",
ISNUMBER(SEARCH("lantern",E831)),"Lanternfly Control",
OR(ISNUMBER(SEARCH("tree shield",E831)),ISNUMBER(SEARCH("tree banding",E831)),ISNUMBER(SEARCH("insect barrier",E831))),"Tree Barriers",
OR(ISNUMBER(SEARCH("sun &amp; shade",E831)),ISNUMBER(SEARCH("sun and shade",E831))),"Sun &amp; Shade Mix",
ISNUMBER(SEARCH("tall fescue",E831)),"Tall Fescue",
ISNUMBER(SEARCH("bermudagrass",E831)),"Bermudagrass",
ISNUMBER(SEARCH("kentucky",E831)),"Kentucky Bluegrass",
ISNUMBER(SEARCH("zoysia",E831)),"Zoysia",
ISNUMBER(SEARCH("ryegrass",E831)),"Perennial Ryegrass",
ISNUMBER(SEARCH("centipede",E831)),"Centipede Grass",
ISNUMBER(SEARCH("dense shade",E831)),"Dense Shade Mix",
ISNUMBER(SEARCH("southern gold",E831)),"Southern Gold Mix",
ISNUMBER(SEARCH("heat-tolerant blue",E831)),"Heat-Tolerant Blue Mix",
ISNUMBER(SEARCH("high traffic",E831)),"High Traffic Mix",
ISNUMBER(SEARCH("quick fix",E831)),"Quick Fix Mix",
ISNUMBER(SEARCH("starter",E831)),"Starter Fertilizer",
ISNUMBER(SEARCH("weed &amp; feed",E831)),"Weed &amp; Feed",
ISNUMBER(SEARCH("lawn food",E831)),"Lawn Food",
ISNUMBER(SEARCH("triple action",E831)),"Triple Action Fertilizer",
ISNUMBER(SEARCH("green max",E831)),"Green Max Lawn Food",
ISNUMBER(SEARCH("patchmaster",E831)),"PatchMaster Repair",
ISNUMBER(SEARCH("ez seed",E831)),"EZ Seed Repair",
ISNUMBER(SEARCH("rapid grass",E831)),"Rapid Grass",
ISNUMBER(SEARCH("thick'r lawn",E831)),"Thick'R Lawn",
ISNUMBER(SEARCH("fungicide",E831)),"Fungicide",
ISNUMBER(SEARCH("moss",E831)),"Moss Control",
ISNUMBER(SEARCH("perlite",E831)),"Perlite",
ISNUMBER(SEARCH("plant food",E831)),"Plant Food",
ISNUMBER(SEARCH("spreader",E831)),"Spreader",
ISNUMBER(SEARCH("sprayer",E831)),"Sprayer",
ISNUMBER(SEARCH("mower",E831)),"Lawn Mower",
ISNUMBER(SEARCH("sweeper",E831)),"Lawn Sweeper",
OR(ISNUMBER(SEARCH("pruner",E831)),ISNUMBER(SEARCH("trimmer",E831)),ISNUMBER(SEARCH("pole saw",E831))),"Pruning Tools",
TRUE,"Other"
)</f>
        <v>Glue Traps</v>
      </c>
      <c r="J831" s="7" t="str">
        <f t="shared" si="249"/>
        <v>Rodent Control - Glue Traps</v>
      </c>
      <c r="K831" s="4">
        <v>100</v>
      </c>
      <c r="L831" s="4">
        <v>4.3</v>
      </c>
      <c r="M831" s="4">
        <v>575</v>
      </c>
      <c r="N831" s="4" t="s">
        <v>3792</v>
      </c>
      <c r="O831" s="4">
        <f>VLOOKUP(A831,[16]Sheet1!$A:$M,2,0)</f>
        <v>50</v>
      </c>
      <c r="P831" s="4">
        <f>VLOOKUP(A831,[16]Sheet1!$A:$M,3,0)</f>
        <v>50</v>
      </c>
      <c r="Q831" s="4">
        <f>VLOOKUP(A831,[16]Sheet1!$A:$M,4,0)</f>
        <v>50</v>
      </c>
      <c r="R831" s="4">
        <f>VLOOKUP(A831,[16]Sheet1!$A:$M,5,0)</f>
        <v>100</v>
      </c>
      <c r="S831" s="4">
        <f>VLOOKUP(A831,[16]Sheet1!$A:$M,6,0)</f>
        <v>100</v>
      </c>
      <c r="T831" s="4">
        <f>VLOOKUP(A831,[16]Sheet1!$A:$M,7,0)</f>
        <v>50</v>
      </c>
      <c r="U831" s="4">
        <f>VLOOKUP(A831,[16]Sheet1!$A:$M,8,0)</f>
        <v>50</v>
      </c>
      <c r="V831" s="4">
        <f>VLOOKUP(A831,[16]Sheet1!$A:$M,9,0)</f>
        <v>400</v>
      </c>
      <c r="W831" s="4">
        <f>VLOOKUP(A831,[16]Sheet1!$A:$M,10,0)</f>
        <v>50</v>
      </c>
      <c r="X831" s="4">
        <f>VLOOKUP(A831,[16]Sheet1!$A:$M,11,0)</f>
        <v>50</v>
      </c>
      <c r="Y831" s="4">
        <f>VLOOKUP(A831,[16]Sheet1!$A:$M,12,0)</f>
        <v>50</v>
      </c>
      <c r="Z831" s="4">
        <f>VLOOKUP(A831,[16]Sheet1!$A:$M,13,0)</f>
        <v>100</v>
      </c>
      <c r="AA831" s="4">
        <f t="shared" si="244"/>
        <v>1100</v>
      </c>
      <c r="AB831" s="7">
        <f t="shared" si="245"/>
        <v>92</v>
      </c>
      <c r="AC831" s="15">
        <f t="shared" si="246"/>
        <v>91.666666666666671</v>
      </c>
      <c r="AD831" s="16">
        <f t="shared" si="247"/>
        <v>13189</v>
      </c>
      <c r="AE831" s="16">
        <f t="shared" si="248"/>
        <v>1099.0833333333335</v>
      </c>
      <c r="AF831" s="21">
        <v>5.22</v>
      </c>
      <c r="AG831" s="21">
        <v>11.99</v>
      </c>
      <c r="AH831" s="15">
        <f t="shared" si="242"/>
        <v>-9.4933333333333328E-2</v>
      </c>
      <c r="AI831" s="15">
        <f t="shared" si="243"/>
        <v>-0.3322666666666666</v>
      </c>
      <c r="AJ831" s="10">
        <v>0.5</v>
      </c>
      <c r="AK831" s="10">
        <v>0.5</v>
      </c>
      <c r="AL831" s="21">
        <v>5.22</v>
      </c>
      <c r="AM831" s="9">
        <f t="shared" si="234"/>
        <v>1.7985</v>
      </c>
      <c r="AN831" s="9">
        <f t="shared" si="235"/>
        <v>0.35970000000000002</v>
      </c>
      <c r="AO831" s="9">
        <f t="shared" si="236"/>
        <v>2.3980000000000001</v>
      </c>
      <c r="AP831" s="9">
        <f t="shared" si="237"/>
        <v>0.23980000000000001</v>
      </c>
      <c r="AQ831" s="9">
        <f t="shared" si="238"/>
        <v>2.3980000000000001</v>
      </c>
      <c r="AR831" s="9">
        <f t="shared" si="239"/>
        <v>2.9975000000000001</v>
      </c>
      <c r="AS831" s="11">
        <f t="shared" si="240"/>
        <v>-0.94933333333333325</v>
      </c>
      <c r="AT831" s="12">
        <f t="shared" si="241"/>
        <v>-1.349</v>
      </c>
    </row>
    <row r="832" spans="1:46" ht="16.5" x14ac:dyDescent="0.4">
      <c r="A832" s="4" t="s">
        <v>3703</v>
      </c>
      <c r="B832" s="4" t="s">
        <v>3710</v>
      </c>
      <c r="C832" s="4" t="s">
        <v>3710</v>
      </c>
      <c r="D832" s="4" t="s">
        <v>3729</v>
      </c>
      <c r="E832" s="4" t="s">
        <v>3745</v>
      </c>
      <c r="F832" s="4" t="s">
        <v>3776</v>
      </c>
      <c r="G832" s="7" t="str">
        <f>VLOOKUP(A832,[1]done!$A:$I,9,0)</f>
        <v>Rodent</v>
      </c>
      <c r="H832" s="7" t="str" cm="1">
        <f t="array" ref="H832">_xlfn.IFS(
OR(ISNUMBER(SEARCH("mouse",E832)),ISNUMBER(SEARCH("rat",E832)),ISNUMBER(SEARCH("mice",E832)),ISNUMBER(SEARCH("rodent",E832))),"Rodent Control",
OR(ISNUMBER(SEARCH("fly",E832)),ISNUMBER(SEARCH("gnat",E832)),ISNUMBER(SEARCH("insect",E832)),ISNUMBER(SEARCH("mosquito",E832))),"Flying Insect Control",
OR(ISNUMBER(SEARCH("roach",E832)),ISNUMBER(SEARCH("ant",E832)),ISNUMBER(SEARCH("spider",E832)),ISNUMBER(SEARCH("cricket",E832)),ISNUMBER(SEARCH("scorpion",E832)),ISNUMBER(SEARCH("centipede",E832)),ISNUMBER(SEARCH("beetle",E832))),"Crawling Insect Control",
OR(ISNUMBER(SEARCH("tree",E832)),ISNUMBER(SEARCH("lantern",E832)),ISNUMBER(SEARCH("garden",E832)),ISNUMBER(SEARCH("plant",E832))),"Garden Pest Control",
OR(ISNUMBER(SEARCH("grass seed",E832)),ISNUMBER(SEARCH("seed mix",E832))),"Grass Seed",
OR(ISNUMBER(SEARCH("lawn food",E832)),ISNUMBER(SEARCH("fertilizer",E832))),"Lawn Fertilizer",
OR(ISNUMBER(SEARCH("patch",E832)),ISNUMBER(SEARCH("repair",E832)),ISNUMBER(SEARCH("thick'r",E832)),ISNUMBER(SEARCH("thick'r lawn",E832)),ISNUMBER(SEARCH("rapid grass",E832))),"Lawn Repair",
OR(ISNUMBER(SEARCH("weed",E832)),ISNUMBER(SEARCH("crabgrass",E832))),"Weed Control",
OR(ISNUMBER(SEARCH("fungicide",E832)),ISNUMBER(SEARCH("moss",E832))),"Disease &amp; Moss Control",
OR(ISNUMBER(SEARCH("plant food",E832)),ISNUMBER(SEARCH("miracid",E832))),"Plant Nutrition",
OR(ISNUMBER(SEARCH("perlite",E832))),"Soil Amendment",
OR(ISNUMBER(SEARCH("spreader",E832)),ISNUMBER(SEARCH("sprayer",E832)),ISNUMBER(SEARCH("mower",E832)),ISNUMBER(SEARCH("sweeper",E832)),ISNUMBER(SEARCH("pruner",E832)),ISNUMBER(SEARCH("trimmer",E832)),ISNUMBER(SEARCH("pole saw",E832))),"Garden Equipment",
TRUE,"Other"
)</f>
        <v>Rodent Control</v>
      </c>
      <c r="I832" s="7" t="str" cm="1">
        <f t="array" ref="I832">_xlfn.IFS(
OR(ISNUMBER(SEARCH("glue trap",E832)),ISNUMBER(SEARCH("glue board",E832))),"Glue Traps",
OR(ISNUMBER(SEARCH("snap trap",E832)),ISNUMBER(SEARCH("power-kill",E832)),ISNUMBER(SEARCH("wide pedal",E832)),ISNUMBER(SEARCH("metal pedal",E832))),"Snap Traps",
OR(ISNUMBER(SEARCH("electronic",E832)),ISNUMBER(SEARCH("zapper",E832))),"Electronic Traps",
OR(ISNUMBER(SEARCH("live catch",E832)),ISNUMBER(SEARCH("multi-catch",E832)),ISNUMBER(SEARCH("catch &amp; hold",E832)),ISNUMBER(SEARCH("tin cat",E832))),"Live Catch Traps",
OR(ISNUMBER(SEARCH("bait",E832)),ISNUMBER(SEARCH("poison",E832))),"Bait &amp; Poison",
ISNUMBER(SEARCH("repellent",E832)),"Repellents",
OR(ISNUMBER(SEARCH("fly trap",E832)),ISNUMBER(SEARCH("fly ribbon",E832)),ISNUMBER(SEARCH("fly stick",E832)),ISNUMBER(SEARCH("window fly",E832)),ISNUMBER(SEARCH("fly magnet",E832))),"Fly Traps",
OR(ISNUMBER(SEARCH("uv",E832)),ISNUMBER(SEARCH("fly light",E832)),ISNUMBER(SEARCH("plug-in",E832))),"UV Fly Traps",
ISNUMBER(SEARCH("roach",E832)),"Roach Traps",
ISNUMBER(SEARCH("ant",E832)),"Ant Traps",
ISNUMBER(SEARCH("spider",E832)),"Spider Traps",
ISNUMBER(SEARCH("mosquito",E832)),"Mosquito Traps",
ISNUMBER(SEARCH("beetle",E832)),"Beetle Traps",
ISNUMBER(SEARCH("lantern",E832)),"Lanternfly Control",
OR(ISNUMBER(SEARCH("tree shield",E832)),ISNUMBER(SEARCH("tree banding",E832)),ISNUMBER(SEARCH("insect barrier",E832))),"Tree Barriers",
OR(ISNUMBER(SEARCH("sun &amp; shade",E832)),ISNUMBER(SEARCH("sun and shade",E832))),"Sun &amp; Shade Mix",
ISNUMBER(SEARCH("tall fescue",E832)),"Tall Fescue",
ISNUMBER(SEARCH("bermudagrass",E832)),"Bermudagrass",
ISNUMBER(SEARCH("kentucky",E832)),"Kentucky Bluegrass",
ISNUMBER(SEARCH("zoysia",E832)),"Zoysia",
ISNUMBER(SEARCH("ryegrass",E832)),"Perennial Ryegrass",
ISNUMBER(SEARCH("centipede",E832)),"Centipede Grass",
ISNUMBER(SEARCH("dense shade",E832)),"Dense Shade Mix",
ISNUMBER(SEARCH("southern gold",E832)),"Southern Gold Mix",
ISNUMBER(SEARCH("heat-tolerant blue",E832)),"Heat-Tolerant Blue Mix",
ISNUMBER(SEARCH("high traffic",E832)),"High Traffic Mix",
ISNUMBER(SEARCH("quick fix",E832)),"Quick Fix Mix",
ISNUMBER(SEARCH("starter",E832)),"Starter Fertilizer",
ISNUMBER(SEARCH("weed &amp; feed",E832)),"Weed &amp; Feed",
ISNUMBER(SEARCH("lawn food",E832)),"Lawn Food",
ISNUMBER(SEARCH("triple action",E832)),"Triple Action Fertilizer",
ISNUMBER(SEARCH("green max",E832)),"Green Max Lawn Food",
ISNUMBER(SEARCH("patchmaster",E832)),"PatchMaster Repair",
ISNUMBER(SEARCH("ez seed",E832)),"EZ Seed Repair",
ISNUMBER(SEARCH("rapid grass",E832)),"Rapid Grass",
ISNUMBER(SEARCH("thick'r lawn",E832)),"Thick'R Lawn",
ISNUMBER(SEARCH("fungicide",E832)),"Fungicide",
ISNUMBER(SEARCH("moss",E832)),"Moss Control",
ISNUMBER(SEARCH("perlite",E832)),"Perlite",
ISNUMBER(SEARCH("plant food",E832)),"Plant Food",
ISNUMBER(SEARCH("spreader",E832)),"Spreader",
ISNUMBER(SEARCH("sprayer",E832)),"Sprayer",
ISNUMBER(SEARCH("mower",E832)),"Lawn Mower",
ISNUMBER(SEARCH("sweeper",E832)),"Lawn Sweeper",
OR(ISNUMBER(SEARCH("pruner",E832)),ISNUMBER(SEARCH("trimmer",E832)),ISNUMBER(SEARCH("pole saw",E832))),"Pruning Tools",
TRUE,"Other"
)</f>
        <v>Glue Traps</v>
      </c>
      <c r="J832" s="7" t="str">
        <f t="shared" si="249"/>
        <v>Rodent Control - Glue Traps</v>
      </c>
      <c r="K832" s="4">
        <v>100</v>
      </c>
      <c r="L832" s="4">
        <v>4.3</v>
      </c>
      <c r="M832" s="4">
        <v>574</v>
      </c>
      <c r="N832" s="4" t="s">
        <v>3793</v>
      </c>
      <c r="O832" s="4">
        <f>VLOOKUP(A832,[16]Sheet1!$A:$M,2,0)</f>
        <v>0</v>
      </c>
      <c r="P832" s="4">
        <f>VLOOKUP(A832,[16]Sheet1!$A:$M,3,0)</f>
        <v>50</v>
      </c>
      <c r="Q832" s="4">
        <f>VLOOKUP(A832,[16]Sheet1!$A:$M,4,0)</f>
        <v>50</v>
      </c>
      <c r="R832" s="4">
        <f>VLOOKUP(A832,[16]Sheet1!$A:$M,5,0)</f>
        <v>0</v>
      </c>
      <c r="S832" s="4">
        <f>VLOOKUP(A832,[16]Sheet1!$A:$M,6,0)</f>
        <v>50</v>
      </c>
      <c r="T832" s="4">
        <f>VLOOKUP(A832,[16]Sheet1!$A:$M,7,0)</f>
        <v>50</v>
      </c>
      <c r="U832" s="4">
        <f>VLOOKUP(A832,[16]Sheet1!$A:$M,8,0)</f>
        <v>0</v>
      </c>
      <c r="V832" s="4">
        <f>VLOOKUP(A832,[16]Sheet1!$A:$M,9,0)</f>
        <v>0</v>
      </c>
      <c r="W832" s="4">
        <f>VLOOKUP(A832,[16]Sheet1!$A:$M,10,0)</f>
        <v>100</v>
      </c>
      <c r="X832" s="4">
        <f>VLOOKUP(A832,[16]Sheet1!$A:$M,11,0)</f>
        <v>0</v>
      </c>
      <c r="Y832" s="4">
        <f>VLOOKUP(A832,[16]Sheet1!$A:$M,12,0)</f>
        <v>0</v>
      </c>
      <c r="Z832" s="4">
        <f>VLOOKUP(A832,[16]Sheet1!$A:$M,13,0)</f>
        <v>50</v>
      </c>
      <c r="AA832" s="4">
        <f t="shared" si="244"/>
        <v>350</v>
      </c>
      <c r="AB832" s="7">
        <f t="shared" si="245"/>
        <v>29</v>
      </c>
      <c r="AC832" s="15">
        <f t="shared" si="246"/>
        <v>29.166666666666668</v>
      </c>
      <c r="AD832" s="16">
        <f t="shared" si="247"/>
        <v>3146.5</v>
      </c>
      <c r="AE832" s="16">
        <f t="shared" si="248"/>
        <v>262.20833333333337</v>
      </c>
      <c r="AF832" s="21">
        <v>4.37</v>
      </c>
      <c r="AG832" s="21">
        <v>8.99</v>
      </c>
      <c r="AH832" s="15">
        <f t="shared" si="242"/>
        <v>-0.11826666666666669</v>
      </c>
      <c r="AI832" s="15">
        <f t="shared" si="243"/>
        <v>-0.41393333333333332</v>
      </c>
      <c r="AJ832" s="10">
        <v>0.5</v>
      </c>
      <c r="AK832" s="10">
        <v>0.5</v>
      </c>
      <c r="AL832" s="21">
        <v>4.37</v>
      </c>
      <c r="AM832" s="9">
        <f t="shared" si="234"/>
        <v>1.3485</v>
      </c>
      <c r="AN832" s="9">
        <f t="shared" si="235"/>
        <v>0.2697</v>
      </c>
      <c r="AO832" s="9">
        <f t="shared" si="236"/>
        <v>1.798</v>
      </c>
      <c r="AP832" s="9">
        <f t="shared" si="237"/>
        <v>0.17980000000000002</v>
      </c>
      <c r="AQ832" s="9">
        <f t="shared" si="238"/>
        <v>1.798</v>
      </c>
      <c r="AR832" s="9">
        <f t="shared" si="239"/>
        <v>2.2475000000000001</v>
      </c>
      <c r="AS832" s="11">
        <f t="shared" si="240"/>
        <v>-1.1826666666666668</v>
      </c>
      <c r="AT832" s="12">
        <f t="shared" si="241"/>
        <v>-1.4823333333333333</v>
      </c>
    </row>
    <row r="833" spans="1:46" ht="16.5" x14ac:dyDescent="0.4">
      <c r="A833" s="4" t="s">
        <v>3704</v>
      </c>
      <c r="B833" s="4" t="s">
        <v>3710</v>
      </c>
      <c r="C833" s="4" t="s">
        <v>3710</v>
      </c>
      <c r="D833" s="4" t="s">
        <v>3730</v>
      </c>
      <c r="E833" s="4" t="s">
        <v>3750</v>
      </c>
      <c r="F833" s="4" t="s">
        <v>3777</v>
      </c>
      <c r="G833" s="7" t="str">
        <f>VLOOKUP(A833,[1]done!$A:$I,9,0)</f>
        <v>All Other products</v>
      </c>
      <c r="H833" s="7" t="str" cm="1">
        <f t="array" ref="H833">_xlfn.IFS(
OR(ISNUMBER(SEARCH("mouse",E833)),ISNUMBER(SEARCH("rat",E833)),ISNUMBER(SEARCH("mice",E833)),ISNUMBER(SEARCH("rodent",E833))),"Rodent Control",
OR(ISNUMBER(SEARCH("fly",E833)),ISNUMBER(SEARCH("gnat",E833)),ISNUMBER(SEARCH("insect",E833)),ISNUMBER(SEARCH("mosquito",E833))),"Flying Insect Control",
OR(ISNUMBER(SEARCH("roach",E833)),ISNUMBER(SEARCH("ant",E833)),ISNUMBER(SEARCH("spider",E833)),ISNUMBER(SEARCH("cricket",E833)),ISNUMBER(SEARCH("scorpion",E833)),ISNUMBER(SEARCH("centipede",E833)),ISNUMBER(SEARCH("beetle",E833))),"Crawling Insect Control",
OR(ISNUMBER(SEARCH("tree",E833)),ISNUMBER(SEARCH("lantern",E833)),ISNUMBER(SEARCH("garden",E833)),ISNUMBER(SEARCH("plant",E833))),"Garden Pest Control",
OR(ISNUMBER(SEARCH("grass seed",E833)),ISNUMBER(SEARCH("seed mix",E833))),"Grass Seed",
OR(ISNUMBER(SEARCH("lawn food",E833)),ISNUMBER(SEARCH("fertilizer",E833))),"Lawn Fertilizer",
OR(ISNUMBER(SEARCH("patch",E833)),ISNUMBER(SEARCH("repair",E833)),ISNUMBER(SEARCH("thick'r",E833)),ISNUMBER(SEARCH("thick'r lawn",E833)),ISNUMBER(SEARCH("rapid grass",E833))),"Lawn Repair",
OR(ISNUMBER(SEARCH("weed",E833)),ISNUMBER(SEARCH("crabgrass",E833))),"Weed Control",
OR(ISNUMBER(SEARCH("fungicide",E833)),ISNUMBER(SEARCH("moss",E833))),"Disease &amp; Moss Control",
OR(ISNUMBER(SEARCH("plant food",E833)),ISNUMBER(SEARCH("miracid",E833))),"Plant Nutrition",
OR(ISNUMBER(SEARCH("perlite",E833))),"Soil Amendment",
OR(ISNUMBER(SEARCH("spreader",E833)),ISNUMBER(SEARCH("sprayer",E833)),ISNUMBER(SEARCH("mower",E833)),ISNUMBER(SEARCH("sweeper",E833)),ISNUMBER(SEARCH("pruner",E833)),ISNUMBER(SEARCH("trimmer",E833)),ISNUMBER(SEARCH("pole saw",E833))),"Garden Equipment",
TRUE,"Other"
)</f>
        <v>Other</v>
      </c>
      <c r="I833" s="7" t="str" cm="1">
        <f t="array" ref="I833">_xlfn.IFS(
OR(ISNUMBER(SEARCH("glue trap",E833)),ISNUMBER(SEARCH("glue board",E833))),"Glue Traps",
OR(ISNUMBER(SEARCH("snap trap",E833)),ISNUMBER(SEARCH("power-kill",E833)),ISNUMBER(SEARCH("wide pedal",E833)),ISNUMBER(SEARCH("metal pedal",E833))),"Snap Traps",
OR(ISNUMBER(SEARCH("electronic",E833)),ISNUMBER(SEARCH("zapper",E833))),"Electronic Traps",
OR(ISNUMBER(SEARCH("live catch",E833)),ISNUMBER(SEARCH("multi-catch",E833)),ISNUMBER(SEARCH("catch &amp; hold",E833)),ISNUMBER(SEARCH("tin cat",E833))),"Live Catch Traps",
OR(ISNUMBER(SEARCH("bait",E833)),ISNUMBER(SEARCH("poison",E833))),"Bait &amp; Poison",
ISNUMBER(SEARCH("repellent",E833)),"Repellents",
OR(ISNUMBER(SEARCH("fly trap",E833)),ISNUMBER(SEARCH("fly ribbon",E833)),ISNUMBER(SEARCH("fly stick",E833)),ISNUMBER(SEARCH("window fly",E833)),ISNUMBER(SEARCH("fly magnet",E833))),"Fly Traps",
OR(ISNUMBER(SEARCH("uv",E833)),ISNUMBER(SEARCH("fly light",E833)),ISNUMBER(SEARCH("plug-in",E833))),"UV Fly Traps",
ISNUMBER(SEARCH("roach",E833)),"Roach Traps",
ISNUMBER(SEARCH("ant",E833)),"Ant Traps",
ISNUMBER(SEARCH("spider",E833)),"Spider Traps",
ISNUMBER(SEARCH("mosquito",E833)),"Mosquito Traps",
ISNUMBER(SEARCH("beetle",E833)),"Beetle Traps",
ISNUMBER(SEARCH("lantern",E833)),"Lanternfly Control",
OR(ISNUMBER(SEARCH("tree shield",E833)),ISNUMBER(SEARCH("tree banding",E833)),ISNUMBER(SEARCH("insect barrier",E833))),"Tree Barriers",
OR(ISNUMBER(SEARCH("sun &amp; shade",E833)),ISNUMBER(SEARCH("sun and shade",E833))),"Sun &amp; Shade Mix",
ISNUMBER(SEARCH("tall fescue",E833)),"Tall Fescue",
ISNUMBER(SEARCH("bermudagrass",E833)),"Bermudagrass",
ISNUMBER(SEARCH("kentucky",E833)),"Kentucky Bluegrass",
ISNUMBER(SEARCH("zoysia",E833)),"Zoysia",
ISNUMBER(SEARCH("ryegrass",E833)),"Perennial Ryegrass",
ISNUMBER(SEARCH("centipede",E833)),"Centipede Grass",
ISNUMBER(SEARCH("dense shade",E833)),"Dense Shade Mix",
ISNUMBER(SEARCH("southern gold",E833)),"Southern Gold Mix",
ISNUMBER(SEARCH("heat-tolerant blue",E833)),"Heat-Tolerant Blue Mix",
ISNUMBER(SEARCH("high traffic",E833)),"High Traffic Mix",
ISNUMBER(SEARCH("quick fix",E833)),"Quick Fix Mix",
ISNUMBER(SEARCH("starter",E833)),"Starter Fertilizer",
ISNUMBER(SEARCH("weed &amp; feed",E833)),"Weed &amp; Feed",
ISNUMBER(SEARCH("lawn food",E833)),"Lawn Food",
ISNUMBER(SEARCH("triple action",E833)),"Triple Action Fertilizer",
ISNUMBER(SEARCH("green max",E833)),"Green Max Lawn Food",
ISNUMBER(SEARCH("patchmaster",E833)),"PatchMaster Repair",
ISNUMBER(SEARCH("ez seed",E833)),"EZ Seed Repair",
ISNUMBER(SEARCH("rapid grass",E833)),"Rapid Grass",
ISNUMBER(SEARCH("thick'r lawn",E833)),"Thick'R Lawn",
ISNUMBER(SEARCH("fungicide",E833)),"Fungicide",
ISNUMBER(SEARCH("moss",E833)),"Moss Control",
ISNUMBER(SEARCH("perlite",E833)),"Perlite",
ISNUMBER(SEARCH("plant food",E833)),"Plant Food",
ISNUMBER(SEARCH("spreader",E833)),"Spreader",
ISNUMBER(SEARCH("sprayer",E833)),"Sprayer",
ISNUMBER(SEARCH("mower",E833)),"Lawn Mower",
ISNUMBER(SEARCH("sweeper",E833)),"Lawn Sweeper",
OR(ISNUMBER(SEARCH("pruner",E833)),ISNUMBER(SEARCH("trimmer",E833)),ISNUMBER(SEARCH("pole saw",E833))),"Pruning Tools",
TRUE,"Other"
)</f>
        <v>Other</v>
      </c>
      <c r="J833" s="7" t="str">
        <f t="shared" si="249"/>
        <v>Other - Other</v>
      </c>
      <c r="K833" s="4">
        <v>100</v>
      </c>
      <c r="L833" s="4">
        <v>4.5999999999999996</v>
      </c>
      <c r="M833" s="4">
        <v>46</v>
      </c>
      <c r="N833" s="4" t="s">
        <v>3794</v>
      </c>
      <c r="O833" s="4">
        <f>VLOOKUP(A833,[16]Sheet1!$A:$M,2,0)</f>
        <v>0</v>
      </c>
      <c r="P833" s="4">
        <f>VLOOKUP(A833,[16]Sheet1!$A:$M,3,0)</f>
        <v>0</v>
      </c>
      <c r="Q833" s="4">
        <f>VLOOKUP(A833,[16]Sheet1!$A:$M,4,0)</f>
        <v>0</v>
      </c>
      <c r="R833" s="4">
        <f>VLOOKUP(A833,[16]Sheet1!$A:$M,5,0)</f>
        <v>0</v>
      </c>
      <c r="S833" s="4">
        <f>VLOOKUP(A833,[16]Sheet1!$A:$M,6,0)</f>
        <v>100</v>
      </c>
      <c r="T833" s="4">
        <f>VLOOKUP(A833,[16]Sheet1!$A:$M,7,0)</f>
        <v>100</v>
      </c>
      <c r="U833" s="4">
        <f>VLOOKUP(A833,[16]Sheet1!$A:$M,8,0)</f>
        <v>100</v>
      </c>
      <c r="V833" s="4">
        <f>VLOOKUP(A833,[16]Sheet1!$A:$M,9,0)</f>
        <v>100</v>
      </c>
      <c r="W833" s="4">
        <f>VLOOKUP(A833,[16]Sheet1!$A:$M,10,0)</f>
        <v>100</v>
      </c>
      <c r="X833" s="4">
        <f>VLOOKUP(A833,[16]Sheet1!$A:$M,11,0)</f>
        <v>0</v>
      </c>
      <c r="Y833" s="4">
        <f>VLOOKUP(A833,[16]Sheet1!$A:$M,12,0)</f>
        <v>0</v>
      </c>
      <c r="Z833" s="4">
        <f>VLOOKUP(A833,[16]Sheet1!$A:$M,13,0)</f>
        <v>0</v>
      </c>
      <c r="AA833" s="4">
        <f t="shared" si="244"/>
        <v>500</v>
      </c>
      <c r="AB833" s="7">
        <f t="shared" si="245"/>
        <v>42</v>
      </c>
      <c r="AC833" s="15">
        <f t="shared" si="246"/>
        <v>41.666666666666664</v>
      </c>
      <c r="AD833" s="16">
        <f t="shared" si="247"/>
        <v>3995</v>
      </c>
      <c r="AE833" s="16">
        <f t="shared" si="248"/>
        <v>332.91666666666663</v>
      </c>
      <c r="AF833" s="21">
        <v>2.58</v>
      </c>
      <c r="AG833" s="21">
        <v>7.99</v>
      </c>
      <c r="AH833" s="15">
        <f t="shared" si="242"/>
        <v>-2.5600000000000039E-2</v>
      </c>
      <c r="AI833" s="15">
        <f t="shared" si="243"/>
        <v>-8.9600000000000138E-2</v>
      </c>
      <c r="AJ833" s="10">
        <v>0.5</v>
      </c>
      <c r="AK833" s="10">
        <v>0.5</v>
      </c>
      <c r="AL833" s="21">
        <v>2.58</v>
      </c>
      <c r="AM833" s="9">
        <f t="shared" si="234"/>
        <v>1.1984999999999999</v>
      </c>
      <c r="AN833" s="9">
        <f t="shared" si="235"/>
        <v>0.2397</v>
      </c>
      <c r="AO833" s="9">
        <f t="shared" si="236"/>
        <v>1.5980000000000001</v>
      </c>
      <c r="AP833" s="9">
        <f t="shared" si="237"/>
        <v>0.1598</v>
      </c>
      <c r="AQ833" s="9">
        <f t="shared" si="238"/>
        <v>1.5980000000000001</v>
      </c>
      <c r="AR833" s="9">
        <f t="shared" si="239"/>
        <v>1.9975000000000001</v>
      </c>
      <c r="AS833" s="11">
        <f t="shared" si="240"/>
        <v>-0.25600000000000039</v>
      </c>
      <c r="AT833" s="12">
        <f t="shared" si="241"/>
        <v>-0.52233333333333365</v>
      </c>
    </row>
    <row r="834" spans="1:46" ht="16.5" x14ac:dyDescent="0.4">
      <c r="A834" s="4" t="s">
        <v>3705</v>
      </c>
      <c r="B834" s="4" t="s">
        <v>3710</v>
      </c>
      <c r="C834" s="4" t="s">
        <v>3710</v>
      </c>
      <c r="D834" s="4" t="s">
        <v>3730</v>
      </c>
      <c r="E834" s="4" t="s">
        <v>3751</v>
      </c>
      <c r="F834" s="4" t="s">
        <v>3778</v>
      </c>
      <c r="G834" s="7" t="str">
        <f>VLOOKUP(A834,[1]done!$A:$I,9,0)</f>
        <v>All Other products</v>
      </c>
      <c r="H834" s="7" t="str" cm="1">
        <f t="array" ref="H834">_xlfn.IFS(
OR(ISNUMBER(SEARCH("mouse",E834)),ISNUMBER(SEARCH("rat",E834)),ISNUMBER(SEARCH("mice",E834)),ISNUMBER(SEARCH("rodent",E834))),"Rodent Control",
OR(ISNUMBER(SEARCH("fly",E834)),ISNUMBER(SEARCH("gnat",E834)),ISNUMBER(SEARCH("insect",E834)),ISNUMBER(SEARCH("mosquito",E834))),"Flying Insect Control",
OR(ISNUMBER(SEARCH("roach",E834)),ISNUMBER(SEARCH("ant",E834)),ISNUMBER(SEARCH("spider",E834)),ISNUMBER(SEARCH("cricket",E834)),ISNUMBER(SEARCH("scorpion",E834)),ISNUMBER(SEARCH("centipede",E834)),ISNUMBER(SEARCH("beetle",E834))),"Crawling Insect Control",
OR(ISNUMBER(SEARCH("tree",E834)),ISNUMBER(SEARCH("lantern",E834)),ISNUMBER(SEARCH("garden",E834)),ISNUMBER(SEARCH("plant",E834))),"Garden Pest Control",
OR(ISNUMBER(SEARCH("grass seed",E834)),ISNUMBER(SEARCH("seed mix",E834))),"Grass Seed",
OR(ISNUMBER(SEARCH("lawn food",E834)),ISNUMBER(SEARCH("fertilizer",E834))),"Lawn Fertilizer",
OR(ISNUMBER(SEARCH("patch",E834)),ISNUMBER(SEARCH("repair",E834)),ISNUMBER(SEARCH("thick'r",E834)),ISNUMBER(SEARCH("thick'r lawn",E834)),ISNUMBER(SEARCH("rapid grass",E834))),"Lawn Repair",
OR(ISNUMBER(SEARCH("weed",E834)),ISNUMBER(SEARCH("crabgrass",E834))),"Weed Control",
OR(ISNUMBER(SEARCH("fungicide",E834)),ISNUMBER(SEARCH("moss",E834))),"Disease &amp; Moss Control",
OR(ISNUMBER(SEARCH("plant food",E834)),ISNUMBER(SEARCH("miracid",E834))),"Plant Nutrition",
OR(ISNUMBER(SEARCH("perlite",E834))),"Soil Amendment",
OR(ISNUMBER(SEARCH("spreader",E834)),ISNUMBER(SEARCH("sprayer",E834)),ISNUMBER(SEARCH("mower",E834)),ISNUMBER(SEARCH("sweeper",E834)),ISNUMBER(SEARCH("pruner",E834)),ISNUMBER(SEARCH("trimmer",E834)),ISNUMBER(SEARCH("pole saw",E834))),"Garden Equipment",
TRUE,"Other"
)</f>
        <v>Other</v>
      </c>
      <c r="I834" s="7" t="str" cm="1">
        <f t="array" ref="I834">_xlfn.IFS(
OR(ISNUMBER(SEARCH("glue trap",E834)),ISNUMBER(SEARCH("glue board",E834))),"Glue Traps",
OR(ISNUMBER(SEARCH("snap trap",E834)),ISNUMBER(SEARCH("power-kill",E834)),ISNUMBER(SEARCH("wide pedal",E834)),ISNUMBER(SEARCH("metal pedal",E834))),"Snap Traps",
OR(ISNUMBER(SEARCH("electronic",E834)),ISNUMBER(SEARCH("zapper",E834))),"Electronic Traps",
OR(ISNUMBER(SEARCH("live catch",E834)),ISNUMBER(SEARCH("multi-catch",E834)),ISNUMBER(SEARCH("catch &amp; hold",E834)),ISNUMBER(SEARCH("tin cat",E834))),"Live Catch Traps",
OR(ISNUMBER(SEARCH("bait",E834)),ISNUMBER(SEARCH("poison",E834))),"Bait &amp; Poison",
ISNUMBER(SEARCH("repellent",E834)),"Repellents",
OR(ISNUMBER(SEARCH("fly trap",E834)),ISNUMBER(SEARCH("fly ribbon",E834)),ISNUMBER(SEARCH("fly stick",E834)),ISNUMBER(SEARCH("window fly",E834)),ISNUMBER(SEARCH("fly magnet",E834))),"Fly Traps",
OR(ISNUMBER(SEARCH("uv",E834)),ISNUMBER(SEARCH("fly light",E834)),ISNUMBER(SEARCH("plug-in",E834))),"UV Fly Traps",
ISNUMBER(SEARCH("roach",E834)),"Roach Traps",
ISNUMBER(SEARCH("ant",E834)),"Ant Traps",
ISNUMBER(SEARCH("spider",E834)),"Spider Traps",
ISNUMBER(SEARCH("mosquito",E834)),"Mosquito Traps",
ISNUMBER(SEARCH("beetle",E834)),"Beetle Traps",
ISNUMBER(SEARCH("lantern",E834)),"Lanternfly Control",
OR(ISNUMBER(SEARCH("tree shield",E834)),ISNUMBER(SEARCH("tree banding",E834)),ISNUMBER(SEARCH("insect barrier",E834))),"Tree Barriers",
OR(ISNUMBER(SEARCH("sun &amp; shade",E834)),ISNUMBER(SEARCH("sun and shade",E834))),"Sun &amp; Shade Mix",
ISNUMBER(SEARCH("tall fescue",E834)),"Tall Fescue",
ISNUMBER(SEARCH("bermudagrass",E834)),"Bermudagrass",
ISNUMBER(SEARCH("kentucky",E834)),"Kentucky Bluegrass",
ISNUMBER(SEARCH("zoysia",E834)),"Zoysia",
ISNUMBER(SEARCH("ryegrass",E834)),"Perennial Ryegrass",
ISNUMBER(SEARCH("centipede",E834)),"Centipede Grass",
ISNUMBER(SEARCH("dense shade",E834)),"Dense Shade Mix",
ISNUMBER(SEARCH("southern gold",E834)),"Southern Gold Mix",
ISNUMBER(SEARCH("heat-tolerant blue",E834)),"Heat-Tolerant Blue Mix",
ISNUMBER(SEARCH("high traffic",E834)),"High Traffic Mix",
ISNUMBER(SEARCH("quick fix",E834)),"Quick Fix Mix",
ISNUMBER(SEARCH("starter",E834)),"Starter Fertilizer",
ISNUMBER(SEARCH("weed &amp; feed",E834)),"Weed &amp; Feed",
ISNUMBER(SEARCH("lawn food",E834)),"Lawn Food",
ISNUMBER(SEARCH("triple action",E834)),"Triple Action Fertilizer",
ISNUMBER(SEARCH("green max",E834)),"Green Max Lawn Food",
ISNUMBER(SEARCH("patchmaster",E834)),"PatchMaster Repair",
ISNUMBER(SEARCH("ez seed",E834)),"EZ Seed Repair",
ISNUMBER(SEARCH("rapid grass",E834)),"Rapid Grass",
ISNUMBER(SEARCH("thick'r lawn",E834)),"Thick'R Lawn",
ISNUMBER(SEARCH("fungicide",E834)),"Fungicide",
ISNUMBER(SEARCH("moss",E834)),"Moss Control",
ISNUMBER(SEARCH("perlite",E834)),"Perlite",
ISNUMBER(SEARCH("plant food",E834)),"Plant Food",
ISNUMBER(SEARCH("spreader",E834)),"Spreader",
ISNUMBER(SEARCH("sprayer",E834)),"Sprayer",
ISNUMBER(SEARCH("mower",E834)),"Lawn Mower",
ISNUMBER(SEARCH("sweeper",E834)),"Lawn Sweeper",
OR(ISNUMBER(SEARCH("pruner",E834)),ISNUMBER(SEARCH("trimmer",E834)),ISNUMBER(SEARCH("pole saw",E834))),"Pruning Tools",
TRUE,"Other"
)</f>
        <v>Other</v>
      </c>
      <c r="J834" s="7" t="str">
        <f t="shared" si="249"/>
        <v>Other - Other</v>
      </c>
      <c r="K834" s="4">
        <v>100</v>
      </c>
      <c r="L834" s="4">
        <v>4.5999999999999996</v>
      </c>
      <c r="M834" s="4">
        <v>45</v>
      </c>
      <c r="N834" s="4" t="s">
        <v>3795</v>
      </c>
      <c r="O834" s="4">
        <f>VLOOKUP(A834,[16]Sheet1!$A:$M,2,0)</f>
        <v>0</v>
      </c>
      <c r="P834" s="4">
        <f>VLOOKUP(A834,[16]Sheet1!$A:$M,3,0)</f>
        <v>0</v>
      </c>
      <c r="Q834" s="4">
        <f>VLOOKUP(A834,[16]Sheet1!$A:$M,4,0)</f>
        <v>0</v>
      </c>
      <c r="R834" s="4">
        <f>VLOOKUP(A834,[16]Sheet1!$A:$M,5,0)</f>
        <v>0</v>
      </c>
      <c r="S834" s="4">
        <f>VLOOKUP(A834,[16]Sheet1!$A:$M,6,0)</f>
        <v>100</v>
      </c>
      <c r="T834" s="4">
        <f>VLOOKUP(A834,[16]Sheet1!$A:$M,7,0)</f>
        <v>50</v>
      </c>
      <c r="U834" s="4">
        <f>VLOOKUP(A834,[16]Sheet1!$A:$M,8,0)</f>
        <v>100</v>
      </c>
      <c r="V834" s="4">
        <f>VLOOKUP(A834,[16]Sheet1!$A:$M,9,0)</f>
        <v>100</v>
      </c>
      <c r="W834" s="4">
        <f>VLOOKUP(A834,[16]Sheet1!$A:$M,10,0)</f>
        <v>100</v>
      </c>
      <c r="X834" s="4">
        <f>VLOOKUP(A834,[16]Sheet1!$A:$M,11,0)</f>
        <v>0</v>
      </c>
      <c r="Y834" s="4">
        <f>VLOOKUP(A834,[16]Sheet1!$A:$M,12,0)</f>
        <v>0</v>
      </c>
      <c r="Z834" s="4">
        <f>VLOOKUP(A834,[16]Sheet1!$A:$M,13,0)</f>
        <v>0</v>
      </c>
      <c r="AA834" s="4">
        <f t="shared" si="244"/>
        <v>450</v>
      </c>
      <c r="AB834" s="7">
        <f t="shared" si="245"/>
        <v>38</v>
      </c>
      <c r="AC834" s="15">
        <f t="shared" si="246"/>
        <v>37.5</v>
      </c>
      <c r="AD834" s="16">
        <f t="shared" si="247"/>
        <v>6295.5</v>
      </c>
      <c r="AE834" s="16">
        <f t="shared" si="248"/>
        <v>524.625</v>
      </c>
      <c r="AF834" s="21">
        <v>3.54</v>
      </c>
      <c r="AG834" s="21">
        <v>13.99</v>
      </c>
      <c r="AH834" s="15">
        <f t="shared" si="242"/>
        <v>7.0400000000000004E-2</v>
      </c>
      <c r="AI834" s="15">
        <f t="shared" si="243"/>
        <v>0.24640000000000001</v>
      </c>
      <c r="AJ834" s="10">
        <v>0.5</v>
      </c>
      <c r="AK834" s="10">
        <v>0.5</v>
      </c>
      <c r="AL834" s="21">
        <v>3.54</v>
      </c>
      <c r="AM834" s="9">
        <f t="shared" si="234"/>
        <v>2.0985</v>
      </c>
      <c r="AN834" s="9">
        <f t="shared" si="235"/>
        <v>0.41970000000000002</v>
      </c>
      <c r="AO834" s="9">
        <f t="shared" si="236"/>
        <v>2.798</v>
      </c>
      <c r="AP834" s="9">
        <f t="shared" si="237"/>
        <v>0.27979999999999999</v>
      </c>
      <c r="AQ834" s="9">
        <f t="shared" si="238"/>
        <v>2.798</v>
      </c>
      <c r="AR834" s="9">
        <f t="shared" si="239"/>
        <v>3.4975000000000001</v>
      </c>
      <c r="AS834" s="11">
        <f t="shared" si="240"/>
        <v>0.70400000000000007</v>
      </c>
      <c r="AT834" s="12">
        <f t="shared" si="241"/>
        <v>0.23766666666666669</v>
      </c>
    </row>
    <row r="835" spans="1:46" ht="16.5" x14ac:dyDescent="0.4">
      <c r="A835" s="4" t="s">
        <v>3706</v>
      </c>
      <c r="B835" s="4" t="s">
        <v>3710</v>
      </c>
      <c r="C835" s="4" t="s">
        <v>3710</v>
      </c>
      <c r="D835" s="4" t="s">
        <v>3731</v>
      </c>
      <c r="E835" s="4" t="s">
        <v>3752</v>
      </c>
      <c r="F835" s="4" t="s">
        <v>3779</v>
      </c>
      <c r="G835" s="7" t="str">
        <f>VLOOKUP(A835,[1]done!$A:$I,9,0)</f>
        <v>Rodent</v>
      </c>
      <c r="H835" s="7" t="str" cm="1">
        <f t="array" ref="H835">_xlfn.IFS(
OR(ISNUMBER(SEARCH("mouse",E835)),ISNUMBER(SEARCH("rat",E835)),ISNUMBER(SEARCH("mice",E835)),ISNUMBER(SEARCH("rodent",E835))),"Rodent Control",
OR(ISNUMBER(SEARCH("fly",E835)),ISNUMBER(SEARCH("gnat",E835)),ISNUMBER(SEARCH("insect",E835)),ISNUMBER(SEARCH("mosquito",E835))),"Flying Insect Control",
OR(ISNUMBER(SEARCH("roach",E835)),ISNUMBER(SEARCH("ant",E835)),ISNUMBER(SEARCH("spider",E835)),ISNUMBER(SEARCH("cricket",E835)),ISNUMBER(SEARCH("scorpion",E835)),ISNUMBER(SEARCH("centipede",E835)),ISNUMBER(SEARCH("beetle",E835))),"Crawling Insect Control",
OR(ISNUMBER(SEARCH("tree",E835)),ISNUMBER(SEARCH("lantern",E835)),ISNUMBER(SEARCH("garden",E835)),ISNUMBER(SEARCH("plant",E835))),"Garden Pest Control",
OR(ISNUMBER(SEARCH("grass seed",E835)),ISNUMBER(SEARCH("seed mix",E835))),"Grass Seed",
OR(ISNUMBER(SEARCH("lawn food",E835)),ISNUMBER(SEARCH("fertilizer",E835))),"Lawn Fertilizer",
OR(ISNUMBER(SEARCH("patch",E835)),ISNUMBER(SEARCH("repair",E835)),ISNUMBER(SEARCH("thick'r",E835)),ISNUMBER(SEARCH("thick'r lawn",E835)),ISNUMBER(SEARCH("rapid grass",E835))),"Lawn Repair",
OR(ISNUMBER(SEARCH("weed",E835)),ISNUMBER(SEARCH("crabgrass",E835))),"Weed Control",
OR(ISNUMBER(SEARCH("fungicide",E835)),ISNUMBER(SEARCH("moss",E835))),"Disease &amp; Moss Control",
OR(ISNUMBER(SEARCH("plant food",E835)),ISNUMBER(SEARCH("miracid",E835))),"Plant Nutrition",
OR(ISNUMBER(SEARCH("perlite",E835))),"Soil Amendment",
OR(ISNUMBER(SEARCH("spreader",E835)),ISNUMBER(SEARCH("sprayer",E835)),ISNUMBER(SEARCH("mower",E835)),ISNUMBER(SEARCH("sweeper",E835)),ISNUMBER(SEARCH("pruner",E835)),ISNUMBER(SEARCH("trimmer",E835)),ISNUMBER(SEARCH("pole saw",E835))),"Garden Equipment",
TRUE,"Other"
)</f>
        <v>Rodent Control</v>
      </c>
      <c r="I835" s="7" t="str" cm="1">
        <f t="array" ref="I835">_xlfn.IFS(
OR(ISNUMBER(SEARCH("glue trap",E835)),ISNUMBER(SEARCH("glue board",E835))),"Glue Traps",
OR(ISNUMBER(SEARCH("snap trap",E835)),ISNUMBER(SEARCH("power-kill",E835)),ISNUMBER(SEARCH("wide pedal",E835)),ISNUMBER(SEARCH("metal pedal",E835))),"Snap Traps",
OR(ISNUMBER(SEARCH("electronic",E835)),ISNUMBER(SEARCH("zapper",E835))),"Electronic Traps",
OR(ISNUMBER(SEARCH("live catch",E835)),ISNUMBER(SEARCH("multi-catch",E835)),ISNUMBER(SEARCH("catch &amp; hold",E835)),ISNUMBER(SEARCH("tin cat",E835))),"Live Catch Traps",
OR(ISNUMBER(SEARCH("bait",E835)),ISNUMBER(SEARCH("poison",E835))),"Bait &amp; Poison",
ISNUMBER(SEARCH("repellent",E835)),"Repellents",
OR(ISNUMBER(SEARCH("fly trap",E835)),ISNUMBER(SEARCH("fly ribbon",E835)),ISNUMBER(SEARCH("fly stick",E835)),ISNUMBER(SEARCH("window fly",E835)),ISNUMBER(SEARCH("fly magnet",E835))),"Fly Traps",
OR(ISNUMBER(SEARCH("uv",E835)),ISNUMBER(SEARCH("fly light",E835)),ISNUMBER(SEARCH("plug-in",E835))),"UV Fly Traps",
ISNUMBER(SEARCH("roach",E835)),"Roach Traps",
ISNUMBER(SEARCH("ant",E835)),"Ant Traps",
ISNUMBER(SEARCH("spider",E835)),"Spider Traps",
ISNUMBER(SEARCH("mosquito",E835)),"Mosquito Traps",
ISNUMBER(SEARCH("beetle",E835)),"Beetle Traps",
ISNUMBER(SEARCH("lantern",E835)),"Lanternfly Control",
OR(ISNUMBER(SEARCH("tree shield",E835)),ISNUMBER(SEARCH("tree banding",E835)),ISNUMBER(SEARCH("insect barrier",E835))),"Tree Barriers",
OR(ISNUMBER(SEARCH("sun &amp; shade",E835)),ISNUMBER(SEARCH("sun and shade",E835))),"Sun &amp; Shade Mix",
ISNUMBER(SEARCH("tall fescue",E835)),"Tall Fescue",
ISNUMBER(SEARCH("bermudagrass",E835)),"Bermudagrass",
ISNUMBER(SEARCH("kentucky",E835)),"Kentucky Bluegrass",
ISNUMBER(SEARCH("zoysia",E835)),"Zoysia",
ISNUMBER(SEARCH("ryegrass",E835)),"Perennial Ryegrass",
ISNUMBER(SEARCH("centipede",E835)),"Centipede Grass",
ISNUMBER(SEARCH("dense shade",E835)),"Dense Shade Mix",
ISNUMBER(SEARCH("southern gold",E835)),"Southern Gold Mix",
ISNUMBER(SEARCH("heat-tolerant blue",E835)),"Heat-Tolerant Blue Mix",
ISNUMBER(SEARCH("high traffic",E835)),"High Traffic Mix",
ISNUMBER(SEARCH("quick fix",E835)),"Quick Fix Mix",
ISNUMBER(SEARCH("starter",E835)),"Starter Fertilizer",
ISNUMBER(SEARCH("weed &amp; feed",E835)),"Weed &amp; Feed",
ISNUMBER(SEARCH("lawn food",E835)),"Lawn Food",
ISNUMBER(SEARCH("triple action",E835)),"Triple Action Fertilizer",
ISNUMBER(SEARCH("green max",E835)),"Green Max Lawn Food",
ISNUMBER(SEARCH("patchmaster",E835)),"PatchMaster Repair",
ISNUMBER(SEARCH("ez seed",E835)),"EZ Seed Repair",
ISNUMBER(SEARCH("rapid grass",E835)),"Rapid Grass",
ISNUMBER(SEARCH("thick'r lawn",E835)),"Thick'R Lawn",
ISNUMBER(SEARCH("fungicide",E835)),"Fungicide",
ISNUMBER(SEARCH("moss",E835)),"Moss Control",
ISNUMBER(SEARCH("perlite",E835)),"Perlite",
ISNUMBER(SEARCH("plant food",E835)),"Plant Food",
ISNUMBER(SEARCH("spreader",E835)),"Spreader",
ISNUMBER(SEARCH("sprayer",E835)),"Sprayer",
ISNUMBER(SEARCH("mower",E835)),"Lawn Mower",
ISNUMBER(SEARCH("sweeper",E835)),"Lawn Sweeper",
OR(ISNUMBER(SEARCH("pruner",E835)),ISNUMBER(SEARCH("trimmer",E835)),ISNUMBER(SEARCH("pole saw",E835))),"Pruning Tools",
TRUE,"Other"
)</f>
        <v>Glue Traps</v>
      </c>
      <c r="J835" s="7" t="str">
        <f t="shared" si="249"/>
        <v>Rodent Control - Glue Traps</v>
      </c>
      <c r="K835" s="4">
        <v>50</v>
      </c>
      <c r="L835" s="4">
        <v>4.4000000000000004</v>
      </c>
      <c r="M835" s="4">
        <v>28</v>
      </c>
      <c r="N835" s="4" t="s">
        <v>3796</v>
      </c>
      <c r="O835" s="4">
        <f>VLOOKUP(A835,[16]Sheet1!$A:$M,2,0)</f>
        <v>0</v>
      </c>
      <c r="P835" s="4">
        <f>VLOOKUP(A835,[16]Sheet1!$A:$M,3,0)</f>
        <v>50</v>
      </c>
      <c r="Q835" s="4">
        <f>VLOOKUP(A835,[16]Sheet1!$A:$M,4,0)</f>
        <v>100</v>
      </c>
      <c r="R835" s="4">
        <f>VLOOKUP(A835,[16]Sheet1!$A:$M,5,0)</f>
        <v>100</v>
      </c>
      <c r="S835" s="4">
        <f>VLOOKUP(A835,[16]Sheet1!$A:$M,6,0)</f>
        <v>100</v>
      </c>
      <c r="T835" s="4">
        <f>VLOOKUP(A835,[16]Sheet1!$A:$M,7,0)</f>
        <v>50</v>
      </c>
      <c r="U835" s="4">
        <f>VLOOKUP(A835,[16]Sheet1!$A:$M,8,0)</f>
        <v>50</v>
      </c>
      <c r="V835" s="4">
        <f>VLOOKUP(A835,[16]Sheet1!$A:$M,9,0)</f>
        <v>100</v>
      </c>
      <c r="W835" s="4">
        <f>VLOOKUP(A835,[16]Sheet1!$A:$M,10,0)</f>
        <v>50</v>
      </c>
      <c r="X835" s="4">
        <f>VLOOKUP(A835,[16]Sheet1!$A:$M,11,0)</f>
        <v>50</v>
      </c>
      <c r="Y835" s="4">
        <f>VLOOKUP(A835,[16]Sheet1!$A:$M,12,0)</f>
        <v>100</v>
      </c>
      <c r="Z835" s="4">
        <f>VLOOKUP(A835,[16]Sheet1!$A:$M,13,0)</f>
        <v>100</v>
      </c>
      <c r="AA835" s="4">
        <f t="shared" si="244"/>
        <v>850</v>
      </c>
      <c r="AB835" s="7">
        <f t="shared" si="245"/>
        <v>71</v>
      </c>
      <c r="AC835" s="15">
        <f t="shared" si="246"/>
        <v>70.833333333333329</v>
      </c>
      <c r="AD835" s="16">
        <f t="shared" si="247"/>
        <v>19541.5</v>
      </c>
      <c r="AE835" s="16">
        <f t="shared" si="248"/>
        <v>1628.458333333333</v>
      </c>
      <c r="AF835" s="21">
        <v>7.71</v>
      </c>
      <c r="AG835" s="21">
        <v>22.99</v>
      </c>
      <c r="AH835" s="15">
        <f t="shared" si="242"/>
        <v>3.2399999999999922E-2</v>
      </c>
      <c r="AI835" s="15">
        <f t="shared" si="243"/>
        <v>0.11339999999999972</v>
      </c>
      <c r="AJ835" s="10">
        <v>0.5</v>
      </c>
      <c r="AK835" s="10">
        <v>0.5</v>
      </c>
      <c r="AL835" s="21">
        <v>7.71</v>
      </c>
      <c r="AM835" s="9">
        <f t="shared" ref="AM835:AM838" si="250">0.15*AG835</f>
        <v>3.4484999999999997</v>
      </c>
      <c r="AN835" s="9">
        <f t="shared" ref="AN835:AN838" si="251">0.03*AG835</f>
        <v>0.68969999999999998</v>
      </c>
      <c r="AO835" s="9">
        <f t="shared" ref="AO835:AO838" si="252">0.2*AG835</f>
        <v>4.5979999999999999</v>
      </c>
      <c r="AP835" s="9">
        <f t="shared" ref="AP835:AP838" si="253">0.02*AG835</f>
        <v>0.45979999999999999</v>
      </c>
      <c r="AQ835" s="9">
        <f t="shared" ref="AQ835:AQ838" si="254">0.2*AG835</f>
        <v>4.5979999999999999</v>
      </c>
      <c r="AR835" s="9">
        <f t="shared" ref="AR835:AR838" si="255">0.25*AG835</f>
        <v>5.7474999999999996</v>
      </c>
      <c r="AS835" s="11">
        <f t="shared" ref="AS835:AS838" si="256">(AG835*(1-(0.15+0.03+0.2+0.02))-AJ835-AK835-AL835-AQ835)/(1+0.1+0.4)</f>
        <v>0.32399999999999923</v>
      </c>
      <c r="AT835" s="12">
        <f t="shared" ref="AT835:AT838" si="257">(AG835*(1-(0.15+0.03+0.2+0.02))-AJ835-AK835-AL835-AR835)/(1+0.1+0.4)</f>
        <v>-0.44233333333333391</v>
      </c>
    </row>
    <row r="836" spans="1:46" ht="16.5" x14ac:dyDescent="0.4">
      <c r="A836" s="4" t="s">
        <v>3707</v>
      </c>
      <c r="B836" s="4" t="s">
        <v>3710</v>
      </c>
      <c r="C836" s="4" t="s">
        <v>3710</v>
      </c>
      <c r="D836" s="4" t="s">
        <v>3732</v>
      </c>
      <c r="E836" s="4" t="s">
        <v>3753</v>
      </c>
      <c r="F836" s="4" t="s">
        <v>3780</v>
      </c>
      <c r="G836" s="7" t="str">
        <f>VLOOKUP(A836,[1]done!$A:$I,9,0)</f>
        <v>Rodent</v>
      </c>
      <c r="H836" s="7" t="str" cm="1">
        <f t="array" ref="H836">_xlfn.IFS(
OR(ISNUMBER(SEARCH("mouse",E836)),ISNUMBER(SEARCH("rat",E836)),ISNUMBER(SEARCH("mice",E836)),ISNUMBER(SEARCH("rodent",E836))),"Rodent Control",
OR(ISNUMBER(SEARCH("fly",E836)),ISNUMBER(SEARCH("gnat",E836)),ISNUMBER(SEARCH("insect",E836)),ISNUMBER(SEARCH("mosquito",E836))),"Flying Insect Control",
OR(ISNUMBER(SEARCH("roach",E836)),ISNUMBER(SEARCH("ant",E836)),ISNUMBER(SEARCH("spider",E836)),ISNUMBER(SEARCH("cricket",E836)),ISNUMBER(SEARCH("scorpion",E836)),ISNUMBER(SEARCH("centipede",E836)),ISNUMBER(SEARCH("beetle",E836))),"Crawling Insect Control",
OR(ISNUMBER(SEARCH("tree",E836)),ISNUMBER(SEARCH("lantern",E836)),ISNUMBER(SEARCH("garden",E836)),ISNUMBER(SEARCH("plant",E836))),"Garden Pest Control",
OR(ISNUMBER(SEARCH("grass seed",E836)),ISNUMBER(SEARCH("seed mix",E836))),"Grass Seed",
OR(ISNUMBER(SEARCH("lawn food",E836)),ISNUMBER(SEARCH("fertilizer",E836))),"Lawn Fertilizer",
OR(ISNUMBER(SEARCH("patch",E836)),ISNUMBER(SEARCH("repair",E836)),ISNUMBER(SEARCH("thick'r",E836)),ISNUMBER(SEARCH("thick'r lawn",E836)),ISNUMBER(SEARCH("rapid grass",E836))),"Lawn Repair",
OR(ISNUMBER(SEARCH("weed",E836)),ISNUMBER(SEARCH("crabgrass",E836))),"Weed Control",
OR(ISNUMBER(SEARCH("fungicide",E836)),ISNUMBER(SEARCH("moss",E836))),"Disease &amp; Moss Control",
OR(ISNUMBER(SEARCH("plant food",E836)),ISNUMBER(SEARCH("miracid",E836))),"Plant Nutrition",
OR(ISNUMBER(SEARCH("perlite",E836))),"Soil Amendment",
OR(ISNUMBER(SEARCH("spreader",E836)),ISNUMBER(SEARCH("sprayer",E836)),ISNUMBER(SEARCH("mower",E836)),ISNUMBER(SEARCH("sweeper",E836)),ISNUMBER(SEARCH("pruner",E836)),ISNUMBER(SEARCH("trimmer",E836)),ISNUMBER(SEARCH("pole saw",E836))),"Garden Equipment",
TRUE,"Other"
)</f>
        <v>Rodent Control</v>
      </c>
      <c r="I836" s="7" t="str" cm="1">
        <f t="array" ref="I836">_xlfn.IFS(
OR(ISNUMBER(SEARCH("glue trap",E836)),ISNUMBER(SEARCH("glue board",E836))),"Glue Traps",
OR(ISNUMBER(SEARCH("snap trap",E836)),ISNUMBER(SEARCH("power-kill",E836)),ISNUMBER(SEARCH("wide pedal",E836)),ISNUMBER(SEARCH("metal pedal",E836))),"Snap Traps",
OR(ISNUMBER(SEARCH("electronic",E836)),ISNUMBER(SEARCH("zapper",E836))),"Electronic Traps",
OR(ISNUMBER(SEARCH("live catch",E836)),ISNUMBER(SEARCH("multi-catch",E836)),ISNUMBER(SEARCH("catch &amp; hold",E836)),ISNUMBER(SEARCH("tin cat",E836))),"Live Catch Traps",
OR(ISNUMBER(SEARCH("bait",E836)),ISNUMBER(SEARCH("poison",E836))),"Bait &amp; Poison",
ISNUMBER(SEARCH("repellent",E836)),"Repellents",
OR(ISNUMBER(SEARCH("fly trap",E836)),ISNUMBER(SEARCH("fly ribbon",E836)),ISNUMBER(SEARCH("fly stick",E836)),ISNUMBER(SEARCH("window fly",E836)),ISNUMBER(SEARCH("fly magnet",E836))),"Fly Traps",
OR(ISNUMBER(SEARCH("uv",E836)),ISNUMBER(SEARCH("fly light",E836)),ISNUMBER(SEARCH("plug-in",E836))),"UV Fly Traps",
ISNUMBER(SEARCH("roach",E836)),"Roach Traps",
ISNUMBER(SEARCH("ant",E836)),"Ant Traps",
ISNUMBER(SEARCH("spider",E836)),"Spider Traps",
ISNUMBER(SEARCH("mosquito",E836)),"Mosquito Traps",
ISNUMBER(SEARCH("beetle",E836)),"Beetle Traps",
ISNUMBER(SEARCH("lantern",E836)),"Lanternfly Control",
OR(ISNUMBER(SEARCH("tree shield",E836)),ISNUMBER(SEARCH("tree banding",E836)),ISNUMBER(SEARCH("insect barrier",E836))),"Tree Barriers",
OR(ISNUMBER(SEARCH("sun &amp; shade",E836)),ISNUMBER(SEARCH("sun and shade",E836))),"Sun &amp; Shade Mix",
ISNUMBER(SEARCH("tall fescue",E836)),"Tall Fescue",
ISNUMBER(SEARCH("bermudagrass",E836)),"Bermudagrass",
ISNUMBER(SEARCH("kentucky",E836)),"Kentucky Bluegrass",
ISNUMBER(SEARCH("zoysia",E836)),"Zoysia",
ISNUMBER(SEARCH("ryegrass",E836)),"Perennial Ryegrass",
ISNUMBER(SEARCH("centipede",E836)),"Centipede Grass",
ISNUMBER(SEARCH("dense shade",E836)),"Dense Shade Mix",
ISNUMBER(SEARCH("southern gold",E836)),"Southern Gold Mix",
ISNUMBER(SEARCH("heat-tolerant blue",E836)),"Heat-Tolerant Blue Mix",
ISNUMBER(SEARCH("high traffic",E836)),"High Traffic Mix",
ISNUMBER(SEARCH("quick fix",E836)),"Quick Fix Mix",
ISNUMBER(SEARCH("starter",E836)),"Starter Fertilizer",
ISNUMBER(SEARCH("weed &amp; feed",E836)),"Weed &amp; Feed",
ISNUMBER(SEARCH("lawn food",E836)),"Lawn Food",
ISNUMBER(SEARCH("triple action",E836)),"Triple Action Fertilizer",
ISNUMBER(SEARCH("green max",E836)),"Green Max Lawn Food",
ISNUMBER(SEARCH("patchmaster",E836)),"PatchMaster Repair",
ISNUMBER(SEARCH("ez seed",E836)),"EZ Seed Repair",
ISNUMBER(SEARCH("rapid grass",E836)),"Rapid Grass",
ISNUMBER(SEARCH("thick'r lawn",E836)),"Thick'R Lawn",
ISNUMBER(SEARCH("fungicide",E836)),"Fungicide",
ISNUMBER(SEARCH("moss",E836)),"Moss Control",
ISNUMBER(SEARCH("perlite",E836)),"Perlite",
ISNUMBER(SEARCH("plant food",E836)),"Plant Food",
ISNUMBER(SEARCH("spreader",E836)),"Spreader",
ISNUMBER(SEARCH("sprayer",E836)),"Sprayer",
ISNUMBER(SEARCH("mower",E836)),"Lawn Mower",
ISNUMBER(SEARCH("sweeper",E836)),"Lawn Sweeper",
OR(ISNUMBER(SEARCH("pruner",E836)),ISNUMBER(SEARCH("trimmer",E836)),ISNUMBER(SEARCH("pole saw",E836))),"Pruning Tools",
TRUE,"Other"
)</f>
        <v>Glue Traps</v>
      </c>
      <c r="J836" s="7" t="str">
        <f t="shared" si="249"/>
        <v>Rodent Control - Glue Traps</v>
      </c>
      <c r="K836" s="4">
        <v>50</v>
      </c>
      <c r="L836" s="4">
        <v>3.5</v>
      </c>
      <c r="M836" s="4">
        <v>38</v>
      </c>
      <c r="O836" s="4">
        <f>VLOOKUP(A836,[16]Sheet1!$A:$M,2,0)</f>
        <v>100</v>
      </c>
      <c r="P836" s="4">
        <f>VLOOKUP(A836,[16]Sheet1!$A:$M,3,0)</f>
        <v>50</v>
      </c>
      <c r="Q836" s="4">
        <f>VLOOKUP(A836,[16]Sheet1!$A:$M,4,0)</f>
        <v>100</v>
      </c>
      <c r="R836" s="4">
        <f>VLOOKUP(A836,[16]Sheet1!$A:$M,5,0)</f>
        <v>0</v>
      </c>
      <c r="S836" s="4">
        <f>VLOOKUP(A836,[16]Sheet1!$A:$M,6,0)</f>
        <v>0</v>
      </c>
      <c r="T836" s="4">
        <f>VLOOKUP(A836,[16]Sheet1!$A:$M,7,0)</f>
        <v>0</v>
      </c>
      <c r="U836" s="4">
        <f>VLOOKUP(A836,[16]Sheet1!$A:$M,8,0)</f>
        <v>0</v>
      </c>
      <c r="V836" s="4">
        <f>VLOOKUP(A836,[16]Sheet1!$A:$M,9,0)</f>
        <v>50</v>
      </c>
      <c r="W836" s="4">
        <f>VLOOKUP(A836,[16]Sheet1!$A:$M,10,0)</f>
        <v>50</v>
      </c>
      <c r="X836" s="4">
        <f>VLOOKUP(A836,[16]Sheet1!$A:$M,11,0)</f>
        <v>50</v>
      </c>
      <c r="Y836" s="4">
        <f>VLOOKUP(A836,[16]Sheet1!$A:$M,12,0)</f>
        <v>100</v>
      </c>
      <c r="Z836" s="4">
        <f>VLOOKUP(A836,[16]Sheet1!$A:$M,13,0)</f>
        <v>100</v>
      </c>
      <c r="AA836" s="4">
        <f t="shared" si="244"/>
        <v>600</v>
      </c>
      <c r="AB836" s="7">
        <f t="shared" si="245"/>
        <v>50</v>
      </c>
      <c r="AC836" s="15">
        <f t="shared" si="246"/>
        <v>50</v>
      </c>
      <c r="AD836" s="16">
        <f t="shared" si="247"/>
        <v>13793.999999999998</v>
      </c>
      <c r="AE836" s="16">
        <f t="shared" si="248"/>
        <v>1149.5</v>
      </c>
      <c r="AF836" s="21">
        <v>6.9</v>
      </c>
      <c r="AG836" s="21">
        <v>22.99</v>
      </c>
      <c r="AH836" s="15">
        <f t="shared" si="242"/>
        <v>8.6399999999999907E-2</v>
      </c>
      <c r="AI836" s="15">
        <f t="shared" si="243"/>
        <v>0.30239999999999961</v>
      </c>
      <c r="AJ836" s="10">
        <v>0.5</v>
      </c>
      <c r="AK836" s="10">
        <v>0.5</v>
      </c>
      <c r="AL836" s="21">
        <v>6.9</v>
      </c>
      <c r="AM836" s="9">
        <f t="shared" si="250"/>
        <v>3.4484999999999997</v>
      </c>
      <c r="AN836" s="9">
        <f t="shared" si="251"/>
        <v>0.68969999999999998</v>
      </c>
      <c r="AO836" s="9">
        <f t="shared" si="252"/>
        <v>4.5979999999999999</v>
      </c>
      <c r="AP836" s="9">
        <f t="shared" si="253"/>
        <v>0.45979999999999999</v>
      </c>
      <c r="AQ836" s="9">
        <f t="shared" si="254"/>
        <v>4.5979999999999999</v>
      </c>
      <c r="AR836" s="9">
        <f t="shared" si="255"/>
        <v>5.7474999999999996</v>
      </c>
      <c r="AS836" s="11">
        <f t="shared" si="256"/>
        <v>0.86399999999999899</v>
      </c>
      <c r="AT836" s="12">
        <f t="shared" si="257"/>
        <v>9.7666666666665833E-2</v>
      </c>
    </row>
    <row r="837" spans="1:46" ht="16.5" x14ac:dyDescent="0.4">
      <c r="A837" s="4" t="s">
        <v>3708</v>
      </c>
      <c r="B837" s="4" t="s">
        <v>3710</v>
      </c>
      <c r="C837" s="4" t="s">
        <v>3710</v>
      </c>
      <c r="D837" s="4" t="s">
        <v>3733</v>
      </c>
      <c r="E837" s="4" t="s">
        <v>3754</v>
      </c>
      <c r="F837" s="4" t="s">
        <v>3781</v>
      </c>
      <c r="G837" s="7" t="str">
        <f>VLOOKUP(A837,[1]done!$A:$I,9,0)</f>
        <v>Rodent</v>
      </c>
      <c r="H837" s="7" t="str" cm="1">
        <f t="array" ref="H837">_xlfn.IFS(
OR(ISNUMBER(SEARCH("mouse",E837)),ISNUMBER(SEARCH("rat",E837)),ISNUMBER(SEARCH("mice",E837)),ISNUMBER(SEARCH("rodent",E837))),"Rodent Control",
OR(ISNUMBER(SEARCH("fly",E837)),ISNUMBER(SEARCH("gnat",E837)),ISNUMBER(SEARCH("insect",E837)),ISNUMBER(SEARCH("mosquito",E837))),"Flying Insect Control",
OR(ISNUMBER(SEARCH("roach",E837)),ISNUMBER(SEARCH("ant",E837)),ISNUMBER(SEARCH("spider",E837)),ISNUMBER(SEARCH("cricket",E837)),ISNUMBER(SEARCH("scorpion",E837)),ISNUMBER(SEARCH("centipede",E837)),ISNUMBER(SEARCH("beetle",E837))),"Crawling Insect Control",
OR(ISNUMBER(SEARCH("tree",E837)),ISNUMBER(SEARCH("lantern",E837)),ISNUMBER(SEARCH("garden",E837)),ISNUMBER(SEARCH("plant",E837))),"Garden Pest Control",
OR(ISNUMBER(SEARCH("grass seed",E837)),ISNUMBER(SEARCH("seed mix",E837))),"Grass Seed",
OR(ISNUMBER(SEARCH("lawn food",E837)),ISNUMBER(SEARCH("fertilizer",E837))),"Lawn Fertilizer",
OR(ISNUMBER(SEARCH("patch",E837)),ISNUMBER(SEARCH("repair",E837)),ISNUMBER(SEARCH("thick'r",E837)),ISNUMBER(SEARCH("thick'r lawn",E837)),ISNUMBER(SEARCH("rapid grass",E837))),"Lawn Repair",
OR(ISNUMBER(SEARCH("weed",E837)),ISNUMBER(SEARCH("crabgrass",E837))),"Weed Control",
OR(ISNUMBER(SEARCH("fungicide",E837)),ISNUMBER(SEARCH("moss",E837))),"Disease &amp; Moss Control",
OR(ISNUMBER(SEARCH("plant food",E837)),ISNUMBER(SEARCH("miracid",E837))),"Plant Nutrition",
OR(ISNUMBER(SEARCH("perlite",E837))),"Soil Amendment",
OR(ISNUMBER(SEARCH("spreader",E837)),ISNUMBER(SEARCH("sprayer",E837)),ISNUMBER(SEARCH("mower",E837)),ISNUMBER(SEARCH("sweeper",E837)),ISNUMBER(SEARCH("pruner",E837)),ISNUMBER(SEARCH("trimmer",E837)),ISNUMBER(SEARCH("pole saw",E837))),"Garden Equipment",
TRUE,"Other"
)</f>
        <v>Rodent Control</v>
      </c>
      <c r="I837" s="7" t="str" cm="1">
        <f t="array" ref="I837">_xlfn.IFS(
OR(ISNUMBER(SEARCH("glue trap",E837)),ISNUMBER(SEARCH("glue board",E837))),"Glue Traps",
OR(ISNUMBER(SEARCH("snap trap",E837)),ISNUMBER(SEARCH("power-kill",E837)),ISNUMBER(SEARCH("wide pedal",E837)),ISNUMBER(SEARCH("metal pedal",E837))),"Snap Traps",
OR(ISNUMBER(SEARCH("electronic",E837)),ISNUMBER(SEARCH("zapper",E837))),"Electronic Traps",
OR(ISNUMBER(SEARCH("live catch",E837)),ISNUMBER(SEARCH("multi-catch",E837)),ISNUMBER(SEARCH("catch &amp; hold",E837)),ISNUMBER(SEARCH("tin cat",E837))),"Live Catch Traps",
OR(ISNUMBER(SEARCH("bait",E837)),ISNUMBER(SEARCH("poison",E837))),"Bait &amp; Poison",
ISNUMBER(SEARCH("repellent",E837)),"Repellents",
OR(ISNUMBER(SEARCH("fly trap",E837)),ISNUMBER(SEARCH("fly ribbon",E837)),ISNUMBER(SEARCH("fly stick",E837)),ISNUMBER(SEARCH("window fly",E837)),ISNUMBER(SEARCH("fly magnet",E837))),"Fly Traps",
OR(ISNUMBER(SEARCH("uv",E837)),ISNUMBER(SEARCH("fly light",E837)),ISNUMBER(SEARCH("plug-in",E837))),"UV Fly Traps",
ISNUMBER(SEARCH("roach",E837)),"Roach Traps",
ISNUMBER(SEARCH("ant",E837)),"Ant Traps",
ISNUMBER(SEARCH("spider",E837)),"Spider Traps",
ISNUMBER(SEARCH("mosquito",E837)),"Mosquito Traps",
ISNUMBER(SEARCH("beetle",E837)),"Beetle Traps",
ISNUMBER(SEARCH("lantern",E837)),"Lanternfly Control",
OR(ISNUMBER(SEARCH("tree shield",E837)),ISNUMBER(SEARCH("tree banding",E837)),ISNUMBER(SEARCH("insect barrier",E837))),"Tree Barriers",
OR(ISNUMBER(SEARCH("sun &amp; shade",E837)),ISNUMBER(SEARCH("sun and shade",E837))),"Sun &amp; Shade Mix",
ISNUMBER(SEARCH("tall fescue",E837)),"Tall Fescue",
ISNUMBER(SEARCH("bermudagrass",E837)),"Bermudagrass",
ISNUMBER(SEARCH("kentucky",E837)),"Kentucky Bluegrass",
ISNUMBER(SEARCH("zoysia",E837)),"Zoysia",
ISNUMBER(SEARCH("ryegrass",E837)),"Perennial Ryegrass",
ISNUMBER(SEARCH("centipede",E837)),"Centipede Grass",
ISNUMBER(SEARCH("dense shade",E837)),"Dense Shade Mix",
ISNUMBER(SEARCH("southern gold",E837)),"Southern Gold Mix",
ISNUMBER(SEARCH("heat-tolerant blue",E837)),"Heat-Tolerant Blue Mix",
ISNUMBER(SEARCH("high traffic",E837)),"High Traffic Mix",
ISNUMBER(SEARCH("quick fix",E837)),"Quick Fix Mix",
ISNUMBER(SEARCH("starter",E837)),"Starter Fertilizer",
ISNUMBER(SEARCH("weed &amp; feed",E837)),"Weed &amp; Feed",
ISNUMBER(SEARCH("lawn food",E837)),"Lawn Food",
ISNUMBER(SEARCH("triple action",E837)),"Triple Action Fertilizer",
ISNUMBER(SEARCH("green max",E837)),"Green Max Lawn Food",
ISNUMBER(SEARCH("patchmaster",E837)),"PatchMaster Repair",
ISNUMBER(SEARCH("ez seed",E837)),"EZ Seed Repair",
ISNUMBER(SEARCH("rapid grass",E837)),"Rapid Grass",
ISNUMBER(SEARCH("thick'r lawn",E837)),"Thick'R Lawn",
ISNUMBER(SEARCH("fungicide",E837)),"Fungicide",
ISNUMBER(SEARCH("moss",E837)),"Moss Control",
ISNUMBER(SEARCH("perlite",E837)),"Perlite",
ISNUMBER(SEARCH("plant food",E837)),"Plant Food",
ISNUMBER(SEARCH("spreader",E837)),"Spreader",
ISNUMBER(SEARCH("sprayer",E837)),"Sprayer",
ISNUMBER(SEARCH("mower",E837)),"Lawn Mower",
ISNUMBER(SEARCH("sweeper",E837)),"Lawn Sweeper",
OR(ISNUMBER(SEARCH("pruner",E837)),ISNUMBER(SEARCH("trimmer",E837)),ISNUMBER(SEARCH("pole saw",E837))),"Pruning Tools",
TRUE,"Other"
)</f>
        <v>Glue Traps</v>
      </c>
      <c r="J837" s="7" t="str">
        <f t="shared" si="249"/>
        <v>Rodent Control - Glue Traps</v>
      </c>
      <c r="K837" s="4">
        <v>50</v>
      </c>
      <c r="L837" s="4">
        <v>4.4000000000000004</v>
      </c>
      <c r="M837" s="4">
        <v>22</v>
      </c>
      <c r="O837" s="4">
        <f>VLOOKUP(A837,[16]Sheet1!$A:$M,2,0)</f>
        <v>0</v>
      </c>
      <c r="P837" s="4">
        <f>VLOOKUP(A837,[16]Sheet1!$A:$M,3,0)</f>
        <v>0</v>
      </c>
      <c r="Q837" s="4">
        <f>VLOOKUP(A837,[16]Sheet1!$A:$M,4,0)</f>
        <v>0</v>
      </c>
      <c r="R837" s="4">
        <f>VLOOKUP(A837,[16]Sheet1!$A:$M,5,0)</f>
        <v>0</v>
      </c>
      <c r="S837" s="4">
        <f>VLOOKUP(A837,[16]Sheet1!$A:$M,6,0)</f>
        <v>0</v>
      </c>
      <c r="T837" s="4">
        <f>VLOOKUP(A837,[16]Sheet1!$A:$M,7,0)</f>
        <v>0</v>
      </c>
      <c r="U837" s="4">
        <f>VLOOKUP(A837,[16]Sheet1!$A:$M,8,0)</f>
        <v>0</v>
      </c>
      <c r="V837" s="4">
        <f>VLOOKUP(A837,[16]Sheet1!$A:$M,9,0)</f>
        <v>200</v>
      </c>
      <c r="W837" s="4">
        <f>VLOOKUP(A837,[16]Sheet1!$A:$M,10,0)</f>
        <v>50</v>
      </c>
      <c r="X837" s="4">
        <f>VLOOKUP(A837,[16]Sheet1!$A:$M,11,0)</f>
        <v>50</v>
      </c>
      <c r="Y837" s="4">
        <f>VLOOKUP(A837,[16]Sheet1!$A:$M,12,0)</f>
        <v>50</v>
      </c>
      <c r="Z837" s="4">
        <f>VLOOKUP(A837,[16]Sheet1!$A:$M,13,0)</f>
        <v>50</v>
      </c>
      <c r="AA837" s="4">
        <f t="shared" si="244"/>
        <v>400</v>
      </c>
      <c r="AB837" s="7">
        <f t="shared" si="245"/>
        <v>33</v>
      </c>
      <c r="AC837" s="15">
        <f t="shared" si="246"/>
        <v>33.333333333333336</v>
      </c>
      <c r="AD837" s="16">
        <f t="shared" si="247"/>
        <v>1996</v>
      </c>
      <c r="AE837" s="16">
        <f t="shared" si="248"/>
        <v>166.33333333333334</v>
      </c>
      <c r="AF837" s="21">
        <v>2.65</v>
      </c>
      <c r="AG837" s="21">
        <v>4.99</v>
      </c>
      <c r="AH837" s="15">
        <f t="shared" si="242"/>
        <v>-0.11026666666666668</v>
      </c>
      <c r="AI837" s="15">
        <f t="shared" si="243"/>
        <v>-0.38593333333333329</v>
      </c>
      <c r="AJ837" s="10">
        <v>0.5</v>
      </c>
      <c r="AK837" s="10">
        <v>0.5</v>
      </c>
      <c r="AL837" s="21">
        <v>2.65</v>
      </c>
      <c r="AM837" s="9">
        <f t="shared" si="250"/>
        <v>0.74850000000000005</v>
      </c>
      <c r="AN837" s="9">
        <f t="shared" si="251"/>
        <v>0.1497</v>
      </c>
      <c r="AO837" s="9">
        <f t="shared" si="252"/>
        <v>0.99800000000000011</v>
      </c>
      <c r="AP837" s="9">
        <f t="shared" si="253"/>
        <v>9.98E-2</v>
      </c>
      <c r="AQ837" s="9">
        <f t="shared" si="254"/>
        <v>0.99800000000000011</v>
      </c>
      <c r="AR837" s="9">
        <f t="shared" si="255"/>
        <v>1.2475000000000001</v>
      </c>
      <c r="AS837" s="11">
        <f t="shared" si="256"/>
        <v>-1.1026666666666667</v>
      </c>
      <c r="AT837" s="12">
        <f t="shared" si="257"/>
        <v>-1.2689999999999999</v>
      </c>
    </row>
    <row r="838" spans="1:46" ht="16.5" x14ac:dyDescent="0.4">
      <c r="A838" s="4" t="s">
        <v>3709</v>
      </c>
      <c r="B838" s="4" t="s">
        <v>3710</v>
      </c>
      <c r="C838" s="4" t="s">
        <v>3710</v>
      </c>
      <c r="D838" s="4" t="s">
        <v>3734</v>
      </c>
      <c r="E838" s="4" t="s">
        <v>3755</v>
      </c>
      <c r="F838" s="4" t="s">
        <v>3782</v>
      </c>
      <c r="G838" s="7" t="str">
        <f>VLOOKUP(A838,[1]done!$A:$I,9,0)</f>
        <v>Mosquito/Fly</v>
      </c>
      <c r="H838" s="7" t="str" cm="1">
        <f t="array" ref="H838">_xlfn.IFS(
OR(ISNUMBER(SEARCH("mouse",E838)),ISNUMBER(SEARCH("rat",E838)),ISNUMBER(SEARCH("mice",E838)),ISNUMBER(SEARCH("rodent",E838))),"Rodent Control",
OR(ISNUMBER(SEARCH("fly",E838)),ISNUMBER(SEARCH("gnat",E838)),ISNUMBER(SEARCH("insect",E838)),ISNUMBER(SEARCH("mosquito",E838))),"Flying Insect Control",
OR(ISNUMBER(SEARCH("roach",E838)),ISNUMBER(SEARCH("ant",E838)),ISNUMBER(SEARCH("spider",E838)),ISNUMBER(SEARCH("cricket",E838)),ISNUMBER(SEARCH("scorpion",E838)),ISNUMBER(SEARCH("centipede",E838)),ISNUMBER(SEARCH("beetle",E838))),"Crawling Insect Control",
OR(ISNUMBER(SEARCH("tree",E838)),ISNUMBER(SEARCH("lantern",E838)),ISNUMBER(SEARCH("garden",E838)),ISNUMBER(SEARCH("plant",E838))),"Garden Pest Control",
OR(ISNUMBER(SEARCH("grass seed",E838)),ISNUMBER(SEARCH("seed mix",E838))),"Grass Seed",
OR(ISNUMBER(SEARCH("lawn food",E838)),ISNUMBER(SEARCH("fertilizer",E838))),"Lawn Fertilizer",
OR(ISNUMBER(SEARCH("patch",E838)),ISNUMBER(SEARCH("repair",E838)),ISNUMBER(SEARCH("thick'r",E838)),ISNUMBER(SEARCH("thick'r lawn",E838)),ISNUMBER(SEARCH("rapid grass",E838))),"Lawn Repair",
OR(ISNUMBER(SEARCH("weed",E838)),ISNUMBER(SEARCH("crabgrass",E838))),"Weed Control",
OR(ISNUMBER(SEARCH("fungicide",E838)),ISNUMBER(SEARCH("moss",E838))),"Disease &amp; Moss Control",
OR(ISNUMBER(SEARCH("plant food",E838)),ISNUMBER(SEARCH("miracid",E838))),"Plant Nutrition",
OR(ISNUMBER(SEARCH("perlite",E838))),"Soil Amendment",
OR(ISNUMBER(SEARCH("spreader",E838)),ISNUMBER(SEARCH("sprayer",E838)),ISNUMBER(SEARCH("mower",E838)),ISNUMBER(SEARCH("sweeper",E838)),ISNUMBER(SEARCH("pruner",E838)),ISNUMBER(SEARCH("trimmer",E838)),ISNUMBER(SEARCH("pole saw",E838))),"Garden Equipment",
TRUE,"Other"
)</f>
        <v>Flying Insect Control</v>
      </c>
      <c r="I838" s="7" t="str" cm="1">
        <f t="array" ref="I838">_xlfn.IFS(
OR(ISNUMBER(SEARCH("glue trap",E838)),ISNUMBER(SEARCH("glue board",E838))),"Glue Traps",
OR(ISNUMBER(SEARCH("snap trap",E838)),ISNUMBER(SEARCH("power-kill",E838)),ISNUMBER(SEARCH("wide pedal",E838)),ISNUMBER(SEARCH("metal pedal",E838))),"Snap Traps",
OR(ISNUMBER(SEARCH("electronic",E838)),ISNUMBER(SEARCH("zapper",E838))),"Electronic Traps",
OR(ISNUMBER(SEARCH("live catch",E838)),ISNUMBER(SEARCH("multi-catch",E838)),ISNUMBER(SEARCH("catch &amp; hold",E838)),ISNUMBER(SEARCH("tin cat",E838))),"Live Catch Traps",
OR(ISNUMBER(SEARCH("bait",E838)),ISNUMBER(SEARCH("poison",E838))),"Bait &amp; Poison",
ISNUMBER(SEARCH("repellent",E838)),"Repellents",
OR(ISNUMBER(SEARCH("fly trap",E838)),ISNUMBER(SEARCH("fly ribbon",E838)),ISNUMBER(SEARCH("fly stick",E838)),ISNUMBER(SEARCH("window fly",E838)),ISNUMBER(SEARCH("fly magnet",E838))),"Fly Traps",
OR(ISNUMBER(SEARCH("uv",E838)),ISNUMBER(SEARCH("fly light",E838)),ISNUMBER(SEARCH("plug-in",E838))),"UV Fly Traps",
ISNUMBER(SEARCH("roach",E838)),"Roach Traps",
ISNUMBER(SEARCH("ant",E838)),"Ant Traps",
ISNUMBER(SEARCH("spider",E838)),"Spider Traps",
ISNUMBER(SEARCH("mosquito",E838)),"Mosquito Traps",
ISNUMBER(SEARCH("beetle",E838)),"Beetle Traps",
ISNUMBER(SEARCH("lantern",E838)),"Lanternfly Control",
OR(ISNUMBER(SEARCH("tree shield",E838)),ISNUMBER(SEARCH("tree banding",E838)),ISNUMBER(SEARCH("insect barrier",E838))),"Tree Barriers",
OR(ISNUMBER(SEARCH("sun &amp; shade",E838)),ISNUMBER(SEARCH("sun and shade",E838))),"Sun &amp; Shade Mix",
ISNUMBER(SEARCH("tall fescue",E838)),"Tall Fescue",
ISNUMBER(SEARCH("bermudagrass",E838)),"Bermudagrass",
ISNUMBER(SEARCH("kentucky",E838)),"Kentucky Bluegrass",
ISNUMBER(SEARCH("zoysia",E838)),"Zoysia",
ISNUMBER(SEARCH("ryegrass",E838)),"Perennial Ryegrass",
ISNUMBER(SEARCH("centipede",E838)),"Centipede Grass",
ISNUMBER(SEARCH("dense shade",E838)),"Dense Shade Mix",
ISNUMBER(SEARCH("southern gold",E838)),"Southern Gold Mix",
ISNUMBER(SEARCH("heat-tolerant blue",E838)),"Heat-Tolerant Blue Mix",
ISNUMBER(SEARCH("high traffic",E838)),"High Traffic Mix",
ISNUMBER(SEARCH("quick fix",E838)),"Quick Fix Mix",
ISNUMBER(SEARCH("starter",E838)),"Starter Fertilizer",
ISNUMBER(SEARCH("weed &amp; feed",E838)),"Weed &amp; Feed",
ISNUMBER(SEARCH("lawn food",E838)),"Lawn Food",
ISNUMBER(SEARCH("triple action",E838)),"Triple Action Fertilizer",
ISNUMBER(SEARCH("green max",E838)),"Green Max Lawn Food",
ISNUMBER(SEARCH("patchmaster",E838)),"PatchMaster Repair",
ISNUMBER(SEARCH("ez seed",E838)),"EZ Seed Repair",
ISNUMBER(SEARCH("rapid grass",E838)),"Rapid Grass",
ISNUMBER(SEARCH("thick'r lawn",E838)),"Thick'R Lawn",
ISNUMBER(SEARCH("fungicide",E838)),"Fungicide",
ISNUMBER(SEARCH("moss",E838)),"Moss Control",
ISNUMBER(SEARCH("perlite",E838)),"Perlite",
ISNUMBER(SEARCH("plant food",E838)),"Plant Food",
ISNUMBER(SEARCH("spreader",E838)),"Spreader",
ISNUMBER(SEARCH("sprayer",E838)),"Sprayer",
ISNUMBER(SEARCH("mower",E838)),"Lawn Mower",
ISNUMBER(SEARCH("sweeper",E838)),"Lawn Sweeper",
OR(ISNUMBER(SEARCH("pruner",E838)),ISNUMBER(SEARCH("trimmer",E838)),ISNUMBER(SEARCH("pole saw",E838))),"Pruning Tools",
TRUE,"Other"
)</f>
        <v>Fly Traps</v>
      </c>
      <c r="J838" s="7" t="str">
        <f t="shared" si="249"/>
        <v>Flying Insect Control - Fly Traps</v>
      </c>
      <c r="K838" s="4">
        <v>50</v>
      </c>
      <c r="L838" s="4">
        <v>4</v>
      </c>
      <c r="M838" s="4">
        <v>1226</v>
      </c>
      <c r="O838" s="4">
        <f>VLOOKUP(A838,[16]Sheet1!$A:$M,2,0)</f>
        <v>0</v>
      </c>
      <c r="P838" s="4">
        <f>VLOOKUP(A838,[16]Sheet1!$A:$M,3,0)</f>
        <v>0</v>
      </c>
      <c r="Q838" s="4">
        <f>VLOOKUP(A838,[16]Sheet1!$A:$M,4,0)</f>
        <v>0</v>
      </c>
      <c r="R838" s="4">
        <f>VLOOKUP(A838,[16]Sheet1!$A:$M,5,0)</f>
        <v>300</v>
      </c>
      <c r="S838" s="4">
        <f>VLOOKUP(A838,[16]Sheet1!$A:$M,6,0)</f>
        <v>500</v>
      </c>
      <c r="T838" s="4">
        <f>VLOOKUP(A838,[16]Sheet1!$A:$M,7,0)</f>
        <v>200</v>
      </c>
      <c r="U838" s="4">
        <f>VLOOKUP(A838,[16]Sheet1!$A:$M,8,0)</f>
        <v>300</v>
      </c>
      <c r="V838" s="4">
        <f>VLOOKUP(A838,[16]Sheet1!$A:$M,9,0)</f>
        <v>50</v>
      </c>
      <c r="W838" s="4">
        <f>VLOOKUP(A838,[16]Sheet1!$A:$M,10,0)</f>
        <v>50</v>
      </c>
      <c r="X838" s="4">
        <f>VLOOKUP(A838,[16]Sheet1!$A:$M,11,0)</f>
        <v>0</v>
      </c>
      <c r="Y838" s="4">
        <f>VLOOKUP(A838,[16]Sheet1!$A:$M,12,0)</f>
        <v>0</v>
      </c>
      <c r="Z838" s="4">
        <f>VLOOKUP(A838,[16]Sheet1!$A:$M,13,0)</f>
        <v>0</v>
      </c>
      <c r="AA838" s="4">
        <f t="shared" si="244"/>
        <v>1400</v>
      </c>
      <c r="AB838" s="7">
        <f t="shared" si="245"/>
        <v>117</v>
      </c>
      <c r="AC838" s="15">
        <f t="shared" si="246"/>
        <v>116.66666666666667</v>
      </c>
      <c r="AD838" s="16">
        <f t="shared" si="247"/>
        <v>23352</v>
      </c>
      <c r="AE838" s="16">
        <f t="shared" si="248"/>
        <v>1946</v>
      </c>
      <c r="AF838" s="21">
        <v>4.09</v>
      </c>
      <c r="AG838" s="21">
        <v>16.68</v>
      </c>
      <c r="AH838" s="15">
        <f t="shared" si="242"/>
        <v>0.1054666666666666</v>
      </c>
      <c r="AI838" s="15">
        <f t="shared" si="243"/>
        <v>0.36913333333333309</v>
      </c>
      <c r="AJ838" s="10">
        <v>0.5</v>
      </c>
      <c r="AK838" s="10">
        <v>0.5</v>
      </c>
      <c r="AL838" s="21">
        <v>4.09</v>
      </c>
      <c r="AM838" s="9">
        <f t="shared" si="250"/>
        <v>2.5019999999999998</v>
      </c>
      <c r="AN838" s="9">
        <f t="shared" si="251"/>
        <v>0.50039999999999996</v>
      </c>
      <c r="AO838" s="9">
        <f t="shared" si="252"/>
        <v>3.3360000000000003</v>
      </c>
      <c r="AP838" s="9">
        <f t="shared" si="253"/>
        <v>0.33360000000000001</v>
      </c>
      <c r="AQ838" s="9">
        <f t="shared" si="254"/>
        <v>3.3360000000000003</v>
      </c>
      <c r="AR838" s="9">
        <f t="shared" si="255"/>
        <v>4.17</v>
      </c>
      <c r="AS838" s="11">
        <f t="shared" si="256"/>
        <v>1.054666666666666</v>
      </c>
      <c r="AT838" s="12">
        <f t="shared" si="257"/>
        <v>0.4986666666666662</v>
      </c>
    </row>
    <row r="839" spans="1:46" ht="16.5" x14ac:dyDescent="0.4">
      <c r="A839" s="4" t="s">
        <v>3797</v>
      </c>
      <c r="B839" s="4" t="s">
        <v>3821</v>
      </c>
      <c r="C839" s="4" t="s">
        <v>3821</v>
      </c>
      <c r="D839" s="4" t="s">
        <v>3822</v>
      </c>
      <c r="E839" s="4" t="s">
        <v>3846</v>
      </c>
      <c r="F839" s="4" t="s">
        <v>3870</v>
      </c>
      <c r="G839" s="7" t="str">
        <f>VLOOKUP(A839,[1]done!$A:$I,9,0)</f>
        <v>Rodent</v>
      </c>
      <c r="H839" s="7" t="str" cm="1">
        <f t="array" ref="H839">_xlfn.IFS(
OR(ISNUMBER(SEARCH("mouse",E839)),ISNUMBER(SEARCH("rat",E839)),ISNUMBER(SEARCH("mice",E839)),ISNUMBER(SEARCH("rodent",E839))),"Rodent Control",
OR(ISNUMBER(SEARCH("fly",E839)),ISNUMBER(SEARCH("gnat",E839)),ISNUMBER(SEARCH("insect",E839)),ISNUMBER(SEARCH("mosquito",E839))),"Flying Insect Control",
OR(ISNUMBER(SEARCH("roach",E839)),ISNUMBER(SEARCH("ant",E839)),ISNUMBER(SEARCH("spider",E839)),ISNUMBER(SEARCH("cricket",E839)),ISNUMBER(SEARCH("scorpion",E839)),ISNUMBER(SEARCH("centipede",E839)),ISNUMBER(SEARCH("beetle",E839))),"Crawling Insect Control",
OR(ISNUMBER(SEARCH("tree",E839)),ISNUMBER(SEARCH("lantern",E839)),ISNUMBER(SEARCH("garden",E839)),ISNUMBER(SEARCH("plant",E839))),"Garden Pest Control",
OR(ISNUMBER(SEARCH("grass seed",E839)),ISNUMBER(SEARCH("seed mix",E839))),"Grass Seed",
OR(ISNUMBER(SEARCH("lawn food",E839)),ISNUMBER(SEARCH("fertilizer",E839))),"Lawn Fertilizer",
OR(ISNUMBER(SEARCH("patch",E839)),ISNUMBER(SEARCH("repair",E839)),ISNUMBER(SEARCH("thick'r",E839)),ISNUMBER(SEARCH("thick'r lawn",E839)),ISNUMBER(SEARCH("rapid grass",E839))),"Lawn Repair",
OR(ISNUMBER(SEARCH("weed",E839)),ISNUMBER(SEARCH("crabgrass",E839))),"Weed Control",
OR(ISNUMBER(SEARCH("fungicide",E839)),ISNUMBER(SEARCH("moss",E839))),"Disease &amp; Moss Control",
OR(ISNUMBER(SEARCH("plant food",E839)),ISNUMBER(SEARCH("miracid",E839))),"Plant Nutrition",
OR(ISNUMBER(SEARCH("perlite",E839))),"Soil Amendment",
OR(ISNUMBER(SEARCH("spreader",E839)),ISNUMBER(SEARCH("sprayer",E839)),ISNUMBER(SEARCH("mower",E839)),ISNUMBER(SEARCH("sweeper",E839)),ISNUMBER(SEARCH("pruner",E839)),ISNUMBER(SEARCH("trimmer",E839)),ISNUMBER(SEARCH("pole saw",E839))),"Garden Equipment",
TRUE,"Other"
)</f>
        <v>Rodent Control</v>
      </c>
      <c r="I839" s="7" t="str" cm="1">
        <f t="array" ref="I839">_xlfn.IFS(
OR(ISNUMBER(SEARCH("glue trap",E839)),ISNUMBER(SEARCH("glue board",E839))),"Glue Traps",
OR(ISNUMBER(SEARCH("snap trap",E839)),ISNUMBER(SEARCH("power-kill",E839)),ISNUMBER(SEARCH("wide pedal",E839)),ISNUMBER(SEARCH("metal pedal",E839))),"Snap Traps",
OR(ISNUMBER(SEARCH("electronic",E839)),ISNUMBER(SEARCH("zapper",E839))),"Electronic Traps",
OR(ISNUMBER(SEARCH("live catch",E839)),ISNUMBER(SEARCH("multi-catch",E839)),ISNUMBER(SEARCH("catch &amp; hold",E839)),ISNUMBER(SEARCH("tin cat",E839))),"Live Catch Traps",
OR(ISNUMBER(SEARCH("bait",E839)),ISNUMBER(SEARCH("poison",E839))),"Bait &amp; Poison",
ISNUMBER(SEARCH("repellent",E839)),"Repellents",
OR(ISNUMBER(SEARCH("fly trap",E839)),ISNUMBER(SEARCH("fly ribbon",E839)),ISNUMBER(SEARCH("fly stick",E839)),ISNUMBER(SEARCH("window fly",E839)),ISNUMBER(SEARCH("fly magnet",E839))),"Fly Traps",
OR(ISNUMBER(SEARCH("uv",E839)),ISNUMBER(SEARCH("fly light",E839)),ISNUMBER(SEARCH("plug-in",E839))),"UV Fly Traps",
ISNUMBER(SEARCH("roach",E839)),"Roach Traps",
ISNUMBER(SEARCH("ant",E839)),"Ant Traps",
ISNUMBER(SEARCH("spider",E839)),"Spider Traps",
ISNUMBER(SEARCH("mosquito",E839)),"Mosquito Traps",
ISNUMBER(SEARCH("beetle",E839)),"Beetle Traps",
ISNUMBER(SEARCH("lantern",E839)),"Lanternfly Control",
OR(ISNUMBER(SEARCH("tree shield",E839)),ISNUMBER(SEARCH("tree banding",E839)),ISNUMBER(SEARCH("insect barrier",E839))),"Tree Barriers",
OR(ISNUMBER(SEARCH("sun &amp; shade",E839)),ISNUMBER(SEARCH("sun and shade",E839))),"Sun &amp; Shade Mix",
ISNUMBER(SEARCH("tall fescue",E839)),"Tall Fescue",
ISNUMBER(SEARCH("bermudagrass",E839)),"Bermudagrass",
ISNUMBER(SEARCH("kentucky",E839)),"Kentucky Bluegrass",
ISNUMBER(SEARCH("zoysia",E839)),"Zoysia",
ISNUMBER(SEARCH("ryegrass",E839)),"Perennial Ryegrass",
ISNUMBER(SEARCH("centipede",E839)),"Centipede Grass",
ISNUMBER(SEARCH("dense shade",E839)),"Dense Shade Mix",
ISNUMBER(SEARCH("southern gold",E839)),"Southern Gold Mix",
ISNUMBER(SEARCH("heat-tolerant blue",E839)),"Heat-Tolerant Blue Mix",
ISNUMBER(SEARCH("high traffic",E839)),"High Traffic Mix",
ISNUMBER(SEARCH("quick fix",E839)),"Quick Fix Mix",
ISNUMBER(SEARCH("starter",E839)),"Starter Fertilizer",
ISNUMBER(SEARCH("weed &amp; feed",E839)),"Weed &amp; Feed",
ISNUMBER(SEARCH("lawn food",E839)),"Lawn Food",
ISNUMBER(SEARCH("triple action",E839)),"Triple Action Fertilizer",
ISNUMBER(SEARCH("green max",E839)),"Green Max Lawn Food",
ISNUMBER(SEARCH("patchmaster",E839)),"PatchMaster Repair",
ISNUMBER(SEARCH("ez seed",E839)),"EZ Seed Repair",
ISNUMBER(SEARCH("rapid grass",E839)),"Rapid Grass",
ISNUMBER(SEARCH("thick'r lawn",E839)),"Thick'R Lawn",
ISNUMBER(SEARCH("fungicide",E839)),"Fungicide",
ISNUMBER(SEARCH("moss",E839)),"Moss Control",
ISNUMBER(SEARCH("perlite",E839)),"Perlite",
ISNUMBER(SEARCH("plant food",E839)),"Plant Food",
ISNUMBER(SEARCH("spreader",E839)),"Spreader",
ISNUMBER(SEARCH("sprayer",E839)),"Sprayer",
ISNUMBER(SEARCH("mower",E839)),"Lawn Mower",
ISNUMBER(SEARCH("sweeper",E839)),"Lawn Sweeper",
OR(ISNUMBER(SEARCH("pruner",E839)),ISNUMBER(SEARCH("trimmer",E839)),ISNUMBER(SEARCH("pole saw",E839))),"Pruning Tools",
TRUE,"Other"
)</f>
        <v>Repellents</v>
      </c>
      <c r="J839" s="7" t="str">
        <f t="shared" si="249"/>
        <v>Rodent Control - Repellents</v>
      </c>
      <c r="K839" s="4">
        <v>20000</v>
      </c>
      <c r="L839" s="4">
        <v>4.0999999999999996</v>
      </c>
      <c r="M839" s="4">
        <v>29145</v>
      </c>
      <c r="N839" s="4" t="s">
        <v>3894</v>
      </c>
      <c r="O839" s="4">
        <f>VLOOKUP(A839,[17]Sheet1!$A:$M,2,0)</f>
        <v>10000</v>
      </c>
      <c r="P839" s="4">
        <f>VLOOKUP(A839,[17]Sheet1!$A:$M,3,0)</f>
        <v>7000</v>
      </c>
      <c r="Q839" s="4">
        <f>VLOOKUP(A839,[17]Sheet1!$A:$M,4,0)</f>
        <v>7000</v>
      </c>
      <c r="R839" s="4">
        <f>VLOOKUP(A839,[17]Sheet1!$A:$M,5,0)</f>
        <v>10000</v>
      </c>
      <c r="S839" s="4">
        <f>VLOOKUP(A839,[17]Sheet1!$A:$M,6,0)</f>
        <v>10000</v>
      </c>
      <c r="T839" s="4">
        <f>VLOOKUP(A839,[17]Sheet1!$A:$M,7,0)</f>
        <v>10000</v>
      </c>
      <c r="U839" s="4">
        <f>VLOOKUP(A839,[17]Sheet1!$A:$M,8,0)</f>
        <v>10000</v>
      </c>
      <c r="V839" s="4">
        <f>VLOOKUP(A839,[17]Sheet1!$A:$M,9,0)</f>
        <v>10000</v>
      </c>
      <c r="W839" s="4">
        <f>VLOOKUP(A839,[17]Sheet1!$A:$M,10,0)</f>
        <v>30000</v>
      </c>
      <c r="X839" s="4">
        <f>VLOOKUP(A839,[17]Sheet1!$A:$M,11,0)</f>
        <v>30500</v>
      </c>
      <c r="Y839" s="4">
        <f>VLOOKUP(A839,[17]Sheet1!$A:$M,12,0)</f>
        <v>40500</v>
      </c>
      <c r="Z839" s="4">
        <f>VLOOKUP(A839,[17]Sheet1!$A:$M,13,0)</f>
        <v>30500</v>
      </c>
      <c r="AA839" s="4">
        <f t="shared" ref="AA839:AA861" si="258">SUM(O839:Z839)</f>
        <v>205500</v>
      </c>
      <c r="AB839" s="7">
        <f t="shared" ref="AB839:AB861" si="259">ROUND(AA839/12,0)</f>
        <v>17125</v>
      </c>
      <c r="AC839" s="15">
        <f t="shared" ref="AC839:AC861" si="260">AVERAGE(O839:Z839)</f>
        <v>17125</v>
      </c>
      <c r="AD839" s="16">
        <f t="shared" ref="AD839:AD861" si="261">AG839*AA839</f>
        <v>6779445</v>
      </c>
      <c r="AE839" s="16">
        <f t="shared" si="248"/>
        <v>564953.75</v>
      </c>
      <c r="AF839" s="21">
        <v>5.22</v>
      </c>
      <c r="AG839" s="21">
        <v>32.99</v>
      </c>
      <c r="AH839" s="15">
        <f t="shared" si="242"/>
        <v>0.46506666666666674</v>
      </c>
      <c r="AI839" s="15">
        <f t="shared" si="243"/>
        <v>1.6277333333333333</v>
      </c>
      <c r="AJ839" s="10">
        <v>0.5</v>
      </c>
      <c r="AK839" s="10">
        <v>0.5</v>
      </c>
      <c r="AL839" s="21">
        <v>5.22</v>
      </c>
      <c r="AM839" s="9">
        <f t="shared" ref="AM839:AM862" si="262">0.15*AG839</f>
        <v>4.9485000000000001</v>
      </c>
      <c r="AN839" s="9">
        <f t="shared" ref="AN839:AN862" si="263">0.03*AG839</f>
        <v>0.98970000000000002</v>
      </c>
      <c r="AO839" s="9">
        <f t="shared" ref="AO839:AO862" si="264">0.2*AG839</f>
        <v>6.5980000000000008</v>
      </c>
      <c r="AP839" s="9">
        <f t="shared" ref="AP839:AP862" si="265">0.02*AG839</f>
        <v>0.65980000000000005</v>
      </c>
      <c r="AQ839" s="9">
        <f t="shared" ref="AQ839:AQ862" si="266">0.2*AG839</f>
        <v>6.5980000000000008</v>
      </c>
      <c r="AR839" s="9">
        <f t="shared" ref="AR839:AR862" si="267">0.25*AG839</f>
        <v>8.2475000000000005</v>
      </c>
      <c r="AS839" s="11">
        <f t="shared" ref="AS839:AS862" si="268">(AG839*(1-(0.15+0.03+0.2+0.02))-AJ839-AK839-AL839-AQ839)/(1+0.1+0.4)</f>
        <v>4.6506666666666669</v>
      </c>
      <c r="AT839" s="12">
        <f t="shared" ref="AT839:AT862" si="269">(AG839*(1-(0.15+0.03+0.2+0.02))-AJ839-AK839-AL839-AR839)/(1+0.1+0.4)</f>
        <v>3.5510000000000006</v>
      </c>
    </row>
    <row r="840" spans="1:46" ht="16.5" x14ac:dyDescent="0.4">
      <c r="A840" s="4" t="s">
        <v>3798</v>
      </c>
      <c r="B840" s="4" t="s">
        <v>3821</v>
      </c>
      <c r="C840" s="4" t="s">
        <v>3821</v>
      </c>
      <c r="D840" s="4" t="s">
        <v>3823</v>
      </c>
      <c r="E840" s="4" t="s">
        <v>3847</v>
      </c>
      <c r="F840" s="4" t="s">
        <v>3871</v>
      </c>
      <c r="G840" s="7" t="str">
        <f>VLOOKUP(A840,[1]done!$A:$I,9,0)</f>
        <v>Rodent</v>
      </c>
      <c r="H840" s="7" t="str" cm="1">
        <f t="array" ref="H840">_xlfn.IFS(
OR(ISNUMBER(SEARCH("mouse",E840)),ISNUMBER(SEARCH("rat",E840)),ISNUMBER(SEARCH("mice",E840)),ISNUMBER(SEARCH("rodent",E840))),"Rodent Control",
OR(ISNUMBER(SEARCH("fly",E840)),ISNUMBER(SEARCH("gnat",E840)),ISNUMBER(SEARCH("insect",E840)),ISNUMBER(SEARCH("mosquito",E840))),"Flying Insect Control",
OR(ISNUMBER(SEARCH("roach",E840)),ISNUMBER(SEARCH("ant",E840)),ISNUMBER(SEARCH("spider",E840)),ISNUMBER(SEARCH("cricket",E840)),ISNUMBER(SEARCH("scorpion",E840)),ISNUMBER(SEARCH("centipede",E840)),ISNUMBER(SEARCH("beetle",E840))),"Crawling Insect Control",
OR(ISNUMBER(SEARCH("tree",E840)),ISNUMBER(SEARCH("lantern",E840)),ISNUMBER(SEARCH("garden",E840)),ISNUMBER(SEARCH("plant",E840))),"Garden Pest Control",
OR(ISNUMBER(SEARCH("grass seed",E840)),ISNUMBER(SEARCH("seed mix",E840))),"Grass Seed",
OR(ISNUMBER(SEARCH("lawn food",E840)),ISNUMBER(SEARCH("fertilizer",E840))),"Lawn Fertilizer",
OR(ISNUMBER(SEARCH("patch",E840)),ISNUMBER(SEARCH("repair",E840)),ISNUMBER(SEARCH("thick'r",E840)),ISNUMBER(SEARCH("thick'r lawn",E840)),ISNUMBER(SEARCH("rapid grass",E840))),"Lawn Repair",
OR(ISNUMBER(SEARCH("weed",E840)),ISNUMBER(SEARCH("crabgrass",E840))),"Weed Control",
OR(ISNUMBER(SEARCH("fungicide",E840)),ISNUMBER(SEARCH("moss",E840))),"Disease &amp; Moss Control",
OR(ISNUMBER(SEARCH("plant food",E840)),ISNUMBER(SEARCH("miracid",E840))),"Plant Nutrition",
OR(ISNUMBER(SEARCH("perlite",E840))),"Soil Amendment",
OR(ISNUMBER(SEARCH("spreader",E840)),ISNUMBER(SEARCH("sprayer",E840)),ISNUMBER(SEARCH("mower",E840)),ISNUMBER(SEARCH("sweeper",E840)),ISNUMBER(SEARCH("pruner",E840)),ISNUMBER(SEARCH("trimmer",E840)),ISNUMBER(SEARCH("pole saw",E840))),"Garden Equipment",
TRUE,"Other"
)</f>
        <v>Rodent Control</v>
      </c>
      <c r="I840" s="7" t="str" cm="1">
        <f t="array" ref="I840">_xlfn.IFS(
OR(ISNUMBER(SEARCH("glue trap",E840)),ISNUMBER(SEARCH("glue board",E840))),"Glue Traps",
OR(ISNUMBER(SEARCH("snap trap",E840)),ISNUMBER(SEARCH("power-kill",E840)),ISNUMBER(SEARCH("wide pedal",E840)),ISNUMBER(SEARCH("metal pedal",E840))),"Snap Traps",
OR(ISNUMBER(SEARCH("electronic",E840)),ISNUMBER(SEARCH("zapper",E840))),"Electronic Traps",
OR(ISNUMBER(SEARCH("live catch",E840)),ISNUMBER(SEARCH("multi-catch",E840)),ISNUMBER(SEARCH("catch &amp; hold",E840)),ISNUMBER(SEARCH("tin cat",E840))),"Live Catch Traps",
OR(ISNUMBER(SEARCH("bait",E840)),ISNUMBER(SEARCH("poison",E840))),"Bait &amp; Poison",
ISNUMBER(SEARCH("repellent",E840)),"Repellents",
OR(ISNUMBER(SEARCH("fly trap",E840)),ISNUMBER(SEARCH("fly ribbon",E840)),ISNUMBER(SEARCH("fly stick",E840)),ISNUMBER(SEARCH("window fly",E840)),ISNUMBER(SEARCH("fly magnet",E840))),"Fly Traps",
OR(ISNUMBER(SEARCH("uv",E840)),ISNUMBER(SEARCH("fly light",E840)),ISNUMBER(SEARCH("plug-in",E840))),"UV Fly Traps",
ISNUMBER(SEARCH("roach",E840)),"Roach Traps",
ISNUMBER(SEARCH("ant",E840)),"Ant Traps",
ISNUMBER(SEARCH("spider",E840)),"Spider Traps",
ISNUMBER(SEARCH("mosquito",E840)),"Mosquito Traps",
ISNUMBER(SEARCH("beetle",E840)),"Beetle Traps",
ISNUMBER(SEARCH("lantern",E840)),"Lanternfly Control",
OR(ISNUMBER(SEARCH("tree shield",E840)),ISNUMBER(SEARCH("tree banding",E840)),ISNUMBER(SEARCH("insect barrier",E840))),"Tree Barriers",
OR(ISNUMBER(SEARCH("sun &amp; shade",E840)),ISNUMBER(SEARCH("sun and shade",E840))),"Sun &amp; Shade Mix",
ISNUMBER(SEARCH("tall fescue",E840)),"Tall Fescue",
ISNUMBER(SEARCH("bermudagrass",E840)),"Bermudagrass",
ISNUMBER(SEARCH("kentucky",E840)),"Kentucky Bluegrass",
ISNUMBER(SEARCH("zoysia",E840)),"Zoysia",
ISNUMBER(SEARCH("ryegrass",E840)),"Perennial Ryegrass",
ISNUMBER(SEARCH("centipede",E840)),"Centipede Grass",
ISNUMBER(SEARCH("dense shade",E840)),"Dense Shade Mix",
ISNUMBER(SEARCH("southern gold",E840)),"Southern Gold Mix",
ISNUMBER(SEARCH("heat-tolerant blue",E840)),"Heat-Tolerant Blue Mix",
ISNUMBER(SEARCH("high traffic",E840)),"High Traffic Mix",
ISNUMBER(SEARCH("quick fix",E840)),"Quick Fix Mix",
ISNUMBER(SEARCH("starter",E840)),"Starter Fertilizer",
ISNUMBER(SEARCH("weed &amp; feed",E840)),"Weed &amp; Feed",
ISNUMBER(SEARCH("lawn food",E840)),"Lawn Food",
ISNUMBER(SEARCH("triple action",E840)),"Triple Action Fertilizer",
ISNUMBER(SEARCH("green max",E840)),"Green Max Lawn Food",
ISNUMBER(SEARCH("patchmaster",E840)),"PatchMaster Repair",
ISNUMBER(SEARCH("ez seed",E840)),"EZ Seed Repair",
ISNUMBER(SEARCH("rapid grass",E840)),"Rapid Grass",
ISNUMBER(SEARCH("thick'r lawn",E840)),"Thick'R Lawn",
ISNUMBER(SEARCH("fungicide",E840)),"Fungicide",
ISNUMBER(SEARCH("moss",E840)),"Moss Control",
ISNUMBER(SEARCH("perlite",E840)),"Perlite",
ISNUMBER(SEARCH("plant food",E840)),"Plant Food",
ISNUMBER(SEARCH("spreader",E840)),"Spreader",
ISNUMBER(SEARCH("sprayer",E840)),"Sprayer",
ISNUMBER(SEARCH("mower",E840)),"Lawn Mower",
ISNUMBER(SEARCH("sweeper",E840)),"Lawn Sweeper",
OR(ISNUMBER(SEARCH("pruner",E840)),ISNUMBER(SEARCH("trimmer",E840)),ISNUMBER(SEARCH("pole saw",E840))),"Pruning Tools",
TRUE,"Other"
)</f>
        <v>Repellents</v>
      </c>
      <c r="J840" s="7" t="str">
        <f t="shared" si="249"/>
        <v>Rodent Control - Repellents</v>
      </c>
      <c r="K840" s="4">
        <v>9000</v>
      </c>
      <c r="L840" s="4">
        <v>4</v>
      </c>
      <c r="M840" s="4">
        <v>7374</v>
      </c>
      <c r="N840" s="4" t="s">
        <v>2136</v>
      </c>
      <c r="O840" s="4">
        <f>VLOOKUP(A840,[17]Sheet1!$A:$M,2,0)</f>
        <v>2000</v>
      </c>
      <c r="P840" s="4">
        <f>VLOOKUP(A840,[17]Sheet1!$A:$M,3,0)</f>
        <v>1000</v>
      </c>
      <c r="Q840" s="4">
        <f>VLOOKUP(A840,[17]Sheet1!$A:$M,4,0)</f>
        <v>1000</v>
      </c>
      <c r="R840" s="4">
        <f>VLOOKUP(A840,[17]Sheet1!$A:$M,5,0)</f>
        <v>1000</v>
      </c>
      <c r="S840" s="4">
        <f>VLOOKUP(A840,[17]Sheet1!$A:$M,6,0)</f>
        <v>1000</v>
      </c>
      <c r="T840" s="4">
        <f>VLOOKUP(A840,[17]Sheet1!$A:$M,7,0)</f>
        <v>2000</v>
      </c>
      <c r="U840" s="4">
        <f>VLOOKUP(A840,[17]Sheet1!$A:$M,8,0)</f>
        <v>3000</v>
      </c>
      <c r="V840" s="4">
        <f>VLOOKUP(A840,[17]Sheet1!$A:$M,9,0)</f>
        <v>5000</v>
      </c>
      <c r="W840" s="4">
        <f>VLOOKUP(A840,[17]Sheet1!$A:$M,10,0)</f>
        <v>9000</v>
      </c>
      <c r="X840" s="4">
        <f>VLOOKUP(A840,[17]Sheet1!$A:$M,11,0)</f>
        <v>7000</v>
      </c>
      <c r="Y840" s="4">
        <f>VLOOKUP(A840,[17]Sheet1!$A:$M,12,0)</f>
        <v>6000</v>
      </c>
      <c r="Z840" s="4">
        <f>VLOOKUP(A840,[17]Sheet1!$A:$M,13,0)</f>
        <v>4000</v>
      </c>
      <c r="AA840" s="4">
        <f t="shared" si="258"/>
        <v>42000</v>
      </c>
      <c r="AB840" s="7">
        <f t="shared" si="259"/>
        <v>3500</v>
      </c>
      <c r="AC840" s="15">
        <f t="shared" si="260"/>
        <v>3500</v>
      </c>
      <c r="AD840" s="16">
        <f t="shared" si="261"/>
        <v>1343580</v>
      </c>
      <c r="AE840" s="16">
        <f t="shared" si="248"/>
        <v>111965</v>
      </c>
      <c r="AF840" s="21">
        <v>9.0399999999999991</v>
      </c>
      <c r="AG840" s="21">
        <v>31.99</v>
      </c>
      <c r="AH840" s="15">
        <f t="shared" si="242"/>
        <v>0.18373333333333336</v>
      </c>
      <c r="AI840" s="15">
        <f t="shared" si="243"/>
        <v>0.64306666666666668</v>
      </c>
      <c r="AJ840" s="10">
        <v>0.5</v>
      </c>
      <c r="AK840" s="10">
        <v>0.5</v>
      </c>
      <c r="AL840" s="21">
        <v>9.0399999999999991</v>
      </c>
      <c r="AM840" s="9">
        <f t="shared" si="262"/>
        <v>4.7984999999999998</v>
      </c>
      <c r="AN840" s="9">
        <f t="shared" si="263"/>
        <v>0.95969999999999989</v>
      </c>
      <c r="AO840" s="9">
        <f t="shared" si="264"/>
        <v>6.3979999999999997</v>
      </c>
      <c r="AP840" s="9">
        <f t="shared" si="265"/>
        <v>0.63980000000000004</v>
      </c>
      <c r="AQ840" s="9">
        <f t="shared" si="266"/>
        <v>6.3979999999999997</v>
      </c>
      <c r="AR840" s="9">
        <f t="shared" si="267"/>
        <v>7.9974999999999996</v>
      </c>
      <c r="AS840" s="11">
        <f t="shared" si="268"/>
        <v>1.8373333333333335</v>
      </c>
      <c r="AT840" s="12">
        <f t="shared" si="269"/>
        <v>0.77100000000000024</v>
      </c>
    </row>
    <row r="841" spans="1:46" ht="16.5" x14ac:dyDescent="0.4">
      <c r="A841" s="4" t="s">
        <v>3799</v>
      </c>
      <c r="B841" s="4" t="s">
        <v>3821</v>
      </c>
      <c r="C841" s="4" t="s">
        <v>3821</v>
      </c>
      <c r="D841" s="4" t="s">
        <v>3824</v>
      </c>
      <c r="E841" s="4" t="s">
        <v>3848</v>
      </c>
      <c r="F841" s="4" t="s">
        <v>3872</v>
      </c>
      <c r="G841" s="7" t="str">
        <f>VLOOKUP(A841,[1]done!$A:$I,9,0)</f>
        <v>Rodent</v>
      </c>
      <c r="H841" s="7" t="str" cm="1">
        <f t="array" ref="H841">_xlfn.IFS(
OR(ISNUMBER(SEARCH("mouse",E841)),ISNUMBER(SEARCH("rat",E841)),ISNUMBER(SEARCH("mice",E841)),ISNUMBER(SEARCH("rodent",E841))),"Rodent Control",
OR(ISNUMBER(SEARCH("fly",E841)),ISNUMBER(SEARCH("gnat",E841)),ISNUMBER(SEARCH("insect",E841)),ISNUMBER(SEARCH("mosquito",E841))),"Flying Insect Control",
OR(ISNUMBER(SEARCH("roach",E841)),ISNUMBER(SEARCH("ant",E841)),ISNUMBER(SEARCH("spider",E841)),ISNUMBER(SEARCH("cricket",E841)),ISNUMBER(SEARCH("scorpion",E841)),ISNUMBER(SEARCH("centipede",E841)),ISNUMBER(SEARCH("beetle",E841))),"Crawling Insect Control",
OR(ISNUMBER(SEARCH("tree",E841)),ISNUMBER(SEARCH("lantern",E841)),ISNUMBER(SEARCH("garden",E841)),ISNUMBER(SEARCH("plant",E841))),"Garden Pest Control",
OR(ISNUMBER(SEARCH("grass seed",E841)),ISNUMBER(SEARCH("seed mix",E841))),"Grass Seed",
OR(ISNUMBER(SEARCH("lawn food",E841)),ISNUMBER(SEARCH("fertilizer",E841))),"Lawn Fertilizer",
OR(ISNUMBER(SEARCH("patch",E841)),ISNUMBER(SEARCH("repair",E841)),ISNUMBER(SEARCH("thick'r",E841)),ISNUMBER(SEARCH("thick'r lawn",E841)),ISNUMBER(SEARCH("rapid grass",E841))),"Lawn Repair",
OR(ISNUMBER(SEARCH("weed",E841)),ISNUMBER(SEARCH("crabgrass",E841))),"Weed Control",
OR(ISNUMBER(SEARCH("fungicide",E841)),ISNUMBER(SEARCH("moss",E841))),"Disease &amp; Moss Control",
OR(ISNUMBER(SEARCH("plant food",E841)),ISNUMBER(SEARCH("miracid",E841))),"Plant Nutrition",
OR(ISNUMBER(SEARCH("perlite",E841))),"Soil Amendment",
OR(ISNUMBER(SEARCH("spreader",E841)),ISNUMBER(SEARCH("sprayer",E841)),ISNUMBER(SEARCH("mower",E841)),ISNUMBER(SEARCH("sweeper",E841)),ISNUMBER(SEARCH("pruner",E841)),ISNUMBER(SEARCH("trimmer",E841)),ISNUMBER(SEARCH("pole saw",E841))),"Garden Equipment",
TRUE,"Other"
)</f>
        <v>Rodent Control</v>
      </c>
      <c r="I841" s="7" t="str" cm="1">
        <f t="array" ref="I841">_xlfn.IFS(
OR(ISNUMBER(SEARCH("glue trap",E841)),ISNUMBER(SEARCH("glue board",E841))),"Glue Traps",
OR(ISNUMBER(SEARCH("snap trap",E841)),ISNUMBER(SEARCH("power-kill",E841)),ISNUMBER(SEARCH("wide pedal",E841)),ISNUMBER(SEARCH("metal pedal",E841))),"Snap Traps",
OR(ISNUMBER(SEARCH("electronic",E841)),ISNUMBER(SEARCH("zapper",E841))),"Electronic Traps",
OR(ISNUMBER(SEARCH("live catch",E841)),ISNUMBER(SEARCH("multi-catch",E841)),ISNUMBER(SEARCH("catch &amp; hold",E841)),ISNUMBER(SEARCH("tin cat",E841))),"Live Catch Traps",
OR(ISNUMBER(SEARCH("bait",E841)),ISNUMBER(SEARCH("poison",E841))),"Bait &amp; Poison",
ISNUMBER(SEARCH("repellent",E841)),"Repellents",
OR(ISNUMBER(SEARCH("fly trap",E841)),ISNUMBER(SEARCH("fly ribbon",E841)),ISNUMBER(SEARCH("fly stick",E841)),ISNUMBER(SEARCH("window fly",E841)),ISNUMBER(SEARCH("fly magnet",E841))),"Fly Traps",
OR(ISNUMBER(SEARCH("uv",E841)),ISNUMBER(SEARCH("fly light",E841)),ISNUMBER(SEARCH("plug-in",E841))),"UV Fly Traps",
ISNUMBER(SEARCH("roach",E841)),"Roach Traps",
ISNUMBER(SEARCH("ant",E841)),"Ant Traps",
ISNUMBER(SEARCH("spider",E841)),"Spider Traps",
ISNUMBER(SEARCH("mosquito",E841)),"Mosquito Traps",
ISNUMBER(SEARCH("beetle",E841)),"Beetle Traps",
ISNUMBER(SEARCH("lantern",E841)),"Lanternfly Control",
OR(ISNUMBER(SEARCH("tree shield",E841)),ISNUMBER(SEARCH("tree banding",E841)),ISNUMBER(SEARCH("insect barrier",E841))),"Tree Barriers",
OR(ISNUMBER(SEARCH("sun &amp; shade",E841)),ISNUMBER(SEARCH("sun and shade",E841))),"Sun &amp; Shade Mix",
ISNUMBER(SEARCH("tall fescue",E841)),"Tall Fescue",
ISNUMBER(SEARCH("bermudagrass",E841)),"Bermudagrass",
ISNUMBER(SEARCH("kentucky",E841)),"Kentucky Bluegrass",
ISNUMBER(SEARCH("zoysia",E841)),"Zoysia",
ISNUMBER(SEARCH("ryegrass",E841)),"Perennial Ryegrass",
ISNUMBER(SEARCH("centipede",E841)),"Centipede Grass",
ISNUMBER(SEARCH("dense shade",E841)),"Dense Shade Mix",
ISNUMBER(SEARCH("southern gold",E841)),"Southern Gold Mix",
ISNUMBER(SEARCH("heat-tolerant blue",E841)),"Heat-Tolerant Blue Mix",
ISNUMBER(SEARCH("high traffic",E841)),"High Traffic Mix",
ISNUMBER(SEARCH("quick fix",E841)),"Quick Fix Mix",
ISNUMBER(SEARCH("starter",E841)),"Starter Fertilizer",
ISNUMBER(SEARCH("weed &amp; feed",E841)),"Weed &amp; Feed",
ISNUMBER(SEARCH("lawn food",E841)),"Lawn Food",
ISNUMBER(SEARCH("triple action",E841)),"Triple Action Fertilizer",
ISNUMBER(SEARCH("green max",E841)),"Green Max Lawn Food",
ISNUMBER(SEARCH("patchmaster",E841)),"PatchMaster Repair",
ISNUMBER(SEARCH("ez seed",E841)),"EZ Seed Repair",
ISNUMBER(SEARCH("rapid grass",E841)),"Rapid Grass",
ISNUMBER(SEARCH("thick'r lawn",E841)),"Thick'R Lawn",
ISNUMBER(SEARCH("fungicide",E841)),"Fungicide",
ISNUMBER(SEARCH("moss",E841)),"Moss Control",
ISNUMBER(SEARCH("perlite",E841)),"Perlite",
ISNUMBER(SEARCH("plant food",E841)),"Plant Food",
ISNUMBER(SEARCH("spreader",E841)),"Spreader",
ISNUMBER(SEARCH("sprayer",E841)),"Sprayer",
ISNUMBER(SEARCH("mower",E841)),"Lawn Mower",
ISNUMBER(SEARCH("sweeper",E841)),"Lawn Sweeper",
OR(ISNUMBER(SEARCH("pruner",E841)),ISNUMBER(SEARCH("trimmer",E841)),ISNUMBER(SEARCH("pole saw",E841))),"Pruning Tools",
TRUE,"Other"
)</f>
        <v>Repellents</v>
      </c>
      <c r="J841" s="7" t="str">
        <f t="shared" si="249"/>
        <v>Rodent Control - Repellents</v>
      </c>
      <c r="K841" s="4">
        <v>5000</v>
      </c>
      <c r="L841" s="4">
        <v>4.0999999999999996</v>
      </c>
      <c r="M841" s="4">
        <v>29137</v>
      </c>
      <c r="N841" s="4" t="s">
        <v>3895</v>
      </c>
      <c r="O841" s="4">
        <f>VLOOKUP(A841,[17]Sheet1!$A:$M,2,0)</f>
        <v>1000</v>
      </c>
      <c r="P841" s="4">
        <f>VLOOKUP(A841,[17]Sheet1!$A:$M,3,0)</f>
        <v>1000</v>
      </c>
      <c r="Q841" s="4">
        <f>VLOOKUP(A841,[17]Sheet1!$A:$M,4,0)</f>
        <v>1000</v>
      </c>
      <c r="R841" s="4">
        <f>VLOOKUP(A841,[17]Sheet1!$A:$M,5,0)</f>
        <v>1000</v>
      </c>
      <c r="S841" s="4">
        <f>VLOOKUP(A841,[17]Sheet1!$A:$M,6,0)</f>
        <v>1000</v>
      </c>
      <c r="T841" s="4">
        <f>VLOOKUP(A841,[17]Sheet1!$A:$M,7,0)</f>
        <v>2000</v>
      </c>
      <c r="U841" s="4">
        <f>VLOOKUP(A841,[17]Sheet1!$A:$M,8,0)</f>
        <v>2000</v>
      </c>
      <c r="V841" s="4">
        <f>VLOOKUP(A841,[17]Sheet1!$A:$M,9,0)</f>
        <v>2000</v>
      </c>
      <c r="W841" s="4">
        <f>VLOOKUP(A841,[17]Sheet1!$A:$M,10,0)</f>
        <v>5000</v>
      </c>
      <c r="X841" s="4">
        <f>VLOOKUP(A841,[17]Sheet1!$A:$M,11,0)</f>
        <v>2000</v>
      </c>
      <c r="Y841" s="4">
        <f>VLOOKUP(A841,[17]Sheet1!$A:$M,12,0)</f>
        <v>3000</v>
      </c>
      <c r="Z841" s="4">
        <f>VLOOKUP(A841,[17]Sheet1!$A:$M,13,0)</f>
        <v>2000</v>
      </c>
      <c r="AA841" s="4">
        <f t="shared" si="258"/>
        <v>23000</v>
      </c>
      <c r="AB841" s="7">
        <f t="shared" si="259"/>
        <v>1917</v>
      </c>
      <c r="AC841" s="15">
        <f t="shared" si="260"/>
        <v>1916.6666666666667</v>
      </c>
      <c r="AD841" s="16">
        <f t="shared" si="261"/>
        <v>1034770</v>
      </c>
      <c r="AE841" s="16">
        <f t="shared" si="248"/>
        <v>86230.833333333343</v>
      </c>
      <c r="AF841" s="21">
        <v>6.02</v>
      </c>
      <c r="AG841" s="21">
        <v>44.99</v>
      </c>
      <c r="AH841" s="15">
        <f t="shared" si="242"/>
        <v>0.73173333333333335</v>
      </c>
      <c r="AI841" s="15">
        <f t="shared" si="243"/>
        <v>2.5610666666666666</v>
      </c>
      <c r="AJ841" s="10">
        <v>0.5</v>
      </c>
      <c r="AK841" s="10">
        <v>0.5</v>
      </c>
      <c r="AL841" s="21">
        <v>6.02</v>
      </c>
      <c r="AM841" s="9">
        <f t="shared" si="262"/>
        <v>6.7484999999999999</v>
      </c>
      <c r="AN841" s="9">
        <f t="shared" si="263"/>
        <v>1.3496999999999999</v>
      </c>
      <c r="AO841" s="9">
        <f t="shared" si="264"/>
        <v>8.9980000000000011</v>
      </c>
      <c r="AP841" s="9">
        <f t="shared" si="265"/>
        <v>0.89980000000000004</v>
      </c>
      <c r="AQ841" s="9">
        <f t="shared" si="266"/>
        <v>8.9980000000000011</v>
      </c>
      <c r="AR841" s="9">
        <f t="shared" si="267"/>
        <v>11.2475</v>
      </c>
      <c r="AS841" s="11">
        <f t="shared" si="268"/>
        <v>7.317333333333333</v>
      </c>
      <c r="AT841" s="12">
        <f t="shared" si="269"/>
        <v>5.8176666666666668</v>
      </c>
    </row>
    <row r="842" spans="1:46" ht="16.5" x14ac:dyDescent="0.4">
      <c r="A842" s="4" t="s">
        <v>3800</v>
      </c>
      <c r="B842" s="4" t="s">
        <v>3821</v>
      </c>
      <c r="C842" s="4" t="s">
        <v>3821</v>
      </c>
      <c r="D842" s="4" t="s">
        <v>3825</v>
      </c>
      <c r="E842" s="4" t="s">
        <v>3849</v>
      </c>
      <c r="F842" s="4" t="s">
        <v>3873</v>
      </c>
      <c r="G842" s="7" t="str">
        <f>VLOOKUP(A842,[1]done!$A:$I,9,0)</f>
        <v>Rodent</v>
      </c>
      <c r="H842" s="7" t="str" cm="1">
        <f t="array" ref="H842">_xlfn.IFS(
OR(ISNUMBER(SEARCH("mouse",E842)),ISNUMBER(SEARCH("rat",E842)),ISNUMBER(SEARCH("mice",E842)),ISNUMBER(SEARCH("rodent",E842))),"Rodent Control",
OR(ISNUMBER(SEARCH("fly",E842)),ISNUMBER(SEARCH("gnat",E842)),ISNUMBER(SEARCH("insect",E842)),ISNUMBER(SEARCH("mosquito",E842))),"Flying Insect Control",
OR(ISNUMBER(SEARCH("roach",E842)),ISNUMBER(SEARCH("ant",E842)),ISNUMBER(SEARCH("spider",E842)),ISNUMBER(SEARCH("cricket",E842)),ISNUMBER(SEARCH("scorpion",E842)),ISNUMBER(SEARCH("centipede",E842)),ISNUMBER(SEARCH("beetle",E842))),"Crawling Insect Control",
OR(ISNUMBER(SEARCH("tree",E842)),ISNUMBER(SEARCH("lantern",E842)),ISNUMBER(SEARCH("garden",E842)),ISNUMBER(SEARCH("plant",E842))),"Garden Pest Control",
OR(ISNUMBER(SEARCH("grass seed",E842)),ISNUMBER(SEARCH("seed mix",E842))),"Grass Seed",
OR(ISNUMBER(SEARCH("lawn food",E842)),ISNUMBER(SEARCH("fertilizer",E842))),"Lawn Fertilizer",
OR(ISNUMBER(SEARCH("patch",E842)),ISNUMBER(SEARCH("repair",E842)),ISNUMBER(SEARCH("thick'r",E842)),ISNUMBER(SEARCH("thick'r lawn",E842)),ISNUMBER(SEARCH("rapid grass",E842))),"Lawn Repair",
OR(ISNUMBER(SEARCH("weed",E842)),ISNUMBER(SEARCH("crabgrass",E842))),"Weed Control",
OR(ISNUMBER(SEARCH("fungicide",E842)),ISNUMBER(SEARCH("moss",E842))),"Disease &amp; Moss Control",
OR(ISNUMBER(SEARCH("plant food",E842)),ISNUMBER(SEARCH("miracid",E842))),"Plant Nutrition",
OR(ISNUMBER(SEARCH("perlite",E842))),"Soil Amendment",
OR(ISNUMBER(SEARCH("spreader",E842)),ISNUMBER(SEARCH("sprayer",E842)),ISNUMBER(SEARCH("mower",E842)),ISNUMBER(SEARCH("sweeper",E842)),ISNUMBER(SEARCH("pruner",E842)),ISNUMBER(SEARCH("trimmer",E842)),ISNUMBER(SEARCH("pole saw",E842))),"Garden Equipment",
TRUE,"Other"
)</f>
        <v>Rodent Control</v>
      </c>
      <c r="I842" s="7" t="str" cm="1">
        <f t="array" ref="I842">_xlfn.IFS(
OR(ISNUMBER(SEARCH("glue trap",E842)),ISNUMBER(SEARCH("glue board",E842))),"Glue Traps",
OR(ISNUMBER(SEARCH("snap trap",E842)),ISNUMBER(SEARCH("power-kill",E842)),ISNUMBER(SEARCH("wide pedal",E842)),ISNUMBER(SEARCH("metal pedal",E842))),"Snap Traps",
OR(ISNUMBER(SEARCH("electronic",E842)),ISNUMBER(SEARCH("zapper",E842))),"Electronic Traps",
OR(ISNUMBER(SEARCH("live catch",E842)),ISNUMBER(SEARCH("multi-catch",E842)),ISNUMBER(SEARCH("catch &amp; hold",E842)),ISNUMBER(SEARCH("tin cat",E842))),"Live Catch Traps",
OR(ISNUMBER(SEARCH("bait",E842)),ISNUMBER(SEARCH("poison",E842))),"Bait &amp; Poison",
ISNUMBER(SEARCH("repellent",E842)),"Repellents",
OR(ISNUMBER(SEARCH("fly trap",E842)),ISNUMBER(SEARCH("fly ribbon",E842)),ISNUMBER(SEARCH("fly stick",E842)),ISNUMBER(SEARCH("window fly",E842)),ISNUMBER(SEARCH("fly magnet",E842))),"Fly Traps",
OR(ISNUMBER(SEARCH("uv",E842)),ISNUMBER(SEARCH("fly light",E842)),ISNUMBER(SEARCH("plug-in",E842))),"UV Fly Traps",
ISNUMBER(SEARCH("roach",E842)),"Roach Traps",
ISNUMBER(SEARCH("ant",E842)),"Ant Traps",
ISNUMBER(SEARCH("spider",E842)),"Spider Traps",
ISNUMBER(SEARCH("mosquito",E842)),"Mosquito Traps",
ISNUMBER(SEARCH("beetle",E842)),"Beetle Traps",
ISNUMBER(SEARCH("lantern",E842)),"Lanternfly Control",
OR(ISNUMBER(SEARCH("tree shield",E842)),ISNUMBER(SEARCH("tree banding",E842)),ISNUMBER(SEARCH("insect barrier",E842))),"Tree Barriers",
OR(ISNUMBER(SEARCH("sun &amp; shade",E842)),ISNUMBER(SEARCH("sun and shade",E842))),"Sun &amp; Shade Mix",
ISNUMBER(SEARCH("tall fescue",E842)),"Tall Fescue",
ISNUMBER(SEARCH("bermudagrass",E842)),"Bermudagrass",
ISNUMBER(SEARCH("kentucky",E842)),"Kentucky Bluegrass",
ISNUMBER(SEARCH("zoysia",E842)),"Zoysia",
ISNUMBER(SEARCH("ryegrass",E842)),"Perennial Ryegrass",
ISNUMBER(SEARCH("centipede",E842)),"Centipede Grass",
ISNUMBER(SEARCH("dense shade",E842)),"Dense Shade Mix",
ISNUMBER(SEARCH("southern gold",E842)),"Southern Gold Mix",
ISNUMBER(SEARCH("heat-tolerant blue",E842)),"Heat-Tolerant Blue Mix",
ISNUMBER(SEARCH("high traffic",E842)),"High Traffic Mix",
ISNUMBER(SEARCH("quick fix",E842)),"Quick Fix Mix",
ISNUMBER(SEARCH("starter",E842)),"Starter Fertilizer",
ISNUMBER(SEARCH("weed &amp; feed",E842)),"Weed &amp; Feed",
ISNUMBER(SEARCH("lawn food",E842)),"Lawn Food",
ISNUMBER(SEARCH("triple action",E842)),"Triple Action Fertilizer",
ISNUMBER(SEARCH("green max",E842)),"Green Max Lawn Food",
ISNUMBER(SEARCH("patchmaster",E842)),"PatchMaster Repair",
ISNUMBER(SEARCH("ez seed",E842)),"EZ Seed Repair",
ISNUMBER(SEARCH("rapid grass",E842)),"Rapid Grass",
ISNUMBER(SEARCH("thick'r lawn",E842)),"Thick'R Lawn",
ISNUMBER(SEARCH("fungicide",E842)),"Fungicide",
ISNUMBER(SEARCH("moss",E842)),"Moss Control",
ISNUMBER(SEARCH("perlite",E842)),"Perlite",
ISNUMBER(SEARCH("plant food",E842)),"Plant Food",
ISNUMBER(SEARCH("spreader",E842)),"Spreader",
ISNUMBER(SEARCH("sprayer",E842)),"Sprayer",
ISNUMBER(SEARCH("mower",E842)),"Lawn Mower",
ISNUMBER(SEARCH("sweeper",E842)),"Lawn Sweeper",
OR(ISNUMBER(SEARCH("pruner",E842)),ISNUMBER(SEARCH("trimmer",E842)),ISNUMBER(SEARCH("pole saw",E842))),"Pruning Tools",
TRUE,"Other"
)</f>
        <v>Repellents</v>
      </c>
      <c r="J842" s="7" t="str">
        <f t="shared" si="249"/>
        <v>Rodent Control - Repellents</v>
      </c>
      <c r="K842" s="4">
        <v>5000</v>
      </c>
      <c r="L842" s="4">
        <v>4</v>
      </c>
      <c r="M842" s="4">
        <v>7359</v>
      </c>
      <c r="N842" s="4" t="s">
        <v>3670</v>
      </c>
      <c r="O842" s="4">
        <f>VLOOKUP(A842,[17]Sheet1!$A:$M,2,0)</f>
        <v>3000</v>
      </c>
      <c r="P842" s="4">
        <f>VLOOKUP(A842,[17]Sheet1!$A:$M,3,0)</f>
        <v>3000</v>
      </c>
      <c r="Q842" s="4">
        <f>VLOOKUP(A842,[17]Sheet1!$A:$M,4,0)</f>
        <v>2000</v>
      </c>
      <c r="R842" s="4">
        <f>VLOOKUP(A842,[17]Sheet1!$A:$M,5,0)</f>
        <v>2000</v>
      </c>
      <c r="S842" s="4">
        <f>VLOOKUP(A842,[17]Sheet1!$A:$M,6,0)</f>
        <v>1000</v>
      </c>
      <c r="T842" s="4">
        <f>VLOOKUP(A842,[17]Sheet1!$A:$M,7,0)</f>
        <v>3000</v>
      </c>
      <c r="U842" s="4">
        <f>VLOOKUP(A842,[17]Sheet1!$A:$M,8,0)</f>
        <v>3000</v>
      </c>
      <c r="V842" s="4">
        <f>VLOOKUP(A842,[17]Sheet1!$A:$M,9,0)</f>
        <v>3000</v>
      </c>
      <c r="W842" s="4">
        <f>VLOOKUP(A842,[17]Sheet1!$A:$M,10,0)</f>
        <v>5000</v>
      </c>
      <c r="X842" s="4">
        <f>VLOOKUP(A842,[17]Sheet1!$A:$M,11,0)</f>
        <v>6000</v>
      </c>
      <c r="Y842" s="4">
        <f>VLOOKUP(A842,[17]Sheet1!$A:$M,12,0)</f>
        <v>5000</v>
      </c>
      <c r="Z842" s="4">
        <f>VLOOKUP(A842,[17]Sheet1!$A:$M,13,0)</f>
        <v>4000</v>
      </c>
      <c r="AA842" s="4">
        <f t="shared" si="258"/>
        <v>40000</v>
      </c>
      <c r="AB842" s="7">
        <f t="shared" si="259"/>
        <v>3333</v>
      </c>
      <c r="AC842" s="15">
        <f t="shared" si="260"/>
        <v>3333.3333333333335</v>
      </c>
      <c r="AD842" s="16">
        <f t="shared" si="261"/>
        <v>759599.99999999988</v>
      </c>
      <c r="AE842" s="16">
        <f t="shared" si="248"/>
        <v>63300</v>
      </c>
      <c r="AF842" s="21">
        <v>5.22</v>
      </c>
      <c r="AG842" s="21">
        <v>18.989999999999998</v>
      </c>
      <c r="AH842" s="15">
        <f t="shared" si="242"/>
        <v>9.1733333333333236E-2</v>
      </c>
      <c r="AI842" s="15">
        <f t="shared" si="243"/>
        <v>0.32106666666666628</v>
      </c>
      <c r="AJ842" s="10">
        <v>0.5</v>
      </c>
      <c r="AK842" s="10">
        <v>0.5</v>
      </c>
      <c r="AL842" s="21">
        <v>5.22</v>
      </c>
      <c r="AM842" s="9">
        <f t="shared" si="262"/>
        <v>2.8484999999999996</v>
      </c>
      <c r="AN842" s="9">
        <f t="shared" si="263"/>
        <v>0.56969999999999998</v>
      </c>
      <c r="AO842" s="9">
        <f t="shared" si="264"/>
        <v>3.798</v>
      </c>
      <c r="AP842" s="9">
        <f t="shared" si="265"/>
        <v>0.37979999999999997</v>
      </c>
      <c r="AQ842" s="9">
        <f t="shared" si="266"/>
        <v>3.798</v>
      </c>
      <c r="AR842" s="9">
        <f t="shared" si="267"/>
        <v>4.7474999999999996</v>
      </c>
      <c r="AS842" s="11">
        <f t="shared" si="268"/>
        <v>0.91733333333333233</v>
      </c>
      <c r="AT842" s="12">
        <f t="shared" si="269"/>
        <v>0.28433333333333266</v>
      </c>
    </row>
    <row r="843" spans="1:46" ht="16.5" x14ac:dyDescent="0.4">
      <c r="A843" s="4" t="s">
        <v>3801</v>
      </c>
      <c r="B843" s="4" t="s">
        <v>3821</v>
      </c>
      <c r="C843" s="4" t="s">
        <v>3821</v>
      </c>
      <c r="D843" s="4" t="s">
        <v>3826</v>
      </c>
      <c r="E843" s="4" t="s">
        <v>3850</v>
      </c>
      <c r="F843" s="4" t="s">
        <v>3874</v>
      </c>
      <c r="G843" s="7" t="str">
        <f>VLOOKUP(A843,[1]done!$A:$I,9,0)</f>
        <v>Rodent</v>
      </c>
      <c r="H843" s="7" t="str" cm="1">
        <f t="array" ref="H843">_xlfn.IFS(
OR(ISNUMBER(SEARCH("mouse",E843)),ISNUMBER(SEARCH("rat",E843)),ISNUMBER(SEARCH("mice",E843)),ISNUMBER(SEARCH("rodent",E843))),"Rodent Control",
OR(ISNUMBER(SEARCH("fly",E843)),ISNUMBER(SEARCH("gnat",E843)),ISNUMBER(SEARCH("insect",E843)),ISNUMBER(SEARCH("mosquito",E843))),"Flying Insect Control",
OR(ISNUMBER(SEARCH("roach",E843)),ISNUMBER(SEARCH("ant",E843)),ISNUMBER(SEARCH("spider",E843)),ISNUMBER(SEARCH("cricket",E843)),ISNUMBER(SEARCH("scorpion",E843)),ISNUMBER(SEARCH("centipede",E843)),ISNUMBER(SEARCH("beetle",E843))),"Crawling Insect Control",
OR(ISNUMBER(SEARCH("tree",E843)),ISNUMBER(SEARCH("lantern",E843)),ISNUMBER(SEARCH("garden",E843)),ISNUMBER(SEARCH("plant",E843))),"Garden Pest Control",
OR(ISNUMBER(SEARCH("grass seed",E843)),ISNUMBER(SEARCH("seed mix",E843))),"Grass Seed",
OR(ISNUMBER(SEARCH("lawn food",E843)),ISNUMBER(SEARCH("fertilizer",E843))),"Lawn Fertilizer",
OR(ISNUMBER(SEARCH("patch",E843)),ISNUMBER(SEARCH("repair",E843)),ISNUMBER(SEARCH("thick'r",E843)),ISNUMBER(SEARCH("thick'r lawn",E843)),ISNUMBER(SEARCH("rapid grass",E843))),"Lawn Repair",
OR(ISNUMBER(SEARCH("weed",E843)),ISNUMBER(SEARCH("crabgrass",E843))),"Weed Control",
OR(ISNUMBER(SEARCH("fungicide",E843)),ISNUMBER(SEARCH("moss",E843))),"Disease &amp; Moss Control",
OR(ISNUMBER(SEARCH("plant food",E843)),ISNUMBER(SEARCH("miracid",E843))),"Plant Nutrition",
OR(ISNUMBER(SEARCH("perlite",E843))),"Soil Amendment",
OR(ISNUMBER(SEARCH("spreader",E843)),ISNUMBER(SEARCH("sprayer",E843)),ISNUMBER(SEARCH("mower",E843)),ISNUMBER(SEARCH("sweeper",E843)),ISNUMBER(SEARCH("pruner",E843)),ISNUMBER(SEARCH("trimmer",E843)),ISNUMBER(SEARCH("pole saw",E843))),"Garden Equipment",
TRUE,"Other"
)</f>
        <v>Rodent Control</v>
      </c>
      <c r="I843" s="7" t="str" cm="1">
        <f t="array" ref="I843">_xlfn.IFS(
OR(ISNUMBER(SEARCH("glue trap",E843)),ISNUMBER(SEARCH("glue board",E843))),"Glue Traps",
OR(ISNUMBER(SEARCH("snap trap",E843)),ISNUMBER(SEARCH("power-kill",E843)),ISNUMBER(SEARCH("wide pedal",E843)),ISNUMBER(SEARCH("metal pedal",E843))),"Snap Traps",
OR(ISNUMBER(SEARCH("electronic",E843)),ISNUMBER(SEARCH("zapper",E843))),"Electronic Traps",
OR(ISNUMBER(SEARCH("live catch",E843)),ISNUMBER(SEARCH("multi-catch",E843)),ISNUMBER(SEARCH("catch &amp; hold",E843)),ISNUMBER(SEARCH("tin cat",E843))),"Live Catch Traps",
OR(ISNUMBER(SEARCH("bait",E843)),ISNUMBER(SEARCH("poison",E843))),"Bait &amp; Poison",
ISNUMBER(SEARCH("repellent",E843)),"Repellents",
OR(ISNUMBER(SEARCH("fly trap",E843)),ISNUMBER(SEARCH("fly ribbon",E843)),ISNUMBER(SEARCH("fly stick",E843)),ISNUMBER(SEARCH("window fly",E843)),ISNUMBER(SEARCH("fly magnet",E843))),"Fly Traps",
OR(ISNUMBER(SEARCH("uv",E843)),ISNUMBER(SEARCH("fly light",E843)),ISNUMBER(SEARCH("plug-in",E843))),"UV Fly Traps",
ISNUMBER(SEARCH("roach",E843)),"Roach Traps",
ISNUMBER(SEARCH("ant",E843)),"Ant Traps",
ISNUMBER(SEARCH("spider",E843)),"Spider Traps",
ISNUMBER(SEARCH("mosquito",E843)),"Mosquito Traps",
ISNUMBER(SEARCH("beetle",E843)),"Beetle Traps",
ISNUMBER(SEARCH("lantern",E843)),"Lanternfly Control",
OR(ISNUMBER(SEARCH("tree shield",E843)),ISNUMBER(SEARCH("tree banding",E843)),ISNUMBER(SEARCH("insect barrier",E843))),"Tree Barriers",
OR(ISNUMBER(SEARCH("sun &amp; shade",E843)),ISNUMBER(SEARCH("sun and shade",E843))),"Sun &amp; Shade Mix",
ISNUMBER(SEARCH("tall fescue",E843)),"Tall Fescue",
ISNUMBER(SEARCH("bermudagrass",E843)),"Bermudagrass",
ISNUMBER(SEARCH("kentucky",E843)),"Kentucky Bluegrass",
ISNUMBER(SEARCH("zoysia",E843)),"Zoysia",
ISNUMBER(SEARCH("ryegrass",E843)),"Perennial Ryegrass",
ISNUMBER(SEARCH("centipede",E843)),"Centipede Grass",
ISNUMBER(SEARCH("dense shade",E843)),"Dense Shade Mix",
ISNUMBER(SEARCH("southern gold",E843)),"Southern Gold Mix",
ISNUMBER(SEARCH("heat-tolerant blue",E843)),"Heat-Tolerant Blue Mix",
ISNUMBER(SEARCH("high traffic",E843)),"High Traffic Mix",
ISNUMBER(SEARCH("quick fix",E843)),"Quick Fix Mix",
ISNUMBER(SEARCH("starter",E843)),"Starter Fertilizer",
ISNUMBER(SEARCH("weed &amp; feed",E843)),"Weed &amp; Feed",
ISNUMBER(SEARCH("lawn food",E843)),"Lawn Food",
ISNUMBER(SEARCH("triple action",E843)),"Triple Action Fertilizer",
ISNUMBER(SEARCH("green max",E843)),"Green Max Lawn Food",
ISNUMBER(SEARCH("patchmaster",E843)),"PatchMaster Repair",
ISNUMBER(SEARCH("ez seed",E843)),"EZ Seed Repair",
ISNUMBER(SEARCH("rapid grass",E843)),"Rapid Grass",
ISNUMBER(SEARCH("thick'r lawn",E843)),"Thick'R Lawn",
ISNUMBER(SEARCH("fungicide",E843)),"Fungicide",
ISNUMBER(SEARCH("moss",E843)),"Moss Control",
ISNUMBER(SEARCH("perlite",E843)),"Perlite",
ISNUMBER(SEARCH("plant food",E843)),"Plant Food",
ISNUMBER(SEARCH("spreader",E843)),"Spreader",
ISNUMBER(SEARCH("sprayer",E843)),"Sprayer",
ISNUMBER(SEARCH("mower",E843)),"Lawn Mower",
ISNUMBER(SEARCH("sweeper",E843)),"Lawn Sweeper",
OR(ISNUMBER(SEARCH("pruner",E843)),ISNUMBER(SEARCH("trimmer",E843)),ISNUMBER(SEARCH("pole saw",E843))),"Pruning Tools",
TRUE,"Other"
)</f>
        <v>Repellents</v>
      </c>
      <c r="J843" s="7" t="str">
        <f t="shared" si="249"/>
        <v>Rodent Control - Repellents</v>
      </c>
      <c r="K843" s="4">
        <v>2000</v>
      </c>
      <c r="L843" s="4">
        <v>4.0999999999999996</v>
      </c>
      <c r="M843" s="4">
        <v>29136</v>
      </c>
      <c r="N843" s="4" t="s">
        <v>3229</v>
      </c>
      <c r="O843" s="4">
        <f>VLOOKUP(A843,[17]Sheet1!$A:$M,2,0)</f>
        <v>3000</v>
      </c>
      <c r="P843" s="4">
        <f>VLOOKUP(A843,[17]Sheet1!$A:$M,3,0)</f>
        <v>2000</v>
      </c>
      <c r="Q843" s="4">
        <f>VLOOKUP(A843,[17]Sheet1!$A:$M,4,0)</f>
        <v>1000</v>
      </c>
      <c r="R843" s="4">
        <f>VLOOKUP(A843,[17]Sheet1!$A:$M,5,0)</f>
        <v>1000</v>
      </c>
      <c r="S843" s="4">
        <f>VLOOKUP(A843,[17]Sheet1!$A:$M,6,0)</f>
        <v>1000</v>
      </c>
      <c r="T843" s="4">
        <f>VLOOKUP(A843,[17]Sheet1!$A:$M,7,0)</f>
        <v>2000</v>
      </c>
      <c r="U843" s="4">
        <f>VLOOKUP(A843,[17]Sheet1!$A:$M,8,0)</f>
        <v>1000</v>
      </c>
      <c r="V843" s="4">
        <f>VLOOKUP(A843,[17]Sheet1!$A:$M,9,0)</f>
        <v>1000</v>
      </c>
      <c r="W843" s="4">
        <f>VLOOKUP(A843,[17]Sheet1!$A:$M,10,0)</f>
        <v>2000</v>
      </c>
      <c r="X843" s="4">
        <f>VLOOKUP(A843,[17]Sheet1!$A:$M,11,0)</f>
        <v>5000</v>
      </c>
      <c r="Y843" s="4">
        <f>VLOOKUP(A843,[17]Sheet1!$A:$M,12,0)</f>
        <v>6500</v>
      </c>
      <c r="Z843" s="4">
        <f>VLOOKUP(A843,[17]Sheet1!$A:$M,13,0)</f>
        <v>4000</v>
      </c>
      <c r="AA843" s="4">
        <f t="shared" si="258"/>
        <v>29500</v>
      </c>
      <c r="AB843" s="7">
        <f t="shared" si="259"/>
        <v>2458</v>
      </c>
      <c r="AC843" s="15">
        <f t="shared" si="260"/>
        <v>2458.3333333333335</v>
      </c>
      <c r="AD843" s="16">
        <f t="shared" si="261"/>
        <v>580855</v>
      </c>
      <c r="AE843" s="16">
        <f t="shared" si="248"/>
        <v>48404.583333333343</v>
      </c>
      <c r="AF843" s="21">
        <v>4.09</v>
      </c>
      <c r="AG843" s="21">
        <v>19.690000000000001</v>
      </c>
      <c r="AH843" s="15">
        <f t="shared" si="242"/>
        <v>0.18573333333333331</v>
      </c>
      <c r="AI843" s="15">
        <f t="shared" si="243"/>
        <v>0.65006666666666657</v>
      </c>
      <c r="AJ843" s="10">
        <v>0.5</v>
      </c>
      <c r="AK843" s="10">
        <v>0.5</v>
      </c>
      <c r="AL843" s="21">
        <v>4.09</v>
      </c>
      <c r="AM843" s="9">
        <f t="shared" si="262"/>
        <v>2.9535</v>
      </c>
      <c r="AN843" s="9">
        <f t="shared" si="263"/>
        <v>0.5907</v>
      </c>
      <c r="AO843" s="9">
        <f t="shared" si="264"/>
        <v>3.9380000000000006</v>
      </c>
      <c r="AP843" s="9">
        <f t="shared" si="265"/>
        <v>0.39380000000000004</v>
      </c>
      <c r="AQ843" s="9">
        <f t="shared" si="266"/>
        <v>3.9380000000000006</v>
      </c>
      <c r="AR843" s="9">
        <f t="shared" si="267"/>
        <v>4.9225000000000003</v>
      </c>
      <c r="AS843" s="11">
        <f t="shared" si="268"/>
        <v>1.8573333333333331</v>
      </c>
      <c r="AT843" s="12">
        <f t="shared" si="269"/>
        <v>1.2009999999999998</v>
      </c>
    </row>
    <row r="844" spans="1:46" ht="16.5" x14ac:dyDescent="0.4">
      <c r="A844" s="4" t="s">
        <v>3802</v>
      </c>
      <c r="B844" s="4" t="s">
        <v>3821</v>
      </c>
      <c r="C844" s="4" t="s">
        <v>3821</v>
      </c>
      <c r="D844" s="4" t="s">
        <v>3827</v>
      </c>
      <c r="E844" s="4" t="s">
        <v>3851</v>
      </c>
      <c r="F844" s="4" t="s">
        <v>3875</v>
      </c>
      <c r="G844" s="7" t="str">
        <f>VLOOKUP(A844,[1]done!$A:$I,9,0)</f>
        <v>Rodent</v>
      </c>
      <c r="H844" s="7" t="str" cm="1">
        <f t="array" ref="H844">_xlfn.IFS(
OR(ISNUMBER(SEARCH("mouse",E844)),ISNUMBER(SEARCH("rat",E844)),ISNUMBER(SEARCH("mice",E844)),ISNUMBER(SEARCH("rodent",E844))),"Rodent Control",
OR(ISNUMBER(SEARCH("fly",E844)),ISNUMBER(SEARCH("gnat",E844)),ISNUMBER(SEARCH("insect",E844)),ISNUMBER(SEARCH("mosquito",E844))),"Flying Insect Control",
OR(ISNUMBER(SEARCH("roach",E844)),ISNUMBER(SEARCH("ant",E844)),ISNUMBER(SEARCH("spider",E844)),ISNUMBER(SEARCH("cricket",E844)),ISNUMBER(SEARCH("scorpion",E844)),ISNUMBER(SEARCH("centipede",E844)),ISNUMBER(SEARCH("beetle",E844))),"Crawling Insect Control",
OR(ISNUMBER(SEARCH("tree",E844)),ISNUMBER(SEARCH("lantern",E844)),ISNUMBER(SEARCH("garden",E844)),ISNUMBER(SEARCH("plant",E844))),"Garden Pest Control",
OR(ISNUMBER(SEARCH("grass seed",E844)),ISNUMBER(SEARCH("seed mix",E844))),"Grass Seed",
OR(ISNUMBER(SEARCH("lawn food",E844)),ISNUMBER(SEARCH("fertilizer",E844))),"Lawn Fertilizer",
OR(ISNUMBER(SEARCH("patch",E844)),ISNUMBER(SEARCH("repair",E844)),ISNUMBER(SEARCH("thick'r",E844)),ISNUMBER(SEARCH("thick'r lawn",E844)),ISNUMBER(SEARCH("rapid grass",E844))),"Lawn Repair",
OR(ISNUMBER(SEARCH("weed",E844)),ISNUMBER(SEARCH("crabgrass",E844))),"Weed Control",
OR(ISNUMBER(SEARCH("fungicide",E844)),ISNUMBER(SEARCH("moss",E844))),"Disease &amp; Moss Control",
OR(ISNUMBER(SEARCH("plant food",E844)),ISNUMBER(SEARCH("miracid",E844))),"Plant Nutrition",
OR(ISNUMBER(SEARCH("perlite",E844))),"Soil Amendment",
OR(ISNUMBER(SEARCH("spreader",E844)),ISNUMBER(SEARCH("sprayer",E844)),ISNUMBER(SEARCH("mower",E844)),ISNUMBER(SEARCH("sweeper",E844)),ISNUMBER(SEARCH("pruner",E844)),ISNUMBER(SEARCH("trimmer",E844)),ISNUMBER(SEARCH("pole saw",E844))),"Garden Equipment",
TRUE,"Other"
)</f>
        <v>Rodent Control</v>
      </c>
      <c r="I844" s="7" t="str" cm="1">
        <f t="array" ref="I844">_xlfn.IFS(
OR(ISNUMBER(SEARCH("glue trap",E844)),ISNUMBER(SEARCH("glue board",E844))),"Glue Traps",
OR(ISNUMBER(SEARCH("snap trap",E844)),ISNUMBER(SEARCH("power-kill",E844)),ISNUMBER(SEARCH("wide pedal",E844)),ISNUMBER(SEARCH("metal pedal",E844))),"Snap Traps",
OR(ISNUMBER(SEARCH("electronic",E844)),ISNUMBER(SEARCH("zapper",E844))),"Electronic Traps",
OR(ISNUMBER(SEARCH("live catch",E844)),ISNUMBER(SEARCH("multi-catch",E844)),ISNUMBER(SEARCH("catch &amp; hold",E844)),ISNUMBER(SEARCH("tin cat",E844))),"Live Catch Traps",
OR(ISNUMBER(SEARCH("bait",E844)),ISNUMBER(SEARCH("poison",E844))),"Bait &amp; Poison",
ISNUMBER(SEARCH("repellent",E844)),"Repellents",
OR(ISNUMBER(SEARCH("fly trap",E844)),ISNUMBER(SEARCH("fly ribbon",E844)),ISNUMBER(SEARCH("fly stick",E844)),ISNUMBER(SEARCH("window fly",E844)),ISNUMBER(SEARCH("fly magnet",E844))),"Fly Traps",
OR(ISNUMBER(SEARCH("uv",E844)),ISNUMBER(SEARCH("fly light",E844)),ISNUMBER(SEARCH("plug-in",E844))),"UV Fly Traps",
ISNUMBER(SEARCH("roach",E844)),"Roach Traps",
ISNUMBER(SEARCH("ant",E844)),"Ant Traps",
ISNUMBER(SEARCH("spider",E844)),"Spider Traps",
ISNUMBER(SEARCH("mosquito",E844)),"Mosquito Traps",
ISNUMBER(SEARCH("beetle",E844)),"Beetle Traps",
ISNUMBER(SEARCH("lantern",E844)),"Lanternfly Control",
OR(ISNUMBER(SEARCH("tree shield",E844)),ISNUMBER(SEARCH("tree banding",E844)),ISNUMBER(SEARCH("insect barrier",E844))),"Tree Barriers",
OR(ISNUMBER(SEARCH("sun &amp; shade",E844)),ISNUMBER(SEARCH("sun and shade",E844))),"Sun &amp; Shade Mix",
ISNUMBER(SEARCH("tall fescue",E844)),"Tall Fescue",
ISNUMBER(SEARCH("bermudagrass",E844)),"Bermudagrass",
ISNUMBER(SEARCH("kentucky",E844)),"Kentucky Bluegrass",
ISNUMBER(SEARCH("zoysia",E844)),"Zoysia",
ISNUMBER(SEARCH("ryegrass",E844)),"Perennial Ryegrass",
ISNUMBER(SEARCH("centipede",E844)),"Centipede Grass",
ISNUMBER(SEARCH("dense shade",E844)),"Dense Shade Mix",
ISNUMBER(SEARCH("southern gold",E844)),"Southern Gold Mix",
ISNUMBER(SEARCH("heat-tolerant blue",E844)),"Heat-Tolerant Blue Mix",
ISNUMBER(SEARCH("high traffic",E844)),"High Traffic Mix",
ISNUMBER(SEARCH("quick fix",E844)),"Quick Fix Mix",
ISNUMBER(SEARCH("starter",E844)),"Starter Fertilizer",
ISNUMBER(SEARCH("weed &amp; feed",E844)),"Weed &amp; Feed",
ISNUMBER(SEARCH("lawn food",E844)),"Lawn Food",
ISNUMBER(SEARCH("triple action",E844)),"Triple Action Fertilizer",
ISNUMBER(SEARCH("green max",E844)),"Green Max Lawn Food",
ISNUMBER(SEARCH("patchmaster",E844)),"PatchMaster Repair",
ISNUMBER(SEARCH("ez seed",E844)),"EZ Seed Repair",
ISNUMBER(SEARCH("rapid grass",E844)),"Rapid Grass",
ISNUMBER(SEARCH("thick'r lawn",E844)),"Thick'R Lawn",
ISNUMBER(SEARCH("fungicide",E844)),"Fungicide",
ISNUMBER(SEARCH("moss",E844)),"Moss Control",
ISNUMBER(SEARCH("perlite",E844)),"Perlite",
ISNUMBER(SEARCH("plant food",E844)),"Plant Food",
ISNUMBER(SEARCH("spreader",E844)),"Spreader",
ISNUMBER(SEARCH("sprayer",E844)),"Sprayer",
ISNUMBER(SEARCH("mower",E844)),"Lawn Mower",
ISNUMBER(SEARCH("sweeper",E844)),"Lawn Sweeper",
OR(ISNUMBER(SEARCH("pruner",E844)),ISNUMBER(SEARCH("trimmer",E844)),ISNUMBER(SEARCH("pole saw",E844))),"Pruning Tools",
TRUE,"Other"
)</f>
        <v>Repellents</v>
      </c>
      <c r="J844" s="7" t="str">
        <f t="shared" si="249"/>
        <v>Rodent Control - Repellents</v>
      </c>
      <c r="K844" s="4">
        <v>2000</v>
      </c>
      <c r="L844" s="4">
        <v>4.0999999999999996</v>
      </c>
      <c r="M844" s="4">
        <v>29137</v>
      </c>
      <c r="N844" s="4" t="s">
        <v>3896</v>
      </c>
      <c r="O844" s="4">
        <f>VLOOKUP(A844,[17]Sheet1!$A:$M,2,0)</f>
        <v>200</v>
      </c>
      <c r="P844" s="4">
        <f>VLOOKUP(A844,[17]Sheet1!$A:$M,3,0)</f>
        <v>100</v>
      </c>
      <c r="Q844" s="4">
        <f>VLOOKUP(A844,[17]Sheet1!$A:$M,4,0)</f>
        <v>100</v>
      </c>
      <c r="R844" s="4">
        <f>VLOOKUP(A844,[17]Sheet1!$A:$M,5,0)</f>
        <v>200</v>
      </c>
      <c r="S844" s="4">
        <f>VLOOKUP(A844,[17]Sheet1!$A:$M,6,0)</f>
        <v>200</v>
      </c>
      <c r="T844" s="4">
        <f>VLOOKUP(A844,[17]Sheet1!$A:$M,7,0)</f>
        <v>200</v>
      </c>
      <c r="U844" s="4">
        <f>VLOOKUP(A844,[17]Sheet1!$A:$M,8,0)</f>
        <v>300</v>
      </c>
      <c r="V844" s="4">
        <f>VLOOKUP(A844,[17]Sheet1!$A:$M,9,0)</f>
        <v>300</v>
      </c>
      <c r="W844" s="4">
        <f>VLOOKUP(A844,[17]Sheet1!$A:$M,10,0)</f>
        <v>2000</v>
      </c>
      <c r="X844" s="4">
        <f>VLOOKUP(A844,[17]Sheet1!$A:$M,11,0)</f>
        <v>1000</v>
      </c>
      <c r="Y844" s="4">
        <f>VLOOKUP(A844,[17]Sheet1!$A:$M,12,0)</f>
        <v>1000</v>
      </c>
      <c r="Z844" s="4">
        <f>VLOOKUP(A844,[17]Sheet1!$A:$M,13,0)</f>
        <v>600</v>
      </c>
      <c r="AA844" s="4">
        <f t="shared" si="258"/>
        <v>6200</v>
      </c>
      <c r="AB844" s="7">
        <f t="shared" si="259"/>
        <v>517</v>
      </c>
      <c r="AC844" s="15">
        <f t="shared" si="260"/>
        <v>516.66666666666663</v>
      </c>
      <c r="AD844" s="16">
        <f t="shared" si="261"/>
        <v>557938</v>
      </c>
      <c r="AE844" s="16">
        <f t="shared" si="248"/>
        <v>46494.833333333328</v>
      </c>
      <c r="AF844" s="21">
        <v>7.83</v>
      </c>
      <c r="AG844" s="21">
        <v>89.99</v>
      </c>
      <c r="AH844" s="15">
        <f t="shared" si="242"/>
        <v>1.8110666666666664</v>
      </c>
      <c r="AI844" s="15">
        <f t="shared" si="243"/>
        <v>6.338733333333332</v>
      </c>
      <c r="AJ844" s="10">
        <v>0.5</v>
      </c>
      <c r="AK844" s="10">
        <v>0.5</v>
      </c>
      <c r="AL844" s="21">
        <v>7.83</v>
      </c>
      <c r="AM844" s="9">
        <f t="shared" si="262"/>
        <v>13.498499999999998</v>
      </c>
      <c r="AN844" s="9">
        <f t="shared" si="263"/>
        <v>2.6996999999999995</v>
      </c>
      <c r="AO844" s="9">
        <f t="shared" si="264"/>
        <v>17.998000000000001</v>
      </c>
      <c r="AP844" s="9">
        <f t="shared" si="265"/>
        <v>1.7997999999999998</v>
      </c>
      <c r="AQ844" s="9">
        <f t="shared" si="266"/>
        <v>17.998000000000001</v>
      </c>
      <c r="AR844" s="9">
        <f t="shared" si="267"/>
        <v>22.497499999999999</v>
      </c>
      <c r="AS844" s="11">
        <f t="shared" si="268"/>
        <v>18.110666666666663</v>
      </c>
      <c r="AT844" s="12">
        <f t="shared" si="269"/>
        <v>15.110999999999997</v>
      </c>
    </row>
    <row r="845" spans="1:46" ht="16.5" x14ac:dyDescent="0.4">
      <c r="A845" s="4" t="s">
        <v>3803</v>
      </c>
      <c r="B845" s="4" t="s">
        <v>3821</v>
      </c>
      <c r="C845" s="4" t="s">
        <v>3821</v>
      </c>
      <c r="D845" s="4" t="s">
        <v>3828</v>
      </c>
      <c r="E845" s="4" t="s">
        <v>3852</v>
      </c>
      <c r="F845" s="4" t="s">
        <v>3876</v>
      </c>
      <c r="G845" s="7" t="str">
        <f>VLOOKUP(A845,[1]done!$A:$I,9,0)</f>
        <v>Other crawling insects</v>
      </c>
      <c r="H845" s="7" t="str" cm="1">
        <f t="array" ref="H845">_xlfn.IFS(
OR(ISNUMBER(SEARCH("mouse",E845)),ISNUMBER(SEARCH("rat",E845)),ISNUMBER(SEARCH("mice",E845)),ISNUMBER(SEARCH("rodent",E845))),"Rodent Control",
OR(ISNUMBER(SEARCH("fly",E845)),ISNUMBER(SEARCH("gnat",E845)),ISNUMBER(SEARCH("insect",E845)),ISNUMBER(SEARCH("mosquito",E845))),"Flying Insect Control",
OR(ISNUMBER(SEARCH("roach",E845)),ISNUMBER(SEARCH("ant",E845)),ISNUMBER(SEARCH("spider",E845)),ISNUMBER(SEARCH("cricket",E845)),ISNUMBER(SEARCH("scorpion",E845)),ISNUMBER(SEARCH("centipede",E845)),ISNUMBER(SEARCH("beetle",E845))),"Crawling Insect Control",
OR(ISNUMBER(SEARCH("tree",E845)),ISNUMBER(SEARCH("lantern",E845)),ISNUMBER(SEARCH("garden",E845)),ISNUMBER(SEARCH("plant",E845))),"Garden Pest Control",
OR(ISNUMBER(SEARCH("grass seed",E845)),ISNUMBER(SEARCH("seed mix",E845))),"Grass Seed",
OR(ISNUMBER(SEARCH("lawn food",E845)),ISNUMBER(SEARCH("fertilizer",E845))),"Lawn Fertilizer",
OR(ISNUMBER(SEARCH("patch",E845)),ISNUMBER(SEARCH("repair",E845)),ISNUMBER(SEARCH("thick'r",E845)),ISNUMBER(SEARCH("thick'r lawn",E845)),ISNUMBER(SEARCH("rapid grass",E845))),"Lawn Repair",
OR(ISNUMBER(SEARCH("weed",E845)),ISNUMBER(SEARCH("crabgrass",E845))),"Weed Control",
OR(ISNUMBER(SEARCH("fungicide",E845)),ISNUMBER(SEARCH("moss",E845))),"Disease &amp; Moss Control",
OR(ISNUMBER(SEARCH("plant food",E845)),ISNUMBER(SEARCH("miracid",E845))),"Plant Nutrition",
OR(ISNUMBER(SEARCH("perlite",E845))),"Soil Amendment",
OR(ISNUMBER(SEARCH("spreader",E845)),ISNUMBER(SEARCH("sprayer",E845)),ISNUMBER(SEARCH("mower",E845)),ISNUMBER(SEARCH("sweeper",E845)),ISNUMBER(SEARCH("pruner",E845)),ISNUMBER(SEARCH("trimmer",E845)),ISNUMBER(SEARCH("pole saw",E845))),"Garden Equipment",
TRUE,"Other"
)</f>
        <v>Crawling Insect Control</v>
      </c>
      <c r="I845" s="7" t="str" cm="1">
        <f t="array" ref="I845">_xlfn.IFS(
OR(ISNUMBER(SEARCH("glue trap",E845)),ISNUMBER(SEARCH("glue board",E845))),"Glue Traps",
OR(ISNUMBER(SEARCH("snap trap",E845)),ISNUMBER(SEARCH("power-kill",E845)),ISNUMBER(SEARCH("wide pedal",E845)),ISNUMBER(SEARCH("metal pedal",E845))),"Snap Traps",
OR(ISNUMBER(SEARCH("electronic",E845)),ISNUMBER(SEARCH("zapper",E845))),"Electronic Traps",
OR(ISNUMBER(SEARCH("live catch",E845)),ISNUMBER(SEARCH("multi-catch",E845)),ISNUMBER(SEARCH("catch &amp; hold",E845)),ISNUMBER(SEARCH("tin cat",E845))),"Live Catch Traps",
OR(ISNUMBER(SEARCH("bait",E845)),ISNUMBER(SEARCH("poison",E845))),"Bait &amp; Poison",
ISNUMBER(SEARCH("repellent",E845)),"Repellents",
OR(ISNUMBER(SEARCH("fly trap",E845)),ISNUMBER(SEARCH("fly ribbon",E845)),ISNUMBER(SEARCH("fly stick",E845)),ISNUMBER(SEARCH("window fly",E845)),ISNUMBER(SEARCH("fly magnet",E845))),"Fly Traps",
OR(ISNUMBER(SEARCH("uv",E845)),ISNUMBER(SEARCH("fly light",E845)),ISNUMBER(SEARCH("plug-in",E845))),"UV Fly Traps",
ISNUMBER(SEARCH("roach",E845)),"Roach Traps",
ISNUMBER(SEARCH("ant",E845)),"Ant Traps",
ISNUMBER(SEARCH("spider",E845)),"Spider Traps",
ISNUMBER(SEARCH("mosquito",E845)),"Mosquito Traps",
ISNUMBER(SEARCH("beetle",E845)),"Beetle Traps",
ISNUMBER(SEARCH("lantern",E845)),"Lanternfly Control",
OR(ISNUMBER(SEARCH("tree shield",E845)),ISNUMBER(SEARCH("tree banding",E845)),ISNUMBER(SEARCH("insect barrier",E845))),"Tree Barriers",
OR(ISNUMBER(SEARCH("sun &amp; shade",E845)),ISNUMBER(SEARCH("sun and shade",E845))),"Sun &amp; Shade Mix",
ISNUMBER(SEARCH("tall fescue",E845)),"Tall Fescue",
ISNUMBER(SEARCH("bermudagrass",E845)),"Bermudagrass",
ISNUMBER(SEARCH("kentucky",E845)),"Kentucky Bluegrass",
ISNUMBER(SEARCH("zoysia",E845)),"Zoysia",
ISNUMBER(SEARCH("ryegrass",E845)),"Perennial Ryegrass",
ISNUMBER(SEARCH("centipede",E845)),"Centipede Grass",
ISNUMBER(SEARCH("dense shade",E845)),"Dense Shade Mix",
ISNUMBER(SEARCH("southern gold",E845)),"Southern Gold Mix",
ISNUMBER(SEARCH("heat-tolerant blue",E845)),"Heat-Tolerant Blue Mix",
ISNUMBER(SEARCH("high traffic",E845)),"High Traffic Mix",
ISNUMBER(SEARCH("quick fix",E845)),"Quick Fix Mix",
ISNUMBER(SEARCH("starter",E845)),"Starter Fertilizer",
ISNUMBER(SEARCH("weed &amp; feed",E845)),"Weed &amp; Feed",
ISNUMBER(SEARCH("lawn food",E845)),"Lawn Food",
ISNUMBER(SEARCH("triple action",E845)),"Triple Action Fertilizer",
ISNUMBER(SEARCH("green max",E845)),"Green Max Lawn Food",
ISNUMBER(SEARCH("patchmaster",E845)),"PatchMaster Repair",
ISNUMBER(SEARCH("ez seed",E845)),"EZ Seed Repair",
ISNUMBER(SEARCH("rapid grass",E845)),"Rapid Grass",
ISNUMBER(SEARCH("thick'r lawn",E845)),"Thick'R Lawn",
ISNUMBER(SEARCH("fungicide",E845)),"Fungicide",
ISNUMBER(SEARCH("moss",E845)),"Moss Control",
ISNUMBER(SEARCH("perlite",E845)),"Perlite",
ISNUMBER(SEARCH("plant food",E845)),"Plant Food",
ISNUMBER(SEARCH("spreader",E845)),"Spreader",
ISNUMBER(SEARCH("sprayer",E845)),"Sprayer",
ISNUMBER(SEARCH("mower",E845)),"Lawn Mower",
ISNUMBER(SEARCH("sweeper",E845)),"Lawn Sweeper",
OR(ISNUMBER(SEARCH("pruner",E845)),ISNUMBER(SEARCH("trimmer",E845)),ISNUMBER(SEARCH("pole saw",E845))),"Pruning Tools",
TRUE,"Other"
)</f>
        <v>Repellents</v>
      </c>
      <c r="J845" s="7" t="str">
        <f t="shared" si="249"/>
        <v>Crawling Insect Control - Repellents</v>
      </c>
      <c r="K845" s="4">
        <v>2000</v>
      </c>
      <c r="L845" s="4">
        <v>4</v>
      </c>
      <c r="M845" s="4">
        <v>997</v>
      </c>
      <c r="N845" s="4" t="s">
        <v>3894</v>
      </c>
      <c r="O845" s="4">
        <f>VLOOKUP(A845,[17]Sheet1!$A:$M,2,0)</f>
        <v>200</v>
      </c>
      <c r="P845" s="4">
        <f>VLOOKUP(A845,[17]Sheet1!$A:$M,3,0)</f>
        <v>200</v>
      </c>
      <c r="Q845" s="4">
        <f>VLOOKUP(A845,[17]Sheet1!$A:$M,4,0)</f>
        <v>200</v>
      </c>
      <c r="R845" s="4">
        <f>VLOOKUP(A845,[17]Sheet1!$A:$M,5,0)</f>
        <v>200</v>
      </c>
      <c r="S845" s="4">
        <f>VLOOKUP(A845,[17]Sheet1!$A:$M,6,0)</f>
        <v>1000</v>
      </c>
      <c r="T845" s="4">
        <f>VLOOKUP(A845,[17]Sheet1!$A:$M,7,0)</f>
        <v>2000</v>
      </c>
      <c r="U845" s="4">
        <f>VLOOKUP(A845,[17]Sheet1!$A:$M,8,0)</f>
        <v>2000</v>
      </c>
      <c r="V845" s="4">
        <f>VLOOKUP(A845,[17]Sheet1!$A:$M,9,0)</f>
        <v>1000</v>
      </c>
      <c r="W845" s="4">
        <f>VLOOKUP(A845,[17]Sheet1!$A:$M,10,0)</f>
        <v>2000</v>
      </c>
      <c r="X845" s="4">
        <f>VLOOKUP(A845,[17]Sheet1!$A:$M,11,0)</f>
        <v>1000</v>
      </c>
      <c r="Y845" s="4">
        <f>VLOOKUP(A845,[17]Sheet1!$A:$M,12,0)</f>
        <v>500</v>
      </c>
      <c r="Z845" s="4">
        <f>VLOOKUP(A845,[17]Sheet1!$A:$M,13,0)</f>
        <v>400</v>
      </c>
      <c r="AA845" s="4">
        <f t="shared" si="258"/>
        <v>10700</v>
      </c>
      <c r="AB845" s="7">
        <f t="shared" si="259"/>
        <v>892</v>
      </c>
      <c r="AC845" s="15">
        <f t="shared" si="260"/>
        <v>891.66666666666663</v>
      </c>
      <c r="AD845" s="16">
        <f t="shared" si="261"/>
        <v>267179</v>
      </c>
      <c r="AE845" s="16">
        <f t="shared" si="248"/>
        <v>22264.916666666664</v>
      </c>
      <c r="AF845" s="21">
        <v>4.28</v>
      </c>
      <c r="AG845" s="21">
        <v>24.97</v>
      </c>
      <c r="AH845" s="15">
        <f t="shared" si="242"/>
        <v>0.31386666666666657</v>
      </c>
      <c r="AI845" s="15">
        <f t="shared" si="243"/>
        <v>1.0985333333333329</v>
      </c>
      <c r="AJ845" s="10">
        <v>0.5</v>
      </c>
      <c r="AK845" s="10">
        <v>0.5</v>
      </c>
      <c r="AL845" s="21">
        <v>4.28</v>
      </c>
      <c r="AM845" s="9">
        <f t="shared" si="262"/>
        <v>3.7454999999999998</v>
      </c>
      <c r="AN845" s="9">
        <f t="shared" si="263"/>
        <v>0.74909999999999999</v>
      </c>
      <c r="AO845" s="9">
        <f t="shared" si="264"/>
        <v>4.9939999999999998</v>
      </c>
      <c r="AP845" s="9">
        <f t="shared" si="265"/>
        <v>0.49940000000000001</v>
      </c>
      <c r="AQ845" s="9">
        <f t="shared" si="266"/>
        <v>4.9939999999999998</v>
      </c>
      <c r="AR845" s="9">
        <f t="shared" si="267"/>
        <v>6.2424999999999997</v>
      </c>
      <c r="AS845" s="11">
        <f t="shared" si="268"/>
        <v>3.1386666666666656</v>
      </c>
      <c r="AT845" s="12">
        <f t="shared" si="269"/>
        <v>2.3063333333333325</v>
      </c>
    </row>
    <row r="846" spans="1:46" ht="16.5" x14ac:dyDescent="0.4">
      <c r="A846" s="4" t="s">
        <v>3804</v>
      </c>
      <c r="B846" s="4" t="s">
        <v>3821</v>
      </c>
      <c r="C846" s="4" t="s">
        <v>3821</v>
      </c>
      <c r="D846" s="4" t="s">
        <v>3829</v>
      </c>
      <c r="E846" s="4" t="s">
        <v>3853</v>
      </c>
      <c r="F846" s="4" t="s">
        <v>3877</v>
      </c>
      <c r="G846" s="7" t="str">
        <f>VLOOKUP(A846,[1]done!$A:$I,9,0)</f>
        <v>Mosquito/Fly</v>
      </c>
      <c r="H846" s="7" t="str" cm="1">
        <f t="array" ref="H846">_xlfn.IFS(
OR(ISNUMBER(SEARCH("mouse",E846)),ISNUMBER(SEARCH("rat",E846)),ISNUMBER(SEARCH("mice",E846)),ISNUMBER(SEARCH("rodent",E846))),"Rodent Control",
OR(ISNUMBER(SEARCH("fly",E846)),ISNUMBER(SEARCH("gnat",E846)),ISNUMBER(SEARCH("insect",E846)),ISNUMBER(SEARCH("mosquito",E846))),"Flying Insect Control",
OR(ISNUMBER(SEARCH("roach",E846)),ISNUMBER(SEARCH("ant",E846)),ISNUMBER(SEARCH("spider",E846)),ISNUMBER(SEARCH("cricket",E846)),ISNUMBER(SEARCH("scorpion",E846)),ISNUMBER(SEARCH("centipede",E846)),ISNUMBER(SEARCH("beetle",E846))),"Crawling Insect Control",
OR(ISNUMBER(SEARCH("tree",E846)),ISNUMBER(SEARCH("lantern",E846)),ISNUMBER(SEARCH("garden",E846)),ISNUMBER(SEARCH("plant",E846))),"Garden Pest Control",
OR(ISNUMBER(SEARCH("grass seed",E846)),ISNUMBER(SEARCH("seed mix",E846))),"Grass Seed",
OR(ISNUMBER(SEARCH("lawn food",E846)),ISNUMBER(SEARCH("fertilizer",E846))),"Lawn Fertilizer",
OR(ISNUMBER(SEARCH("patch",E846)),ISNUMBER(SEARCH("repair",E846)),ISNUMBER(SEARCH("thick'r",E846)),ISNUMBER(SEARCH("thick'r lawn",E846)),ISNUMBER(SEARCH("rapid grass",E846))),"Lawn Repair",
OR(ISNUMBER(SEARCH("weed",E846)),ISNUMBER(SEARCH("crabgrass",E846))),"Weed Control",
OR(ISNUMBER(SEARCH("fungicide",E846)),ISNUMBER(SEARCH("moss",E846))),"Disease &amp; Moss Control",
OR(ISNUMBER(SEARCH("plant food",E846)),ISNUMBER(SEARCH("miracid",E846))),"Plant Nutrition",
OR(ISNUMBER(SEARCH("perlite",E846))),"Soil Amendment",
OR(ISNUMBER(SEARCH("spreader",E846)),ISNUMBER(SEARCH("sprayer",E846)),ISNUMBER(SEARCH("mower",E846)),ISNUMBER(SEARCH("sweeper",E846)),ISNUMBER(SEARCH("pruner",E846)),ISNUMBER(SEARCH("trimmer",E846)),ISNUMBER(SEARCH("pole saw",E846))),"Garden Equipment",
TRUE,"Other"
)</f>
        <v>Flying Insect Control</v>
      </c>
      <c r="I846" s="7" t="str" cm="1">
        <f t="array" ref="I846">_xlfn.IFS(
OR(ISNUMBER(SEARCH("glue trap",E846)),ISNUMBER(SEARCH("glue board",E846))),"Glue Traps",
OR(ISNUMBER(SEARCH("snap trap",E846)),ISNUMBER(SEARCH("power-kill",E846)),ISNUMBER(SEARCH("wide pedal",E846)),ISNUMBER(SEARCH("metal pedal",E846))),"Snap Traps",
OR(ISNUMBER(SEARCH("electronic",E846)),ISNUMBER(SEARCH("zapper",E846))),"Electronic Traps",
OR(ISNUMBER(SEARCH("live catch",E846)),ISNUMBER(SEARCH("multi-catch",E846)),ISNUMBER(SEARCH("catch &amp; hold",E846)),ISNUMBER(SEARCH("tin cat",E846))),"Live Catch Traps",
OR(ISNUMBER(SEARCH("bait",E846)),ISNUMBER(SEARCH("poison",E846))),"Bait &amp; Poison",
ISNUMBER(SEARCH("repellent",E846)),"Repellents",
OR(ISNUMBER(SEARCH("fly trap",E846)),ISNUMBER(SEARCH("fly ribbon",E846)),ISNUMBER(SEARCH("fly stick",E846)),ISNUMBER(SEARCH("window fly",E846)),ISNUMBER(SEARCH("fly magnet",E846))),"Fly Traps",
OR(ISNUMBER(SEARCH("uv",E846)),ISNUMBER(SEARCH("fly light",E846)),ISNUMBER(SEARCH("plug-in",E846))),"UV Fly Traps",
ISNUMBER(SEARCH("roach",E846)),"Roach Traps",
ISNUMBER(SEARCH("ant",E846)),"Ant Traps",
ISNUMBER(SEARCH("spider",E846)),"Spider Traps",
ISNUMBER(SEARCH("mosquito",E846)),"Mosquito Traps",
ISNUMBER(SEARCH("beetle",E846)),"Beetle Traps",
ISNUMBER(SEARCH("lantern",E846)),"Lanternfly Control",
OR(ISNUMBER(SEARCH("tree shield",E846)),ISNUMBER(SEARCH("tree banding",E846)),ISNUMBER(SEARCH("insect barrier",E846))),"Tree Barriers",
OR(ISNUMBER(SEARCH("sun &amp; shade",E846)),ISNUMBER(SEARCH("sun and shade",E846))),"Sun &amp; Shade Mix",
ISNUMBER(SEARCH("tall fescue",E846)),"Tall Fescue",
ISNUMBER(SEARCH("bermudagrass",E846)),"Bermudagrass",
ISNUMBER(SEARCH("kentucky",E846)),"Kentucky Bluegrass",
ISNUMBER(SEARCH("zoysia",E846)),"Zoysia",
ISNUMBER(SEARCH("ryegrass",E846)),"Perennial Ryegrass",
ISNUMBER(SEARCH("centipede",E846)),"Centipede Grass",
ISNUMBER(SEARCH("dense shade",E846)),"Dense Shade Mix",
ISNUMBER(SEARCH("southern gold",E846)),"Southern Gold Mix",
ISNUMBER(SEARCH("heat-tolerant blue",E846)),"Heat-Tolerant Blue Mix",
ISNUMBER(SEARCH("high traffic",E846)),"High Traffic Mix",
ISNUMBER(SEARCH("quick fix",E846)),"Quick Fix Mix",
ISNUMBER(SEARCH("starter",E846)),"Starter Fertilizer",
ISNUMBER(SEARCH("weed &amp; feed",E846)),"Weed &amp; Feed",
ISNUMBER(SEARCH("lawn food",E846)),"Lawn Food",
ISNUMBER(SEARCH("triple action",E846)),"Triple Action Fertilizer",
ISNUMBER(SEARCH("green max",E846)),"Green Max Lawn Food",
ISNUMBER(SEARCH("patchmaster",E846)),"PatchMaster Repair",
ISNUMBER(SEARCH("ez seed",E846)),"EZ Seed Repair",
ISNUMBER(SEARCH("rapid grass",E846)),"Rapid Grass",
ISNUMBER(SEARCH("thick'r lawn",E846)),"Thick'R Lawn",
ISNUMBER(SEARCH("fungicide",E846)),"Fungicide",
ISNUMBER(SEARCH("moss",E846)),"Moss Control",
ISNUMBER(SEARCH("perlite",E846)),"Perlite",
ISNUMBER(SEARCH("plant food",E846)),"Plant Food",
ISNUMBER(SEARCH("spreader",E846)),"Spreader",
ISNUMBER(SEARCH("sprayer",E846)),"Sprayer",
ISNUMBER(SEARCH("mower",E846)),"Lawn Mower",
ISNUMBER(SEARCH("sweeper",E846)),"Lawn Sweeper",
OR(ISNUMBER(SEARCH("pruner",E846)),ISNUMBER(SEARCH("trimmer",E846)),ISNUMBER(SEARCH("pole saw",E846))),"Pruning Tools",
TRUE,"Other"
)</f>
        <v>Mosquito Traps</v>
      </c>
      <c r="J846" s="7" t="str">
        <f t="shared" si="249"/>
        <v>Flying Insect Control - Mosquito Traps</v>
      </c>
      <c r="K846" s="4">
        <v>1000</v>
      </c>
      <c r="L846" s="4">
        <v>3.8</v>
      </c>
      <c r="M846" s="4">
        <v>327</v>
      </c>
      <c r="O846" s="4">
        <f>VLOOKUP(A846,[17]Sheet1!$A:$M,2,0)</f>
        <v>50</v>
      </c>
      <c r="P846" s="4">
        <f>VLOOKUP(A846,[17]Sheet1!$A:$M,3,0)</f>
        <v>50</v>
      </c>
      <c r="Q846" s="4">
        <f>VLOOKUP(A846,[17]Sheet1!$A:$M,4,0)</f>
        <v>100</v>
      </c>
      <c r="R846" s="4">
        <f>VLOOKUP(A846,[17]Sheet1!$A:$M,5,0)</f>
        <v>1000</v>
      </c>
      <c r="S846" s="4">
        <f>VLOOKUP(A846,[17]Sheet1!$A:$M,6,0)</f>
        <v>1000</v>
      </c>
      <c r="T846" s="4">
        <f>VLOOKUP(A846,[17]Sheet1!$A:$M,7,0)</f>
        <v>1000</v>
      </c>
      <c r="U846" s="4">
        <f>VLOOKUP(A846,[17]Sheet1!$A:$M,8,0)</f>
        <v>1000</v>
      </c>
      <c r="V846" s="4">
        <f>VLOOKUP(A846,[17]Sheet1!$A:$M,9,0)</f>
        <v>1000</v>
      </c>
      <c r="W846" s="4">
        <f>VLOOKUP(A846,[17]Sheet1!$A:$M,10,0)</f>
        <v>1000</v>
      </c>
      <c r="X846" s="4">
        <f>VLOOKUP(A846,[17]Sheet1!$A:$M,11,0)</f>
        <v>400</v>
      </c>
      <c r="Y846" s="4">
        <f>VLOOKUP(A846,[17]Sheet1!$A:$M,12,0)</f>
        <v>200</v>
      </c>
      <c r="Z846" s="4">
        <f>VLOOKUP(A846,[17]Sheet1!$A:$M,13,0)</f>
        <v>50</v>
      </c>
      <c r="AA846" s="4">
        <f t="shared" si="258"/>
        <v>6850</v>
      </c>
      <c r="AB846" s="7">
        <f t="shared" si="259"/>
        <v>571</v>
      </c>
      <c r="AC846" s="15">
        <f t="shared" si="260"/>
        <v>570.83333333333337</v>
      </c>
      <c r="AD846" s="16">
        <f t="shared" si="261"/>
        <v>273931.5</v>
      </c>
      <c r="AE846" s="16">
        <f t="shared" si="248"/>
        <v>22827.625000000004</v>
      </c>
      <c r="AF846" s="21">
        <v>6.9</v>
      </c>
      <c r="AG846" s="21">
        <v>39.99</v>
      </c>
      <c r="AH846" s="15">
        <f t="shared" si="242"/>
        <v>0.53973333333333329</v>
      </c>
      <c r="AI846" s="15">
        <f t="shared" si="243"/>
        <v>1.8890666666666664</v>
      </c>
      <c r="AJ846" s="10">
        <v>0.5</v>
      </c>
      <c r="AK846" s="10">
        <v>0.5</v>
      </c>
      <c r="AL846" s="21">
        <v>6.9</v>
      </c>
      <c r="AM846" s="9">
        <f t="shared" si="262"/>
        <v>5.9984999999999999</v>
      </c>
      <c r="AN846" s="9">
        <f t="shared" si="263"/>
        <v>1.1997</v>
      </c>
      <c r="AO846" s="9">
        <f t="shared" si="264"/>
        <v>7.9980000000000011</v>
      </c>
      <c r="AP846" s="9">
        <f t="shared" si="265"/>
        <v>0.79980000000000007</v>
      </c>
      <c r="AQ846" s="9">
        <f t="shared" si="266"/>
        <v>7.9980000000000011</v>
      </c>
      <c r="AR846" s="9">
        <f t="shared" si="267"/>
        <v>9.9975000000000005</v>
      </c>
      <c r="AS846" s="11">
        <f t="shared" si="268"/>
        <v>5.3973333333333331</v>
      </c>
      <c r="AT846" s="12">
        <f t="shared" si="269"/>
        <v>4.0643333333333338</v>
      </c>
    </row>
    <row r="847" spans="1:46" ht="16.5" x14ac:dyDescent="0.4">
      <c r="A847" s="4" t="s">
        <v>3805</v>
      </c>
      <c r="B847" s="4" t="s">
        <v>3821</v>
      </c>
      <c r="C847" s="4" t="s">
        <v>3821</v>
      </c>
      <c r="D847" s="4" t="s">
        <v>3830</v>
      </c>
      <c r="E847" s="4" t="s">
        <v>3854</v>
      </c>
      <c r="F847" s="4" t="s">
        <v>3878</v>
      </c>
      <c r="G847" s="7" t="str">
        <f>VLOOKUP(A847,[1]done!$A:$I,9,0)</f>
        <v>Rodent</v>
      </c>
      <c r="H847" s="7" t="str" cm="1">
        <f t="array" ref="H847">_xlfn.IFS(
OR(ISNUMBER(SEARCH("mouse",E847)),ISNUMBER(SEARCH("rat",E847)),ISNUMBER(SEARCH("mice",E847)),ISNUMBER(SEARCH("rodent",E847))),"Rodent Control",
OR(ISNUMBER(SEARCH("fly",E847)),ISNUMBER(SEARCH("gnat",E847)),ISNUMBER(SEARCH("insect",E847)),ISNUMBER(SEARCH("mosquito",E847))),"Flying Insect Control",
OR(ISNUMBER(SEARCH("roach",E847)),ISNUMBER(SEARCH("ant",E847)),ISNUMBER(SEARCH("spider",E847)),ISNUMBER(SEARCH("cricket",E847)),ISNUMBER(SEARCH("scorpion",E847)),ISNUMBER(SEARCH("centipede",E847)),ISNUMBER(SEARCH("beetle",E847))),"Crawling Insect Control",
OR(ISNUMBER(SEARCH("tree",E847)),ISNUMBER(SEARCH("lantern",E847)),ISNUMBER(SEARCH("garden",E847)),ISNUMBER(SEARCH("plant",E847))),"Garden Pest Control",
OR(ISNUMBER(SEARCH("grass seed",E847)),ISNUMBER(SEARCH("seed mix",E847))),"Grass Seed",
OR(ISNUMBER(SEARCH("lawn food",E847)),ISNUMBER(SEARCH("fertilizer",E847))),"Lawn Fertilizer",
OR(ISNUMBER(SEARCH("patch",E847)),ISNUMBER(SEARCH("repair",E847)),ISNUMBER(SEARCH("thick'r",E847)),ISNUMBER(SEARCH("thick'r lawn",E847)),ISNUMBER(SEARCH("rapid grass",E847))),"Lawn Repair",
OR(ISNUMBER(SEARCH("weed",E847)),ISNUMBER(SEARCH("crabgrass",E847))),"Weed Control",
OR(ISNUMBER(SEARCH("fungicide",E847)),ISNUMBER(SEARCH("moss",E847))),"Disease &amp; Moss Control",
OR(ISNUMBER(SEARCH("plant food",E847)),ISNUMBER(SEARCH("miracid",E847))),"Plant Nutrition",
OR(ISNUMBER(SEARCH("perlite",E847))),"Soil Amendment",
OR(ISNUMBER(SEARCH("spreader",E847)),ISNUMBER(SEARCH("sprayer",E847)),ISNUMBER(SEARCH("mower",E847)),ISNUMBER(SEARCH("sweeper",E847)),ISNUMBER(SEARCH("pruner",E847)),ISNUMBER(SEARCH("trimmer",E847)),ISNUMBER(SEARCH("pole saw",E847))),"Garden Equipment",
TRUE,"Other"
)</f>
        <v>Rodent Control</v>
      </c>
      <c r="I847" s="7" t="str" cm="1">
        <f t="array" ref="I847">_xlfn.IFS(
OR(ISNUMBER(SEARCH("glue trap",E847)),ISNUMBER(SEARCH("glue board",E847))),"Glue Traps",
OR(ISNUMBER(SEARCH("snap trap",E847)),ISNUMBER(SEARCH("power-kill",E847)),ISNUMBER(SEARCH("wide pedal",E847)),ISNUMBER(SEARCH("metal pedal",E847))),"Snap Traps",
OR(ISNUMBER(SEARCH("electronic",E847)),ISNUMBER(SEARCH("zapper",E847))),"Electronic Traps",
OR(ISNUMBER(SEARCH("live catch",E847)),ISNUMBER(SEARCH("multi-catch",E847)),ISNUMBER(SEARCH("catch &amp; hold",E847)),ISNUMBER(SEARCH("tin cat",E847))),"Live Catch Traps",
OR(ISNUMBER(SEARCH("bait",E847)),ISNUMBER(SEARCH("poison",E847))),"Bait &amp; Poison",
ISNUMBER(SEARCH("repellent",E847)),"Repellents",
OR(ISNUMBER(SEARCH("fly trap",E847)),ISNUMBER(SEARCH("fly ribbon",E847)),ISNUMBER(SEARCH("fly stick",E847)),ISNUMBER(SEARCH("window fly",E847)),ISNUMBER(SEARCH("fly magnet",E847))),"Fly Traps",
OR(ISNUMBER(SEARCH("uv",E847)),ISNUMBER(SEARCH("fly light",E847)),ISNUMBER(SEARCH("plug-in",E847))),"UV Fly Traps",
ISNUMBER(SEARCH("roach",E847)),"Roach Traps",
ISNUMBER(SEARCH("ant",E847)),"Ant Traps",
ISNUMBER(SEARCH("spider",E847)),"Spider Traps",
ISNUMBER(SEARCH("mosquito",E847)),"Mosquito Traps",
ISNUMBER(SEARCH("beetle",E847)),"Beetle Traps",
ISNUMBER(SEARCH("lantern",E847)),"Lanternfly Control",
OR(ISNUMBER(SEARCH("tree shield",E847)),ISNUMBER(SEARCH("tree banding",E847)),ISNUMBER(SEARCH("insect barrier",E847))),"Tree Barriers",
OR(ISNUMBER(SEARCH("sun &amp; shade",E847)),ISNUMBER(SEARCH("sun and shade",E847))),"Sun &amp; Shade Mix",
ISNUMBER(SEARCH("tall fescue",E847)),"Tall Fescue",
ISNUMBER(SEARCH("bermudagrass",E847)),"Bermudagrass",
ISNUMBER(SEARCH("kentucky",E847)),"Kentucky Bluegrass",
ISNUMBER(SEARCH("zoysia",E847)),"Zoysia",
ISNUMBER(SEARCH("ryegrass",E847)),"Perennial Ryegrass",
ISNUMBER(SEARCH("centipede",E847)),"Centipede Grass",
ISNUMBER(SEARCH("dense shade",E847)),"Dense Shade Mix",
ISNUMBER(SEARCH("southern gold",E847)),"Southern Gold Mix",
ISNUMBER(SEARCH("heat-tolerant blue",E847)),"Heat-Tolerant Blue Mix",
ISNUMBER(SEARCH("high traffic",E847)),"High Traffic Mix",
ISNUMBER(SEARCH("quick fix",E847)),"Quick Fix Mix",
ISNUMBER(SEARCH("starter",E847)),"Starter Fertilizer",
ISNUMBER(SEARCH("weed &amp; feed",E847)),"Weed &amp; Feed",
ISNUMBER(SEARCH("lawn food",E847)),"Lawn Food",
ISNUMBER(SEARCH("triple action",E847)),"Triple Action Fertilizer",
ISNUMBER(SEARCH("green max",E847)),"Green Max Lawn Food",
ISNUMBER(SEARCH("patchmaster",E847)),"PatchMaster Repair",
ISNUMBER(SEARCH("ez seed",E847)),"EZ Seed Repair",
ISNUMBER(SEARCH("rapid grass",E847)),"Rapid Grass",
ISNUMBER(SEARCH("thick'r lawn",E847)),"Thick'R Lawn",
ISNUMBER(SEARCH("fungicide",E847)),"Fungicide",
ISNUMBER(SEARCH("moss",E847)),"Moss Control",
ISNUMBER(SEARCH("perlite",E847)),"Perlite",
ISNUMBER(SEARCH("plant food",E847)),"Plant Food",
ISNUMBER(SEARCH("spreader",E847)),"Spreader",
ISNUMBER(SEARCH("sprayer",E847)),"Sprayer",
ISNUMBER(SEARCH("mower",E847)),"Lawn Mower",
ISNUMBER(SEARCH("sweeper",E847)),"Lawn Sweeper",
OR(ISNUMBER(SEARCH("pruner",E847)),ISNUMBER(SEARCH("trimmer",E847)),ISNUMBER(SEARCH("pole saw",E847))),"Pruning Tools",
TRUE,"Other"
)</f>
        <v>Repellents</v>
      </c>
      <c r="J847" s="7" t="str">
        <f t="shared" si="249"/>
        <v>Rodent Control - Repellents</v>
      </c>
      <c r="K847" s="4">
        <v>400</v>
      </c>
      <c r="L847" s="4">
        <v>4</v>
      </c>
      <c r="M847" s="4">
        <v>86</v>
      </c>
      <c r="N847" s="4" t="s">
        <v>3670</v>
      </c>
      <c r="O847" s="4">
        <f>VLOOKUP(A847,[17]Sheet1!$A:$M,2,0)</f>
        <v>0</v>
      </c>
      <c r="P847" s="4">
        <f>VLOOKUP(A847,[17]Sheet1!$A:$M,3,0)</f>
        <v>0</v>
      </c>
      <c r="Q847" s="4">
        <f>VLOOKUP(A847,[17]Sheet1!$A:$M,4,0)</f>
        <v>0</v>
      </c>
      <c r="R847" s="4">
        <f>VLOOKUP(A847,[17]Sheet1!$A:$M,5,0)</f>
        <v>0</v>
      </c>
      <c r="S847" s="4">
        <f>VLOOKUP(A847,[17]Sheet1!$A:$M,6,0)</f>
        <v>0</v>
      </c>
      <c r="T847" s="4">
        <f>VLOOKUP(A847,[17]Sheet1!$A:$M,7,0)</f>
        <v>800</v>
      </c>
      <c r="U847" s="4">
        <f>VLOOKUP(A847,[17]Sheet1!$A:$M,8,0)</f>
        <v>400</v>
      </c>
      <c r="V847" s="4">
        <f>VLOOKUP(A847,[17]Sheet1!$A:$M,9,0)</f>
        <v>400</v>
      </c>
      <c r="W847" s="4">
        <f>VLOOKUP(A847,[17]Sheet1!$A:$M,10,0)</f>
        <v>500</v>
      </c>
      <c r="X847" s="4">
        <f>VLOOKUP(A847,[17]Sheet1!$A:$M,11,0)</f>
        <v>0</v>
      </c>
      <c r="Y847" s="4">
        <f>VLOOKUP(A847,[17]Sheet1!$A:$M,12,0)</f>
        <v>0</v>
      </c>
      <c r="Z847" s="4">
        <f>VLOOKUP(A847,[17]Sheet1!$A:$M,13,0)</f>
        <v>0</v>
      </c>
      <c r="AA847" s="4">
        <f t="shared" si="258"/>
        <v>2100</v>
      </c>
      <c r="AB847" s="7">
        <f t="shared" si="259"/>
        <v>175</v>
      </c>
      <c r="AC847" s="15">
        <f t="shared" si="260"/>
        <v>175</v>
      </c>
      <c r="AD847" s="16">
        <f t="shared" si="261"/>
        <v>39879</v>
      </c>
      <c r="AE847" s="16">
        <f t="shared" si="248"/>
        <v>3323.2499999999995</v>
      </c>
      <c r="AF847" s="21">
        <v>6.02</v>
      </c>
      <c r="AG847" s="21">
        <v>18.989999999999998</v>
      </c>
      <c r="AH847" s="15">
        <f t="shared" si="242"/>
        <v>3.839999999999992E-2</v>
      </c>
      <c r="AI847" s="15">
        <f t="shared" si="243"/>
        <v>0.13439999999999971</v>
      </c>
      <c r="AJ847" s="10">
        <v>0.5</v>
      </c>
      <c r="AK847" s="10">
        <v>0.5</v>
      </c>
      <c r="AL847" s="21">
        <v>6.02</v>
      </c>
      <c r="AM847" s="9">
        <f t="shared" si="262"/>
        <v>2.8484999999999996</v>
      </c>
      <c r="AN847" s="9">
        <f t="shared" si="263"/>
        <v>0.56969999999999998</v>
      </c>
      <c r="AO847" s="9">
        <f t="shared" si="264"/>
        <v>3.798</v>
      </c>
      <c r="AP847" s="9">
        <f t="shared" si="265"/>
        <v>0.37979999999999997</v>
      </c>
      <c r="AQ847" s="9">
        <f t="shared" si="266"/>
        <v>3.798</v>
      </c>
      <c r="AR847" s="9">
        <f t="shared" si="267"/>
        <v>4.7474999999999996</v>
      </c>
      <c r="AS847" s="11">
        <f t="shared" si="268"/>
        <v>0.38399999999999918</v>
      </c>
      <c r="AT847" s="12">
        <f t="shared" si="269"/>
        <v>-0.24900000000000055</v>
      </c>
    </row>
    <row r="848" spans="1:46" ht="16.5" x14ac:dyDescent="0.4">
      <c r="A848" s="4" t="s">
        <v>3806</v>
      </c>
      <c r="B848" s="4" t="s">
        <v>3821</v>
      </c>
      <c r="C848" s="4" t="s">
        <v>3821</v>
      </c>
      <c r="D848" s="4" t="s">
        <v>3831</v>
      </c>
      <c r="E848" s="4" t="s">
        <v>3855</v>
      </c>
      <c r="F848" s="4" t="s">
        <v>3879</v>
      </c>
      <c r="G848" s="7" t="str">
        <f>VLOOKUP(A848,[1]done!$A:$I,9,0)</f>
        <v>Rodent</v>
      </c>
      <c r="H848" s="7" t="str" cm="1">
        <f t="array" ref="H848">_xlfn.IFS(
OR(ISNUMBER(SEARCH("mouse",E848)),ISNUMBER(SEARCH("rat",E848)),ISNUMBER(SEARCH("mice",E848)),ISNUMBER(SEARCH("rodent",E848))),"Rodent Control",
OR(ISNUMBER(SEARCH("fly",E848)),ISNUMBER(SEARCH("gnat",E848)),ISNUMBER(SEARCH("insect",E848)),ISNUMBER(SEARCH("mosquito",E848))),"Flying Insect Control",
OR(ISNUMBER(SEARCH("roach",E848)),ISNUMBER(SEARCH("ant",E848)),ISNUMBER(SEARCH("spider",E848)),ISNUMBER(SEARCH("cricket",E848)),ISNUMBER(SEARCH("scorpion",E848)),ISNUMBER(SEARCH("centipede",E848)),ISNUMBER(SEARCH("beetle",E848))),"Crawling Insect Control",
OR(ISNUMBER(SEARCH("tree",E848)),ISNUMBER(SEARCH("lantern",E848)),ISNUMBER(SEARCH("garden",E848)),ISNUMBER(SEARCH("plant",E848))),"Garden Pest Control",
OR(ISNUMBER(SEARCH("grass seed",E848)),ISNUMBER(SEARCH("seed mix",E848))),"Grass Seed",
OR(ISNUMBER(SEARCH("lawn food",E848)),ISNUMBER(SEARCH("fertilizer",E848))),"Lawn Fertilizer",
OR(ISNUMBER(SEARCH("patch",E848)),ISNUMBER(SEARCH("repair",E848)),ISNUMBER(SEARCH("thick'r",E848)),ISNUMBER(SEARCH("thick'r lawn",E848)),ISNUMBER(SEARCH("rapid grass",E848))),"Lawn Repair",
OR(ISNUMBER(SEARCH("weed",E848)),ISNUMBER(SEARCH("crabgrass",E848))),"Weed Control",
OR(ISNUMBER(SEARCH("fungicide",E848)),ISNUMBER(SEARCH("moss",E848))),"Disease &amp; Moss Control",
OR(ISNUMBER(SEARCH("plant food",E848)),ISNUMBER(SEARCH("miracid",E848))),"Plant Nutrition",
OR(ISNUMBER(SEARCH("perlite",E848))),"Soil Amendment",
OR(ISNUMBER(SEARCH("spreader",E848)),ISNUMBER(SEARCH("sprayer",E848)),ISNUMBER(SEARCH("mower",E848)),ISNUMBER(SEARCH("sweeper",E848)),ISNUMBER(SEARCH("pruner",E848)),ISNUMBER(SEARCH("trimmer",E848)),ISNUMBER(SEARCH("pole saw",E848))),"Garden Equipment",
TRUE,"Other"
)</f>
        <v>Rodent Control</v>
      </c>
      <c r="I848" s="7" t="str" cm="1">
        <f t="array" ref="I848">_xlfn.IFS(
OR(ISNUMBER(SEARCH("glue trap",E848)),ISNUMBER(SEARCH("glue board",E848))),"Glue Traps",
OR(ISNUMBER(SEARCH("snap trap",E848)),ISNUMBER(SEARCH("power-kill",E848)),ISNUMBER(SEARCH("wide pedal",E848)),ISNUMBER(SEARCH("metal pedal",E848))),"Snap Traps",
OR(ISNUMBER(SEARCH("electronic",E848)),ISNUMBER(SEARCH("zapper",E848))),"Electronic Traps",
OR(ISNUMBER(SEARCH("live catch",E848)),ISNUMBER(SEARCH("multi-catch",E848)),ISNUMBER(SEARCH("catch &amp; hold",E848)),ISNUMBER(SEARCH("tin cat",E848))),"Live Catch Traps",
OR(ISNUMBER(SEARCH("bait",E848)),ISNUMBER(SEARCH("poison",E848))),"Bait &amp; Poison",
ISNUMBER(SEARCH("repellent",E848)),"Repellents",
OR(ISNUMBER(SEARCH("fly trap",E848)),ISNUMBER(SEARCH("fly ribbon",E848)),ISNUMBER(SEARCH("fly stick",E848)),ISNUMBER(SEARCH("window fly",E848)),ISNUMBER(SEARCH("fly magnet",E848))),"Fly Traps",
OR(ISNUMBER(SEARCH("uv",E848)),ISNUMBER(SEARCH("fly light",E848)),ISNUMBER(SEARCH("plug-in",E848))),"UV Fly Traps",
ISNUMBER(SEARCH("roach",E848)),"Roach Traps",
ISNUMBER(SEARCH("ant",E848)),"Ant Traps",
ISNUMBER(SEARCH("spider",E848)),"Spider Traps",
ISNUMBER(SEARCH("mosquito",E848)),"Mosquito Traps",
ISNUMBER(SEARCH("beetle",E848)),"Beetle Traps",
ISNUMBER(SEARCH("lantern",E848)),"Lanternfly Control",
OR(ISNUMBER(SEARCH("tree shield",E848)),ISNUMBER(SEARCH("tree banding",E848)),ISNUMBER(SEARCH("insect barrier",E848))),"Tree Barriers",
OR(ISNUMBER(SEARCH("sun &amp; shade",E848)),ISNUMBER(SEARCH("sun and shade",E848))),"Sun &amp; Shade Mix",
ISNUMBER(SEARCH("tall fescue",E848)),"Tall Fescue",
ISNUMBER(SEARCH("bermudagrass",E848)),"Bermudagrass",
ISNUMBER(SEARCH("kentucky",E848)),"Kentucky Bluegrass",
ISNUMBER(SEARCH("zoysia",E848)),"Zoysia",
ISNUMBER(SEARCH("ryegrass",E848)),"Perennial Ryegrass",
ISNUMBER(SEARCH("centipede",E848)),"Centipede Grass",
ISNUMBER(SEARCH("dense shade",E848)),"Dense Shade Mix",
ISNUMBER(SEARCH("southern gold",E848)),"Southern Gold Mix",
ISNUMBER(SEARCH("heat-tolerant blue",E848)),"Heat-Tolerant Blue Mix",
ISNUMBER(SEARCH("high traffic",E848)),"High Traffic Mix",
ISNUMBER(SEARCH("quick fix",E848)),"Quick Fix Mix",
ISNUMBER(SEARCH("starter",E848)),"Starter Fertilizer",
ISNUMBER(SEARCH("weed &amp; feed",E848)),"Weed &amp; Feed",
ISNUMBER(SEARCH("lawn food",E848)),"Lawn Food",
ISNUMBER(SEARCH("triple action",E848)),"Triple Action Fertilizer",
ISNUMBER(SEARCH("green max",E848)),"Green Max Lawn Food",
ISNUMBER(SEARCH("patchmaster",E848)),"PatchMaster Repair",
ISNUMBER(SEARCH("ez seed",E848)),"EZ Seed Repair",
ISNUMBER(SEARCH("rapid grass",E848)),"Rapid Grass",
ISNUMBER(SEARCH("thick'r lawn",E848)),"Thick'R Lawn",
ISNUMBER(SEARCH("fungicide",E848)),"Fungicide",
ISNUMBER(SEARCH("moss",E848)),"Moss Control",
ISNUMBER(SEARCH("perlite",E848)),"Perlite",
ISNUMBER(SEARCH("plant food",E848)),"Plant Food",
ISNUMBER(SEARCH("spreader",E848)),"Spreader",
ISNUMBER(SEARCH("sprayer",E848)),"Sprayer",
ISNUMBER(SEARCH("mower",E848)),"Lawn Mower",
ISNUMBER(SEARCH("sweeper",E848)),"Lawn Sweeper",
OR(ISNUMBER(SEARCH("pruner",E848)),ISNUMBER(SEARCH("trimmer",E848)),ISNUMBER(SEARCH("pole saw",E848))),"Pruning Tools",
TRUE,"Other"
)</f>
        <v>Repellents</v>
      </c>
      <c r="J848" s="7" t="str">
        <f t="shared" si="249"/>
        <v>Rodent Control - Repellents</v>
      </c>
      <c r="K848" s="4">
        <v>300</v>
      </c>
      <c r="L848" s="4">
        <v>4.0999999999999996</v>
      </c>
      <c r="M848" s="4">
        <v>29136</v>
      </c>
      <c r="N848" s="4" t="s">
        <v>3897</v>
      </c>
      <c r="O848" s="4">
        <f>VLOOKUP(A848,[17]Sheet1!$A:$M,2,0)</f>
        <v>50</v>
      </c>
      <c r="P848" s="4">
        <f>VLOOKUP(A848,[17]Sheet1!$A:$M,3,0)</f>
        <v>50</v>
      </c>
      <c r="Q848" s="4">
        <f>VLOOKUP(A848,[17]Sheet1!$A:$M,4,0)</f>
        <v>50</v>
      </c>
      <c r="R848" s="4">
        <f>VLOOKUP(A848,[17]Sheet1!$A:$M,5,0)</f>
        <v>50</v>
      </c>
      <c r="S848" s="4">
        <f>VLOOKUP(A848,[17]Sheet1!$A:$M,6,0)</f>
        <v>50</v>
      </c>
      <c r="T848" s="4">
        <f>VLOOKUP(A848,[17]Sheet1!$A:$M,7,0)</f>
        <v>0</v>
      </c>
      <c r="U848" s="4">
        <f>VLOOKUP(A848,[17]Sheet1!$A:$M,8,0)</f>
        <v>50</v>
      </c>
      <c r="V848" s="4">
        <f>VLOOKUP(A848,[17]Sheet1!$A:$M,9,0)</f>
        <v>50</v>
      </c>
      <c r="W848" s="4">
        <f>VLOOKUP(A848,[17]Sheet1!$A:$M,10,0)</f>
        <v>400</v>
      </c>
      <c r="X848" s="4">
        <f>VLOOKUP(A848,[17]Sheet1!$A:$M,11,0)</f>
        <v>400</v>
      </c>
      <c r="Y848" s="4">
        <f>VLOOKUP(A848,[17]Sheet1!$A:$M,12,0)</f>
        <v>200</v>
      </c>
      <c r="Z848" s="4">
        <f>VLOOKUP(A848,[17]Sheet1!$A:$M,13,0)</f>
        <v>200</v>
      </c>
      <c r="AA848" s="4">
        <f t="shared" si="258"/>
        <v>1550</v>
      </c>
      <c r="AB848" s="7">
        <f t="shared" si="259"/>
        <v>129</v>
      </c>
      <c r="AC848" s="15">
        <f t="shared" si="260"/>
        <v>129.16666666666666</v>
      </c>
      <c r="AD848" s="16">
        <f t="shared" si="261"/>
        <v>112623</v>
      </c>
      <c r="AE848" s="16">
        <f t="shared" si="248"/>
        <v>9385.2499999999982</v>
      </c>
      <c r="AF848" s="21">
        <v>7.65</v>
      </c>
      <c r="AG848" s="21">
        <v>72.66</v>
      </c>
      <c r="AH848" s="15">
        <f t="shared" si="242"/>
        <v>1.3609333333333333</v>
      </c>
      <c r="AI848" s="15">
        <f t="shared" si="243"/>
        <v>4.7632666666666656</v>
      </c>
      <c r="AJ848" s="10">
        <v>0.5</v>
      </c>
      <c r="AK848" s="10">
        <v>0.5</v>
      </c>
      <c r="AL848" s="21">
        <v>7.65</v>
      </c>
      <c r="AM848" s="9">
        <f t="shared" si="262"/>
        <v>10.898999999999999</v>
      </c>
      <c r="AN848" s="9">
        <f t="shared" si="263"/>
        <v>2.1797999999999997</v>
      </c>
      <c r="AO848" s="9">
        <f t="shared" si="264"/>
        <v>14.532</v>
      </c>
      <c r="AP848" s="9">
        <f t="shared" si="265"/>
        <v>1.4532</v>
      </c>
      <c r="AQ848" s="9">
        <f t="shared" si="266"/>
        <v>14.532</v>
      </c>
      <c r="AR848" s="9">
        <f t="shared" si="267"/>
        <v>18.164999999999999</v>
      </c>
      <c r="AS848" s="11">
        <f t="shared" si="268"/>
        <v>13.609333333333332</v>
      </c>
      <c r="AT848" s="12">
        <f t="shared" si="269"/>
        <v>11.187333333333333</v>
      </c>
    </row>
    <row r="849" spans="1:46" ht="16.5" x14ac:dyDescent="0.4">
      <c r="A849" s="4" t="s">
        <v>3807</v>
      </c>
      <c r="B849" s="4" t="s">
        <v>3821</v>
      </c>
      <c r="C849" s="4" t="s">
        <v>3821</v>
      </c>
      <c r="D849" s="4" t="s">
        <v>3832</v>
      </c>
      <c r="E849" s="4" t="s">
        <v>3856</v>
      </c>
      <c r="F849" s="4" t="s">
        <v>3880</v>
      </c>
      <c r="G849" s="7" t="str">
        <f>VLOOKUP(A849,[1]done!$A:$I,9,0)</f>
        <v>Bed Bug repellent</v>
      </c>
      <c r="H849" s="7" t="str" cm="1">
        <f t="array" ref="H849">_xlfn.IFS(
OR(ISNUMBER(SEARCH("mouse",E849)),ISNUMBER(SEARCH("rat",E849)),ISNUMBER(SEARCH("mice",E849)),ISNUMBER(SEARCH("rodent",E849))),"Rodent Control",
OR(ISNUMBER(SEARCH("fly",E849)),ISNUMBER(SEARCH("gnat",E849)),ISNUMBER(SEARCH("insect",E849)),ISNUMBER(SEARCH("mosquito",E849))),"Flying Insect Control",
OR(ISNUMBER(SEARCH("roach",E849)),ISNUMBER(SEARCH("ant",E849)),ISNUMBER(SEARCH("spider",E849)),ISNUMBER(SEARCH("cricket",E849)),ISNUMBER(SEARCH("scorpion",E849)),ISNUMBER(SEARCH("centipede",E849)),ISNUMBER(SEARCH("beetle",E849))),"Crawling Insect Control",
OR(ISNUMBER(SEARCH("tree",E849)),ISNUMBER(SEARCH("lantern",E849)),ISNUMBER(SEARCH("garden",E849)),ISNUMBER(SEARCH("plant",E849))),"Garden Pest Control",
OR(ISNUMBER(SEARCH("grass seed",E849)),ISNUMBER(SEARCH("seed mix",E849))),"Grass Seed",
OR(ISNUMBER(SEARCH("lawn food",E849)),ISNUMBER(SEARCH("fertilizer",E849))),"Lawn Fertilizer",
OR(ISNUMBER(SEARCH("patch",E849)),ISNUMBER(SEARCH("repair",E849)),ISNUMBER(SEARCH("thick'r",E849)),ISNUMBER(SEARCH("thick'r lawn",E849)),ISNUMBER(SEARCH("rapid grass",E849))),"Lawn Repair",
OR(ISNUMBER(SEARCH("weed",E849)),ISNUMBER(SEARCH("crabgrass",E849))),"Weed Control",
OR(ISNUMBER(SEARCH("fungicide",E849)),ISNUMBER(SEARCH("moss",E849))),"Disease &amp; Moss Control",
OR(ISNUMBER(SEARCH("plant food",E849)),ISNUMBER(SEARCH("miracid",E849))),"Plant Nutrition",
OR(ISNUMBER(SEARCH("perlite",E849))),"Soil Amendment",
OR(ISNUMBER(SEARCH("spreader",E849)),ISNUMBER(SEARCH("sprayer",E849)),ISNUMBER(SEARCH("mower",E849)),ISNUMBER(SEARCH("sweeper",E849)),ISNUMBER(SEARCH("pruner",E849)),ISNUMBER(SEARCH("trimmer",E849)),ISNUMBER(SEARCH("pole saw",E849))),"Garden Equipment",
TRUE,"Other"
)</f>
        <v>Other</v>
      </c>
      <c r="I849" s="7" t="str" cm="1">
        <f t="array" ref="I849">_xlfn.IFS(
OR(ISNUMBER(SEARCH("glue trap",E849)),ISNUMBER(SEARCH("glue board",E849))),"Glue Traps",
OR(ISNUMBER(SEARCH("snap trap",E849)),ISNUMBER(SEARCH("power-kill",E849)),ISNUMBER(SEARCH("wide pedal",E849)),ISNUMBER(SEARCH("metal pedal",E849))),"Snap Traps",
OR(ISNUMBER(SEARCH("electronic",E849)),ISNUMBER(SEARCH("zapper",E849))),"Electronic Traps",
OR(ISNUMBER(SEARCH("live catch",E849)),ISNUMBER(SEARCH("multi-catch",E849)),ISNUMBER(SEARCH("catch &amp; hold",E849)),ISNUMBER(SEARCH("tin cat",E849))),"Live Catch Traps",
OR(ISNUMBER(SEARCH("bait",E849)),ISNUMBER(SEARCH("poison",E849))),"Bait &amp; Poison",
ISNUMBER(SEARCH("repellent",E849)),"Repellents",
OR(ISNUMBER(SEARCH("fly trap",E849)),ISNUMBER(SEARCH("fly ribbon",E849)),ISNUMBER(SEARCH("fly stick",E849)),ISNUMBER(SEARCH("window fly",E849)),ISNUMBER(SEARCH("fly magnet",E849))),"Fly Traps",
OR(ISNUMBER(SEARCH("uv",E849)),ISNUMBER(SEARCH("fly light",E849)),ISNUMBER(SEARCH("plug-in",E849))),"UV Fly Traps",
ISNUMBER(SEARCH("roach",E849)),"Roach Traps",
ISNUMBER(SEARCH("ant",E849)),"Ant Traps",
ISNUMBER(SEARCH("spider",E849)),"Spider Traps",
ISNUMBER(SEARCH("mosquito",E849)),"Mosquito Traps",
ISNUMBER(SEARCH("beetle",E849)),"Beetle Traps",
ISNUMBER(SEARCH("lantern",E849)),"Lanternfly Control",
OR(ISNUMBER(SEARCH("tree shield",E849)),ISNUMBER(SEARCH("tree banding",E849)),ISNUMBER(SEARCH("insect barrier",E849))),"Tree Barriers",
OR(ISNUMBER(SEARCH("sun &amp; shade",E849)),ISNUMBER(SEARCH("sun and shade",E849))),"Sun &amp; Shade Mix",
ISNUMBER(SEARCH("tall fescue",E849)),"Tall Fescue",
ISNUMBER(SEARCH("bermudagrass",E849)),"Bermudagrass",
ISNUMBER(SEARCH("kentucky",E849)),"Kentucky Bluegrass",
ISNUMBER(SEARCH("zoysia",E849)),"Zoysia",
ISNUMBER(SEARCH("ryegrass",E849)),"Perennial Ryegrass",
ISNUMBER(SEARCH("centipede",E849)),"Centipede Grass",
ISNUMBER(SEARCH("dense shade",E849)),"Dense Shade Mix",
ISNUMBER(SEARCH("southern gold",E849)),"Southern Gold Mix",
ISNUMBER(SEARCH("heat-tolerant blue",E849)),"Heat-Tolerant Blue Mix",
ISNUMBER(SEARCH("high traffic",E849)),"High Traffic Mix",
ISNUMBER(SEARCH("quick fix",E849)),"Quick Fix Mix",
ISNUMBER(SEARCH("starter",E849)),"Starter Fertilizer",
ISNUMBER(SEARCH("weed &amp; feed",E849)),"Weed &amp; Feed",
ISNUMBER(SEARCH("lawn food",E849)),"Lawn Food",
ISNUMBER(SEARCH("triple action",E849)),"Triple Action Fertilizer",
ISNUMBER(SEARCH("green max",E849)),"Green Max Lawn Food",
ISNUMBER(SEARCH("patchmaster",E849)),"PatchMaster Repair",
ISNUMBER(SEARCH("ez seed",E849)),"EZ Seed Repair",
ISNUMBER(SEARCH("rapid grass",E849)),"Rapid Grass",
ISNUMBER(SEARCH("thick'r lawn",E849)),"Thick'R Lawn",
ISNUMBER(SEARCH("fungicide",E849)),"Fungicide",
ISNUMBER(SEARCH("moss",E849)),"Moss Control",
ISNUMBER(SEARCH("perlite",E849)),"Perlite",
ISNUMBER(SEARCH("plant food",E849)),"Plant Food",
ISNUMBER(SEARCH("spreader",E849)),"Spreader",
ISNUMBER(SEARCH("sprayer",E849)),"Sprayer",
ISNUMBER(SEARCH("mower",E849)),"Lawn Mower",
ISNUMBER(SEARCH("sweeper",E849)),"Lawn Sweeper",
OR(ISNUMBER(SEARCH("pruner",E849)),ISNUMBER(SEARCH("trimmer",E849)),ISNUMBER(SEARCH("pole saw",E849))),"Pruning Tools",
TRUE,"Other"
)</f>
        <v>Glue Traps</v>
      </c>
      <c r="J849" s="7" t="str">
        <f t="shared" si="249"/>
        <v>Other - Glue Traps</v>
      </c>
      <c r="K849" s="4">
        <v>300</v>
      </c>
      <c r="L849" s="4">
        <v>3.6</v>
      </c>
      <c r="M849" s="4">
        <v>381</v>
      </c>
      <c r="N849" s="4" t="s">
        <v>3898</v>
      </c>
      <c r="O849" s="4">
        <f>VLOOKUP(A849,[17]Sheet1!$A:$M,2,0)</f>
        <v>50</v>
      </c>
      <c r="P849" s="4">
        <f>VLOOKUP(A849,[17]Sheet1!$A:$M,3,0)</f>
        <v>50</v>
      </c>
      <c r="Q849" s="4">
        <f>VLOOKUP(A849,[17]Sheet1!$A:$M,4,0)</f>
        <v>0</v>
      </c>
      <c r="R849" s="4">
        <f>VLOOKUP(A849,[17]Sheet1!$A:$M,5,0)</f>
        <v>50</v>
      </c>
      <c r="S849" s="4">
        <f>VLOOKUP(A849,[17]Sheet1!$A:$M,6,0)</f>
        <v>50</v>
      </c>
      <c r="T849" s="4">
        <f>VLOOKUP(A849,[17]Sheet1!$A:$M,7,0)</f>
        <v>100</v>
      </c>
      <c r="U849" s="4">
        <f>VLOOKUP(A849,[17]Sheet1!$A:$M,8,0)</f>
        <v>100</v>
      </c>
      <c r="V849" s="4">
        <f>VLOOKUP(A849,[17]Sheet1!$A:$M,9,0)</f>
        <v>200</v>
      </c>
      <c r="W849" s="4">
        <f>VLOOKUP(A849,[17]Sheet1!$A:$M,10,0)</f>
        <v>300</v>
      </c>
      <c r="X849" s="4">
        <f>VLOOKUP(A849,[17]Sheet1!$A:$M,11,0)</f>
        <v>100</v>
      </c>
      <c r="Y849" s="4">
        <f>VLOOKUP(A849,[17]Sheet1!$A:$M,12,0)</f>
        <v>50</v>
      </c>
      <c r="Z849" s="4">
        <f>VLOOKUP(A849,[17]Sheet1!$A:$M,13,0)</f>
        <v>50</v>
      </c>
      <c r="AA849" s="4">
        <f t="shared" si="258"/>
        <v>1100</v>
      </c>
      <c r="AB849" s="7">
        <f t="shared" si="259"/>
        <v>92</v>
      </c>
      <c r="AC849" s="15">
        <f t="shared" si="260"/>
        <v>91.666666666666671</v>
      </c>
      <c r="AD849" s="16">
        <f t="shared" si="261"/>
        <v>10989</v>
      </c>
      <c r="AE849" s="16">
        <f t="shared" si="248"/>
        <v>915.75000000000011</v>
      </c>
      <c r="AF849" s="21">
        <v>3.01</v>
      </c>
      <c r="AG849" s="21">
        <v>9.99</v>
      </c>
      <c r="AH849" s="15">
        <f t="shared" si="242"/>
        <v>-9.3333333333334904E-4</v>
      </c>
      <c r="AI849" s="15">
        <f t="shared" si="243"/>
        <v>-3.2666666666667215E-3</v>
      </c>
      <c r="AJ849" s="10">
        <v>0.5</v>
      </c>
      <c r="AK849" s="10">
        <v>0.5</v>
      </c>
      <c r="AL849" s="21">
        <v>3.01</v>
      </c>
      <c r="AM849" s="9">
        <f t="shared" si="262"/>
        <v>1.4984999999999999</v>
      </c>
      <c r="AN849" s="9">
        <f t="shared" si="263"/>
        <v>0.29970000000000002</v>
      </c>
      <c r="AO849" s="9">
        <f t="shared" si="264"/>
        <v>1.9980000000000002</v>
      </c>
      <c r="AP849" s="9">
        <f t="shared" si="265"/>
        <v>0.19980000000000001</v>
      </c>
      <c r="AQ849" s="9">
        <f t="shared" si="266"/>
        <v>1.9980000000000002</v>
      </c>
      <c r="AR849" s="9">
        <f t="shared" si="267"/>
        <v>2.4975000000000001</v>
      </c>
      <c r="AS849" s="11">
        <f t="shared" si="268"/>
        <v>-9.3333333333334902E-3</v>
      </c>
      <c r="AT849" s="12">
        <f t="shared" si="269"/>
        <v>-0.34233333333333338</v>
      </c>
    </row>
    <row r="850" spans="1:46" ht="16.5" x14ac:dyDescent="0.4">
      <c r="A850" s="4" t="s">
        <v>3808</v>
      </c>
      <c r="B850" s="4" t="s">
        <v>3821</v>
      </c>
      <c r="C850" s="4" t="s">
        <v>3821</v>
      </c>
      <c r="D850" s="4" t="s">
        <v>3833</v>
      </c>
      <c r="E850" s="4" t="s">
        <v>3857</v>
      </c>
      <c r="F850" s="4" t="s">
        <v>3881</v>
      </c>
      <c r="G850" s="7" t="str">
        <f>VLOOKUP(A850,[1]done!$A:$I,9,0)</f>
        <v>Rodent</v>
      </c>
      <c r="H850" s="7" t="str" cm="1">
        <f t="array" ref="H850">_xlfn.IFS(
OR(ISNUMBER(SEARCH("mouse",E850)),ISNUMBER(SEARCH("rat",E850)),ISNUMBER(SEARCH("mice",E850)),ISNUMBER(SEARCH("rodent",E850))),"Rodent Control",
OR(ISNUMBER(SEARCH("fly",E850)),ISNUMBER(SEARCH("gnat",E850)),ISNUMBER(SEARCH("insect",E850)),ISNUMBER(SEARCH("mosquito",E850))),"Flying Insect Control",
OR(ISNUMBER(SEARCH("roach",E850)),ISNUMBER(SEARCH("ant",E850)),ISNUMBER(SEARCH("spider",E850)),ISNUMBER(SEARCH("cricket",E850)),ISNUMBER(SEARCH("scorpion",E850)),ISNUMBER(SEARCH("centipede",E850)),ISNUMBER(SEARCH("beetle",E850))),"Crawling Insect Control",
OR(ISNUMBER(SEARCH("tree",E850)),ISNUMBER(SEARCH("lantern",E850)),ISNUMBER(SEARCH("garden",E850)),ISNUMBER(SEARCH("plant",E850))),"Garden Pest Control",
OR(ISNUMBER(SEARCH("grass seed",E850)),ISNUMBER(SEARCH("seed mix",E850))),"Grass Seed",
OR(ISNUMBER(SEARCH("lawn food",E850)),ISNUMBER(SEARCH("fertilizer",E850))),"Lawn Fertilizer",
OR(ISNUMBER(SEARCH("patch",E850)),ISNUMBER(SEARCH("repair",E850)),ISNUMBER(SEARCH("thick'r",E850)),ISNUMBER(SEARCH("thick'r lawn",E850)),ISNUMBER(SEARCH("rapid grass",E850))),"Lawn Repair",
OR(ISNUMBER(SEARCH("weed",E850)),ISNUMBER(SEARCH("crabgrass",E850))),"Weed Control",
OR(ISNUMBER(SEARCH("fungicide",E850)),ISNUMBER(SEARCH("moss",E850))),"Disease &amp; Moss Control",
OR(ISNUMBER(SEARCH("plant food",E850)),ISNUMBER(SEARCH("miracid",E850))),"Plant Nutrition",
OR(ISNUMBER(SEARCH("perlite",E850))),"Soil Amendment",
OR(ISNUMBER(SEARCH("spreader",E850)),ISNUMBER(SEARCH("sprayer",E850)),ISNUMBER(SEARCH("mower",E850)),ISNUMBER(SEARCH("sweeper",E850)),ISNUMBER(SEARCH("pruner",E850)),ISNUMBER(SEARCH("trimmer",E850)),ISNUMBER(SEARCH("pole saw",E850))),"Garden Equipment",
TRUE,"Other"
)</f>
        <v>Rodent Control</v>
      </c>
      <c r="I850" s="7" t="str" cm="1">
        <f t="array" ref="I850">_xlfn.IFS(
OR(ISNUMBER(SEARCH("glue trap",E850)),ISNUMBER(SEARCH("glue board",E850))),"Glue Traps",
OR(ISNUMBER(SEARCH("snap trap",E850)),ISNUMBER(SEARCH("power-kill",E850)),ISNUMBER(SEARCH("wide pedal",E850)),ISNUMBER(SEARCH("metal pedal",E850))),"Snap Traps",
OR(ISNUMBER(SEARCH("electronic",E850)),ISNUMBER(SEARCH("zapper",E850))),"Electronic Traps",
OR(ISNUMBER(SEARCH("live catch",E850)),ISNUMBER(SEARCH("multi-catch",E850)),ISNUMBER(SEARCH("catch &amp; hold",E850)),ISNUMBER(SEARCH("tin cat",E850))),"Live Catch Traps",
OR(ISNUMBER(SEARCH("bait",E850)),ISNUMBER(SEARCH("poison",E850))),"Bait &amp; Poison",
ISNUMBER(SEARCH("repellent",E850)),"Repellents",
OR(ISNUMBER(SEARCH("fly trap",E850)),ISNUMBER(SEARCH("fly ribbon",E850)),ISNUMBER(SEARCH("fly stick",E850)),ISNUMBER(SEARCH("window fly",E850)),ISNUMBER(SEARCH("fly magnet",E850))),"Fly Traps",
OR(ISNUMBER(SEARCH("uv",E850)),ISNUMBER(SEARCH("fly light",E850)),ISNUMBER(SEARCH("plug-in",E850))),"UV Fly Traps",
ISNUMBER(SEARCH("roach",E850)),"Roach Traps",
ISNUMBER(SEARCH("ant",E850)),"Ant Traps",
ISNUMBER(SEARCH("spider",E850)),"Spider Traps",
ISNUMBER(SEARCH("mosquito",E850)),"Mosquito Traps",
ISNUMBER(SEARCH("beetle",E850)),"Beetle Traps",
ISNUMBER(SEARCH("lantern",E850)),"Lanternfly Control",
OR(ISNUMBER(SEARCH("tree shield",E850)),ISNUMBER(SEARCH("tree banding",E850)),ISNUMBER(SEARCH("insect barrier",E850))),"Tree Barriers",
OR(ISNUMBER(SEARCH("sun &amp; shade",E850)),ISNUMBER(SEARCH("sun and shade",E850))),"Sun &amp; Shade Mix",
ISNUMBER(SEARCH("tall fescue",E850)),"Tall Fescue",
ISNUMBER(SEARCH("bermudagrass",E850)),"Bermudagrass",
ISNUMBER(SEARCH("kentucky",E850)),"Kentucky Bluegrass",
ISNUMBER(SEARCH("zoysia",E850)),"Zoysia",
ISNUMBER(SEARCH("ryegrass",E850)),"Perennial Ryegrass",
ISNUMBER(SEARCH("centipede",E850)),"Centipede Grass",
ISNUMBER(SEARCH("dense shade",E850)),"Dense Shade Mix",
ISNUMBER(SEARCH("southern gold",E850)),"Southern Gold Mix",
ISNUMBER(SEARCH("heat-tolerant blue",E850)),"Heat-Tolerant Blue Mix",
ISNUMBER(SEARCH("high traffic",E850)),"High Traffic Mix",
ISNUMBER(SEARCH("quick fix",E850)),"Quick Fix Mix",
ISNUMBER(SEARCH("starter",E850)),"Starter Fertilizer",
ISNUMBER(SEARCH("weed &amp; feed",E850)),"Weed &amp; Feed",
ISNUMBER(SEARCH("lawn food",E850)),"Lawn Food",
ISNUMBER(SEARCH("triple action",E850)),"Triple Action Fertilizer",
ISNUMBER(SEARCH("green max",E850)),"Green Max Lawn Food",
ISNUMBER(SEARCH("patchmaster",E850)),"PatchMaster Repair",
ISNUMBER(SEARCH("ez seed",E850)),"EZ Seed Repair",
ISNUMBER(SEARCH("rapid grass",E850)),"Rapid Grass",
ISNUMBER(SEARCH("thick'r lawn",E850)),"Thick'R Lawn",
ISNUMBER(SEARCH("fungicide",E850)),"Fungicide",
ISNUMBER(SEARCH("moss",E850)),"Moss Control",
ISNUMBER(SEARCH("perlite",E850)),"Perlite",
ISNUMBER(SEARCH("plant food",E850)),"Plant Food",
ISNUMBER(SEARCH("spreader",E850)),"Spreader",
ISNUMBER(SEARCH("sprayer",E850)),"Sprayer",
ISNUMBER(SEARCH("mower",E850)),"Lawn Mower",
ISNUMBER(SEARCH("sweeper",E850)),"Lawn Sweeper",
OR(ISNUMBER(SEARCH("pruner",E850)),ISNUMBER(SEARCH("trimmer",E850)),ISNUMBER(SEARCH("pole saw",E850))),"Pruning Tools",
TRUE,"Other"
)</f>
        <v>Repellents</v>
      </c>
      <c r="J850" s="7" t="str">
        <f t="shared" si="249"/>
        <v>Rodent Control - Repellents</v>
      </c>
      <c r="K850" s="4">
        <v>300</v>
      </c>
      <c r="L850" s="4">
        <v>3.8</v>
      </c>
      <c r="M850" s="4">
        <v>43</v>
      </c>
      <c r="N850" s="4" t="s">
        <v>3670</v>
      </c>
      <c r="O850" s="4">
        <f>VLOOKUP(A850,[17]Sheet1!$A:$M,2,0)</f>
        <v>0</v>
      </c>
      <c r="P850" s="4">
        <f>VLOOKUP(A850,[17]Sheet1!$A:$M,3,0)</f>
        <v>0</v>
      </c>
      <c r="Q850" s="4">
        <f>VLOOKUP(A850,[17]Sheet1!$A:$M,4,0)</f>
        <v>0</v>
      </c>
      <c r="R850" s="4">
        <f>VLOOKUP(A850,[17]Sheet1!$A:$M,5,0)</f>
        <v>0</v>
      </c>
      <c r="S850" s="4">
        <f>VLOOKUP(A850,[17]Sheet1!$A:$M,6,0)</f>
        <v>0</v>
      </c>
      <c r="T850" s="4">
        <f>VLOOKUP(A850,[17]Sheet1!$A:$M,7,0)</f>
        <v>100</v>
      </c>
      <c r="U850" s="4">
        <f>VLOOKUP(A850,[17]Sheet1!$A:$M,8,0)</f>
        <v>100</v>
      </c>
      <c r="V850" s="4">
        <f>VLOOKUP(A850,[17]Sheet1!$A:$M,9,0)</f>
        <v>200</v>
      </c>
      <c r="W850" s="4">
        <f>VLOOKUP(A850,[17]Sheet1!$A:$M,10,0)</f>
        <v>200</v>
      </c>
      <c r="X850" s="4">
        <f>VLOOKUP(A850,[17]Sheet1!$A:$M,11,0)</f>
        <v>0</v>
      </c>
      <c r="Y850" s="4">
        <f>VLOOKUP(A850,[17]Sheet1!$A:$M,12,0)</f>
        <v>0</v>
      </c>
      <c r="Z850" s="4">
        <f>VLOOKUP(A850,[17]Sheet1!$A:$M,13,0)</f>
        <v>0</v>
      </c>
      <c r="AA850" s="4">
        <f t="shared" si="258"/>
        <v>600</v>
      </c>
      <c r="AB850" s="7">
        <f t="shared" si="259"/>
        <v>50</v>
      </c>
      <c r="AC850" s="15">
        <f t="shared" si="260"/>
        <v>50</v>
      </c>
      <c r="AD850" s="16">
        <f t="shared" si="261"/>
        <v>14993.999999999998</v>
      </c>
      <c r="AE850" s="16">
        <f t="shared" si="248"/>
        <v>1249.5</v>
      </c>
      <c r="AF850" s="21">
        <v>5.22</v>
      </c>
      <c r="AG850" s="21">
        <v>24.99</v>
      </c>
      <c r="AH850" s="15">
        <f t="shared" si="242"/>
        <v>0.25173333333333314</v>
      </c>
      <c r="AI850" s="15">
        <f t="shared" si="243"/>
        <v>0.88106666666666589</v>
      </c>
      <c r="AJ850" s="10">
        <v>0.5</v>
      </c>
      <c r="AK850" s="10">
        <v>0.5</v>
      </c>
      <c r="AL850" s="21">
        <v>5.22</v>
      </c>
      <c r="AM850" s="9">
        <f t="shared" si="262"/>
        <v>3.7484999999999995</v>
      </c>
      <c r="AN850" s="9">
        <f t="shared" si="263"/>
        <v>0.74969999999999992</v>
      </c>
      <c r="AO850" s="9">
        <f t="shared" si="264"/>
        <v>4.9980000000000002</v>
      </c>
      <c r="AP850" s="9">
        <f t="shared" si="265"/>
        <v>0.49979999999999997</v>
      </c>
      <c r="AQ850" s="9">
        <f t="shared" si="266"/>
        <v>4.9980000000000002</v>
      </c>
      <c r="AR850" s="9">
        <f t="shared" si="267"/>
        <v>6.2474999999999996</v>
      </c>
      <c r="AS850" s="11">
        <f t="shared" si="268"/>
        <v>2.5173333333333314</v>
      </c>
      <c r="AT850" s="12">
        <f t="shared" si="269"/>
        <v>1.6843333333333319</v>
      </c>
    </row>
    <row r="851" spans="1:46" ht="16.5" x14ac:dyDescent="0.4">
      <c r="A851" s="4" t="s">
        <v>3809</v>
      </c>
      <c r="B851" s="4" t="s">
        <v>3821</v>
      </c>
      <c r="C851" s="4" t="s">
        <v>3821</v>
      </c>
      <c r="D851" s="4" t="s">
        <v>3834</v>
      </c>
      <c r="E851" s="4" t="s">
        <v>3858</v>
      </c>
      <c r="F851" s="4" t="s">
        <v>3882</v>
      </c>
      <c r="G851" s="7" t="str">
        <f>VLOOKUP(A851,[1]done!$A:$I,9,0)</f>
        <v>Rodent</v>
      </c>
      <c r="H851" s="7" t="str" cm="1">
        <f t="array" ref="H851">_xlfn.IFS(
OR(ISNUMBER(SEARCH("mouse",E851)),ISNUMBER(SEARCH("rat",E851)),ISNUMBER(SEARCH("mice",E851)),ISNUMBER(SEARCH("rodent",E851))),"Rodent Control",
OR(ISNUMBER(SEARCH("fly",E851)),ISNUMBER(SEARCH("gnat",E851)),ISNUMBER(SEARCH("insect",E851)),ISNUMBER(SEARCH("mosquito",E851))),"Flying Insect Control",
OR(ISNUMBER(SEARCH("roach",E851)),ISNUMBER(SEARCH("ant",E851)),ISNUMBER(SEARCH("spider",E851)),ISNUMBER(SEARCH("cricket",E851)),ISNUMBER(SEARCH("scorpion",E851)),ISNUMBER(SEARCH("centipede",E851)),ISNUMBER(SEARCH("beetle",E851))),"Crawling Insect Control",
OR(ISNUMBER(SEARCH("tree",E851)),ISNUMBER(SEARCH("lantern",E851)),ISNUMBER(SEARCH("garden",E851)),ISNUMBER(SEARCH("plant",E851))),"Garden Pest Control",
OR(ISNUMBER(SEARCH("grass seed",E851)),ISNUMBER(SEARCH("seed mix",E851))),"Grass Seed",
OR(ISNUMBER(SEARCH("lawn food",E851)),ISNUMBER(SEARCH("fertilizer",E851))),"Lawn Fertilizer",
OR(ISNUMBER(SEARCH("patch",E851)),ISNUMBER(SEARCH("repair",E851)),ISNUMBER(SEARCH("thick'r",E851)),ISNUMBER(SEARCH("thick'r lawn",E851)),ISNUMBER(SEARCH("rapid grass",E851))),"Lawn Repair",
OR(ISNUMBER(SEARCH("weed",E851)),ISNUMBER(SEARCH("crabgrass",E851))),"Weed Control",
OR(ISNUMBER(SEARCH("fungicide",E851)),ISNUMBER(SEARCH("moss",E851))),"Disease &amp; Moss Control",
OR(ISNUMBER(SEARCH("plant food",E851)),ISNUMBER(SEARCH("miracid",E851))),"Plant Nutrition",
OR(ISNUMBER(SEARCH("perlite",E851))),"Soil Amendment",
OR(ISNUMBER(SEARCH("spreader",E851)),ISNUMBER(SEARCH("sprayer",E851)),ISNUMBER(SEARCH("mower",E851)),ISNUMBER(SEARCH("sweeper",E851)),ISNUMBER(SEARCH("pruner",E851)),ISNUMBER(SEARCH("trimmer",E851)),ISNUMBER(SEARCH("pole saw",E851))),"Garden Equipment",
TRUE,"Other"
)</f>
        <v>Rodent Control</v>
      </c>
      <c r="I851" s="7" t="str" cm="1">
        <f t="array" ref="I851">_xlfn.IFS(
OR(ISNUMBER(SEARCH("glue trap",E851)),ISNUMBER(SEARCH("glue board",E851))),"Glue Traps",
OR(ISNUMBER(SEARCH("snap trap",E851)),ISNUMBER(SEARCH("power-kill",E851)),ISNUMBER(SEARCH("wide pedal",E851)),ISNUMBER(SEARCH("metal pedal",E851))),"Snap Traps",
OR(ISNUMBER(SEARCH("electronic",E851)),ISNUMBER(SEARCH("zapper",E851))),"Electronic Traps",
OR(ISNUMBER(SEARCH("live catch",E851)),ISNUMBER(SEARCH("multi-catch",E851)),ISNUMBER(SEARCH("catch &amp; hold",E851)),ISNUMBER(SEARCH("tin cat",E851))),"Live Catch Traps",
OR(ISNUMBER(SEARCH("bait",E851)),ISNUMBER(SEARCH("poison",E851))),"Bait &amp; Poison",
ISNUMBER(SEARCH("repellent",E851)),"Repellents",
OR(ISNUMBER(SEARCH("fly trap",E851)),ISNUMBER(SEARCH("fly ribbon",E851)),ISNUMBER(SEARCH("fly stick",E851)),ISNUMBER(SEARCH("window fly",E851)),ISNUMBER(SEARCH("fly magnet",E851))),"Fly Traps",
OR(ISNUMBER(SEARCH("uv",E851)),ISNUMBER(SEARCH("fly light",E851)),ISNUMBER(SEARCH("plug-in",E851))),"UV Fly Traps",
ISNUMBER(SEARCH("roach",E851)),"Roach Traps",
ISNUMBER(SEARCH("ant",E851)),"Ant Traps",
ISNUMBER(SEARCH("spider",E851)),"Spider Traps",
ISNUMBER(SEARCH("mosquito",E851)),"Mosquito Traps",
ISNUMBER(SEARCH("beetle",E851)),"Beetle Traps",
ISNUMBER(SEARCH("lantern",E851)),"Lanternfly Control",
OR(ISNUMBER(SEARCH("tree shield",E851)),ISNUMBER(SEARCH("tree banding",E851)),ISNUMBER(SEARCH("insect barrier",E851))),"Tree Barriers",
OR(ISNUMBER(SEARCH("sun &amp; shade",E851)),ISNUMBER(SEARCH("sun and shade",E851))),"Sun &amp; Shade Mix",
ISNUMBER(SEARCH("tall fescue",E851)),"Tall Fescue",
ISNUMBER(SEARCH("bermudagrass",E851)),"Bermudagrass",
ISNUMBER(SEARCH("kentucky",E851)),"Kentucky Bluegrass",
ISNUMBER(SEARCH("zoysia",E851)),"Zoysia",
ISNUMBER(SEARCH("ryegrass",E851)),"Perennial Ryegrass",
ISNUMBER(SEARCH("centipede",E851)),"Centipede Grass",
ISNUMBER(SEARCH("dense shade",E851)),"Dense Shade Mix",
ISNUMBER(SEARCH("southern gold",E851)),"Southern Gold Mix",
ISNUMBER(SEARCH("heat-tolerant blue",E851)),"Heat-Tolerant Blue Mix",
ISNUMBER(SEARCH("high traffic",E851)),"High Traffic Mix",
ISNUMBER(SEARCH("quick fix",E851)),"Quick Fix Mix",
ISNUMBER(SEARCH("starter",E851)),"Starter Fertilizer",
ISNUMBER(SEARCH("weed &amp; feed",E851)),"Weed &amp; Feed",
ISNUMBER(SEARCH("lawn food",E851)),"Lawn Food",
ISNUMBER(SEARCH("triple action",E851)),"Triple Action Fertilizer",
ISNUMBER(SEARCH("green max",E851)),"Green Max Lawn Food",
ISNUMBER(SEARCH("patchmaster",E851)),"PatchMaster Repair",
ISNUMBER(SEARCH("ez seed",E851)),"EZ Seed Repair",
ISNUMBER(SEARCH("rapid grass",E851)),"Rapid Grass",
ISNUMBER(SEARCH("thick'r lawn",E851)),"Thick'R Lawn",
ISNUMBER(SEARCH("fungicide",E851)),"Fungicide",
ISNUMBER(SEARCH("moss",E851)),"Moss Control",
ISNUMBER(SEARCH("perlite",E851)),"Perlite",
ISNUMBER(SEARCH("plant food",E851)),"Plant Food",
ISNUMBER(SEARCH("spreader",E851)),"Spreader",
ISNUMBER(SEARCH("sprayer",E851)),"Sprayer",
ISNUMBER(SEARCH("mower",E851)),"Lawn Mower",
ISNUMBER(SEARCH("sweeper",E851)),"Lawn Sweeper",
OR(ISNUMBER(SEARCH("pruner",E851)),ISNUMBER(SEARCH("trimmer",E851)),ISNUMBER(SEARCH("pole saw",E851))),"Pruning Tools",
TRUE,"Other"
)</f>
        <v>Repellents</v>
      </c>
      <c r="J851" s="7" t="str">
        <f t="shared" si="249"/>
        <v>Rodent Control - Repellents</v>
      </c>
      <c r="K851" s="4">
        <v>200</v>
      </c>
      <c r="L851" s="4">
        <v>3.9</v>
      </c>
      <c r="M851" s="4">
        <v>85</v>
      </c>
      <c r="N851" s="4" t="s">
        <v>2136</v>
      </c>
      <c r="O851" s="4">
        <f>VLOOKUP(A851,[17]Sheet1!$A:$M,2,0)</f>
        <v>0</v>
      </c>
      <c r="P851" s="4">
        <f>VLOOKUP(A851,[17]Sheet1!$A:$M,3,0)</f>
        <v>0</v>
      </c>
      <c r="Q851" s="4">
        <f>VLOOKUP(A851,[17]Sheet1!$A:$M,4,0)</f>
        <v>0</v>
      </c>
      <c r="R851" s="4">
        <f>VLOOKUP(A851,[17]Sheet1!$A:$M,5,0)</f>
        <v>0</v>
      </c>
      <c r="S851" s="4">
        <f>VLOOKUP(A851,[17]Sheet1!$A:$M,6,0)</f>
        <v>0</v>
      </c>
      <c r="T851" s="4">
        <f>VLOOKUP(A851,[17]Sheet1!$A:$M,7,0)</f>
        <v>200</v>
      </c>
      <c r="U851" s="4">
        <f>VLOOKUP(A851,[17]Sheet1!$A:$M,8,0)</f>
        <v>200</v>
      </c>
      <c r="V851" s="4">
        <f>VLOOKUP(A851,[17]Sheet1!$A:$M,9,0)</f>
        <v>200</v>
      </c>
      <c r="W851" s="4">
        <f>VLOOKUP(A851,[17]Sheet1!$A:$M,10,0)</f>
        <v>200</v>
      </c>
      <c r="X851" s="4">
        <f>VLOOKUP(A851,[17]Sheet1!$A:$M,11,0)</f>
        <v>0</v>
      </c>
      <c r="Y851" s="4">
        <f>VLOOKUP(A851,[17]Sheet1!$A:$M,12,0)</f>
        <v>0</v>
      </c>
      <c r="Z851" s="4">
        <f>VLOOKUP(A851,[17]Sheet1!$A:$M,13,0)</f>
        <v>0</v>
      </c>
      <c r="AA851" s="4">
        <f t="shared" si="258"/>
        <v>800</v>
      </c>
      <c r="AB851" s="7">
        <f t="shared" si="259"/>
        <v>67</v>
      </c>
      <c r="AC851" s="15">
        <f t="shared" si="260"/>
        <v>66.666666666666671</v>
      </c>
      <c r="AD851" s="16">
        <f t="shared" si="261"/>
        <v>28792</v>
      </c>
      <c r="AE851" s="16">
        <f t="shared" si="248"/>
        <v>2399.3333333333335</v>
      </c>
      <c r="AF851" s="21">
        <v>9.1999999999999993</v>
      </c>
      <c r="AG851" s="21">
        <v>35.99</v>
      </c>
      <c r="AH851" s="15">
        <f t="shared" si="242"/>
        <v>0.27973333333333344</v>
      </c>
      <c r="AI851" s="15">
        <f t="shared" si="243"/>
        <v>0.97906666666666697</v>
      </c>
      <c r="AJ851" s="10">
        <v>0.5</v>
      </c>
      <c r="AK851" s="10">
        <v>0.5</v>
      </c>
      <c r="AL851" s="21">
        <v>9.1999999999999993</v>
      </c>
      <c r="AM851" s="9">
        <f t="shared" si="262"/>
        <v>5.3985000000000003</v>
      </c>
      <c r="AN851" s="9">
        <f t="shared" si="263"/>
        <v>1.0797000000000001</v>
      </c>
      <c r="AO851" s="9">
        <f t="shared" si="264"/>
        <v>7.1980000000000004</v>
      </c>
      <c r="AP851" s="9">
        <f t="shared" si="265"/>
        <v>0.71980000000000011</v>
      </c>
      <c r="AQ851" s="9">
        <f t="shared" si="266"/>
        <v>7.1980000000000004</v>
      </c>
      <c r="AR851" s="9">
        <f t="shared" si="267"/>
        <v>8.9975000000000005</v>
      </c>
      <c r="AS851" s="11">
        <f t="shared" si="268"/>
        <v>2.7973333333333343</v>
      </c>
      <c r="AT851" s="12">
        <f t="shared" si="269"/>
        <v>1.5976666666666677</v>
      </c>
    </row>
    <row r="852" spans="1:46" ht="16.5" x14ac:dyDescent="0.4">
      <c r="A852" s="4" t="s">
        <v>3810</v>
      </c>
      <c r="B852" s="4" t="s">
        <v>3821</v>
      </c>
      <c r="C852" s="4" t="s">
        <v>3821</v>
      </c>
      <c r="D852" s="4" t="s">
        <v>3835</v>
      </c>
      <c r="E852" s="4" t="s">
        <v>3859</v>
      </c>
      <c r="F852" s="4" t="s">
        <v>3883</v>
      </c>
      <c r="G852" s="7" t="str">
        <f>VLOOKUP(A852,[1]done!$A:$I,9,0)</f>
        <v>Bed Bug repellent</v>
      </c>
      <c r="H852" s="7" t="str" cm="1">
        <f t="array" ref="H852">_xlfn.IFS(
OR(ISNUMBER(SEARCH("mouse",E852)),ISNUMBER(SEARCH("rat",E852)),ISNUMBER(SEARCH("mice",E852)),ISNUMBER(SEARCH("rodent",E852))),"Rodent Control",
OR(ISNUMBER(SEARCH("fly",E852)),ISNUMBER(SEARCH("gnat",E852)),ISNUMBER(SEARCH("insect",E852)),ISNUMBER(SEARCH("mosquito",E852))),"Flying Insect Control",
OR(ISNUMBER(SEARCH("roach",E852)),ISNUMBER(SEARCH("ant",E852)),ISNUMBER(SEARCH("spider",E852)),ISNUMBER(SEARCH("cricket",E852)),ISNUMBER(SEARCH("scorpion",E852)),ISNUMBER(SEARCH("centipede",E852)),ISNUMBER(SEARCH("beetle",E852))),"Crawling Insect Control",
OR(ISNUMBER(SEARCH("tree",E852)),ISNUMBER(SEARCH("lantern",E852)),ISNUMBER(SEARCH("garden",E852)),ISNUMBER(SEARCH("plant",E852))),"Garden Pest Control",
OR(ISNUMBER(SEARCH("grass seed",E852)),ISNUMBER(SEARCH("seed mix",E852))),"Grass Seed",
OR(ISNUMBER(SEARCH("lawn food",E852)),ISNUMBER(SEARCH("fertilizer",E852))),"Lawn Fertilizer",
OR(ISNUMBER(SEARCH("patch",E852)),ISNUMBER(SEARCH("repair",E852)),ISNUMBER(SEARCH("thick'r",E852)),ISNUMBER(SEARCH("thick'r lawn",E852)),ISNUMBER(SEARCH("rapid grass",E852))),"Lawn Repair",
OR(ISNUMBER(SEARCH("weed",E852)),ISNUMBER(SEARCH("crabgrass",E852))),"Weed Control",
OR(ISNUMBER(SEARCH("fungicide",E852)),ISNUMBER(SEARCH("moss",E852))),"Disease &amp; Moss Control",
OR(ISNUMBER(SEARCH("plant food",E852)),ISNUMBER(SEARCH("miracid",E852))),"Plant Nutrition",
OR(ISNUMBER(SEARCH("perlite",E852))),"Soil Amendment",
OR(ISNUMBER(SEARCH("spreader",E852)),ISNUMBER(SEARCH("sprayer",E852)),ISNUMBER(SEARCH("mower",E852)),ISNUMBER(SEARCH("sweeper",E852)),ISNUMBER(SEARCH("pruner",E852)),ISNUMBER(SEARCH("trimmer",E852)),ISNUMBER(SEARCH("pole saw",E852))),"Garden Equipment",
TRUE,"Other"
)</f>
        <v>Other</v>
      </c>
      <c r="I852" s="7" t="str" cm="1">
        <f t="array" ref="I852">_xlfn.IFS(
OR(ISNUMBER(SEARCH("glue trap",E852)),ISNUMBER(SEARCH("glue board",E852))),"Glue Traps",
OR(ISNUMBER(SEARCH("snap trap",E852)),ISNUMBER(SEARCH("power-kill",E852)),ISNUMBER(SEARCH("wide pedal",E852)),ISNUMBER(SEARCH("metal pedal",E852))),"Snap Traps",
OR(ISNUMBER(SEARCH("electronic",E852)),ISNUMBER(SEARCH("zapper",E852))),"Electronic Traps",
OR(ISNUMBER(SEARCH("live catch",E852)),ISNUMBER(SEARCH("multi-catch",E852)),ISNUMBER(SEARCH("catch &amp; hold",E852)),ISNUMBER(SEARCH("tin cat",E852))),"Live Catch Traps",
OR(ISNUMBER(SEARCH("bait",E852)),ISNUMBER(SEARCH("poison",E852))),"Bait &amp; Poison",
ISNUMBER(SEARCH("repellent",E852)),"Repellents",
OR(ISNUMBER(SEARCH("fly trap",E852)),ISNUMBER(SEARCH("fly ribbon",E852)),ISNUMBER(SEARCH("fly stick",E852)),ISNUMBER(SEARCH("window fly",E852)),ISNUMBER(SEARCH("fly magnet",E852))),"Fly Traps",
OR(ISNUMBER(SEARCH("uv",E852)),ISNUMBER(SEARCH("fly light",E852)),ISNUMBER(SEARCH("plug-in",E852))),"UV Fly Traps",
ISNUMBER(SEARCH("roach",E852)),"Roach Traps",
ISNUMBER(SEARCH("ant",E852)),"Ant Traps",
ISNUMBER(SEARCH("spider",E852)),"Spider Traps",
ISNUMBER(SEARCH("mosquito",E852)),"Mosquito Traps",
ISNUMBER(SEARCH("beetle",E852)),"Beetle Traps",
ISNUMBER(SEARCH("lantern",E852)),"Lanternfly Control",
OR(ISNUMBER(SEARCH("tree shield",E852)),ISNUMBER(SEARCH("tree banding",E852)),ISNUMBER(SEARCH("insect barrier",E852))),"Tree Barriers",
OR(ISNUMBER(SEARCH("sun &amp; shade",E852)),ISNUMBER(SEARCH("sun and shade",E852))),"Sun &amp; Shade Mix",
ISNUMBER(SEARCH("tall fescue",E852)),"Tall Fescue",
ISNUMBER(SEARCH("bermudagrass",E852)),"Bermudagrass",
ISNUMBER(SEARCH("kentucky",E852)),"Kentucky Bluegrass",
ISNUMBER(SEARCH("zoysia",E852)),"Zoysia",
ISNUMBER(SEARCH("ryegrass",E852)),"Perennial Ryegrass",
ISNUMBER(SEARCH("centipede",E852)),"Centipede Grass",
ISNUMBER(SEARCH("dense shade",E852)),"Dense Shade Mix",
ISNUMBER(SEARCH("southern gold",E852)),"Southern Gold Mix",
ISNUMBER(SEARCH("heat-tolerant blue",E852)),"Heat-Tolerant Blue Mix",
ISNUMBER(SEARCH("high traffic",E852)),"High Traffic Mix",
ISNUMBER(SEARCH("quick fix",E852)),"Quick Fix Mix",
ISNUMBER(SEARCH("starter",E852)),"Starter Fertilizer",
ISNUMBER(SEARCH("weed &amp; feed",E852)),"Weed &amp; Feed",
ISNUMBER(SEARCH("lawn food",E852)),"Lawn Food",
ISNUMBER(SEARCH("triple action",E852)),"Triple Action Fertilizer",
ISNUMBER(SEARCH("green max",E852)),"Green Max Lawn Food",
ISNUMBER(SEARCH("patchmaster",E852)),"PatchMaster Repair",
ISNUMBER(SEARCH("ez seed",E852)),"EZ Seed Repair",
ISNUMBER(SEARCH("rapid grass",E852)),"Rapid Grass",
ISNUMBER(SEARCH("thick'r lawn",E852)),"Thick'R Lawn",
ISNUMBER(SEARCH("fungicide",E852)),"Fungicide",
ISNUMBER(SEARCH("moss",E852)),"Moss Control",
ISNUMBER(SEARCH("perlite",E852)),"Perlite",
ISNUMBER(SEARCH("plant food",E852)),"Plant Food",
ISNUMBER(SEARCH("spreader",E852)),"Spreader",
ISNUMBER(SEARCH("sprayer",E852)),"Sprayer",
ISNUMBER(SEARCH("mower",E852)),"Lawn Mower",
ISNUMBER(SEARCH("sweeper",E852)),"Lawn Sweeper",
OR(ISNUMBER(SEARCH("pruner",E852)),ISNUMBER(SEARCH("trimmer",E852)),ISNUMBER(SEARCH("pole saw",E852))),"Pruning Tools",
TRUE,"Other"
)</f>
        <v>Glue Traps</v>
      </c>
      <c r="J852" s="7" t="str">
        <f t="shared" si="249"/>
        <v>Other - Glue Traps</v>
      </c>
      <c r="K852" s="4">
        <v>200</v>
      </c>
      <c r="L852" s="4">
        <v>3.6</v>
      </c>
      <c r="M852" s="4">
        <v>381</v>
      </c>
      <c r="N852" s="4" t="s">
        <v>3899</v>
      </c>
      <c r="O852" s="4">
        <f>VLOOKUP(A852,[17]Sheet1!$A:$M,2,0)</f>
        <v>50</v>
      </c>
      <c r="P852" s="4">
        <f>VLOOKUP(A852,[17]Sheet1!$A:$M,3,0)</f>
        <v>50</v>
      </c>
      <c r="Q852" s="4">
        <f>VLOOKUP(A852,[17]Sheet1!$A:$M,4,0)</f>
        <v>50</v>
      </c>
      <c r="R852" s="4">
        <f>VLOOKUP(A852,[17]Sheet1!$A:$M,5,0)</f>
        <v>0</v>
      </c>
      <c r="S852" s="4">
        <f>VLOOKUP(A852,[17]Sheet1!$A:$M,6,0)</f>
        <v>50</v>
      </c>
      <c r="T852" s="4">
        <f>VLOOKUP(A852,[17]Sheet1!$A:$M,7,0)</f>
        <v>100</v>
      </c>
      <c r="U852" s="4">
        <f>VLOOKUP(A852,[17]Sheet1!$A:$M,8,0)</f>
        <v>100</v>
      </c>
      <c r="V852" s="4">
        <f>VLOOKUP(A852,[17]Sheet1!$A:$M,9,0)</f>
        <v>200</v>
      </c>
      <c r="W852" s="4">
        <f>VLOOKUP(A852,[17]Sheet1!$A:$M,10,0)</f>
        <v>200</v>
      </c>
      <c r="X852" s="4">
        <f>VLOOKUP(A852,[17]Sheet1!$A:$M,11,0)</f>
        <v>50</v>
      </c>
      <c r="Y852" s="4">
        <f>VLOOKUP(A852,[17]Sheet1!$A:$M,12,0)</f>
        <v>50</v>
      </c>
      <c r="Z852" s="4">
        <f>VLOOKUP(A852,[17]Sheet1!$A:$M,13,0)</f>
        <v>50</v>
      </c>
      <c r="AA852" s="4">
        <f t="shared" si="258"/>
        <v>950</v>
      </c>
      <c r="AB852" s="7">
        <f t="shared" si="259"/>
        <v>79</v>
      </c>
      <c r="AC852" s="15">
        <f t="shared" si="260"/>
        <v>79.166666666666671</v>
      </c>
      <c r="AD852" s="16">
        <f t="shared" si="261"/>
        <v>22800</v>
      </c>
      <c r="AE852" s="16">
        <f t="shared" si="248"/>
        <v>1900</v>
      </c>
      <c r="AF852" s="21">
        <v>4.3499999999999996</v>
      </c>
      <c r="AG852" s="21">
        <v>24</v>
      </c>
      <c r="AH852" s="15">
        <f t="shared" si="242"/>
        <v>0.28333333333333321</v>
      </c>
      <c r="AI852" s="15">
        <f t="shared" si="243"/>
        <v>0.99166666666666614</v>
      </c>
      <c r="AJ852" s="10">
        <v>0.5</v>
      </c>
      <c r="AK852" s="10">
        <v>0.5</v>
      </c>
      <c r="AL852" s="21">
        <v>4.3499999999999996</v>
      </c>
      <c r="AM852" s="9">
        <f t="shared" si="262"/>
        <v>3.5999999999999996</v>
      </c>
      <c r="AN852" s="9">
        <f t="shared" si="263"/>
        <v>0.72</v>
      </c>
      <c r="AO852" s="9">
        <f t="shared" si="264"/>
        <v>4.8000000000000007</v>
      </c>
      <c r="AP852" s="9">
        <f t="shared" si="265"/>
        <v>0.48</v>
      </c>
      <c r="AQ852" s="9">
        <f t="shared" si="266"/>
        <v>4.8000000000000007</v>
      </c>
      <c r="AR852" s="9">
        <f t="shared" si="267"/>
        <v>6</v>
      </c>
      <c r="AS852" s="11">
        <f t="shared" si="268"/>
        <v>2.8333333333333321</v>
      </c>
      <c r="AT852" s="12">
        <f t="shared" si="269"/>
        <v>2.0333333333333328</v>
      </c>
    </row>
    <row r="853" spans="1:46" ht="16.5" x14ac:dyDescent="0.4">
      <c r="A853" s="4" t="s">
        <v>3811</v>
      </c>
      <c r="B853" s="4" t="s">
        <v>3821</v>
      </c>
      <c r="C853" s="4" t="s">
        <v>3821</v>
      </c>
      <c r="D853" s="4" t="s">
        <v>3836</v>
      </c>
      <c r="E853" s="4" t="s">
        <v>3860</v>
      </c>
      <c r="F853" s="4" t="s">
        <v>3884</v>
      </c>
      <c r="G853" s="7" t="str">
        <f>VLOOKUP(A853,[1]done!$A:$I,9,0)</f>
        <v>Mosquito/Fly</v>
      </c>
      <c r="H853" s="7" t="str" cm="1">
        <f t="array" ref="H853">_xlfn.IFS(
OR(ISNUMBER(SEARCH("mouse",E853)),ISNUMBER(SEARCH("rat",E853)),ISNUMBER(SEARCH("mice",E853)),ISNUMBER(SEARCH("rodent",E853))),"Rodent Control",
OR(ISNUMBER(SEARCH("fly",E853)),ISNUMBER(SEARCH("gnat",E853)),ISNUMBER(SEARCH("insect",E853)),ISNUMBER(SEARCH("mosquito",E853))),"Flying Insect Control",
OR(ISNUMBER(SEARCH("roach",E853)),ISNUMBER(SEARCH("ant",E853)),ISNUMBER(SEARCH("spider",E853)),ISNUMBER(SEARCH("cricket",E853)),ISNUMBER(SEARCH("scorpion",E853)),ISNUMBER(SEARCH("centipede",E853)),ISNUMBER(SEARCH("beetle",E853))),"Crawling Insect Control",
OR(ISNUMBER(SEARCH("tree",E853)),ISNUMBER(SEARCH("lantern",E853)),ISNUMBER(SEARCH("garden",E853)),ISNUMBER(SEARCH("plant",E853))),"Garden Pest Control",
OR(ISNUMBER(SEARCH("grass seed",E853)),ISNUMBER(SEARCH("seed mix",E853))),"Grass Seed",
OR(ISNUMBER(SEARCH("lawn food",E853)),ISNUMBER(SEARCH("fertilizer",E853))),"Lawn Fertilizer",
OR(ISNUMBER(SEARCH("patch",E853)),ISNUMBER(SEARCH("repair",E853)),ISNUMBER(SEARCH("thick'r",E853)),ISNUMBER(SEARCH("thick'r lawn",E853)),ISNUMBER(SEARCH("rapid grass",E853))),"Lawn Repair",
OR(ISNUMBER(SEARCH("weed",E853)),ISNUMBER(SEARCH("crabgrass",E853))),"Weed Control",
OR(ISNUMBER(SEARCH("fungicide",E853)),ISNUMBER(SEARCH("moss",E853))),"Disease &amp; Moss Control",
OR(ISNUMBER(SEARCH("plant food",E853)),ISNUMBER(SEARCH("miracid",E853))),"Plant Nutrition",
OR(ISNUMBER(SEARCH("perlite",E853))),"Soil Amendment",
OR(ISNUMBER(SEARCH("spreader",E853)),ISNUMBER(SEARCH("sprayer",E853)),ISNUMBER(SEARCH("mower",E853)),ISNUMBER(SEARCH("sweeper",E853)),ISNUMBER(SEARCH("pruner",E853)),ISNUMBER(SEARCH("trimmer",E853)),ISNUMBER(SEARCH("pole saw",E853))),"Garden Equipment",
TRUE,"Other"
)</f>
        <v>Flying Insect Control</v>
      </c>
      <c r="I853" s="7" t="str" cm="1">
        <f t="array" ref="I853">_xlfn.IFS(
OR(ISNUMBER(SEARCH("glue trap",E853)),ISNUMBER(SEARCH("glue board",E853))),"Glue Traps",
OR(ISNUMBER(SEARCH("snap trap",E853)),ISNUMBER(SEARCH("power-kill",E853)),ISNUMBER(SEARCH("wide pedal",E853)),ISNUMBER(SEARCH("metal pedal",E853))),"Snap Traps",
OR(ISNUMBER(SEARCH("electronic",E853)),ISNUMBER(SEARCH("zapper",E853))),"Electronic Traps",
OR(ISNUMBER(SEARCH("live catch",E853)),ISNUMBER(SEARCH("multi-catch",E853)),ISNUMBER(SEARCH("catch &amp; hold",E853)),ISNUMBER(SEARCH("tin cat",E853))),"Live Catch Traps",
OR(ISNUMBER(SEARCH("bait",E853)),ISNUMBER(SEARCH("poison",E853))),"Bait &amp; Poison",
ISNUMBER(SEARCH("repellent",E853)),"Repellents",
OR(ISNUMBER(SEARCH("fly trap",E853)),ISNUMBER(SEARCH("fly ribbon",E853)),ISNUMBER(SEARCH("fly stick",E853)),ISNUMBER(SEARCH("window fly",E853)),ISNUMBER(SEARCH("fly magnet",E853))),"Fly Traps",
OR(ISNUMBER(SEARCH("uv",E853)),ISNUMBER(SEARCH("fly light",E853)),ISNUMBER(SEARCH("plug-in",E853))),"UV Fly Traps",
ISNUMBER(SEARCH("roach",E853)),"Roach Traps",
ISNUMBER(SEARCH("ant",E853)),"Ant Traps",
ISNUMBER(SEARCH("spider",E853)),"Spider Traps",
ISNUMBER(SEARCH("mosquito",E853)),"Mosquito Traps",
ISNUMBER(SEARCH("beetle",E853)),"Beetle Traps",
ISNUMBER(SEARCH("lantern",E853)),"Lanternfly Control",
OR(ISNUMBER(SEARCH("tree shield",E853)),ISNUMBER(SEARCH("tree banding",E853)),ISNUMBER(SEARCH("insect barrier",E853))),"Tree Barriers",
OR(ISNUMBER(SEARCH("sun &amp; shade",E853)),ISNUMBER(SEARCH("sun and shade",E853))),"Sun &amp; Shade Mix",
ISNUMBER(SEARCH("tall fescue",E853)),"Tall Fescue",
ISNUMBER(SEARCH("bermudagrass",E853)),"Bermudagrass",
ISNUMBER(SEARCH("kentucky",E853)),"Kentucky Bluegrass",
ISNUMBER(SEARCH("zoysia",E853)),"Zoysia",
ISNUMBER(SEARCH("ryegrass",E853)),"Perennial Ryegrass",
ISNUMBER(SEARCH("centipede",E853)),"Centipede Grass",
ISNUMBER(SEARCH("dense shade",E853)),"Dense Shade Mix",
ISNUMBER(SEARCH("southern gold",E853)),"Southern Gold Mix",
ISNUMBER(SEARCH("heat-tolerant blue",E853)),"Heat-Tolerant Blue Mix",
ISNUMBER(SEARCH("high traffic",E853)),"High Traffic Mix",
ISNUMBER(SEARCH("quick fix",E853)),"Quick Fix Mix",
ISNUMBER(SEARCH("starter",E853)),"Starter Fertilizer",
ISNUMBER(SEARCH("weed &amp; feed",E853)),"Weed &amp; Feed",
ISNUMBER(SEARCH("lawn food",E853)),"Lawn Food",
ISNUMBER(SEARCH("triple action",E853)),"Triple Action Fertilizer",
ISNUMBER(SEARCH("green max",E853)),"Green Max Lawn Food",
ISNUMBER(SEARCH("patchmaster",E853)),"PatchMaster Repair",
ISNUMBER(SEARCH("ez seed",E853)),"EZ Seed Repair",
ISNUMBER(SEARCH("rapid grass",E853)),"Rapid Grass",
ISNUMBER(SEARCH("thick'r lawn",E853)),"Thick'R Lawn",
ISNUMBER(SEARCH("fungicide",E853)),"Fungicide",
ISNUMBER(SEARCH("moss",E853)),"Moss Control",
ISNUMBER(SEARCH("perlite",E853)),"Perlite",
ISNUMBER(SEARCH("plant food",E853)),"Plant Food",
ISNUMBER(SEARCH("spreader",E853)),"Spreader",
ISNUMBER(SEARCH("sprayer",E853)),"Sprayer",
ISNUMBER(SEARCH("mower",E853)),"Lawn Mower",
ISNUMBER(SEARCH("sweeper",E853)),"Lawn Sweeper",
OR(ISNUMBER(SEARCH("pruner",E853)),ISNUMBER(SEARCH("trimmer",E853)),ISNUMBER(SEARCH("pole saw",E853))),"Pruning Tools",
TRUE,"Other"
)</f>
        <v>Repellents</v>
      </c>
      <c r="J853" s="7" t="str">
        <f t="shared" si="249"/>
        <v>Flying Insect Control - Repellents</v>
      </c>
      <c r="K853" s="4">
        <v>200</v>
      </c>
      <c r="L853" s="4">
        <v>4</v>
      </c>
      <c r="M853" s="4">
        <v>358</v>
      </c>
      <c r="N853" s="4" t="s">
        <v>3472</v>
      </c>
      <c r="O853" s="4">
        <f>VLOOKUP(A853,[17]Sheet1!$A:$M,2,0)</f>
        <v>0</v>
      </c>
      <c r="P853" s="4">
        <f>VLOOKUP(A853,[17]Sheet1!$A:$M,3,0)</f>
        <v>0</v>
      </c>
      <c r="Q853" s="4">
        <f>VLOOKUP(A853,[17]Sheet1!$A:$M,4,0)</f>
        <v>0</v>
      </c>
      <c r="R853" s="4">
        <f>VLOOKUP(A853,[17]Sheet1!$A:$M,5,0)</f>
        <v>0</v>
      </c>
      <c r="S853" s="4">
        <f>VLOOKUP(A853,[17]Sheet1!$A:$M,6,0)</f>
        <v>0</v>
      </c>
      <c r="T853" s="4">
        <f>VLOOKUP(A853,[17]Sheet1!$A:$M,7,0)</f>
        <v>0</v>
      </c>
      <c r="U853" s="4">
        <f>VLOOKUP(A853,[17]Sheet1!$A:$M,8,0)</f>
        <v>300</v>
      </c>
      <c r="V853" s="4">
        <f>VLOOKUP(A853,[17]Sheet1!$A:$M,9,0)</f>
        <v>200</v>
      </c>
      <c r="W853" s="4">
        <f>VLOOKUP(A853,[17]Sheet1!$A:$M,10,0)</f>
        <v>200</v>
      </c>
      <c r="X853" s="4">
        <f>VLOOKUP(A853,[17]Sheet1!$A:$M,11,0)</f>
        <v>0</v>
      </c>
      <c r="Y853" s="4">
        <f>VLOOKUP(A853,[17]Sheet1!$A:$M,12,0)</f>
        <v>0</v>
      </c>
      <c r="Z853" s="4">
        <f>VLOOKUP(A853,[17]Sheet1!$A:$M,13,0)</f>
        <v>0</v>
      </c>
      <c r="AA853" s="4">
        <f t="shared" si="258"/>
        <v>700</v>
      </c>
      <c r="AB853" s="7">
        <f t="shared" si="259"/>
        <v>58</v>
      </c>
      <c r="AC853" s="15">
        <f t="shared" si="260"/>
        <v>58.333333333333336</v>
      </c>
      <c r="AD853" s="16">
        <f t="shared" si="261"/>
        <v>6993</v>
      </c>
      <c r="AE853" s="16">
        <f t="shared" si="248"/>
        <v>582.75</v>
      </c>
      <c r="AF853" s="21">
        <v>3.24</v>
      </c>
      <c r="AG853" s="21">
        <v>9.99</v>
      </c>
      <c r="AH853" s="15">
        <f t="shared" si="242"/>
        <v>-1.626666666666671E-2</v>
      </c>
      <c r="AI853" s="15">
        <f t="shared" si="243"/>
        <v>-5.6933333333333482E-2</v>
      </c>
      <c r="AJ853" s="10">
        <v>0.5</v>
      </c>
      <c r="AK853" s="10">
        <v>0.5</v>
      </c>
      <c r="AL853" s="21">
        <v>3.24</v>
      </c>
      <c r="AM853" s="9">
        <f t="shared" si="262"/>
        <v>1.4984999999999999</v>
      </c>
      <c r="AN853" s="9">
        <f t="shared" si="263"/>
        <v>0.29970000000000002</v>
      </c>
      <c r="AO853" s="9">
        <f t="shared" si="264"/>
        <v>1.9980000000000002</v>
      </c>
      <c r="AP853" s="9">
        <f t="shared" si="265"/>
        <v>0.19980000000000001</v>
      </c>
      <c r="AQ853" s="9">
        <f t="shared" si="266"/>
        <v>1.9980000000000002</v>
      </c>
      <c r="AR853" s="9">
        <f t="shared" si="267"/>
        <v>2.4975000000000001</v>
      </c>
      <c r="AS853" s="11">
        <f t="shared" si="268"/>
        <v>-0.1626666666666671</v>
      </c>
      <c r="AT853" s="12">
        <f t="shared" si="269"/>
        <v>-0.49566666666666698</v>
      </c>
    </row>
    <row r="854" spans="1:46" ht="16.5" x14ac:dyDescent="0.4">
      <c r="A854" s="4" t="s">
        <v>3812</v>
      </c>
      <c r="B854" s="4" t="s">
        <v>3821</v>
      </c>
      <c r="C854" s="4" t="s">
        <v>3821</v>
      </c>
      <c r="D854" s="4" t="s">
        <v>3837</v>
      </c>
      <c r="E854" s="4" t="s">
        <v>3861</v>
      </c>
      <c r="F854" s="4" t="s">
        <v>3885</v>
      </c>
      <c r="G854" s="7" t="str">
        <f>VLOOKUP(A854,[1]done!$A:$I,9,0)</f>
        <v>Rodent</v>
      </c>
      <c r="H854" s="7" t="str" cm="1">
        <f t="array" ref="H854">_xlfn.IFS(
OR(ISNUMBER(SEARCH("mouse",E854)),ISNUMBER(SEARCH("rat",E854)),ISNUMBER(SEARCH("mice",E854)),ISNUMBER(SEARCH("rodent",E854))),"Rodent Control",
OR(ISNUMBER(SEARCH("fly",E854)),ISNUMBER(SEARCH("gnat",E854)),ISNUMBER(SEARCH("insect",E854)),ISNUMBER(SEARCH("mosquito",E854))),"Flying Insect Control",
OR(ISNUMBER(SEARCH("roach",E854)),ISNUMBER(SEARCH("ant",E854)),ISNUMBER(SEARCH("spider",E854)),ISNUMBER(SEARCH("cricket",E854)),ISNUMBER(SEARCH("scorpion",E854)),ISNUMBER(SEARCH("centipede",E854)),ISNUMBER(SEARCH("beetle",E854))),"Crawling Insect Control",
OR(ISNUMBER(SEARCH("tree",E854)),ISNUMBER(SEARCH("lantern",E854)),ISNUMBER(SEARCH("garden",E854)),ISNUMBER(SEARCH("plant",E854))),"Garden Pest Control",
OR(ISNUMBER(SEARCH("grass seed",E854)),ISNUMBER(SEARCH("seed mix",E854))),"Grass Seed",
OR(ISNUMBER(SEARCH("lawn food",E854)),ISNUMBER(SEARCH("fertilizer",E854))),"Lawn Fertilizer",
OR(ISNUMBER(SEARCH("patch",E854)),ISNUMBER(SEARCH("repair",E854)),ISNUMBER(SEARCH("thick'r",E854)),ISNUMBER(SEARCH("thick'r lawn",E854)),ISNUMBER(SEARCH("rapid grass",E854))),"Lawn Repair",
OR(ISNUMBER(SEARCH("weed",E854)),ISNUMBER(SEARCH("crabgrass",E854))),"Weed Control",
OR(ISNUMBER(SEARCH("fungicide",E854)),ISNUMBER(SEARCH("moss",E854))),"Disease &amp; Moss Control",
OR(ISNUMBER(SEARCH("plant food",E854)),ISNUMBER(SEARCH("miracid",E854))),"Plant Nutrition",
OR(ISNUMBER(SEARCH("perlite",E854))),"Soil Amendment",
OR(ISNUMBER(SEARCH("spreader",E854)),ISNUMBER(SEARCH("sprayer",E854)),ISNUMBER(SEARCH("mower",E854)),ISNUMBER(SEARCH("sweeper",E854)),ISNUMBER(SEARCH("pruner",E854)),ISNUMBER(SEARCH("trimmer",E854)),ISNUMBER(SEARCH("pole saw",E854))),"Garden Equipment",
TRUE,"Other"
)</f>
        <v>Rodent Control</v>
      </c>
      <c r="I854" s="7" t="str" cm="1">
        <f t="array" ref="I854">_xlfn.IFS(
OR(ISNUMBER(SEARCH("glue trap",E854)),ISNUMBER(SEARCH("glue board",E854))),"Glue Traps",
OR(ISNUMBER(SEARCH("snap trap",E854)),ISNUMBER(SEARCH("power-kill",E854)),ISNUMBER(SEARCH("wide pedal",E854)),ISNUMBER(SEARCH("metal pedal",E854))),"Snap Traps",
OR(ISNUMBER(SEARCH("electronic",E854)),ISNUMBER(SEARCH("zapper",E854))),"Electronic Traps",
OR(ISNUMBER(SEARCH("live catch",E854)),ISNUMBER(SEARCH("multi-catch",E854)),ISNUMBER(SEARCH("catch &amp; hold",E854)),ISNUMBER(SEARCH("tin cat",E854))),"Live Catch Traps",
OR(ISNUMBER(SEARCH("bait",E854)),ISNUMBER(SEARCH("poison",E854))),"Bait &amp; Poison",
ISNUMBER(SEARCH("repellent",E854)),"Repellents",
OR(ISNUMBER(SEARCH("fly trap",E854)),ISNUMBER(SEARCH("fly ribbon",E854)),ISNUMBER(SEARCH("fly stick",E854)),ISNUMBER(SEARCH("window fly",E854)),ISNUMBER(SEARCH("fly magnet",E854))),"Fly Traps",
OR(ISNUMBER(SEARCH("uv",E854)),ISNUMBER(SEARCH("fly light",E854)),ISNUMBER(SEARCH("plug-in",E854))),"UV Fly Traps",
ISNUMBER(SEARCH("roach",E854)),"Roach Traps",
ISNUMBER(SEARCH("ant",E854)),"Ant Traps",
ISNUMBER(SEARCH("spider",E854)),"Spider Traps",
ISNUMBER(SEARCH("mosquito",E854)),"Mosquito Traps",
ISNUMBER(SEARCH("beetle",E854)),"Beetle Traps",
ISNUMBER(SEARCH("lantern",E854)),"Lanternfly Control",
OR(ISNUMBER(SEARCH("tree shield",E854)),ISNUMBER(SEARCH("tree banding",E854)),ISNUMBER(SEARCH("insect barrier",E854))),"Tree Barriers",
OR(ISNUMBER(SEARCH("sun &amp; shade",E854)),ISNUMBER(SEARCH("sun and shade",E854))),"Sun &amp; Shade Mix",
ISNUMBER(SEARCH("tall fescue",E854)),"Tall Fescue",
ISNUMBER(SEARCH("bermudagrass",E854)),"Bermudagrass",
ISNUMBER(SEARCH("kentucky",E854)),"Kentucky Bluegrass",
ISNUMBER(SEARCH("zoysia",E854)),"Zoysia",
ISNUMBER(SEARCH("ryegrass",E854)),"Perennial Ryegrass",
ISNUMBER(SEARCH("centipede",E854)),"Centipede Grass",
ISNUMBER(SEARCH("dense shade",E854)),"Dense Shade Mix",
ISNUMBER(SEARCH("southern gold",E854)),"Southern Gold Mix",
ISNUMBER(SEARCH("heat-tolerant blue",E854)),"Heat-Tolerant Blue Mix",
ISNUMBER(SEARCH("high traffic",E854)),"High Traffic Mix",
ISNUMBER(SEARCH("quick fix",E854)),"Quick Fix Mix",
ISNUMBER(SEARCH("starter",E854)),"Starter Fertilizer",
ISNUMBER(SEARCH("weed &amp; feed",E854)),"Weed &amp; Feed",
ISNUMBER(SEARCH("lawn food",E854)),"Lawn Food",
ISNUMBER(SEARCH("triple action",E854)),"Triple Action Fertilizer",
ISNUMBER(SEARCH("green max",E854)),"Green Max Lawn Food",
ISNUMBER(SEARCH("patchmaster",E854)),"PatchMaster Repair",
ISNUMBER(SEARCH("ez seed",E854)),"EZ Seed Repair",
ISNUMBER(SEARCH("rapid grass",E854)),"Rapid Grass",
ISNUMBER(SEARCH("thick'r lawn",E854)),"Thick'R Lawn",
ISNUMBER(SEARCH("fungicide",E854)),"Fungicide",
ISNUMBER(SEARCH("moss",E854)),"Moss Control",
ISNUMBER(SEARCH("perlite",E854)),"Perlite",
ISNUMBER(SEARCH("plant food",E854)),"Plant Food",
ISNUMBER(SEARCH("spreader",E854)),"Spreader",
ISNUMBER(SEARCH("sprayer",E854)),"Sprayer",
ISNUMBER(SEARCH("mower",E854)),"Lawn Mower",
ISNUMBER(SEARCH("sweeper",E854)),"Lawn Sweeper",
OR(ISNUMBER(SEARCH("pruner",E854)),ISNUMBER(SEARCH("trimmer",E854)),ISNUMBER(SEARCH("pole saw",E854))),"Pruning Tools",
TRUE,"Other"
)</f>
        <v>Repellents</v>
      </c>
      <c r="J854" s="7" t="str">
        <f t="shared" si="249"/>
        <v>Rodent Control - Repellents</v>
      </c>
      <c r="K854" s="4">
        <v>100</v>
      </c>
      <c r="L854" s="4">
        <v>4</v>
      </c>
      <c r="M854" s="4">
        <v>7366</v>
      </c>
      <c r="N854" s="4" t="s">
        <v>3472</v>
      </c>
      <c r="O854" s="4">
        <f>VLOOKUP(A854,[17]Sheet1!$A:$M,2,0)</f>
        <v>50</v>
      </c>
      <c r="P854" s="4">
        <f>VLOOKUP(A854,[17]Sheet1!$A:$M,3,0)</f>
        <v>50</v>
      </c>
      <c r="Q854" s="4">
        <f>VLOOKUP(A854,[17]Sheet1!$A:$M,4,0)</f>
        <v>0</v>
      </c>
      <c r="R854" s="4">
        <f>VLOOKUP(A854,[17]Sheet1!$A:$M,5,0)</f>
        <v>0</v>
      </c>
      <c r="S854" s="4">
        <f>VLOOKUP(A854,[17]Sheet1!$A:$M,6,0)</f>
        <v>0</v>
      </c>
      <c r="T854" s="4">
        <f>VLOOKUP(A854,[17]Sheet1!$A:$M,7,0)</f>
        <v>50</v>
      </c>
      <c r="U854" s="4">
        <f>VLOOKUP(A854,[17]Sheet1!$A:$M,8,0)</f>
        <v>100</v>
      </c>
      <c r="V854" s="4">
        <f>VLOOKUP(A854,[17]Sheet1!$A:$M,9,0)</f>
        <v>50</v>
      </c>
      <c r="W854" s="4">
        <f>VLOOKUP(A854,[17]Sheet1!$A:$M,10,0)</f>
        <v>100</v>
      </c>
      <c r="X854" s="4">
        <f>VLOOKUP(A854,[17]Sheet1!$A:$M,11,0)</f>
        <v>50</v>
      </c>
      <c r="Y854" s="4">
        <f>VLOOKUP(A854,[17]Sheet1!$A:$M,12,0)</f>
        <v>50</v>
      </c>
      <c r="Z854" s="4">
        <f>VLOOKUP(A854,[17]Sheet1!$A:$M,13,0)</f>
        <v>50</v>
      </c>
      <c r="AA854" s="4">
        <f t="shared" si="258"/>
        <v>550</v>
      </c>
      <c r="AB854" s="7">
        <f t="shared" si="259"/>
        <v>46</v>
      </c>
      <c r="AC854" s="15">
        <f t="shared" si="260"/>
        <v>45.833333333333336</v>
      </c>
      <c r="AD854" s="16">
        <f t="shared" si="261"/>
        <v>13744.5</v>
      </c>
      <c r="AE854" s="16">
        <f t="shared" si="248"/>
        <v>1145.375</v>
      </c>
      <c r="AF854" s="21">
        <v>4.09</v>
      </c>
      <c r="AG854" s="21">
        <v>24.99</v>
      </c>
      <c r="AH854" s="15">
        <f t="shared" si="242"/>
        <v>0.32706666666666656</v>
      </c>
      <c r="AI854" s="15">
        <f t="shared" si="243"/>
        <v>1.1447333333333327</v>
      </c>
      <c r="AJ854" s="10">
        <v>0.5</v>
      </c>
      <c r="AK854" s="10">
        <v>0.5</v>
      </c>
      <c r="AL854" s="21">
        <v>4.09</v>
      </c>
      <c r="AM854" s="9">
        <f t="shared" si="262"/>
        <v>3.7484999999999995</v>
      </c>
      <c r="AN854" s="9">
        <f t="shared" si="263"/>
        <v>0.74969999999999992</v>
      </c>
      <c r="AO854" s="9">
        <f t="shared" si="264"/>
        <v>4.9980000000000002</v>
      </c>
      <c r="AP854" s="9">
        <f t="shared" si="265"/>
        <v>0.49979999999999997</v>
      </c>
      <c r="AQ854" s="9">
        <f t="shared" si="266"/>
        <v>4.9980000000000002</v>
      </c>
      <c r="AR854" s="9">
        <f t="shared" si="267"/>
        <v>6.2474999999999996</v>
      </c>
      <c r="AS854" s="11">
        <f t="shared" si="268"/>
        <v>3.2706666666666653</v>
      </c>
      <c r="AT854" s="12">
        <f t="shared" si="269"/>
        <v>2.4376666666666655</v>
      </c>
    </row>
    <row r="855" spans="1:46" ht="16.5" x14ac:dyDescent="0.4">
      <c r="A855" s="4" t="s">
        <v>3813</v>
      </c>
      <c r="B855" s="4" t="s">
        <v>3821</v>
      </c>
      <c r="C855" s="4" t="s">
        <v>3821</v>
      </c>
      <c r="D855" s="4" t="s">
        <v>3838</v>
      </c>
      <c r="E855" s="4" t="s">
        <v>3862</v>
      </c>
      <c r="F855" s="4" t="s">
        <v>3886</v>
      </c>
      <c r="G855" s="7" t="str">
        <f>VLOOKUP(A855,[1]done!$A:$I,9,0)</f>
        <v>Mosquito/Fly</v>
      </c>
      <c r="H855" s="7" t="str" cm="1">
        <f t="array" ref="H855">_xlfn.IFS(
OR(ISNUMBER(SEARCH("mouse",E855)),ISNUMBER(SEARCH("rat",E855)),ISNUMBER(SEARCH("mice",E855)),ISNUMBER(SEARCH("rodent",E855))),"Rodent Control",
OR(ISNUMBER(SEARCH("fly",E855)),ISNUMBER(SEARCH("gnat",E855)),ISNUMBER(SEARCH("insect",E855)),ISNUMBER(SEARCH("mosquito",E855))),"Flying Insect Control",
OR(ISNUMBER(SEARCH("roach",E855)),ISNUMBER(SEARCH("ant",E855)),ISNUMBER(SEARCH("spider",E855)),ISNUMBER(SEARCH("cricket",E855)),ISNUMBER(SEARCH("scorpion",E855)),ISNUMBER(SEARCH("centipede",E855)),ISNUMBER(SEARCH("beetle",E855))),"Crawling Insect Control",
OR(ISNUMBER(SEARCH("tree",E855)),ISNUMBER(SEARCH("lantern",E855)),ISNUMBER(SEARCH("garden",E855)),ISNUMBER(SEARCH("plant",E855))),"Garden Pest Control",
OR(ISNUMBER(SEARCH("grass seed",E855)),ISNUMBER(SEARCH("seed mix",E855))),"Grass Seed",
OR(ISNUMBER(SEARCH("lawn food",E855)),ISNUMBER(SEARCH("fertilizer",E855))),"Lawn Fertilizer",
OR(ISNUMBER(SEARCH("patch",E855)),ISNUMBER(SEARCH("repair",E855)),ISNUMBER(SEARCH("thick'r",E855)),ISNUMBER(SEARCH("thick'r lawn",E855)),ISNUMBER(SEARCH("rapid grass",E855))),"Lawn Repair",
OR(ISNUMBER(SEARCH("weed",E855)),ISNUMBER(SEARCH("crabgrass",E855))),"Weed Control",
OR(ISNUMBER(SEARCH("fungicide",E855)),ISNUMBER(SEARCH("moss",E855))),"Disease &amp; Moss Control",
OR(ISNUMBER(SEARCH("plant food",E855)),ISNUMBER(SEARCH("miracid",E855))),"Plant Nutrition",
OR(ISNUMBER(SEARCH("perlite",E855))),"Soil Amendment",
OR(ISNUMBER(SEARCH("spreader",E855)),ISNUMBER(SEARCH("sprayer",E855)),ISNUMBER(SEARCH("mower",E855)),ISNUMBER(SEARCH("sweeper",E855)),ISNUMBER(SEARCH("pruner",E855)),ISNUMBER(SEARCH("trimmer",E855)),ISNUMBER(SEARCH("pole saw",E855))),"Garden Equipment",
TRUE,"Other"
)</f>
        <v>Flying Insect Control</v>
      </c>
      <c r="I855" s="7" t="str" cm="1">
        <f t="array" ref="I855">_xlfn.IFS(
OR(ISNUMBER(SEARCH("glue trap",E855)),ISNUMBER(SEARCH("glue board",E855))),"Glue Traps",
OR(ISNUMBER(SEARCH("snap trap",E855)),ISNUMBER(SEARCH("power-kill",E855)),ISNUMBER(SEARCH("wide pedal",E855)),ISNUMBER(SEARCH("metal pedal",E855))),"Snap Traps",
OR(ISNUMBER(SEARCH("electronic",E855)),ISNUMBER(SEARCH("zapper",E855))),"Electronic Traps",
OR(ISNUMBER(SEARCH("live catch",E855)),ISNUMBER(SEARCH("multi-catch",E855)),ISNUMBER(SEARCH("catch &amp; hold",E855)),ISNUMBER(SEARCH("tin cat",E855))),"Live Catch Traps",
OR(ISNUMBER(SEARCH("bait",E855)),ISNUMBER(SEARCH("poison",E855))),"Bait &amp; Poison",
ISNUMBER(SEARCH("repellent",E855)),"Repellents",
OR(ISNUMBER(SEARCH("fly trap",E855)),ISNUMBER(SEARCH("fly ribbon",E855)),ISNUMBER(SEARCH("fly stick",E855)),ISNUMBER(SEARCH("window fly",E855)),ISNUMBER(SEARCH("fly magnet",E855))),"Fly Traps",
OR(ISNUMBER(SEARCH("uv",E855)),ISNUMBER(SEARCH("fly light",E855)),ISNUMBER(SEARCH("plug-in",E855))),"UV Fly Traps",
ISNUMBER(SEARCH("roach",E855)),"Roach Traps",
ISNUMBER(SEARCH("ant",E855)),"Ant Traps",
ISNUMBER(SEARCH("spider",E855)),"Spider Traps",
ISNUMBER(SEARCH("mosquito",E855)),"Mosquito Traps",
ISNUMBER(SEARCH("beetle",E855)),"Beetle Traps",
ISNUMBER(SEARCH("lantern",E855)),"Lanternfly Control",
OR(ISNUMBER(SEARCH("tree shield",E855)),ISNUMBER(SEARCH("tree banding",E855)),ISNUMBER(SEARCH("insect barrier",E855))),"Tree Barriers",
OR(ISNUMBER(SEARCH("sun &amp; shade",E855)),ISNUMBER(SEARCH("sun and shade",E855))),"Sun &amp; Shade Mix",
ISNUMBER(SEARCH("tall fescue",E855)),"Tall Fescue",
ISNUMBER(SEARCH("bermudagrass",E855)),"Bermudagrass",
ISNUMBER(SEARCH("kentucky",E855)),"Kentucky Bluegrass",
ISNUMBER(SEARCH("zoysia",E855)),"Zoysia",
ISNUMBER(SEARCH("ryegrass",E855)),"Perennial Ryegrass",
ISNUMBER(SEARCH("centipede",E855)),"Centipede Grass",
ISNUMBER(SEARCH("dense shade",E855)),"Dense Shade Mix",
ISNUMBER(SEARCH("southern gold",E855)),"Southern Gold Mix",
ISNUMBER(SEARCH("heat-tolerant blue",E855)),"Heat-Tolerant Blue Mix",
ISNUMBER(SEARCH("high traffic",E855)),"High Traffic Mix",
ISNUMBER(SEARCH("quick fix",E855)),"Quick Fix Mix",
ISNUMBER(SEARCH("starter",E855)),"Starter Fertilizer",
ISNUMBER(SEARCH("weed &amp; feed",E855)),"Weed &amp; Feed",
ISNUMBER(SEARCH("lawn food",E855)),"Lawn Food",
ISNUMBER(SEARCH("triple action",E855)),"Triple Action Fertilizer",
ISNUMBER(SEARCH("green max",E855)),"Green Max Lawn Food",
ISNUMBER(SEARCH("patchmaster",E855)),"PatchMaster Repair",
ISNUMBER(SEARCH("ez seed",E855)),"EZ Seed Repair",
ISNUMBER(SEARCH("rapid grass",E855)),"Rapid Grass",
ISNUMBER(SEARCH("thick'r lawn",E855)),"Thick'R Lawn",
ISNUMBER(SEARCH("fungicide",E855)),"Fungicide",
ISNUMBER(SEARCH("moss",E855)),"Moss Control",
ISNUMBER(SEARCH("perlite",E855)),"Perlite",
ISNUMBER(SEARCH("plant food",E855)),"Plant Food",
ISNUMBER(SEARCH("spreader",E855)),"Spreader",
ISNUMBER(SEARCH("sprayer",E855)),"Sprayer",
ISNUMBER(SEARCH("mower",E855)),"Lawn Mower",
ISNUMBER(SEARCH("sweeper",E855)),"Lawn Sweeper",
OR(ISNUMBER(SEARCH("pruner",E855)),ISNUMBER(SEARCH("trimmer",E855)),ISNUMBER(SEARCH("pole saw",E855))),"Pruning Tools",
TRUE,"Other"
)</f>
        <v>Glue Traps</v>
      </c>
      <c r="J855" s="7" t="str">
        <f t="shared" si="249"/>
        <v>Flying Insect Control - Glue Traps</v>
      </c>
      <c r="K855" s="4">
        <v>100</v>
      </c>
      <c r="L855" s="4">
        <v>2.9</v>
      </c>
      <c r="M855" s="4">
        <v>85</v>
      </c>
      <c r="O855" s="4">
        <f>VLOOKUP(A855,[17]Sheet1!$A:$M,2,0)</f>
        <v>0</v>
      </c>
      <c r="P855" s="4">
        <f>VLOOKUP(A855,[17]Sheet1!$A:$M,3,0)</f>
        <v>0</v>
      </c>
      <c r="Q855" s="4">
        <f>VLOOKUP(A855,[17]Sheet1!$A:$M,4,0)</f>
        <v>0</v>
      </c>
      <c r="R855" s="4">
        <f>VLOOKUP(A855,[17]Sheet1!$A:$M,5,0)</f>
        <v>0</v>
      </c>
      <c r="S855" s="4">
        <f>VLOOKUP(A855,[17]Sheet1!$A:$M,6,0)</f>
        <v>0</v>
      </c>
      <c r="T855" s="4">
        <f>VLOOKUP(A855,[17]Sheet1!$A:$M,7,0)</f>
        <v>50</v>
      </c>
      <c r="U855" s="4">
        <f>VLOOKUP(A855,[17]Sheet1!$A:$M,8,0)</f>
        <v>100</v>
      </c>
      <c r="V855" s="4">
        <f>VLOOKUP(A855,[17]Sheet1!$A:$M,9,0)</f>
        <v>50</v>
      </c>
      <c r="W855" s="4">
        <f>VLOOKUP(A855,[17]Sheet1!$A:$M,10,0)</f>
        <v>100</v>
      </c>
      <c r="X855" s="4">
        <f>VLOOKUP(A855,[17]Sheet1!$A:$M,11,0)</f>
        <v>0</v>
      </c>
      <c r="Y855" s="4">
        <f>VLOOKUP(A855,[17]Sheet1!$A:$M,12,0)</f>
        <v>0</v>
      </c>
      <c r="Z855" s="4">
        <f>VLOOKUP(A855,[17]Sheet1!$A:$M,13,0)</f>
        <v>0</v>
      </c>
      <c r="AA855" s="4">
        <f t="shared" si="258"/>
        <v>300</v>
      </c>
      <c r="AB855" s="7">
        <f t="shared" si="259"/>
        <v>25</v>
      </c>
      <c r="AC855" s="15">
        <f t="shared" si="260"/>
        <v>25</v>
      </c>
      <c r="AD855" s="16">
        <f t="shared" si="261"/>
        <v>4497</v>
      </c>
      <c r="AE855" s="16">
        <f t="shared" si="248"/>
        <v>374.75</v>
      </c>
      <c r="AF855" s="21">
        <v>4.09</v>
      </c>
      <c r="AG855" s="21">
        <v>14.99</v>
      </c>
      <c r="AH855" s="15">
        <f t="shared" si="242"/>
        <v>6.0399999999999981E-2</v>
      </c>
      <c r="AI855" s="15">
        <f t="shared" si="243"/>
        <v>0.21139999999999989</v>
      </c>
      <c r="AJ855" s="10">
        <v>0.5</v>
      </c>
      <c r="AK855" s="10">
        <v>0.5</v>
      </c>
      <c r="AL855" s="21">
        <v>4.09</v>
      </c>
      <c r="AM855" s="9">
        <f t="shared" si="262"/>
        <v>2.2484999999999999</v>
      </c>
      <c r="AN855" s="9">
        <f t="shared" si="263"/>
        <v>0.44969999999999999</v>
      </c>
      <c r="AO855" s="9">
        <f t="shared" si="264"/>
        <v>2.9980000000000002</v>
      </c>
      <c r="AP855" s="9">
        <f t="shared" si="265"/>
        <v>0.29980000000000001</v>
      </c>
      <c r="AQ855" s="9">
        <f t="shared" si="266"/>
        <v>2.9980000000000002</v>
      </c>
      <c r="AR855" s="9">
        <f t="shared" si="267"/>
        <v>3.7475000000000001</v>
      </c>
      <c r="AS855" s="11">
        <f t="shared" si="268"/>
        <v>0.60399999999999976</v>
      </c>
      <c r="AT855" s="12">
        <f t="shared" si="269"/>
        <v>0.10433333333333324</v>
      </c>
    </row>
    <row r="856" spans="1:46" ht="16.5" x14ac:dyDescent="0.4">
      <c r="A856" s="4" t="s">
        <v>3814</v>
      </c>
      <c r="B856" s="4" t="s">
        <v>3821</v>
      </c>
      <c r="C856" s="4" t="s">
        <v>3821</v>
      </c>
      <c r="D856" s="4" t="s">
        <v>3839</v>
      </c>
      <c r="E856" s="4" t="s">
        <v>3863</v>
      </c>
      <c r="F856" s="4" t="s">
        <v>3887</v>
      </c>
      <c r="G856" s="7" t="str">
        <f>VLOOKUP(A856,[1]done!$A:$I,9,0)</f>
        <v>Other crawling insects</v>
      </c>
      <c r="H856" s="7" t="str" cm="1">
        <f t="array" ref="H856">_xlfn.IFS(
OR(ISNUMBER(SEARCH("mouse",E856)),ISNUMBER(SEARCH("rat",E856)),ISNUMBER(SEARCH("mice",E856)),ISNUMBER(SEARCH("rodent",E856))),"Rodent Control",
OR(ISNUMBER(SEARCH("fly",E856)),ISNUMBER(SEARCH("gnat",E856)),ISNUMBER(SEARCH("insect",E856)),ISNUMBER(SEARCH("mosquito",E856))),"Flying Insect Control",
OR(ISNUMBER(SEARCH("roach",E856)),ISNUMBER(SEARCH("ant",E856)),ISNUMBER(SEARCH("spider",E856)),ISNUMBER(SEARCH("cricket",E856)),ISNUMBER(SEARCH("scorpion",E856)),ISNUMBER(SEARCH("centipede",E856)),ISNUMBER(SEARCH("beetle",E856))),"Crawling Insect Control",
OR(ISNUMBER(SEARCH("tree",E856)),ISNUMBER(SEARCH("lantern",E856)),ISNUMBER(SEARCH("garden",E856)),ISNUMBER(SEARCH("plant",E856))),"Garden Pest Control",
OR(ISNUMBER(SEARCH("grass seed",E856)),ISNUMBER(SEARCH("seed mix",E856))),"Grass Seed",
OR(ISNUMBER(SEARCH("lawn food",E856)),ISNUMBER(SEARCH("fertilizer",E856))),"Lawn Fertilizer",
OR(ISNUMBER(SEARCH("patch",E856)),ISNUMBER(SEARCH("repair",E856)),ISNUMBER(SEARCH("thick'r",E856)),ISNUMBER(SEARCH("thick'r lawn",E856)),ISNUMBER(SEARCH("rapid grass",E856))),"Lawn Repair",
OR(ISNUMBER(SEARCH("weed",E856)),ISNUMBER(SEARCH("crabgrass",E856))),"Weed Control",
OR(ISNUMBER(SEARCH("fungicide",E856)),ISNUMBER(SEARCH("moss",E856))),"Disease &amp; Moss Control",
OR(ISNUMBER(SEARCH("plant food",E856)),ISNUMBER(SEARCH("miracid",E856))),"Plant Nutrition",
OR(ISNUMBER(SEARCH("perlite",E856))),"Soil Amendment",
OR(ISNUMBER(SEARCH("spreader",E856)),ISNUMBER(SEARCH("sprayer",E856)),ISNUMBER(SEARCH("mower",E856)),ISNUMBER(SEARCH("sweeper",E856)),ISNUMBER(SEARCH("pruner",E856)),ISNUMBER(SEARCH("trimmer",E856)),ISNUMBER(SEARCH("pole saw",E856))),"Garden Equipment",
TRUE,"Other"
)</f>
        <v>Crawling Insect Control</v>
      </c>
      <c r="I856" s="7" t="str" cm="1">
        <f t="array" ref="I856">_xlfn.IFS(
OR(ISNUMBER(SEARCH("glue trap",E856)),ISNUMBER(SEARCH("glue board",E856))),"Glue Traps",
OR(ISNUMBER(SEARCH("snap trap",E856)),ISNUMBER(SEARCH("power-kill",E856)),ISNUMBER(SEARCH("wide pedal",E856)),ISNUMBER(SEARCH("metal pedal",E856))),"Snap Traps",
OR(ISNUMBER(SEARCH("electronic",E856)),ISNUMBER(SEARCH("zapper",E856))),"Electronic Traps",
OR(ISNUMBER(SEARCH("live catch",E856)),ISNUMBER(SEARCH("multi-catch",E856)),ISNUMBER(SEARCH("catch &amp; hold",E856)),ISNUMBER(SEARCH("tin cat",E856))),"Live Catch Traps",
OR(ISNUMBER(SEARCH("bait",E856)),ISNUMBER(SEARCH("poison",E856))),"Bait &amp; Poison",
ISNUMBER(SEARCH("repellent",E856)),"Repellents",
OR(ISNUMBER(SEARCH("fly trap",E856)),ISNUMBER(SEARCH("fly ribbon",E856)),ISNUMBER(SEARCH("fly stick",E856)),ISNUMBER(SEARCH("window fly",E856)),ISNUMBER(SEARCH("fly magnet",E856))),"Fly Traps",
OR(ISNUMBER(SEARCH("uv",E856)),ISNUMBER(SEARCH("fly light",E856)),ISNUMBER(SEARCH("plug-in",E856))),"UV Fly Traps",
ISNUMBER(SEARCH("roach",E856)),"Roach Traps",
ISNUMBER(SEARCH("ant",E856)),"Ant Traps",
ISNUMBER(SEARCH("spider",E856)),"Spider Traps",
ISNUMBER(SEARCH("mosquito",E856)),"Mosquito Traps",
ISNUMBER(SEARCH("beetle",E856)),"Beetle Traps",
ISNUMBER(SEARCH("lantern",E856)),"Lanternfly Control",
OR(ISNUMBER(SEARCH("tree shield",E856)),ISNUMBER(SEARCH("tree banding",E856)),ISNUMBER(SEARCH("insect barrier",E856))),"Tree Barriers",
OR(ISNUMBER(SEARCH("sun &amp; shade",E856)),ISNUMBER(SEARCH("sun and shade",E856))),"Sun &amp; Shade Mix",
ISNUMBER(SEARCH("tall fescue",E856)),"Tall Fescue",
ISNUMBER(SEARCH("bermudagrass",E856)),"Bermudagrass",
ISNUMBER(SEARCH("kentucky",E856)),"Kentucky Bluegrass",
ISNUMBER(SEARCH("zoysia",E856)),"Zoysia",
ISNUMBER(SEARCH("ryegrass",E856)),"Perennial Ryegrass",
ISNUMBER(SEARCH("centipede",E856)),"Centipede Grass",
ISNUMBER(SEARCH("dense shade",E856)),"Dense Shade Mix",
ISNUMBER(SEARCH("southern gold",E856)),"Southern Gold Mix",
ISNUMBER(SEARCH("heat-tolerant blue",E856)),"Heat-Tolerant Blue Mix",
ISNUMBER(SEARCH("high traffic",E856)),"High Traffic Mix",
ISNUMBER(SEARCH("quick fix",E856)),"Quick Fix Mix",
ISNUMBER(SEARCH("starter",E856)),"Starter Fertilizer",
ISNUMBER(SEARCH("weed &amp; feed",E856)),"Weed &amp; Feed",
ISNUMBER(SEARCH("lawn food",E856)),"Lawn Food",
ISNUMBER(SEARCH("triple action",E856)),"Triple Action Fertilizer",
ISNUMBER(SEARCH("green max",E856)),"Green Max Lawn Food",
ISNUMBER(SEARCH("patchmaster",E856)),"PatchMaster Repair",
ISNUMBER(SEARCH("ez seed",E856)),"EZ Seed Repair",
ISNUMBER(SEARCH("rapid grass",E856)),"Rapid Grass",
ISNUMBER(SEARCH("thick'r lawn",E856)),"Thick'R Lawn",
ISNUMBER(SEARCH("fungicide",E856)),"Fungicide",
ISNUMBER(SEARCH("moss",E856)),"Moss Control",
ISNUMBER(SEARCH("perlite",E856)),"Perlite",
ISNUMBER(SEARCH("plant food",E856)),"Plant Food",
ISNUMBER(SEARCH("spreader",E856)),"Spreader",
ISNUMBER(SEARCH("sprayer",E856)),"Sprayer",
ISNUMBER(SEARCH("mower",E856)),"Lawn Mower",
ISNUMBER(SEARCH("sweeper",E856)),"Lawn Sweeper",
OR(ISNUMBER(SEARCH("pruner",E856)),ISNUMBER(SEARCH("trimmer",E856)),ISNUMBER(SEARCH("pole saw",E856))),"Pruning Tools",
TRUE,"Other"
)</f>
        <v>Roach Traps</v>
      </c>
      <c r="J856" s="7" t="str">
        <f t="shared" si="249"/>
        <v>Crawling Insect Control - Roach Traps</v>
      </c>
      <c r="K856" s="4">
        <v>100</v>
      </c>
      <c r="L856" s="4">
        <v>4.0999999999999996</v>
      </c>
      <c r="M856" s="4">
        <v>148</v>
      </c>
      <c r="N856" s="4" t="s">
        <v>3670</v>
      </c>
      <c r="O856" s="4">
        <f>VLOOKUP(A856,[17]Sheet1!$A:$M,2,0)</f>
        <v>0</v>
      </c>
      <c r="P856" s="4">
        <f>VLOOKUP(A856,[17]Sheet1!$A:$M,3,0)</f>
        <v>0</v>
      </c>
      <c r="Q856" s="4">
        <f>VLOOKUP(A856,[17]Sheet1!$A:$M,4,0)</f>
        <v>0</v>
      </c>
      <c r="R856" s="4">
        <f>VLOOKUP(A856,[17]Sheet1!$A:$M,5,0)</f>
        <v>50</v>
      </c>
      <c r="S856" s="4">
        <f>VLOOKUP(A856,[17]Sheet1!$A:$M,6,0)</f>
        <v>100</v>
      </c>
      <c r="T856" s="4">
        <f>VLOOKUP(A856,[17]Sheet1!$A:$M,7,0)</f>
        <v>100</v>
      </c>
      <c r="U856" s="4">
        <f>VLOOKUP(A856,[17]Sheet1!$A:$M,8,0)</f>
        <v>100</v>
      </c>
      <c r="V856" s="4">
        <f>VLOOKUP(A856,[17]Sheet1!$A:$M,9,0)</f>
        <v>100</v>
      </c>
      <c r="W856" s="4">
        <f>VLOOKUP(A856,[17]Sheet1!$A:$M,10,0)</f>
        <v>100</v>
      </c>
      <c r="X856" s="4">
        <f>VLOOKUP(A856,[17]Sheet1!$A:$M,11,0)</f>
        <v>100</v>
      </c>
      <c r="Y856" s="4">
        <f>VLOOKUP(A856,[17]Sheet1!$A:$M,12,0)</f>
        <v>50</v>
      </c>
      <c r="Z856" s="4">
        <f>VLOOKUP(A856,[17]Sheet1!$A:$M,13,0)</f>
        <v>50</v>
      </c>
      <c r="AA856" s="4">
        <f t="shared" si="258"/>
        <v>750</v>
      </c>
      <c r="AB856" s="7">
        <f t="shared" si="259"/>
        <v>63</v>
      </c>
      <c r="AC856" s="15">
        <f t="shared" si="260"/>
        <v>62.5</v>
      </c>
      <c r="AD856" s="16">
        <f t="shared" si="261"/>
        <v>14242.499999999998</v>
      </c>
      <c r="AE856" s="16">
        <f t="shared" si="248"/>
        <v>1186.875</v>
      </c>
      <c r="AF856" s="21">
        <v>5.84</v>
      </c>
      <c r="AG856" s="21">
        <v>18.989999999999998</v>
      </c>
      <c r="AH856" s="15">
        <f t="shared" si="242"/>
        <v>5.0399999999999903E-2</v>
      </c>
      <c r="AI856" s="15">
        <f t="shared" si="243"/>
        <v>0.17639999999999964</v>
      </c>
      <c r="AJ856" s="10">
        <v>0.5</v>
      </c>
      <c r="AK856" s="10">
        <v>0.5</v>
      </c>
      <c r="AL856" s="21">
        <v>5.84</v>
      </c>
      <c r="AM856" s="9">
        <f t="shared" si="262"/>
        <v>2.8484999999999996</v>
      </c>
      <c r="AN856" s="9">
        <f t="shared" si="263"/>
        <v>0.56969999999999998</v>
      </c>
      <c r="AO856" s="9">
        <f t="shared" si="264"/>
        <v>3.798</v>
      </c>
      <c r="AP856" s="9">
        <f t="shared" si="265"/>
        <v>0.37979999999999997</v>
      </c>
      <c r="AQ856" s="9">
        <f t="shared" si="266"/>
        <v>3.798</v>
      </c>
      <c r="AR856" s="9">
        <f t="shared" si="267"/>
        <v>4.7474999999999996</v>
      </c>
      <c r="AS856" s="11">
        <f t="shared" si="268"/>
        <v>0.503999999999999</v>
      </c>
      <c r="AT856" s="12">
        <f t="shared" si="269"/>
        <v>-0.12900000000000075</v>
      </c>
    </row>
    <row r="857" spans="1:46" ht="16.5" x14ac:dyDescent="0.4">
      <c r="A857" s="4" t="s">
        <v>3815</v>
      </c>
      <c r="B857" s="4" t="s">
        <v>3821</v>
      </c>
      <c r="C857" s="4" t="s">
        <v>3821</v>
      </c>
      <c r="D857" s="4" t="s">
        <v>3840</v>
      </c>
      <c r="E857" s="4" t="s">
        <v>3864</v>
      </c>
      <c r="F857" s="4" t="s">
        <v>3888</v>
      </c>
      <c r="G857" s="7" t="str">
        <f>VLOOKUP(A857,[1]done!$A:$I,9,0)</f>
        <v>Rodent</v>
      </c>
      <c r="H857" s="7" t="str" cm="1">
        <f t="array" ref="H857">_xlfn.IFS(
OR(ISNUMBER(SEARCH("mouse",E857)),ISNUMBER(SEARCH("rat",E857)),ISNUMBER(SEARCH("mice",E857)),ISNUMBER(SEARCH("rodent",E857))),"Rodent Control",
OR(ISNUMBER(SEARCH("fly",E857)),ISNUMBER(SEARCH("gnat",E857)),ISNUMBER(SEARCH("insect",E857)),ISNUMBER(SEARCH("mosquito",E857))),"Flying Insect Control",
OR(ISNUMBER(SEARCH("roach",E857)),ISNUMBER(SEARCH("ant",E857)),ISNUMBER(SEARCH("spider",E857)),ISNUMBER(SEARCH("cricket",E857)),ISNUMBER(SEARCH("scorpion",E857)),ISNUMBER(SEARCH("centipede",E857)),ISNUMBER(SEARCH("beetle",E857))),"Crawling Insect Control",
OR(ISNUMBER(SEARCH("tree",E857)),ISNUMBER(SEARCH("lantern",E857)),ISNUMBER(SEARCH("garden",E857)),ISNUMBER(SEARCH("plant",E857))),"Garden Pest Control",
OR(ISNUMBER(SEARCH("grass seed",E857)),ISNUMBER(SEARCH("seed mix",E857))),"Grass Seed",
OR(ISNUMBER(SEARCH("lawn food",E857)),ISNUMBER(SEARCH("fertilizer",E857))),"Lawn Fertilizer",
OR(ISNUMBER(SEARCH("patch",E857)),ISNUMBER(SEARCH("repair",E857)),ISNUMBER(SEARCH("thick'r",E857)),ISNUMBER(SEARCH("thick'r lawn",E857)),ISNUMBER(SEARCH("rapid grass",E857))),"Lawn Repair",
OR(ISNUMBER(SEARCH("weed",E857)),ISNUMBER(SEARCH("crabgrass",E857))),"Weed Control",
OR(ISNUMBER(SEARCH("fungicide",E857)),ISNUMBER(SEARCH("moss",E857))),"Disease &amp; Moss Control",
OR(ISNUMBER(SEARCH("plant food",E857)),ISNUMBER(SEARCH("miracid",E857))),"Plant Nutrition",
OR(ISNUMBER(SEARCH("perlite",E857))),"Soil Amendment",
OR(ISNUMBER(SEARCH("spreader",E857)),ISNUMBER(SEARCH("sprayer",E857)),ISNUMBER(SEARCH("mower",E857)),ISNUMBER(SEARCH("sweeper",E857)),ISNUMBER(SEARCH("pruner",E857)),ISNUMBER(SEARCH("trimmer",E857)),ISNUMBER(SEARCH("pole saw",E857))),"Garden Equipment",
TRUE,"Other"
)</f>
        <v>Rodent Control</v>
      </c>
      <c r="I857" s="7" t="str" cm="1">
        <f t="array" ref="I857">_xlfn.IFS(
OR(ISNUMBER(SEARCH("glue trap",E857)),ISNUMBER(SEARCH("glue board",E857))),"Glue Traps",
OR(ISNUMBER(SEARCH("snap trap",E857)),ISNUMBER(SEARCH("power-kill",E857)),ISNUMBER(SEARCH("wide pedal",E857)),ISNUMBER(SEARCH("metal pedal",E857))),"Snap Traps",
OR(ISNUMBER(SEARCH("electronic",E857)),ISNUMBER(SEARCH("zapper",E857))),"Electronic Traps",
OR(ISNUMBER(SEARCH("live catch",E857)),ISNUMBER(SEARCH("multi-catch",E857)),ISNUMBER(SEARCH("catch &amp; hold",E857)),ISNUMBER(SEARCH("tin cat",E857))),"Live Catch Traps",
OR(ISNUMBER(SEARCH("bait",E857)),ISNUMBER(SEARCH("poison",E857))),"Bait &amp; Poison",
ISNUMBER(SEARCH("repellent",E857)),"Repellents",
OR(ISNUMBER(SEARCH("fly trap",E857)),ISNUMBER(SEARCH("fly ribbon",E857)),ISNUMBER(SEARCH("fly stick",E857)),ISNUMBER(SEARCH("window fly",E857)),ISNUMBER(SEARCH("fly magnet",E857))),"Fly Traps",
OR(ISNUMBER(SEARCH("uv",E857)),ISNUMBER(SEARCH("fly light",E857)),ISNUMBER(SEARCH("plug-in",E857))),"UV Fly Traps",
ISNUMBER(SEARCH("roach",E857)),"Roach Traps",
ISNUMBER(SEARCH("ant",E857)),"Ant Traps",
ISNUMBER(SEARCH("spider",E857)),"Spider Traps",
ISNUMBER(SEARCH("mosquito",E857)),"Mosquito Traps",
ISNUMBER(SEARCH("beetle",E857)),"Beetle Traps",
ISNUMBER(SEARCH("lantern",E857)),"Lanternfly Control",
OR(ISNUMBER(SEARCH("tree shield",E857)),ISNUMBER(SEARCH("tree banding",E857)),ISNUMBER(SEARCH("insect barrier",E857))),"Tree Barriers",
OR(ISNUMBER(SEARCH("sun &amp; shade",E857)),ISNUMBER(SEARCH("sun and shade",E857))),"Sun &amp; Shade Mix",
ISNUMBER(SEARCH("tall fescue",E857)),"Tall Fescue",
ISNUMBER(SEARCH("bermudagrass",E857)),"Bermudagrass",
ISNUMBER(SEARCH("kentucky",E857)),"Kentucky Bluegrass",
ISNUMBER(SEARCH("zoysia",E857)),"Zoysia",
ISNUMBER(SEARCH("ryegrass",E857)),"Perennial Ryegrass",
ISNUMBER(SEARCH("centipede",E857)),"Centipede Grass",
ISNUMBER(SEARCH("dense shade",E857)),"Dense Shade Mix",
ISNUMBER(SEARCH("southern gold",E857)),"Southern Gold Mix",
ISNUMBER(SEARCH("heat-tolerant blue",E857)),"Heat-Tolerant Blue Mix",
ISNUMBER(SEARCH("high traffic",E857)),"High Traffic Mix",
ISNUMBER(SEARCH("quick fix",E857)),"Quick Fix Mix",
ISNUMBER(SEARCH("starter",E857)),"Starter Fertilizer",
ISNUMBER(SEARCH("weed &amp; feed",E857)),"Weed &amp; Feed",
ISNUMBER(SEARCH("lawn food",E857)),"Lawn Food",
ISNUMBER(SEARCH("triple action",E857)),"Triple Action Fertilizer",
ISNUMBER(SEARCH("green max",E857)),"Green Max Lawn Food",
ISNUMBER(SEARCH("patchmaster",E857)),"PatchMaster Repair",
ISNUMBER(SEARCH("ez seed",E857)),"EZ Seed Repair",
ISNUMBER(SEARCH("rapid grass",E857)),"Rapid Grass",
ISNUMBER(SEARCH("thick'r lawn",E857)),"Thick'R Lawn",
ISNUMBER(SEARCH("fungicide",E857)),"Fungicide",
ISNUMBER(SEARCH("moss",E857)),"Moss Control",
ISNUMBER(SEARCH("perlite",E857)),"Perlite",
ISNUMBER(SEARCH("plant food",E857)),"Plant Food",
ISNUMBER(SEARCH("spreader",E857)),"Spreader",
ISNUMBER(SEARCH("sprayer",E857)),"Sprayer",
ISNUMBER(SEARCH("mower",E857)),"Lawn Mower",
ISNUMBER(SEARCH("sweeper",E857)),"Lawn Sweeper",
OR(ISNUMBER(SEARCH("pruner",E857)),ISNUMBER(SEARCH("trimmer",E857)),ISNUMBER(SEARCH("pole saw",E857))),"Pruning Tools",
TRUE,"Other"
)</f>
        <v>Repellents</v>
      </c>
      <c r="J857" s="7" t="str">
        <f t="shared" si="249"/>
        <v>Rodent Control - Repellents</v>
      </c>
      <c r="K857" s="4">
        <v>100</v>
      </c>
      <c r="L857" s="4">
        <v>4.0999999999999996</v>
      </c>
      <c r="M857" s="4">
        <v>2914</v>
      </c>
      <c r="N857" s="4" t="s">
        <v>3900</v>
      </c>
      <c r="O857" s="4">
        <f>VLOOKUP(A857,[17]Sheet1!$A:$M,2,0)</f>
        <v>100</v>
      </c>
      <c r="P857" s="4">
        <f>VLOOKUP(A857,[17]Sheet1!$A:$M,3,0)</f>
        <v>100</v>
      </c>
      <c r="Q857" s="4">
        <f>VLOOKUP(A857,[17]Sheet1!$A:$M,4,0)</f>
        <v>50</v>
      </c>
      <c r="R857" s="4">
        <f>VLOOKUP(A857,[17]Sheet1!$A:$M,5,0)</f>
        <v>100</v>
      </c>
      <c r="S857" s="4">
        <f>VLOOKUP(A857,[17]Sheet1!$A:$M,6,0)</f>
        <v>100</v>
      </c>
      <c r="T857" s="4">
        <f>VLOOKUP(A857,[17]Sheet1!$A:$M,7,0)</f>
        <v>50</v>
      </c>
      <c r="U857" s="4">
        <f>VLOOKUP(A857,[17]Sheet1!$A:$M,8,0)</f>
        <v>50</v>
      </c>
      <c r="V857" s="4">
        <f>VLOOKUP(A857,[17]Sheet1!$A:$M,9,0)</f>
        <v>50</v>
      </c>
      <c r="W857" s="4">
        <f>VLOOKUP(A857,[17]Sheet1!$A:$M,10,0)</f>
        <v>100</v>
      </c>
      <c r="X857" s="4">
        <f>VLOOKUP(A857,[17]Sheet1!$A:$M,11,0)</f>
        <v>600</v>
      </c>
      <c r="Y857" s="4">
        <f>VLOOKUP(A857,[17]Sheet1!$A:$M,12,0)</f>
        <v>300</v>
      </c>
      <c r="Z857" s="4">
        <f>VLOOKUP(A857,[17]Sheet1!$A:$M,13,0)</f>
        <v>300</v>
      </c>
      <c r="AA857" s="4">
        <f t="shared" si="258"/>
        <v>1900</v>
      </c>
      <c r="AB857" s="7">
        <f t="shared" si="259"/>
        <v>158</v>
      </c>
      <c r="AC857" s="15">
        <f t="shared" si="260"/>
        <v>158.33333333333334</v>
      </c>
      <c r="AD857" s="16">
        <f t="shared" si="261"/>
        <v>58368</v>
      </c>
      <c r="AE857" s="16">
        <f t="shared" si="248"/>
        <v>4864</v>
      </c>
      <c r="AF857" s="21">
        <v>5.22</v>
      </c>
      <c r="AG857" s="21">
        <v>30.72</v>
      </c>
      <c r="AH857" s="15">
        <f t="shared" si="242"/>
        <v>0.4045333333333333</v>
      </c>
      <c r="AI857" s="15">
        <f t="shared" si="243"/>
        <v>1.4158666666666664</v>
      </c>
      <c r="AJ857" s="10">
        <v>0.5</v>
      </c>
      <c r="AK857" s="10">
        <v>0.5</v>
      </c>
      <c r="AL857" s="21">
        <v>5.22</v>
      </c>
      <c r="AM857" s="9">
        <f t="shared" si="262"/>
        <v>4.6079999999999997</v>
      </c>
      <c r="AN857" s="9">
        <f t="shared" si="263"/>
        <v>0.92159999999999997</v>
      </c>
      <c r="AO857" s="9">
        <f t="shared" si="264"/>
        <v>6.1440000000000001</v>
      </c>
      <c r="AP857" s="9">
        <f t="shared" si="265"/>
        <v>0.61439999999999995</v>
      </c>
      <c r="AQ857" s="9">
        <f t="shared" si="266"/>
        <v>6.1440000000000001</v>
      </c>
      <c r="AR857" s="9">
        <f t="shared" si="267"/>
        <v>7.68</v>
      </c>
      <c r="AS857" s="11">
        <f t="shared" si="268"/>
        <v>4.0453333333333328</v>
      </c>
      <c r="AT857" s="12">
        <f t="shared" si="269"/>
        <v>3.0213333333333332</v>
      </c>
    </row>
    <row r="858" spans="1:46" ht="16.5" x14ac:dyDescent="0.4">
      <c r="A858" s="4" t="s">
        <v>3816</v>
      </c>
      <c r="B858" s="4" t="s">
        <v>3821</v>
      </c>
      <c r="C858" s="4" t="s">
        <v>3821</v>
      </c>
      <c r="D858" s="4" t="s">
        <v>3841</v>
      </c>
      <c r="E858" s="4" t="s">
        <v>3865</v>
      </c>
      <c r="F858" s="4" t="s">
        <v>3889</v>
      </c>
      <c r="G858" s="7" t="str">
        <f>VLOOKUP(A858,[1]done!$A:$I,9,0)</f>
        <v>Bed Bug repellent</v>
      </c>
      <c r="H858" s="7" t="str" cm="1">
        <f t="array" ref="H858">_xlfn.IFS(
OR(ISNUMBER(SEARCH("mouse",E858)),ISNUMBER(SEARCH("rat",E858)),ISNUMBER(SEARCH("mice",E858)),ISNUMBER(SEARCH("rodent",E858))),"Rodent Control",
OR(ISNUMBER(SEARCH("fly",E858)),ISNUMBER(SEARCH("gnat",E858)),ISNUMBER(SEARCH("insect",E858)),ISNUMBER(SEARCH("mosquito",E858))),"Flying Insect Control",
OR(ISNUMBER(SEARCH("roach",E858)),ISNUMBER(SEARCH("ant",E858)),ISNUMBER(SEARCH("spider",E858)),ISNUMBER(SEARCH("cricket",E858)),ISNUMBER(SEARCH("scorpion",E858)),ISNUMBER(SEARCH("centipede",E858)),ISNUMBER(SEARCH("beetle",E858))),"Crawling Insect Control",
OR(ISNUMBER(SEARCH("tree",E858)),ISNUMBER(SEARCH("lantern",E858)),ISNUMBER(SEARCH("garden",E858)),ISNUMBER(SEARCH("plant",E858))),"Garden Pest Control",
OR(ISNUMBER(SEARCH("grass seed",E858)),ISNUMBER(SEARCH("seed mix",E858))),"Grass Seed",
OR(ISNUMBER(SEARCH("lawn food",E858)),ISNUMBER(SEARCH("fertilizer",E858))),"Lawn Fertilizer",
OR(ISNUMBER(SEARCH("patch",E858)),ISNUMBER(SEARCH("repair",E858)),ISNUMBER(SEARCH("thick'r",E858)),ISNUMBER(SEARCH("thick'r lawn",E858)),ISNUMBER(SEARCH("rapid grass",E858))),"Lawn Repair",
OR(ISNUMBER(SEARCH("weed",E858)),ISNUMBER(SEARCH("crabgrass",E858))),"Weed Control",
OR(ISNUMBER(SEARCH("fungicide",E858)),ISNUMBER(SEARCH("moss",E858))),"Disease &amp; Moss Control",
OR(ISNUMBER(SEARCH("plant food",E858)),ISNUMBER(SEARCH("miracid",E858))),"Plant Nutrition",
OR(ISNUMBER(SEARCH("perlite",E858))),"Soil Amendment",
OR(ISNUMBER(SEARCH("spreader",E858)),ISNUMBER(SEARCH("sprayer",E858)),ISNUMBER(SEARCH("mower",E858)),ISNUMBER(SEARCH("sweeper",E858)),ISNUMBER(SEARCH("pruner",E858)),ISNUMBER(SEARCH("trimmer",E858)),ISNUMBER(SEARCH("pole saw",E858))),"Garden Equipment",
TRUE,"Other"
)</f>
        <v>Other</v>
      </c>
      <c r="I858" s="7" t="str" cm="1">
        <f t="array" ref="I858">_xlfn.IFS(
OR(ISNUMBER(SEARCH("glue trap",E858)),ISNUMBER(SEARCH("glue board",E858))),"Glue Traps",
OR(ISNUMBER(SEARCH("snap trap",E858)),ISNUMBER(SEARCH("power-kill",E858)),ISNUMBER(SEARCH("wide pedal",E858)),ISNUMBER(SEARCH("metal pedal",E858))),"Snap Traps",
OR(ISNUMBER(SEARCH("electronic",E858)),ISNUMBER(SEARCH("zapper",E858))),"Electronic Traps",
OR(ISNUMBER(SEARCH("live catch",E858)),ISNUMBER(SEARCH("multi-catch",E858)),ISNUMBER(SEARCH("catch &amp; hold",E858)),ISNUMBER(SEARCH("tin cat",E858))),"Live Catch Traps",
OR(ISNUMBER(SEARCH("bait",E858)),ISNUMBER(SEARCH("poison",E858))),"Bait &amp; Poison",
ISNUMBER(SEARCH("repellent",E858)),"Repellents",
OR(ISNUMBER(SEARCH("fly trap",E858)),ISNUMBER(SEARCH("fly ribbon",E858)),ISNUMBER(SEARCH("fly stick",E858)),ISNUMBER(SEARCH("window fly",E858)),ISNUMBER(SEARCH("fly magnet",E858))),"Fly Traps",
OR(ISNUMBER(SEARCH("uv",E858)),ISNUMBER(SEARCH("fly light",E858)),ISNUMBER(SEARCH("plug-in",E858))),"UV Fly Traps",
ISNUMBER(SEARCH("roach",E858)),"Roach Traps",
ISNUMBER(SEARCH("ant",E858)),"Ant Traps",
ISNUMBER(SEARCH("spider",E858)),"Spider Traps",
ISNUMBER(SEARCH("mosquito",E858)),"Mosquito Traps",
ISNUMBER(SEARCH("beetle",E858)),"Beetle Traps",
ISNUMBER(SEARCH("lantern",E858)),"Lanternfly Control",
OR(ISNUMBER(SEARCH("tree shield",E858)),ISNUMBER(SEARCH("tree banding",E858)),ISNUMBER(SEARCH("insect barrier",E858))),"Tree Barriers",
OR(ISNUMBER(SEARCH("sun &amp; shade",E858)),ISNUMBER(SEARCH("sun and shade",E858))),"Sun &amp; Shade Mix",
ISNUMBER(SEARCH("tall fescue",E858)),"Tall Fescue",
ISNUMBER(SEARCH("bermudagrass",E858)),"Bermudagrass",
ISNUMBER(SEARCH("kentucky",E858)),"Kentucky Bluegrass",
ISNUMBER(SEARCH("zoysia",E858)),"Zoysia",
ISNUMBER(SEARCH("ryegrass",E858)),"Perennial Ryegrass",
ISNUMBER(SEARCH("centipede",E858)),"Centipede Grass",
ISNUMBER(SEARCH("dense shade",E858)),"Dense Shade Mix",
ISNUMBER(SEARCH("southern gold",E858)),"Southern Gold Mix",
ISNUMBER(SEARCH("heat-tolerant blue",E858)),"Heat-Tolerant Blue Mix",
ISNUMBER(SEARCH("high traffic",E858)),"High Traffic Mix",
ISNUMBER(SEARCH("quick fix",E858)),"Quick Fix Mix",
ISNUMBER(SEARCH("starter",E858)),"Starter Fertilizer",
ISNUMBER(SEARCH("weed &amp; feed",E858)),"Weed &amp; Feed",
ISNUMBER(SEARCH("lawn food",E858)),"Lawn Food",
ISNUMBER(SEARCH("triple action",E858)),"Triple Action Fertilizer",
ISNUMBER(SEARCH("green max",E858)),"Green Max Lawn Food",
ISNUMBER(SEARCH("patchmaster",E858)),"PatchMaster Repair",
ISNUMBER(SEARCH("ez seed",E858)),"EZ Seed Repair",
ISNUMBER(SEARCH("rapid grass",E858)),"Rapid Grass",
ISNUMBER(SEARCH("thick'r lawn",E858)),"Thick'R Lawn",
ISNUMBER(SEARCH("fungicide",E858)),"Fungicide",
ISNUMBER(SEARCH("moss",E858)),"Moss Control",
ISNUMBER(SEARCH("perlite",E858)),"Perlite",
ISNUMBER(SEARCH("plant food",E858)),"Plant Food",
ISNUMBER(SEARCH("spreader",E858)),"Spreader",
ISNUMBER(SEARCH("sprayer",E858)),"Sprayer",
ISNUMBER(SEARCH("mower",E858)),"Lawn Mower",
ISNUMBER(SEARCH("sweeper",E858)),"Lawn Sweeper",
OR(ISNUMBER(SEARCH("pruner",E858)),ISNUMBER(SEARCH("trimmer",E858)),ISNUMBER(SEARCH("pole saw",E858))),"Pruning Tools",
TRUE,"Other"
)</f>
        <v>Other</v>
      </c>
      <c r="J858" s="7" t="str">
        <f t="shared" si="249"/>
        <v>Other - Other</v>
      </c>
      <c r="K858" s="4">
        <v>100</v>
      </c>
      <c r="L858" s="4">
        <v>4</v>
      </c>
      <c r="M858" s="4">
        <v>199</v>
      </c>
      <c r="N858" s="4" t="s">
        <v>3901</v>
      </c>
      <c r="O858" s="4">
        <f>VLOOKUP(A858,[17]Sheet1!$A:$M,2,0)</f>
        <v>50</v>
      </c>
      <c r="P858" s="4">
        <f>VLOOKUP(A858,[17]Sheet1!$A:$M,3,0)</f>
        <v>50</v>
      </c>
      <c r="Q858" s="4">
        <f>VLOOKUP(A858,[17]Sheet1!$A:$M,4,0)</f>
        <v>50</v>
      </c>
      <c r="R858" s="4">
        <f>VLOOKUP(A858,[17]Sheet1!$A:$M,5,0)</f>
        <v>50</v>
      </c>
      <c r="S858" s="4">
        <f>VLOOKUP(A858,[17]Sheet1!$A:$M,6,0)</f>
        <v>50</v>
      </c>
      <c r="T858" s="4">
        <f>VLOOKUP(A858,[17]Sheet1!$A:$M,7,0)</f>
        <v>100</v>
      </c>
      <c r="U858" s="4">
        <f>VLOOKUP(A858,[17]Sheet1!$A:$M,8,0)</f>
        <v>100</v>
      </c>
      <c r="V858" s="4">
        <f>VLOOKUP(A858,[17]Sheet1!$A:$M,9,0)</f>
        <v>100</v>
      </c>
      <c r="W858" s="4">
        <f>VLOOKUP(A858,[17]Sheet1!$A:$M,10,0)</f>
        <v>100</v>
      </c>
      <c r="X858" s="4">
        <f>VLOOKUP(A858,[17]Sheet1!$A:$M,11,0)</f>
        <v>100</v>
      </c>
      <c r="Y858" s="4">
        <f>VLOOKUP(A858,[17]Sheet1!$A:$M,12,0)</f>
        <v>50</v>
      </c>
      <c r="Z858" s="4">
        <f>VLOOKUP(A858,[17]Sheet1!$A:$M,13,0)</f>
        <v>50</v>
      </c>
      <c r="AA858" s="4">
        <f t="shared" si="258"/>
        <v>850</v>
      </c>
      <c r="AB858" s="7">
        <f t="shared" si="259"/>
        <v>71</v>
      </c>
      <c r="AC858" s="15">
        <f t="shared" si="260"/>
        <v>70.833333333333329</v>
      </c>
      <c r="AD858" s="16">
        <f t="shared" si="261"/>
        <v>16141.499999999998</v>
      </c>
      <c r="AE858" s="16">
        <f t="shared" si="248"/>
        <v>1345.1249999999998</v>
      </c>
      <c r="AF858" s="21">
        <v>5.22</v>
      </c>
      <c r="AG858" s="21">
        <v>18.989999999999998</v>
      </c>
      <c r="AH858" s="15">
        <f t="shared" si="242"/>
        <v>9.1733333333333236E-2</v>
      </c>
      <c r="AI858" s="15">
        <f t="shared" si="243"/>
        <v>0.32106666666666628</v>
      </c>
      <c r="AJ858" s="10">
        <v>0.5</v>
      </c>
      <c r="AK858" s="10">
        <v>0.5</v>
      </c>
      <c r="AL858" s="21">
        <v>5.22</v>
      </c>
      <c r="AM858" s="9">
        <f t="shared" si="262"/>
        <v>2.8484999999999996</v>
      </c>
      <c r="AN858" s="9">
        <f t="shared" si="263"/>
        <v>0.56969999999999998</v>
      </c>
      <c r="AO858" s="9">
        <f t="shared" si="264"/>
        <v>3.798</v>
      </c>
      <c r="AP858" s="9">
        <f t="shared" si="265"/>
        <v>0.37979999999999997</v>
      </c>
      <c r="AQ858" s="9">
        <f t="shared" si="266"/>
        <v>3.798</v>
      </c>
      <c r="AR858" s="9">
        <f t="shared" si="267"/>
        <v>4.7474999999999996</v>
      </c>
      <c r="AS858" s="11">
        <f t="shared" si="268"/>
        <v>0.91733333333333233</v>
      </c>
      <c r="AT858" s="12">
        <f t="shared" si="269"/>
        <v>0.28433333333333266</v>
      </c>
    </row>
    <row r="859" spans="1:46" ht="16.5" x14ac:dyDescent="0.4">
      <c r="A859" s="4" t="s">
        <v>3817</v>
      </c>
      <c r="B859" s="4" t="s">
        <v>3821</v>
      </c>
      <c r="C859" s="4" t="s">
        <v>3821</v>
      </c>
      <c r="D859" s="4" t="s">
        <v>3842</v>
      </c>
      <c r="E859" s="4" t="s">
        <v>3866</v>
      </c>
      <c r="F859" s="4" t="s">
        <v>3890</v>
      </c>
      <c r="G859" s="7" t="str">
        <f>VLOOKUP(A859,[1]done!$A:$I,9,0)</f>
        <v>Rodent</v>
      </c>
      <c r="H859" s="7" t="str" cm="1">
        <f t="array" ref="H859">_xlfn.IFS(
OR(ISNUMBER(SEARCH("mouse",E859)),ISNUMBER(SEARCH("rat",E859)),ISNUMBER(SEARCH("mice",E859)),ISNUMBER(SEARCH("rodent",E859))),"Rodent Control",
OR(ISNUMBER(SEARCH("fly",E859)),ISNUMBER(SEARCH("gnat",E859)),ISNUMBER(SEARCH("insect",E859)),ISNUMBER(SEARCH("mosquito",E859))),"Flying Insect Control",
OR(ISNUMBER(SEARCH("roach",E859)),ISNUMBER(SEARCH("ant",E859)),ISNUMBER(SEARCH("spider",E859)),ISNUMBER(SEARCH("cricket",E859)),ISNUMBER(SEARCH("scorpion",E859)),ISNUMBER(SEARCH("centipede",E859)),ISNUMBER(SEARCH("beetle",E859))),"Crawling Insect Control",
OR(ISNUMBER(SEARCH("tree",E859)),ISNUMBER(SEARCH("lantern",E859)),ISNUMBER(SEARCH("garden",E859)),ISNUMBER(SEARCH("plant",E859))),"Garden Pest Control",
OR(ISNUMBER(SEARCH("grass seed",E859)),ISNUMBER(SEARCH("seed mix",E859))),"Grass Seed",
OR(ISNUMBER(SEARCH("lawn food",E859)),ISNUMBER(SEARCH("fertilizer",E859))),"Lawn Fertilizer",
OR(ISNUMBER(SEARCH("patch",E859)),ISNUMBER(SEARCH("repair",E859)),ISNUMBER(SEARCH("thick'r",E859)),ISNUMBER(SEARCH("thick'r lawn",E859)),ISNUMBER(SEARCH("rapid grass",E859))),"Lawn Repair",
OR(ISNUMBER(SEARCH("weed",E859)),ISNUMBER(SEARCH("crabgrass",E859))),"Weed Control",
OR(ISNUMBER(SEARCH("fungicide",E859)),ISNUMBER(SEARCH("moss",E859))),"Disease &amp; Moss Control",
OR(ISNUMBER(SEARCH("plant food",E859)),ISNUMBER(SEARCH("miracid",E859))),"Plant Nutrition",
OR(ISNUMBER(SEARCH("perlite",E859))),"Soil Amendment",
OR(ISNUMBER(SEARCH("spreader",E859)),ISNUMBER(SEARCH("sprayer",E859)),ISNUMBER(SEARCH("mower",E859)),ISNUMBER(SEARCH("sweeper",E859)),ISNUMBER(SEARCH("pruner",E859)),ISNUMBER(SEARCH("trimmer",E859)),ISNUMBER(SEARCH("pole saw",E859))),"Garden Equipment",
TRUE,"Other"
)</f>
        <v>Rodent Control</v>
      </c>
      <c r="I859" s="7" t="str" cm="1">
        <f t="array" ref="I859">_xlfn.IFS(
OR(ISNUMBER(SEARCH("glue trap",E859)),ISNUMBER(SEARCH("glue board",E859))),"Glue Traps",
OR(ISNUMBER(SEARCH("snap trap",E859)),ISNUMBER(SEARCH("power-kill",E859)),ISNUMBER(SEARCH("wide pedal",E859)),ISNUMBER(SEARCH("metal pedal",E859))),"Snap Traps",
OR(ISNUMBER(SEARCH("electronic",E859)),ISNUMBER(SEARCH("zapper",E859))),"Electronic Traps",
OR(ISNUMBER(SEARCH("live catch",E859)),ISNUMBER(SEARCH("multi-catch",E859)),ISNUMBER(SEARCH("catch &amp; hold",E859)),ISNUMBER(SEARCH("tin cat",E859))),"Live Catch Traps",
OR(ISNUMBER(SEARCH("bait",E859)),ISNUMBER(SEARCH("poison",E859))),"Bait &amp; Poison",
ISNUMBER(SEARCH("repellent",E859)),"Repellents",
OR(ISNUMBER(SEARCH("fly trap",E859)),ISNUMBER(SEARCH("fly ribbon",E859)),ISNUMBER(SEARCH("fly stick",E859)),ISNUMBER(SEARCH("window fly",E859)),ISNUMBER(SEARCH("fly magnet",E859))),"Fly Traps",
OR(ISNUMBER(SEARCH("uv",E859)),ISNUMBER(SEARCH("fly light",E859)),ISNUMBER(SEARCH("plug-in",E859))),"UV Fly Traps",
ISNUMBER(SEARCH("roach",E859)),"Roach Traps",
ISNUMBER(SEARCH("ant",E859)),"Ant Traps",
ISNUMBER(SEARCH("spider",E859)),"Spider Traps",
ISNUMBER(SEARCH("mosquito",E859)),"Mosquito Traps",
ISNUMBER(SEARCH("beetle",E859)),"Beetle Traps",
ISNUMBER(SEARCH("lantern",E859)),"Lanternfly Control",
OR(ISNUMBER(SEARCH("tree shield",E859)),ISNUMBER(SEARCH("tree banding",E859)),ISNUMBER(SEARCH("insect barrier",E859))),"Tree Barriers",
OR(ISNUMBER(SEARCH("sun &amp; shade",E859)),ISNUMBER(SEARCH("sun and shade",E859))),"Sun &amp; Shade Mix",
ISNUMBER(SEARCH("tall fescue",E859)),"Tall Fescue",
ISNUMBER(SEARCH("bermudagrass",E859)),"Bermudagrass",
ISNUMBER(SEARCH("kentucky",E859)),"Kentucky Bluegrass",
ISNUMBER(SEARCH("zoysia",E859)),"Zoysia",
ISNUMBER(SEARCH("ryegrass",E859)),"Perennial Ryegrass",
ISNUMBER(SEARCH("centipede",E859)),"Centipede Grass",
ISNUMBER(SEARCH("dense shade",E859)),"Dense Shade Mix",
ISNUMBER(SEARCH("southern gold",E859)),"Southern Gold Mix",
ISNUMBER(SEARCH("heat-tolerant blue",E859)),"Heat-Tolerant Blue Mix",
ISNUMBER(SEARCH("high traffic",E859)),"High Traffic Mix",
ISNUMBER(SEARCH("quick fix",E859)),"Quick Fix Mix",
ISNUMBER(SEARCH("starter",E859)),"Starter Fertilizer",
ISNUMBER(SEARCH("weed &amp; feed",E859)),"Weed &amp; Feed",
ISNUMBER(SEARCH("lawn food",E859)),"Lawn Food",
ISNUMBER(SEARCH("triple action",E859)),"Triple Action Fertilizer",
ISNUMBER(SEARCH("green max",E859)),"Green Max Lawn Food",
ISNUMBER(SEARCH("patchmaster",E859)),"PatchMaster Repair",
ISNUMBER(SEARCH("ez seed",E859)),"EZ Seed Repair",
ISNUMBER(SEARCH("rapid grass",E859)),"Rapid Grass",
ISNUMBER(SEARCH("thick'r lawn",E859)),"Thick'R Lawn",
ISNUMBER(SEARCH("fungicide",E859)),"Fungicide",
ISNUMBER(SEARCH("moss",E859)),"Moss Control",
ISNUMBER(SEARCH("perlite",E859)),"Perlite",
ISNUMBER(SEARCH("plant food",E859)),"Plant Food",
ISNUMBER(SEARCH("spreader",E859)),"Spreader",
ISNUMBER(SEARCH("sprayer",E859)),"Sprayer",
ISNUMBER(SEARCH("mower",E859)),"Lawn Mower",
ISNUMBER(SEARCH("sweeper",E859)),"Lawn Sweeper",
OR(ISNUMBER(SEARCH("pruner",E859)),ISNUMBER(SEARCH("trimmer",E859)),ISNUMBER(SEARCH("pole saw",E859))),"Pruning Tools",
TRUE,"Other"
)</f>
        <v>Bait &amp; Poison</v>
      </c>
      <c r="J859" s="7" t="str">
        <f t="shared" si="249"/>
        <v>Rodent Control - Bait &amp; Poison</v>
      </c>
      <c r="K859" s="4">
        <v>100</v>
      </c>
      <c r="L859" s="4">
        <v>3.2</v>
      </c>
      <c r="M859" s="4">
        <v>93</v>
      </c>
      <c r="N859" s="4" t="s">
        <v>3902</v>
      </c>
      <c r="O859" s="4">
        <f>VLOOKUP(A859,[17]Sheet1!$A:$M,2,0)</f>
        <v>200</v>
      </c>
      <c r="P859" s="4">
        <f>VLOOKUP(A859,[17]Sheet1!$A:$M,3,0)</f>
        <v>200</v>
      </c>
      <c r="Q859" s="4">
        <f>VLOOKUP(A859,[17]Sheet1!$A:$M,4,0)</f>
        <v>200</v>
      </c>
      <c r="R859" s="4">
        <f>VLOOKUP(A859,[17]Sheet1!$A:$M,5,0)</f>
        <v>200</v>
      </c>
      <c r="S859" s="4">
        <f>VLOOKUP(A859,[17]Sheet1!$A:$M,6,0)</f>
        <v>100</v>
      </c>
      <c r="T859" s="4">
        <f>VLOOKUP(A859,[17]Sheet1!$A:$M,7,0)</f>
        <v>100</v>
      </c>
      <c r="U859" s="4">
        <f>VLOOKUP(A859,[17]Sheet1!$A:$M,8,0)</f>
        <v>100</v>
      </c>
      <c r="V859" s="4">
        <f>VLOOKUP(A859,[17]Sheet1!$A:$M,9,0)</f>
        <v>100</v>
      </c>
      <c r="W859" s="4">
        <f>VLOOKUP(A859,[17]Sheet1!$A:$M,10,0)</f>
        <v>100</v>
      </c>
      <c r="X859" s="4">
        <f>VLOOKUP(A859,[17]Sheet1!$A:$M,11,0)</f>
        <v>200</v>
      </c>
      <c r="Y859" s="4">
        <f>VLOOKUP(A859,[17]Sheet1!$A:$M,12,0)</f>
        <v>300</v>
      </c>
      <c r="Z859" s="4">
        <f>VLOOKUP(A859,[17]Sheet1!$A:$M,13,0)</f>
        <v>300</v>
      </c>
      <c r="AA859" s="4">
        <f t="shared" si="258"/>
        <v>2100</v>
      </c>
      <c r="AB859" s="7">
        <f t="shared" si="259"/>
        <v>175</v>
      </c>
      <c r="AC859" s="15">
        <f t="shared" si="260"/>
        <v>175</v>
      </c>
      <c r="AD859" s="16">
        <f t="shared" si="261"/>
        <v>41979</v>
      </c>
      <c r="AE859" s="16">
        <f t="shared" si="248"/>
        <v>3498.2499999999995</v>
      </c>
      <c r="AF859" s="21">
        <v>3.86</v>
      </c>
      <c r="AG859" s="21">
        <v>19.989999999999998</v>
      </c>
      <c r="AH859" s="15">
        <f t="shared" si="242"/>
        <v>0.20906666666666662</v>
      </c>
      <c r="AI859" s="15">
        <f t="shared" si="243"/>
        <v>0.73173333333333301</v>
      </c>
      <c r="AJ859" s="10">
        <v>0.5</v>
      </c>
      <c r="AK859" s="10">
        <v>0.5</v>
      </c>
      <c r="AL859" s="21">
        <v>3.86</v>
      </c>
      <c r="AM859" s="9">
        <f t="shared" si="262"/>
        <v>2.9984999999999995</v>
      </c>
      <c r="AN859" s="9">
        <f t="shared" si="263"/>
        <v>0.5996999999999999</v>
      </c>
      <c r="AO859" s="9">
        <f t="shared" si="264"/>
        <v>3.9979999999999998</v>
      </c>
      <c r="AP859" s="9">
        <f t="shared" si="265"/>
        <v>0.39979999999999999</v>
      </c>
      <c r="AQ859" s="9">
        <f t="shared" si="266"/>
        <v>3.9979999999999998</v>
      </c>
      <c r="AR859" s="9">
        <f t="shared" si="267"/>
        <v>4.9974999999999996</v>
      </c>
      <c r="AS859" s="11">
        <f t="shared" si="268"/>
        <v>2.090666666666666</v>
      </c>
      <c r="AT859" s="12">
        <f t="shared" si="269"/>
        <v>1.4243333333333326</v>
      </c>
    </row>
    <row r="860" spans="1:46" ht="16.5" x14ac:dyDescent="0.4">
      <c r="A860" s="4" t="s">
        <v>3818</v>
      </c>
      <c r="B860" s="4" t="s">
        <v>3821</v>
      </c>
      <c r="C860" s="4" t="s">
        <v>3821</v>
      </c>
      <c r="D860" s="4" t="s">
        <v>3843</v>
      </c>
      <c r="E860" s="4" t="s">
        <v>3867</v>
      </c>
      <c r="F860" s="4" t="s">
        <v>3891</v>
      </c>
      <c r="G860" s="7" t="str">
        <f>VLOOKUP(A860,[1]done!$A:$I,9,0)</f>
        <v>Mosquito/Fly</v>
      </c>
      <c r="H860" s="7" t="str" cm="1">
        <f t="array" ref="H860">_xlfn.IFS(
OR(ISNUMBER(SEARCH("mouse",E860)),ISNUMBER(SEARCH("rat",E860)),ISNUMBER(SEARCH("mice",E860)),ISNUMBER(SEARCH("rodent",E860))),"Rodent Control",
OR(ISNUMBER(SEARCH("fly",E860)),ISNUMBER(SEARCH("gnat",E860)),ISNUMBER(SEARCH("insect",E860)),ISNUMBER(SEARCH("mosquito",E860))),"Flying Insect Control",
OR(ISNUMBER(SEARCH("roach",E860)),ISNUMBER(SEARCH("ant",E860)),ISNUMBER(SEARCH("spider",E860)),ISNUMBER(SEARCH("cricket",E860)),ISNUMBER(SEARCH("scorpion",E860)),ISNUMBER(SEARCH("centipede",E860)),ISNUMBER(SEARCH("beetle",E860))),"Crawling Insect Control",
OR(ISNUMBER(SEARCH("tree",E860)),ISNUMBER(SEARCH("lantern",E860)),ISNUMBER(SEARCH("garden",E860)),ISNUMBER(SEARCH("plant",E860))),"Garden Pest Control",
OR(ISNUMBER(SEARCH("grass seed",E860)),ISNUMBER(SEARCH("seed mix",E860))),"Grass Seed",
OR(ISNUMBER(SEARCH("lawn food",E860)),ISNUMBER(SEARCH("fertilizer",E860))),"Lawn Fertilizer",
OR(ISNUMBER(SEARCH("patch",E860)),ISNUMBER(SEARCH("repair",E860)),ISNUMBER(SEARCH("thick'r",E860)),ISNUMBER(SEARCH("thick'r lawn",E860)),ISNUMBER(SEARCH("rapid grass",E860))),"Lawn Repair",
OR(ISNUMBER(SEARCH("weed",E860)),ISNUMBER(SEARCH("crabgrass",E860))),"Weed Control",
OR(ISNUMBER(SEARCH("fungicide",E860)),ISNUMBER(SEARCH("moss",E860))),"Disease &amp; Moss Control",
OR(ISNUMBER(SEARCH("plant food",E860)),ISNUMBER(SEARCH("miracid",E860))),"Plant Nutrition",
OR(ISNUMBER(SEARCH("perlite",E860))),"Soil Amendment",
OR(ISNUMBER(SEARCH("spreader",E860)),ISNUMBER(SEARCH("sprayer",E860)),ISNUMBER(SEARCH("mower",E860)),ISNUMBER(SEARCH("sweeper",E860)),ISNUMBER(SEARCH("pruner",E860)),ISNUMBER(SEARCH("trimmer",E860)),ISNUMBER(SEARCH("pole saw",E860))),"Garden Equipment",
TRUE,"Other"
)</f>
        <v>Flying Insect Control</v>
      </c>
      <c r="I860" s="7" t="str" cm="1">
        <f t="array" ref="I860">_xlfn.IFS(
OR(ISNUMBER(SEARCH("glue trap",E860)),ISNUMBER(SEARCH("glue board",E860))),"Glue Traps",
OR(ISNUMBER(SEARCH("snap trap",E860)),ISNUMBER(SEARCH("power-kill",E860)),ISNUMBER(SEARCH("wide pedal",E860)),ISNUMBER(SEARCH("metal pedal",E860))),"Snap Traps",
OR(ISNUMBER(SEARCH("electronic",E860)),ISNUMBER(SEARCH("zapper",E860))),"Electronic Traps",
OR(ISNUMBER(SEARCH("live catch",E860)),ISNUMBER(SEARCH("multi-catch",E860)),ISNUMBER(SEARCH("catch &amp; hold",E860)),ISNUMBER(SEARCH("tin cat",E860))),"Live Catch Traps",
OR(ISNUMBER(SEARCH("bait",E860)),ISNUMBER(SEARCH("poison",E860))),"Bait &amp; Poison",
ISNUMBER(SEARCH("repellent",E860)),"Repellents",
OR(ISNUMBER(SEARCH("fly trap",E860)),ISNUMBER(SEARCH("fly ribbon",E860)),ISNUMBER(SEARCH("fly stick",E860)),ISNUMBER(SEARCH("window fly",E860)),ISNUMBER(SEARCH("fly magnet",E860))),"Fly Traps",
OR(ISNUMBER(SEARCH("uv",E860)),ISNUMBER(SEARCH("fly light",E860)),ISNUMBER(SEARCH("plug-in",E860))),"UV Fly Traps",
ISNUMBER(SEARCH("roach",E860)),"Roach Traps",
ISNUMBER(SEARCH("ant",E860)),"Ant Traps",
ISNUMBER(SEARCH("spider",E860)),"Spider Traps",
ISNUMBER(SEARCH("mosquito",E860)),"Mosquito Traps",
ISNUMBER(SEARCH("beetle",E860)),"Beetle Traps",
ISNUMBER(SEARCH("lantern",E860)),"Lanternfly Control",
OR(ISNUMBER(SEARCH("tree shield",E860)),ISNUMBER(SEARCH("tree banding",E860)),ISNUMBER(SEARCH("insect barrier",E860))),"Tree Barriers",
OR(ISNUMBER(SEARCH("sun &amp; shade",E860)),ISNUMBER(SEARCH("sun and shade",E860))),"Sun &amp; Shade Mix",
ISNUMBER(SEARCH("tall fescue",E860)),"Tall Fescue",
ISNUMBER(SEARCH("bermudagrass",E860)),"Bermudagrass",
ISNUMBER(SEARCH("kentucky",E860)),"Kentucky Bluegrass",
ISNUMBER(SEARCH("zoysia",E860)),"Zoysia",
ISNUMBER(SEARCH("ryegrass",E860)),"Perennial Ryegrass",
ISNUMBER(SEARCH("centipede",E860)),"Centipede Grass",
ISNUMBER(SEARCH("dense shade",E860)),"Dense Shade Mix",
ISNUMBER(SEARCH("southern gold",E860)),"Southern Gold Mix",
ISNUMBER(SEARCH("heat-tolerant blue",E860)),"Heat-Tolerant Blue Mix",
ISNUMBER(SEARCH("high traffic",E860)),"High Traffic Mix",
ISNUMBER(SEARCH("quick fix",E860)),"Quick Fix Mix",
ISNUMBER(SEARCH("starter",E860)),"Starter Fertilizer",
ISNUMBER(SEARCH("weed &amp; feed",E860)),"Weed &amp; Feed",
ISNUMBER(SEARCH("lawn food",E860)),"Lawn Food",
ISNUMBER(SEARCH("triple action",E860)),"Triple Action Fertilizer",
ISNUMBER(SEARCH("green max",E860)),"Green Max Lawn Food",
ISNUMBER(SEARCH("patchmaster",E860)),"PatchMaster Repair",
ISNUMBER(SEARCH("ez seed",E860)),"EZ Seed Repair",
ISNUMBER(SEARCH("rapid grass",E860)),"Rapid Grass",
ISNUMBER(SEARCH("thick'r lawn",E860)),"Thick'R Lawn",
ISNUMBER(SEARCH("fungicide",E860)),"Fungicide",
ISNUMBER(SEARCH("moss",E860)),"Moss Control",
ISNUMBER(SEARCH("perlite",E860)),"Perlite",
ISNUMBER(SEARCH("plant food",E860)),"Plant Food",
ISNUMBER(SEARCH("spreader",E860)),"Spreader",
ISNUMBER(SEARCH("sprayer",E860)),"Sprayer",
ISNUMBER(SEARCH("mower",E860)),"Lawn Mower",
ISNUMBER(SEARCH("sweeper",E860)),"Lawn Sweeper",
OR(ISNUMBER(SEARCH("pruner",E860)),ISNUMBER(SEARCH("trimmer",E860)),ISNUMBER(SEARCH("pole saw",E860))),"Pruning Tools",
TRUE,"Other"
)</f>
        <v>Glue Traps</v>
      </c>
      <c r="J860" s="7" t="str">
        <f t="shared" si="249"/>
        <v>Flying Insect Control - Glue Traps</v>
      </c>
      <c r="K860" s="4">
        <v>50</v>
      </c>
      <c r="L860" s="4">
        <v>2.9</v>
      </c>
      <c r="M860" s="4">
        <v>85</v>
      </c>
      <c r="O860" s="4">
        <f>VLOOKUP(A860,[17]Sheet1!$A:$M,2,0)</f>
        <v>0</v>
      </c>
      <c r="P860" s="4">
        <f>VLOOKUP(A860,[17]Sheet1!$A:$M,3,0)</f>
        <v>0</v>
      </c>
      <c r="Q860" s="4">
        <f>VLOOKUP(A860,[17]Sheet1!$A:$M,4,0)</f>
        <v>0</v>
      </c>
      <c r="R860" s="4">
        <f>VLOOKUP(A860,[17]Sheet1!$A:$M,5,0)</f>
        <v>0</v>
      </c>
      <c r="S860" s="4">
        <f>VLOOKUP(A860,[17]Sheet1!$A:$M,6,0)</f>
        <v>0</v>
      </c>
      <c r="T860" s="4">
        <f>VLOOKUP(A860,[17]Sheet1!$A:$M,7,0)</f>
        <v>0</v>
      </c>
      <c r="U860" s="4">
        <f>VLOOKUP(A860,[17]Sheet1!$A:$M,8,0)</f>
        <v>100</v>
      </c>
      <c r="V860" s="4">
        <f>VLOOKUP(A860,[17]Sheet1!$A:$M,9,0)</f>
        <v>100</v>
      </c>
      <c r="W860" s="4">
        <f>VLOOKUP(A860,[17]Sheet1!$A:$M,10,0)</f>
        <v>50</v>
      </c>
      <c r="X860" s="4">
        <f>VLOOKUP(A860,[17]Sheet1!$A:$M,11,0)</f>
        <v>0</v>
      </c>
      <c r="Y860" s="4">
        <f>VLOOKUP(A860,[17]Sheet1!$A:$M,12,0)</f>
        <v>0</v>
      </c>
      <c r="Z860" s="4">
        <f>VLOOKUP(A860,[17]Sheet1!$A:$M,13,0)</f>
        <v>0</v>
      </c>
      <c r="AA860" s="4">
        <f t="shared" si="258"/>
        <v>250</v>
      </c>
      <c r="AB860" s="7">
        <f t="shared" si="259"/>
        <v>21</v>
      </c>
      <c r="AC860" s="15">
        <f t="shared" si="260"/>
        <v>20.833333333333332</v>
      </c>
      <c r="AD860" s="16">
        <f t="shared" si="261"/>
        <v>6247.5</v>
      </c>
      <c r="AE860" s="16">
        <f t="shared" si="248"/>
        <v>520.62499999999989</v>
      </c>
      <c r="AF860" s="21">
        <v>4.09</v>
      </c>
      <c r="AG860" s="21">
        <v>24.99</v>
      </c>
      <c r="AH860" s="15">
        <f t="shared" si="242"/>
        <v>0.32706666666666656</v>
      </c>
      <c r="AI860" s="15">
        <f t="shared" si="243"/>
        <v>1.1447333333333327</v>
      </c>
      <c r="AJ860" s="10">
        <v>0.5</v>
      </c>
      <c r="AK860" s="10">
        <v>0.5</v>
      </c>
      <c r="AL860" s="21">
        <v>4.09</v>
      </c>
      <c r="AM860" s="9">
        <f t="shared" si="262"/>
        <v>3.7484999999999995</v>
      </c>
      <c r="AN860" s="9">
        <f t="shared" si="263"/>
        <v>0.74969999999999992</v>
      </c>
      <c r="AO860" s="9">
        <f t="shared" si="264"/>
        <v>4.9980000000000002</v>
      </c>
      <c r="AP860" s="9">
        <f t="shared" si="265"/>
        <v>0.49979999999999997</v>
      </c>
      <c r="AQ860" s="9">
        <f t="shared" si="266"/>
        <v>4.9980000000000002</v>
      </c>
      <c r="AR860" s="9">
        <f t="shared" si="267"/>
        <v>6.2474999999999996</v>
      </c>
      <c r="AS860" s="11">
        <f t="shared" si="268"/>
        <v>3.2706666666666653</v>
      </c>
      <c r="AT860" s="12">
        <f t="shared" si="269"/>
        <v>2.4376666666666655</v>
      </c>
    </row>
    <row r="861" spans="1:46" ht="16.5" x14ac:dyDescent="0.4">
      <c r="A861" s="4" t="s">
        <v>3819</v>
      </c>
      <c r="B861" s="4" t="s">
        <v>3821</v>
      </c>
      <c r="C861" s="4" t="s">
        <v>3821</v>
      </c>
      <c r="D861" s="4" t="s">
        <v>3844</v>
      </c>
      <c r="E861" s="4" t="s">
        <v>3868</v>
      </c>
      <c r="F861" s="4" t="s">
        <v>3892</v>
      </c>
      <c r="G861" s="7" t="str">
        <f>VLOOKUP(A861,[1]done!$A:$I,9,0)</f>
        <v>Other Glue boards for insects or rodents</v>
      </c>
      <c r="H861" s="7" t="str" cm="1">
        <f t="array" ref="H861">_xlfn.IFS(
OR(ISNUMBER(SEARCH("mouse",E861)),ISNUMBER(SEARCH("rat",E861)),ISNUMBER(SEARCH("mice",E861)),ISNUMBER(SEARCH("rodent",E861))),"Rodent Control",
OR(ISNUMBER(SEARCH("fly",E861)),ISNUMBER(SEARCH("gnat",E861)),ISNUMBER(SEARCH("insect",E861)),ISNUMBER(SEARCH("mosquito",E861))),"Flying Insect Control",
OR(ISNUMBER(SEARCH("roach",E861)),ISNUMBER(SEARCH("ant",E861)),ISNUMBER(SEARCH("spider",E861)),ISNUMBER(SEARCH("cricket",E861)),ISNUMBER(SEARCH("scorpion",E861)),ISNUMBER(SEARCH("centipede",E861)),ISNUMBER(SEARCH("beetle",E861))),"Crawling Insect Control",
OR(ISNUMBER(SEARCH("tree",E861)),ISNUMBER(SEARCH("lantern",E861)),ISNUMBER(SEARCH("garden",E861)),ISNUMBER(SEARCH("plant",E861))),"Garden Pest Control",
OR(ISNUMBER(SEARCH("grass seed",E861)),ISNUMBER(SEARCH("seed mix",E861))),"Grass Seed",
OR(ISNUMBER(SEARCH("lawn food",E861)),ISNUMBER(SEARCH("fertilizer",E861))),"Lawn Fertilizer",
OR(ISNUMBER(SEARCH("patch",E861)),ISNUMBER(SEARCH("repair",E861)),ISNUMBER(SEARCH("thick'r",E861)),ISNUMBER(SEARCH("thick'r lawn",E861)),ISNUMBER(SEARCH("rapid grass",E861))),"Lawn Repair",
OR(ISNUMBER(SEARCH("weed",E861)),ISNUMBER(SEARCH("crabgrass",E861))),"Weed Control",
OR(ISNUMBER(SEARCH("fungicide",E861)),ISNUMBER(SEARCH("moss",E861))),"Disease &amp; Moss Control",
OR(ISNUMBER(SEARCH("plant food",E861)),ISNUMBER(SEARCH("miracid",E861))),"Plant Nutrition",
OR(ISNUMBER(SEARCH("perlite",E861))),"Soil Amendment",
OR(ISNUMBER(SEARCH("spreader",E861)),ISNUMBER(SEARCH("sprayer",E861)),ISNUMBER(SEARCH("mower",E861)),ISNUMBER(SEARCH("sweeper",E861)),ISNUMBER(SEARCH("pruner",E861)),ISNUMBER(SEARCH("trimmer",E861)),ISNUMBER(SEARCH("pole saw",E861))),"Garden Equipment",
TRUE,"Other"
)</f>
        <v>Rodent Control</v>
      </c>
      <c r="I861" s="7" t="str" cm="1">
        <f t="array" ref="I861">_xlfn.IFS(
OR(ISNUMBER(SEARCH("glue trap",E861)),ISNUMBER(SEARCH("glue board",E861))),"Glue Traps",
OR(ISNUMBER(SEARCH("snap trap",E861)),ISNUMBER(SEARCH("power-kill",E861)),ISNUMBER(SEARCH("wide pedal",E861)),ISNUMBER(SEARCH("metal pedal",E861))),"Snap Traps",
OR(ISNUMBER(SEARCH("electronic",E861)),ISNUMBER(SEARCH("zapper",E861))),"Electronic Traps",
OR(ISNUMBER(SEARCH("live catch",E861)),ISNUMBER(SEARCH("multi-catch",E861)),ISNUMBER(SEARCH("catch &amp; hold",E861)),ISNUMBER(SEARCH("tin cat",E861))),"Live Catch Traps",
OR(ISNUMBER(SEARCH("bait",E861)),ISNUMBER(SEARCH("poison",E861))),"Bait &amp; Poison",
ISNUMBER(SEARCH("repellent",E861)),"Repellents",
OR(ISNUMBER(SEARCH("fly trap",E861)),ISNUMBER(SEARCH("fly ribbon",E861)),ISNUMBER(SEARCH("fly stick",E861)),ISNUMBER(SEARCH("window fly",E861)),ISNUMBER(SEARCH("fly magnet",E861))),"Fly Traps",
OR(ISNUMBER(SEARCH("uv",E861)),ISNUMBER(SEARCH("fly light",E861)),ISNUMBER(SEARCH("plug-in",E861))),"UV Fly Traps",
ISNUMBER(SEARCH("roach",E861)),"Roach Traps",
ISNUMBER(SEARCH("ant",E861)),"Ant Traps",
ISNUMBER(SEARCH("spider",E861)),"Spider Traps",
ISNUMBER(SEARCH("mosquito",E861)),"Mosquito Traps",
ISNUMBER(SEARCH("beetle",E861)),"Beetle Traps",
ISNUMBER(SEARCH("lantern",E861)),"Lanternfly Control",
OR(ISNUMBER(SEARCH("tree shield",E861)),ISNUMBER(SEARCH("tree banding",E861)),ISNUMBER(SEARCH("insect barrier",E861))),"Tree Barriers",
OR(ISNUMBER(SEARCH("sun &amp; shade",E861)),ISNUMBER(SEARCH("sun and shade",E861))),"Sun &amp; Shade Mix",
ISNUMBER(SEARCH("tall fescue",E861)),"Tall Fescue",
ISNUMBER(SEARCH("bermudagrass",E861)),"Bermudagrass",
ISNUMBER(SEARCH("kentucky",E861)),"Kentucky Bluegrass",
ISNUMBER(SEARCH("zoysia",E861)),"Zoysia",
ISNUMBER(SEARCH("ryegrass",E861)),"Perennial Ryegrass",
ISNUMBER(SEARCH("centipede",E861)),"Centipede Grass",
ISNUMBER(SEARCH("dense shade",E861)),"Dense Shade Mix",
ISNUMBER(SEARCH("southern gold",E861)),"Southern Gold Mix",
ISNUMBER(SEARCH("heat-tolerant blue",E861)),"Heat-Tolerant Blue Mix",
ISNUMBER(SEARCH("high traffic",E861)),"High Traffic Mix",
ISNUMBER(SEARCH("quick fix",E861)),"Quick Fix Mix",
ISNUMBER(SEARCH("starter",E861)),"Starter Fertilizer",
ISNUMBER(SEARCH("weed &amp; feed",E861)),"Weed &amp; Feed",
ISNUMBER(SEARCH("lawn food",E861)),"Lawn Food",
ISNUMBER(SEARCH("triple action",E861)),"Triple Action Fertilizer",
ISNUMBER(SEARCH("green max",E861)),"Green Max Lawn Food",
ISNUMBER(SEARCH("patchmaster",E861)),"PatchMaster Repair",
ISNUMBER(SEARCH("ez seed",E861)),"EZ Seed Repair",
ISNUMBER(SEARCH("rapid grass",E861)),"Rapid Grass",
ISNUMBER(SEARCH("thick'r lawn",E861)),"Thick'R Lawn",
ISNUMBER(SEARCH("fungicide",E861)),"Fungicide",
ISNUMBER(SEARCH("moss",E861)),"Moss Control",
ISNUMBER(SEARCH("perlite",E861)),"Perlite",
ISNUMBER(SEARCH("plant food",E861)),"Plant Food",
ISNUMBER(SEARCH("spreader",E861)),"Spreader",
ISNUMBER(SEARCH("sprayer",E861)),"Sprayer",
ISNUMBER(SEARCH("mower",E861)),"Lawn Mower",
ISNUMBER(SEARCH("sweeper",E861)),"Lawn Sweeper",
OR(ISNUMBER(SEARCH("pruner",E861)),ISNUMBER(SEARCH("trimmer",E861)),ISNUMBER(SEARCH("pole saw",E861))),"Pruning Tools",
TRUE,"Other"
)</f>
        <v>Other</v>
      </c>
      <c r="J861" s="7" t="str">
        <f t="shared" si="249"/>
        <v>Rodent Control - Other</v>
      </c>
      <c r="K861" s="4">
        <v>50</v>
      </c>
      <c r="L861" s="4">
        <v>4</v>
      </c>
      <c r="M861" s="4">
        <v>417</v>
      </c>
      <c r="N861" s="4" t="s">
        <v>3903</v>
      </c>
      <c r="O861" s="4">
        <f>VLOOKUP(A861,[17]Sheet1!$A:$M,2,0)</f>
        <v>0</v>
      </c>
      <c r="P861" s="4">
        <f>VLOOKUP(A861,[17]Sheet1!$A:$M,3,0)</f>
        <v>50</v>
      </c>
      <c r="Q861" s="4">
        <f>VLOOKUP(A861,[17]Sheet1!$A:$M,4,0)</f>
        <v>50</v>
      </c>
      <c r="R861" s="4">
        <f>VLOOKUP(A861,[17]Sheet1!$A:$M,5,0)</f>
        <v>50</v>
      </c>
      <c r="S861" s="4">
        <f>VLOOKUP(A861,[17]Sheet1!$A:$M,6,0)</f>
        <v>50</v>
      </c>
      <c r="T861" s="4">
        <f>VLOOKUP(A861,[17]Sheet1!$A:$M,7,0)</f>
        <v>50</v>
      </c>
      <c r="U861" s="4">
        <f>VLOOKUP(A861,[17]Sheet1!$A:$M,8,0)</f>
        <v>50</v>
      </c>
      <c r="V861" s="4">
        <f>VLOOKUP(A861,[17]Sheet1!$A:$M,9,0)</f>
        <v>50</v>
      </c>
      <c r="W861" s="4">
        <f>VLOOKUP(A861,[17]Sheet1!$A:$M,10,0)</f>
        <v>50</v>
      </c>
      <c r="X861" s="4">
        <f>VLOOKUP(A861,[17]Sheet1!$A:$M,11,0)</f>
        <v>100</v>
      </c>
      <c r="Y861" s="4">
        <f>VLOOKUP(A861,[17]Sheet1!$A:$M,12,0)</f>
        <v>50</v>
      </c>
      <c r="Z861" s="4">
        <f>VLOOKUP(A861,[17]Sheet1!$A:$M,13,0)</f>
        <v>50</v>
      </c>
      <c r="AA861" s="4">
        <f t="shared" si="258"/>
        <v>600</v>
      </c>
      <c r="AB861" s="7">
        <f t="shared" si="259"/>
        <v>50</v>
      </c>
      <c r="AC861" s="15">
        <f t="shared" si="260"/>
        <v>50</v>
      </c>
      <c r="AD861" s="16">
        <f t="shared" si="261"/>
        <v>14993.999999999998</v>
      </c>
      <c r="AE861" s="16">
        <f t="shared" si="248"/>
        <v>1249.5</v>
      </c>
      <c r="AF861" s="21">
        <v>4.3499999999999996</v>
      </c>
      <c r="AG861" s="21">
        <v>24.99</v>
      </c>
      <c r="AH861" s="15">
        <f t="shared" si="242"/>
        <v>0.30973333333333319</v>
      </c>
      <c r="AI861" s="15">
        <f t="shared" si="243"/>
        <v>1.0840666666666661</v>
      </c>
      <c r="AJ861" s="10">
        <v>0.5</v>
      </c>
      <c r="AK861" s="10">
        <v>0.5</v>
      </c>
      <c r="AL861" s="21">
        <v>4.3499999999999996</v>
      </c>
      <c r="AM861" s="9">
        <f t="shared" si="262"/>
        <v>3.7484999999999995</v>
      </c>
      <c r="AN861" s="9">
        <f t="shared" si="263"/>
        <v>0.74969999999999992</v>
      </c>
      <c r="AO861" s="9">
        <f t="shared" si="264"/>
        <v>4.9980000000000002</v>
      </c>
      <c r="AP861" s="9">
        <f t="shared" si="265"/>
        <v>0.49979999999999997</v>
      </c>
      <c r="AQ861" s="9">
        <f t="shared" si="266"/>
        <v>4.9980000000000002</v>
      </c>
      <c r="AR861" s="9">
        <f t="shared" si="267"/>
        <v>6.2474999999999996</v>
      </c>
      <c r="AS861" s="11">
        <f t="shared" si="268"/>
        <v>3.0973333333333319</v>
      </c>
      <c r="AT861" s="12">
        <f t="shared" si="269"/>
        <v>2.2643333333333326</v>
      </c>
    </row>
    <row r="862" spans="1:46" ht="16.5" x14ac:dyDescent="0.4">
      <c r="A862" s="4" t="s">
        <v>3820</v>
      </c>
      <c r="B862" s="4" t="s">
        <v>3821</v>
      </c>
      <c r="C862" s="4" t="s">
        <v>3821</v>
      </c>
      <c r="D862" s="4" t="s">
        <v>3845</v>
      </c>
      <c r="E862" s="4" t="s">
        <v>3869</v>
      </c>
      <c r="F862" s="4" t="s">
        <v>3893</v>
      </c>
      <c r="G862" s="7" t="str">
        <f>VLOOKUP(A862,[1]done!$A:$I,9,0)</f>
        <v>Cockroach</v>
      </c>
      <c r="H862" s="7" t="str" cm="1">
        <f t="array" ref="H862">_xlfn.IFS(
OR(ISNUMBER(SEARCH("mouse",E862)),ISNUMBER(SEARCH("rat",E862)),ISNUMBER(SEARCH("mice",E862)),ISNUMBER(SEARCH("rodent",E862))),"Rodent Control",
OR(ISNUMBER(SEARCH("fly",E862)),ISNUMBER(SEARCH("gnat",E862)),ISNUMBER(SEARCH("insect",E862)),ISNUMBER(SEARCH("mosquito",E862))),"Flying Insect Control",
OR(ISNUMBER(SEARCH("roach",E862)),ISNUMBER(SEARCH("ant",E862)),ISNUMBER(SEARCH("spider",E862)),ISNUMBER(SEARCH("cricket",E862)),ISNUMBER(SEARCH("scorpion",E862)),ISNUMBER(SEARCH("centipede",E862)),ISNUMBER(SEARCH("beetle",E862))),"Crawling Insect Control",
OR(ISNUMBER(SEARCH("tree",E862)),ISNUMBER(SEARCH("lantern",E862)),ISNUMBER(SEARCH("garden",E862)),ISNUMBER(SEARCH("plant",E862))),"Garden Pest Control",
OR(ISNUMBER(SEARCH("grass seed",E862)),ISNUMBER(SEARCH("seed mix",E862))),"Grass Seed",
OR(ISNUMBER(SEARCH("lawn food",E862)),ISNUMBER(SEARCH("fertilizer",E862))),"Lawn Fertilizer",
OR(ISNUMBER(SEARCH("patch",E862)),ISNUMBER(SEARCH("repair",E862)),ISNUMBER(SEARCH("thick'r",E862)),ISNUMBER(SEARCH("thick'r lawn",E862)),ISNUMBER(SEARCH("rapid grass",E862))),"Lawn Repair",
OR(ISNUMBER(SEARCH("weed",E862)),ISNUMBER(SEARCH("crabgrass",E862))),"Weed Control",
OR(ISNUMBER(SEARCH("fungicide",E862)),ISNUMBER(SEARCH("moss",E862))),"Disease &amp; Moss Control",
OR(ISNUMBER(SEARCH("plant food",E862)),ISNUMBER(SEARCH("miracid",E862))),"Plant Nutrition",
OR(ISNUMBER(SEARCH("perlite",E862))),"Soil Amendment",
OR(ISNUMBER(SEARCH("spreader",E862)),ISNUMBER(SEARCH("sprayer",E862)),ISNUMBER(SEARCH("mower",E862)),ISNUMBER(SEARCH("sweeper",E862)),ISNUMBER(SEARCH("pruner",E862)),ISNUMBER(SEARCH("trimmer",E862)),ISNUMBER(SEARCH("pole saw",E862))),"Garden Equipment",
TRUE,"Other"
)</f>
        <v>Crawling Insect Control</v>
      </c>
      <c r="I862" s="7" t="str" cm="1">
        <f t="array" ref="I862">_xlfn.IFS(
OR(ISNUMBER(SEARCH("glue trap",E862)),ISNUMBER(SEARCH("glue board",E862))),"Glue Traps",
OR(ISNUMBER(SEARCH("snap trap",E862)),ISNUMBER(SEARCH("power-kill",E862)),ISNUMBER(SEARCH("wide pedal",E862)),ISNUMBER(SEARCH("metal pedal",E862))),"Snap Traps",
OR(ISNUMBER(SEARCH("electronic",E862)),ISNUMBER(SEARCH("zapper",E862))),"Electronic Traps",
OR(ISNUMBER(SEARCH("live catch",E862)),ISNUMBER(SEARCH("multi-catch",E862)),ISNUMBER(SEARCH("catch &amp; hold",E862)),ISNUMBER(SEARCH("tin cat",E862))),"Live Catch Traps",
OR(ISNUMBER(SEARCH("bait",E862)),ISNUMBER(SEARCH("poison",E862))),"Bait &amp; Poison",
ISNUMBER(SEARCH("repellent",E862)),"Repellents",
OR(ISNUMBER(SEARCH("fly trap",E862)),ISNUMBER(SEARCH("fly ribbon",E862)),ISNUMBER(SEARCH("fly stick",E862)),ISNUMBER(SEARCH("window fly",E862)),ISNUMBER(SEARCH("fly magnet",E862))),"Fly Traps",
OR(ISNUMBER(SEARCH("uv",E862)),ISNUMBER(SEARCH("fly light",E862)),ISNUMBER(SEARCH("plug-in",E862))),"UV Fly Traps",
ISNUMBER(SEARCH("roach",E862)),"Roach Traps",
ISNUMBER(SEARCH("ant",E862)),"Ant Traps",
ISNUMBER(SEARCH("spider",E862)),"Spider Traps",
ISNUMBER(SEARCH("mosquito",E862)),"Mosquito Traps",
ISNUMBER(SEARCH("beetle",E862)),"Beetle Traps",
ISNUMBER(SEARCH("lantern",E862)),"Lanternfly Control",
OR(ISNUMBER(SEARCH("tree shield",E862)),ISNUMBER(SEARCH("tree banding",E862)),ISNUMBER(SEARCH("insect barrier",E862))),"Tree Barriers",
OR(ISNUMBER(SEARCH("sun &amp; shade",E862)),ISNUMBER(SEARCH("sun and shade",E862))),"Sun &amp; Shade Mix",
ISNUMBER(SEARCH("tall fescue",E862)),"Tall Fescue",
ISNUMBER(SEARCH("bermudagrass",E862)),"Bermudagrass",
ISNUMBER(SEARCH("kentucky",E862)),"Kentucky Bluegrass",
ISNUMBER(SEARCH("zoysia",E862)),"Zoysia",
ISNUMBER(SEARCH("ryegrass",E862)),"Perennial Ryegrass",
ISNUMBER(SEARCH("centipede",E862)),"Centipede Grass",
ISNUMBER(SEARCH("dense shade",E862)),"Dense Shade Mix",
ISNUMBER(SEARCH("southern gold",E862)),"Southern Gold Mix",
ISNUMBER(SEARCH("heat-tolerant blue",E862)),"Heat-Tolerant Blue Mix",
ISNUMBER(SEARCH("high traffic",E862)),"High Traffic Mix",
ISNUMBER(SEARCH("quick fix",E862)),"Quick Fix Mix",
ISNUMBER(SEARCH("starter",E862)),"Starter Fertilizer",
ISNUMBER(SEARCH("weed &amp; feed",E862)),"Weed &amp; Feed",
ISNUMBER(SEARCH("lawn food",E862)),"Lawn Food",
ISNUMBER(SEARCH("triple action",E862)),"Triple Action Fertilizer",
ISNUMBER(SEARCH("green max",E862)),"Green Max Lawn Food",
ISNUMBER(SEARCH("patchmaster",E862)),"PatchMaster Repair",
ISNUMBER(SEARCH("ez seed",E862)),"EZ Seed Repair",
ISNUMBER(SEARCH("rapid grass",E862)),"Rapid Grass",
ISNUMBER(SEARCH("thick'r lawn",E862)),"Thick'R Lawn",
ISNUMBER(SEARCH("fungicide",E862)),"Fungicide",
ISNUMBER(SEARCH("moss",E862)),"Moss Control",
ISNUMBER(SEARCH("perlite",E862)),"Perlite",
ISNUMBER(SEARCH("plant food",E862)),"Plant Food",
ISNUMBER(SEARCH("spreader",E862)),"Spreader",
ISNUMBER(SEARCH("sprayer",E862)),"Sprayer",
ISNUMBER(SEARCH("mower",E862)),"Lawn Mower",
ISNUMBER(SEARCH("sweeper",E862)),"Lawn Sweeper",
OR(ISNUMBER(SEARCH("pruner",E862)),ISNUMBER(SEARCH("trimmer",E862)),ISNUMBER(SEARCH("pole saw",E862))),"Pruning Tools",
TRUE,"Other"
)</f>
        <v>Roach Traps</v>
      </c>
      <c r="J862" s="7" t="str">
        <f t="shared" si="249"/>
        <v>Crawling Insect Control - Roach Traps</v>
      </c>
      <c r="K862" s="4">
        <v>50</v>
      </c>
      <c r="L862" s="4">
        <v>4.2</v>
      </c>
      <c r="M862" s="4">
        <v>30</v>
      </c>
      <c r="O862" s="4">
        <f>VLOOKUP(A862,[17]Sheet1!$A:$M,2,0)</f>
        <v>0</v>
      </c>
      <c r="P862" s="4">
        <f>VLOOKUP(A862,[17]Sheet1!$A:$M,3,0)</f>
        <v>0</v>
      </c>
      <c r="Q862" s="4">
        <f>VLOOKUP(A862,[17]Sheet1!$A:$M,4,0)</f>
        <v>0</v>
      </c>
      <c r="R862" s="4">
        <f>VLOOKUP(A862,[17]Sheet1!$A:$M,5,0)</f>
        <v>0</v>
      </c>
      <c r="S862" s="4">
        <f>VLOOKUP(A862,[17]Sheet1!$A:$M,6,0)</f>
        <v>0</v>
      </c>
      <c r="T862" s="4">
        <f>VLOOKUP(A862,[17]Sheet1!$A:$M,7,0)</f>
        <v>0</v>
      </c>
      <c r="U862" s="4">
        <f>VLOOKUP(A862,[17]Sheet1!$A:$M,8,0)</f>
        <v>0</v>
      </c>
      <c r="V862" s="4">
        <f>VLOOKUP(A862,[17]Sheet1!$A:$M,9,0)</f>
        <v>50</v>
      </c>
      <c r="W862" s="4">
        <f>VLOOKUP(A862,[17]Sheet1!$A:$M,10,0)</f>
        <v>50</v>
      </c>
      <c r="X862" s="4">
        <f>VLOOKUP(A862,[17]Sheet1!$A:$M,11,0)</f>
        <v>0</v>
      </c>
      <c r="Y862" s="4">
        <f>VLOOKUP(A862,[17]Sheet1!$A:$M,12,0)</f>
        <v>0</v>
      </c>
      <c r="Z862" s="4">
        <f>VLOOKUP(A862,[17]Sheet1!$A:$M,13,0)</f>
        <v>0</v>
      </c>
      <c r="AA862" s="4">
        <f t="shared" ref="AA862:AA885" si="270">SUM(O862:Z862)</f>
        <v>100</v>
      </c>
      <c r="AB862" s="7">
        <f t="shared" ref="AB862:AB885" si="271">ROUND(AA862/12,0)</f>
        <v>8</v>
      </c>
      <c r="AC862" s="15">
        <f t="shared" ref="AC862:AC885" si="272">AVERAGE(O862:Z862)</f>
        <v>8.3333333333333339</v>
      </c>
      <c r="AD862" s="16">
        <f t="shared" ref="AD862" si="273">AG862*AA862</f>
        <v>1898.9999999999998</v>
      </c>
      <c r="AE862" s="16">
        <f t="shared" ref="AE862" si="274">AG862*AC862</f>
        <v>158.25</v>
      </c>
      <c r="AF862" s="21">
        <v>4.76</v>
      </c>
      <c r="AG862" s="21">
        <v>18.989999999999998</v>
      </c>
      <c r="AH862" s="15">
        <f t="shared" si="242"/>
        <v>0.12239999999999991</v>
      </c>
      <c r="AI862" s="15">
        <f t="shared" si="243"/>
        <v>0.42839999999999967</v>
      </c>
      <c r="AJ862" s="10">
        <v>0.5</v>
      </c>
      <c r="AK862" s="10">
        <v>0.5</v>
      </c>
      <c r="AL862" s="21">
        <v>4.76</v>
      </c>
      <c r="AM862" s="9">
        <f t="shared" si="262"/>
        <v>2.8484999999999996</v>
      </c>
      <c r="AN862" s="9">
        <f t="shared" si="263"/>
        <v>0.56969999999999998</v>
      </c>
      <c r="AO862" s="9">
        <f t="shared" si="264"/>
        <v>3.798</v>
      </c>
      <c r="AP862" s="9">
        <f t="shared" si="265"/>
        <v>0.37979999999999997</v>
      </c>
      <c r="AQ862" s="9">
        <f t="shared" si="266"/>
        <v>3.798</v>
      </c>
      <c r="AR862" s="9">
        <f t="shared" si="267"/>
        <v>4.7474999999999996</v>
      </c>
      <c r="AS862" s="11">
        <f t="shared" si="268"/>
        <v>1.2239999999999991</v>
      </c>
      <c r="AT862" s="12">
        <f t="shared" si="269"/>
        <v>0.5909999999999993</v>
      </c>
    </row>
    <row r="863" spans="1:46" ht="16.5" x14ac:dyDescent="0.4">
      <c r="A863" s="4" t="s">
        <v>3904</v>
      </c>
      <c r="B863" s="4" t="s">
        <v>3927</v>
      </c>
      <c r="C863" s="4" t="s">
        <v>2718</v>
      </c>
      <c r="D863" s="4" t="s">
        <v>3934</v>
      </c>
      <c r="E863" s="4" t="s">
        <v>3957</v>
      </c>
      <c r="F863" s="4" t="s">
        <v>3980</v>
      </c>
      <c r="G863" s="7" t="str">
        <f>VLOOKUP(A863,[1]done!$A:$I,9,0)</f>
        <v>Rodent</v>
      </c>
      <c r="H863" s="7" t="str" cm="1">
        <f t="array" ref="H863">_xlfn.IFS(
OR(ISNUMBER(SEARCH("mouse",E863)),ISNUMBER(SEARCH("rat",E863)),ISNUMBER(SEARCH("mice",E863)),ISNUMBER(SEARCH("rodent",E863))),"Rodent Control",
OR(ISNUMBER(SEARCH("fly",E863)),ISNUMBER(SEARCH("gnat",E863)),ISNUMBER(SEARCH("insect",E863)),ISNUMBER(SEARCH("mosquito",E863))),"Flying Insect Control",
OR(ISNUMBER(SEARCH("roach",E863)),ISNUMBER(SEARCH("ant",E863)),ISNUMBER(SEARCH("spider",E863)),ISNUMBER(SEARCH("cricket",E863)),ISNUMBER(SEARCH("scorpion",E863)),ISNUMBER(SEARCH("centipede",E863)),ISNUMBER(SEARCH("beetle",E863))),"Crawling Insect Control",
OR(ISNUMBER(SEARCH("tree",E863)),ISNUMBER(SEARCH("lantern",E863)),ISNUMBER(SEARCH("garden",E863)),ISNUMBER(SEARCH("plant",E863))),"Garden Pest Control",
OR(ISNUMBER(SEARCH("grass seed",E863)),ISNUMBER(SEARCH("seed mix",E863))),"Grass Seed",
OR(ISNUMBER(SEARCH("lawn food",E863)),ISNUMBER(SEARCH("fertilizer",E863))),"Lawn Fertilizer",
OR(ISNUMBER(SEARCH("patch",E863)),ISNUMBER(SEARCH("repair",E863)),ISNUMBER(SEARCH("thick'r",E863)),ISNUMBER(SEARCH("thick'r lawn",E863)),ISNUMBER(SEARCH("rapid grass",E863))),"Lawn Repair",
OR(ISNUMBER(SEARCH("weed",E863)),ISNUMBER(SEARCH("crabgrass",E863))),"Weed Control",
OR(ISNUMBER(SEARCH("fungicide",E863)),ISNUMBER(SEARCH("moss",E863))),"Disease &amp; Moss Control",
OR(ISNUMBER(SEARCH("plant food",E863)),ISNUMBER(SEARCH("miracid",E863))),"Plant Nutrition",
OR(ISNUMBER(SEARCH("perlite",E863))),"Soil Amendment",
OR(ISNUMBER(SEARCH("spreader",E863)),ISNUMBER(SEARCH("sprayer",E863)),ISNUMBER(SEARCH("mower",E863)),ISNUMBER(SEARCH("sweeper",E863)),ISNUMBER(SEARCH("pruner",E863)),ISNUMBER(SEARCH("trimmer",E863)),ISNUMBER(SEARCH("pole saw",E863))),"Garden Equipment",
TRUE,"Other"
)</f>
        <v>Rodent Control</v>
      </c>
      <c r="I863" s="7" t="str" cm="1">
        <f t="array" ref="I863">_xlfn.IFS(
OR(ISNUMBER(SEARCH("glue trap",E863)),ISNUMBER(SEARCH("glue board",E863))),"Glue Traps",
OR(ISNUMBER(SEARCH("snap trap",E863)),ISNUMBER(SEARCH("power-kill",E863)),ISNUMBER(SEARCH("wide pedal",E863)),ISNUMBER(SEARCH("metal pedal",E863))),"Snap Traps",
OR(ISNUMBER(SEARCH("electronic",E863)),ISNUMBER(SEARCH("zapper",E863))),"Electronic Traps",
OR(ISNUMBER(SEARCH("live catch",E863)),ISNUMBER(SEARCH("multi-catch",E863)),ISNUMBER(SEARCH("catch &amp; hold",E863)),ISNUMBER(SEARCH("tin cat",E863))),"Live Catch Traps",
OR(ISNUMBER(SEARCH("bait",E863)),ISNUMBER(SEARCH("poison",E863))),"Bait &amp; Poison",
ISNUMBER(SEARCH("repellent",E863)),"Repellents",
OR(ISNUMBER(SEARCH("fly trap",E863)),ISNUMBER(SEARCH("fly ribbon",E863)),ISNUMBER(SEARCH("fly stick",E863)),ISNUMBER(SEARCH("window fly",E863)),ISNUMBER(SEARCH("fly magnet",E863))),"Fly Traps",
OR(ISNUMBER(SEARCH("uv",E863)),ISNUMBER(SEARCH("fly light",E863)),ISNUMBER(SEARCH("plug-in",E863))),"UV Fly Traps",
ISNUMBER(SEARCH("roach",E863)),"Roach Traps",
ISNUMBER(SEARCH("ant",E863)),"Ant Traps",
ISNUMBER(SEARCH("spider",E863)),"Spider Traps",
ISNUMBER(SEARCH("mosquito",E863)),"Mosquito Traps",
ISNUMBER(SEARCH("beetle",E863)),"Beetle Traps",
ISNUMBER(SEARCH("lantern",E863)),"Lanternfly Control",
OR(ISNUMBER(SEARCH("tree shield",E863)),ISNUMBER(SEARCH("tree banding",E863)),ISNUMBER(SEARCH("insect barrier",E863))),"Tree Barriers",
OR(ISNUMBER(SEARCH("sun &amp; shade",E863)),ISNUMBER(SEARCH("sun and shade",E863))),"Sun &amp; Shade Mix",
ISNUMBER(SEARCH("tall fescue",E863)),"Tall Fescue",
ISNUMBER(SEARCH("bermudagrass",E863)),"Bermudagrass",
ISNUMBER(SEARCH("kentucky",E863)),"Kentucky Bluegrass",
ISNUMBER(SEARCH("zoysia",E863)),"Zoysia",
ISNUMBER(SEARCH("ryegrass",E863)),"Perennial Ryegrass",
ISNUMBER(SEARCH("centipede",E863)),"Centipede Grass",
ISNUMBER(SEARCH("dense shade",E863)),"Dense Shade Mix",
ISNUMBER(SEARCH("southern gold",E863)),"Southern Gold Mix",
ISNUMBER(SEARCH("heat-tolerant blue",E863)),"Heat-Tolerant Blue Mix",
ISNUMBER(SEARCH("high traffic",E863)),"High Traffic Mix",
ISNUMBER(SEARCH("quick fix",E863)),"Quick Fix Mix",
ISNUMBER(SEARCH("starter",E863)),"Starter Fertilizer",
ISNUMBER(SEARCH("weed &amp; feed",E863)),"Weed &amp; Feed",
ISNUMBER(SEARCH("lawn food",E863)),"Lawn Food",
ISNUMBER(SEARCH("triple action",E863)),"Triple Action Fertilizer",
ISNUMBER(SEARCH("green max",E863)),"Green Max Lawn Food",
ISNUMBER(SEARCH("patchmaster",E863)),"PatchMaster Repair",
ISNUMBER(SEARCH("ez seed",E863)),"EZ Seed Repair",
ISNUMBER(SEARCH("rapid grass",E863)),"Rapid Grass",
ISNUMBER(SEARCH("thick'r lawn",E863)),"Thick'R Lawn",
ISNUMBER(SEARCH("fungicide",E863)),"Fungicide",
ISNUMBER(SEARCH("moss",E863)),"Moss Control",
ISNUMBER(SEARCH("perlite",E863)),"Perlite",
ISNUMBER(SEARCH("plant food",E863)),"Plant Food",
ISNUMBER(SEARCH("spreader",E863)),"Spreader",
ISNUMBER(SEARCH("sprayer",E863)),"Sprayer",
ISNUMBER(SEARCH("mower",E863)),"Lawn Mower",
ISNUMBER(SEARCH("sweeper",E863)),"Lawn Sweeper",
OR(ISNUMBER(SEARCH("pruner",E863)),ISNUMBER(SEARCH("trimmer",E863)),ISNUMBER(SEARCH("pole saw",E863))),"Pruning Tools",
TRUE,"Other"
)</f>
        <v>Ant Traps</v>
      </c>
      <c r="J863" s="7" t="str">
        <f t="shared" ref="J863:J885" si="275">H863&amp;" - "&amp;I863</f>
        <v>Rodent Control - Ant Traps</v>
      </c>
      <c r="K863" s="4">
        <v>2000</v>
      </c>
      <c r="L863" s="4">
        <v>4.2</v>
      </c>
      <c r="M863" s="4">
        <v>13097</v>
      </c>
      <c r="N863" s="4" t="s">
        <v>4003</v>
      </c>
      <c r="O863" s="4">
        <f>VLOOKUP(A863,[18]Sheet1!$A:$M,2,0)</f>
        <v>2000</v>
      </c>
      <c r="P863" s="4">
        <f>VLOOKUP(A863,[18]Sheet1!$A:$M,3,0)</f>
        <v>1000</v>
      </c>
      <c r="Q863" s="4">
        <f>VLOOKUP(A863,[18]Sheet1!$A:$M,4,0)</f>
        <v>2000</v>
      </c>
      <c r="R863" s="4">
        <f>VLOOKUP(A863,[18]Sheet1!$A:$M,5,0)</f>
        <v>1000</v>
      </c>
      <c r="S863" s="4">
        <f>VLOOKUP(A863,[18]Sheet1!$A:$M,6,0)</f>
        <v>2000</v>
      </c>
      <c r="T863" s="4">
        <f>VLOOKUP(A863,[18]Sheet1!$A:$M,7,0)</f>
        <v>3000</v>
      </c>
      <c r="U863" s="4">
        <f>VLOOKUP(A863,[18]Sheet1!$A:$M,8,0)</f>
        <v>3000</v>
      </c>
      <c r="V863" s="4">
        <f>VLOOKUP(A863,[18]Sheet1!$A:$M,9,0)</f>
        <v>3000</v>
      </c>
      <c r="W863" s="4">
        <f>VLOOKUP(A863,[18]Sheet1!$A:$M,10,0)</f>
        <v>3000</v>
      </c>
      <c r="X863" s="4">
        <f>VLOOKUP(A863,[18]Sheet1!$A:$M,11,0)</f>
        <v>2000</v>
      </c>
      <c r="Y863" s="4">
        <f>VLOOKUP(A863,[18]Sheet1!$A:$M,12,0)</f>
        <v>3000</v>
      </c>
      <c r="Z863" s="4">
        <f>VLOOKUP(A863,[18]Sheet1!$A:$M,13,0)</f>
        <v>2000</v>
      </c>
      <c r="AA863" s="4">
        <f t="shared" si="270"/>
        <v>27000</v>
      </c>
      <c r="AB863" s="7">
        <f t="shared" si="271"/>
        <v>2250</v>
      </c>
      <c r="AC863" s="15">
        <f t="shared" si="272"/>
        <v>2250</v>
      </c>
      <c r="AD863" s="16">
        <f t="shared" ref="AD863:AD885" si="276">AG863*AA863</f>
        <v>583740</v>
      </c>
      <c r="AE863" s="16">
        <f t="shared" ref="AE863:AE885" si="277">AG863*AC863</f>
        <v>48645</v>
      </c>
      <c r="AF863" s="21">
        <v>7.63</v>
      </c>
      <c r="AG863" s="21">
        <v>21.62</v>
      </c>
      <c r="AH863" s="15">
        <f t="shared" ref="AH863:AH885" si="278">0.1*AS863</f>
        <v>1.199999999999927E-3</v>
      </c>
      <c r="AI863" s="15">
        <f t="shared" ref="AI863:AI885" si="279">0.35*AS863</f>
        <v>4.1999999999997439E-3</v>
      </c>
      <c r="AJ863" s="10">
        <v>0.5</v>
      </c>
      <c r="AK863" s="10">
        <v>0.5</v>
      </c>
      <c r="AL863" s="21">
        <v>7.63</v>
      </c>
      <c r="AM863" s="9">
        <f t="shared" ref="AM863:AM885" si="280">0.15*AG863</f>
        <v>3.2429999999999999</v>
      </c>
      <c r="AN863" s="9">
        <f t="shared" ref="AN863:AN885" si="281">0.03*AG863</f>
        <v>0.64859999999999995</v>
      </c>
      <c r="AO863" s="9">
        <f t="shared" ref="AO863:AO885" si="282">0.2*AG863</f>
        <v>4.3240000000000007</v>
      </c>
      <c r="AP863" s="9">
        <f t="shared" ref="AP863:AP885" si="283">0.02*AG863</f>
        <v>0.43240000000000001</v>
      </c>
      <c r="AQ863" s="9">
        <f t="shared" ref="AQ863:AQ885" si="284">0.2*AG863</f>
        <v>4.3240000000000007</v>
      </c>
      <c r="AR863" s="9">
        <f t="shared" ref="AR863:AR885" si="285">0.25*AG863</f>
        <v>5.4050000000000002</v>
      </c>
      <c r="AS863" s="11">
        <f t="shared" ref="AS863:AS885" si="286">(AG863*(1-(0.15+0.03+0.2+0.02))-AJ863-AK863-AL863-AQ863)/(1+0.1+0.4)</f>
        <v>1.199999999999927E-2</v>
      </c>
      <c r="AT863" s="12">
        <f t="shared" ref="AT863:AT885" si="287">(AG863*(1-(0.15+0.03+0.2+0.02))-AJ863-AK863-AL863-AR863)/(1+0.1+0.4)</f>
        <v>-0.70866666666666711</v>
      </c>
    </row>
    <row r="864" spans="1:46" ht="16.5" x14ac:dyDescent="0.4">
      <c r="A864" s="4" t="s">
        <v>3905</v>
      </c>
      <c r="B864" s="4" t="s">
        <v>3927</v>
      </c>
      <c r="C864" s="4" t="s">
        <v>2718</v>
      </c>
      <c r="D864" s="4" t="s">
        <v>3935</v>
      </c>
      <c r="E864" s="4" t="s">
        <v>3958</v>
      </c>
      <c r="F864" s="4" t="s">
        <v>3981</v>
      </c>
      <c r="G864" s="7" t="str">
        <f>VLOOKUP(A864,[1]done!$A:$I,9,0)</f>
        <v>Rodent</v>
      </c>
      <c r="H864" s="7" t="str" cm="1">
        <f t="array" ref="H864">_xlfn.IFS(
OR(ISNUMBER(SEARCH("mouse",E864)),ISNUMBER(SEARCH("rat",E864)),ISNUMBER(SEARCH("mice",E864)),ISNUMBER(SEARCH("rodent",E864))),"Rodent Control",
OR(ISNUMBER(SEARCH("fly",E864)),ISNUMBER(SEARCH("gnat",E864)),ISNUMBER(SEARCH("insect",E864)),ISNUMBER(SEARCH("mosquito",E864))),"Flying Insect Control",
OR(ISNUMBER(SEARCH("roach",E864)),ISNUMBER(SEARCH("ant",E864)),ISNUMBER(SEARCH("spider",E864)),ISNUMBER(SEARCH("cricket",E864)),ISNUMBER(SEARCH("scorpion",E864)),ISNUMBER(SEARCH("centipede",E864)),ISNUMBER(SEARCH("beetle",E864))),"Crawling Insect Control",
OR(ISNUMBER(SEARCH("tree",E864)),ISNUMBER(SEARCH("lantern",E864)),ISNUMBER(SEARCH("garden",E864)),ISNUMBER(SEARCH("plant",E864))),"Garden Pest Control",
OR(ISNUMBER(SEARCH("grass seed",E864)),ISNUMBER(SEARCH("seed mix",E864))),"Grass Seed",
OR(ISNUMBER(SEARCH("lawn food",E864)),ISNUMBER(SEARCH("fertilizer",E864))),"Lawn Fertilizer",
OR(ISNUMBER(SEARCH("patch",E864)),ISNUMBER(SEARCH("repair",E864)),ISNUMBER(SEARCH("thick'r",E864)),ISNUMBER(SEARCH("thick'r lawn",E864)),ISNUMBER(SEARCH("rapid grass",E864))),"Lawn Repair",
OR(ISNUMBER(SEARCH("weed",E864)),ISNUMBER(SEARCH("crabgrass",E864))),"Weed Control",
OR(ISNUMBER(SEARCH("fungicide",E864)),ISNUMBER(SEARCH("moss",E864))),"Disease &amp; Moss Control",
OR(ISNUMBER(SEARCH("plant food",E864)),ISNUMBER(SEARCH("miracid",E864))),"Plant Nutrition",
OR(ISNUMBER(SEARCH("perlite",E864))),"Soil Amendment",
OR(ISNUMBER(SEARCH("spreader",E864)),ISNUMBER(SEARCH("sprayer",E864)),ISNUMBER(SEARCH("mower",E864)),ISNUMBER(SEARCH("sweeper",E864)),ISNUMBER(SEARCH("pruner",E864)),ISNUMBER(SEARCH("trimmer",E864)),ISNUMBER(SEARCH("pole saw",E864))),"Garden Equipment",
TRUE,"Other"
)</f>
        <v>Rodent Control</v>
      </c>
      <c r="I864" s="7" t="str" cm="1">
        <f t="array" ref="I864">_xlfn.IFS(
OR(ISNUMBER(SEARCH("glue trap",E864)),ISNUMBER(SEARCH("glue board",E864))),"Glue Traps",
OR(ISNUMBER(SEARCH("snap trap",E864)),ISNUMBER(SEARCH("power-kill",E864)),ISNUMBER(SEARCH("wide pedal",E864)),ISNUMBER(SEARCH("metal pedal",E864))),"Snap Traps",
OR(ISNUMBER(SEARCH("electronic",E864)),ISNUMBER(SEARCH("zapper",E864))),"Electronic Traps",
OR(ISNUMBER(SEARCH("live catch",E864)),ISNUMBER(SEARCH("multi-catch",E864)),ISNUMBER(SEARCH("catch &amp; hold",E864)),ISNUMBER(SEARCH("tin cat",E864))),"Live Catch Traps",
OR(ISNUMBER(SEARCH("bait",E864)),ISNUMBER(SEARCH("poison",E864))),"Bait &amp; Poison",
ISNUMBER(SEARCH("repellent",E864)),"Repellents",
OR(ISNUMBER(SEARCH("fly trap",E864)),ISNUMBER(SEARCH("fly ribbon",E864)),ISNUMBER(SEARCH("fly stick",E864)),ISNUMBER(SEARCH("window fly",E864)),ISNUMBER(SEARCH("fly magnet",E864))),"Fly Traps",
OR(ISNUMBER(SEARCH("uv",E864)),ISNUMBER(SEARCH("fly light",E864)),ISNUMBER(SEARCH("plug-in",E864))),"UV Fly Traps",
ISNUMBER(SEARCH("roach",E864)),"Roach Traps",
ISNUMBER(SEARCH("ant",E864)),"Ant Traps",
ISNUMBER(SEARCH("spider",E864)),"Spider Traps",
ISNUMBER(SEARCH("mosquito",E864)),"Mosquito Traps",
ISNUMBER(SEARCH("beetle",E864)),"Beetle Traps",
ISNUMBER(SEARCH("lantern",E864)),"Lanternfly Control",
OR(ISNUMBER(SEARCH("tree shield",E864)),ISNUMBER(SEARCH("tree banding",E864)),ISNUMBER(SEARCH("insect barrier",E864))),"Tree Barriers",
OR(ISNUMBER(SEARCH("sun &amp; shade",E864)),ISNUMBER(SEARCH("sun and shade",E864))),"Sun &amp; Shade Mix",
ISNUMBER(SEARCH("tall fescue",E864)),"Tall Fescue",
ISNUMBER(SEARCH("bermudagrass",E864)),"Bermudagrass",
ISNUMBER(SEARCH("kentucky",E864)),"Kentucky Bluegrass",
ISNUMBER(SEARCH("zoysia",E864)),"Zoysia",
ISNUMBER(SEARCH("ryegrass",E864)),"Perennial Ryegrass",
ISNUMBER(SEARCH("centipede",E864)),"Centipede Grass",
ISNUMBER(SEARCH("dense shade",E864)),"Dense Shade Mix",
ISNUMBER(SEARCH("southern gold",E864)),"Southern Gold Mix",
ISNUMBER(SEARCH("heat-tolerant blue",E864)),"Heat-Tolerant Blue Mix",
ISNUMBER(SEARCH("high traffic",E864)),"High Traffic Mix",
ISNUMBER(SEARCH("quick fix",E864)),"Quick Fix Mix",
ISNUMBER(SEARCH("starter",E864)),"Starter Fertilizer",
ISNUMBER(SEARCH("weed &amp; feed",E864)),"Weed &amp; Feed",
ISNUMBER(SEARCH("lawn food",E864)),"Lawn Food",
ISNUMBER(SEARCH("triple action",E864)),"Triple Action Fertilizer",
ISNUMBER(SEARCH("green max",E864)),"Green Max Lawn Food",
ISNUMBER(SEARCH("patchmaster",E864)),"PatchMaster Repair",
ISNUMBER(SEARCH("ez seed",E864)),"EZ Seed Repair",
ISNUMBER(SEARCH("rapid grass",E864)),"Rapid Grass",
ISNUMBER(SEARCH("thick'r lawn",E864)),"Thick'R Lawn",
ISNUMBER(SEARCH("fungicide",E864)),"Fungicide",
ISNUMBER(SEARCH("moss",E864)),"Moss Control",
ISNUMBER(SEARCH("perlite",E864)),"Perlite",
ISNUMBER(SEARCH("plant food",E864)),"Plant Food",
ISNUMBER(SEARCH("spreader",E864)),"Spreader",
ISNUMBER(SEARCH("sprayer",E864)),"Sprayer",
ISNUMBER(SEARCH("mower",E864)),"Lawn Mower",
ISNUMBER(SEARCH("sweeper",E864)),"Lawn Sweeper",
OR(ISNUMBER(SEARCH("pruner",E864)),ISNUMBER(SEARCH("trimmer",E864)),ISNUMBER(SEARCH("pole saw",E864))),"Pruning Tools",
TRUE,"Other"
)</f>
        <v>Bait &amp; Poison</v>
      </c>
      <c r="J864" s="7" t="str">
        <f t="shared" si="275"/>
        <v>Rodent Control - Bait &amp; Poison</v>
      </c>
      <c r="K864" s="4">
        <v>1000</v>
      </c>
      <c r="L864" s="4">
        <v>4.4000000000000004</v>
      </c>
      <c r="M864" s="4">
        <v>2250</v>
      </c>
      <c r="N864" s="4" t="s">
        <v>1328</v>
      </c>
      <c r="O864" s="4">
        <f>VLOOKUP(A864,[18]Sheet1!$A:$M,2,0)</f>
        <v>700</v>
      </c>
      <c r="P864" s="4">
        <f>VLOOKUP(A864,[18]Sheet1!$A:$M,3,0)</f>
        <v>600</v>
      </c>
      <c r="Q864" s="4">
        <f>VLOOKUP(A864,[18]Sheet1!$A:$M,4,0)</f>
        <v>600</v>
      </c>
      <c r="R864" s="4">
        <f>VLOOKUP(A864,[18]Sheet1!$A:$M,5,0)</f>
        <v>600</v>
      </c>
      <c r="S864" s="4">
        <f>VLOOKUP(A864,[18]Sheet1!$A:$M,6,0)</f>
        <v>800</v>
      </c>
      <c r="T864" s="4">
        <f>VLOOKUP(A864,[18]Sheet1!$A:$M,7,0)</f>
        <v>900</v>
      </c>
      <c r="U864" s="4">
        <f>VLOOKUP(A864,[18]Sheet1!$A:$M,8,0)</f>
        <v>1000</v>
      </c>
      <c r="V864" s="4">
        <f>VLOOKUP(A864,[18]Sheet1!$A:$M,9,0)</f>
        <v>1000</v>
      </c>
      <c r="W864" s="4">
        <f>VLOOKUP(A864,[18]Sheet1!$A:$M,10,0)</f>
        <v>900</v>
      </c>
      <c r="X864" s="4">
        <f>VLOOKUP(A864,[18]Sheet1!$A:$M,11,0)</f>
        <v>1000</v>
      </c>
      <c r="Y864" s="4">
        <f>VLOOKUP(A864,[18]Sheet1!$A:$M,12,0)</f>
        <v>1000</v>
      </c>
      <c r="Z864" s="4">
        <f>VLOOKUP(A864,[18]Sheet1!$A:$M,13,0)</f>
        <v>700</v>
      </c>
      <c r="AA864" s="4">
        <f t="shared" si="270"/>
        <v>9800</v>
      </c>
      <c r="AB864" s="7">
        <f t="shared" si="271"/>
        <v>817</v>
      </c>
      <c r="AC864" s="15">
        <f t="shared" si="272"/>
        <v>816.66666666666663</v>
      </c>
      <c r="AD864" s="16">
        <f t="shared" si="276"/>
        <v>203742</v>
      </c>
      <c r="AE864" s="16">
        <f t="shared" si="277"/>
        <v>16978.5</v>
      </c>
      <c r="AF864" s="21">
        <v>7.63</v>
      </c>
      <c r="AG864" s="21">
        <v>20.79</v>
      </c>
      <c r="AH864" s="15">
        <f t="shared" si="278"/>
        <v>-2.0933333333333456E-2</v>
      </c>
      <c r="AI864" s="15">
        <f t="shared" si="279"/>
        <v>-7.3266666666667091E-2</v>
      </c>
      <c r="AJ864" s="10">
        <v>0.5</v>
      </c>
      <c r="AK864" s="10">
        <v>0.5</v>
      </c>
      <c r="AL864" s="21">
        <v>7.63</v>
      </c>
      <c r="AM864" s="9">
        <f t="shared" si="280"/>
        <v>3.1184999999999996</v>
      </c>
      <c r="AN864" s="9">
        <f t="shared" si="281"/>
        <v>0.62369999999999992</v>
      </c>
      <c r="AO864" s="9">
        <f t="shared" si="282"/>
        <v>4.1580000000000004</v>
      </c>
      <c r="AP864" s="9">
        <f t="shared" si="283"/>
        <v>0.4158</v>
      </c>
      <c r="AQ864" s="9">
        <f t="shared" si="284"/>
        <v>4.1580000000000004</v>
      </c>
      <c r="AR864" s="9">
        <f t="shared" si="285"/>
        <v>5.1974999999999998</v>
      </c>
      <c r="AS864" s="11">
        <f t="shared" si="286"/>
        <v>-0.20933333333333456</v>
      </c>
      <c r="AT864" s="12">
        <f t="shared" si="287"/>
        <v>-0.90233333333333421</v>
      </c>
    </row>
    <row r="865" spans="1:46" ht="16.5" x14ac:dyDescent="0.4">
      <c r="A865" s="4" t="s">
        <v>3906</v>
      </c>
      <c r="B865" s="4" t="s">
        <v>3927</v>
      </c>
      <c r="C865" s="4" t="s">
        <v>3928</v>
      </c>
      <c r="D865" s="4" t="s">
        <v>3936</v>
      </c>
      <c r="E865" s="4" t="s">
        <v>3959</v>
      </c>
      <c r="F865" s="4" t="s">
        <v>3982</v>
      </c>
      <c r="G865" s="7" t="str">
        <f>VLOOKUP(A865,[1]done!$A:$I,9,0)</f>
        <v>Rodent</v>
      </c>
      <c r="H865" s="7" t="str" cm="1">
        <f t="array" ref="H865">_xlfn.IFS(
OR(ISNUMBER(SEARCH("mouse",E865)),ISNUMBER(SEARCH("rat",E865)),ISNUMBER(SEARCH("mice",E865)),ISNUMBER(SEARCH("rodent",E865))),"Rodent Control",
OR(ISNUMBER(SEARCH("fly",E865)),ISNUMBER(SEARCH("gnat",E865)),ISNUMBER(SEARCH("insect",E865)),ISNUMBER(SEARCH("mosquito",E865))),"Flying Insect Control",
OR(ISNUMBER(SEARCH("roach",E865)),ISNUMBER(SEARCH("ant",E865)),ISNUMBER(SEARCH("spider",E865)),ISNUMBER(SEARCH("cricket",E865)),ISNUMBER(SEARCH("scorpion",E865)),ISNUMBER(SEARCH("centipede",E865)),ISNUMBER(SEARCH("beetle",E865))),"Crawling Insect Control",
OR(ISNUMBER(SEARCH("tree",E865)),ISNUMBER(SEARCH("lantern",E865)),ISNUMBER(SEARCH("garden",E865)),ISNUMBER(SEARCH("plant",E865))),"Garden Pest Control",
OR(ISNUMBER(SEARCH("grass seed",E865)),ISNUMBER(SEARCH("seed mix",E865))),"Grass Seed",
OR(ISNUMBER(SEARCH("lawn food",E865)),ISNUMBER(SEARCH("fertilizer",E865))),"Lawn Fertilizer",
OR(ISNUMBER(SEARCH("patch",E865)),ISNUMBER(SEARCH("repair",E865)),ISNUMBER(SEARCH("thick'r",E865)),ISNUMBER(SEARCH("thick'r lawn",E865)),ISNUMBER(SEARCH("rapid grass",E865))),"Lawn Repair",
OR(ISNUMBER(SEARCH("weed",E865)),ISNUMBER(SEARCH("crabgrass",E865))),"Weed Control",
OR(ISNUMBER(SEARCH("fungicide",E865)),ISNUMBER(SEARCH("moss",E865))),"Disease &amp; Moss Control",
OR(ISNUMBER(SEARCH("plant food",E865)),ISNUMBER(SEARCH("miracid",E865))),"Plant Nutrition",
OR(ISNUMBER(SEARCH("perlite",E865))),"Soil Amendment",
OR(ISNUMBER(SEARCH("spreader",E865)),ISNUMBER(SEARCH("sprayer",E865)),ISNUMBER(SEARCH("mower",E865)),ISNUMBER(SEARCH("sweeper",E865)),ISNUMBER(SEARCH("pruner",E865)),ISNUMBER(SEARCH("trimmer",E865)),ISNUMBER(SEARCH("pole saw",E865))),"Garden Equipment",
TRUE,"Other"
)</f>
        <v>Rodent Control</v>
      </c>
      <c r="I865" s="7" t="str" cm="1">
        <f t="array" ref="I865">_xlfn.IFS(
OR(ISNUMBER(SEARCH("glue trap",E865)),ISNUMBER(SEARCH("glue board",E865))),"Glue Traps",
OR(ISNUMBER(SEARCH("snap trap",E865)),ISNUMBER(SEARCH("power-kill",E865)),ISNUMBER(SEARCH("wide pedal",E865)),ISNUMBER(SEARCH("metal pedal",E865))),"Snap Traps",
OR(ISNUMBER(SEARCH("electronic",E865)),ISNUMBER(SEARCH("zapper",E865))),"Electronic Traps",
OR(ISNUMBER(SEARCH("live catch",E865)),ISNUMBER(SEARCH("multi-catch",E865)),ISNUMBER(SEARCH("catch &amp; hold",E865)),ISNUMBER(SEARCH("tin cat",E865))),"Live Catch Traps",
OR(ISNUMBER(SEARCH("bait",E865)),ISNUMBER(SEARCH("poison",E865))),"Bait &amp; Poison",
ISNUMBER(SEARCH("repellent",E865)),"Repellents",
OR(ISNUMBER(SEARCH("fly trap",E865)),ISNUMBER(SEARCH("fly ribbon",E865)),ISNUMBER(SEARCH("fly stick",E865)),ISNUMBER(SEARCH("window fly",E865)),ISNUMBER(SEARCH("fly magnet",E865))),"Fly Traps",
OR(ISNUMBER(SEARCH("uv",E865)),ISNUMBER(SEARCH("fly light",E865)),ISNUMBER(SEARCH("plug-in",E865))),"UV Fly Traps",
ISNUMBER(SEARCH("roach",E865)),"Roach Traps",
ISNUMBER(SEARCH("ant",E865)),"Ant Traps",
ISNUMBER(SEARCH("spider",E865)),"Spider Traps",
ISNUMBER(SEARCH("mosquito",E865)),"Mosquito Traps",
ISNUMBER(SEARCH("beetle",E865)),"Beetle Traps",
ISNUMBER(SEARCH("lantern",E865)),"Lanternfly Control",
OR(ISNUMBER(SEARCH("tree shield",E865)),ISNUMBER(SEARCH("tree banding",E865)),ISNUMBER(SEARCH("insect barrier",E865))),"Tree Barriers",
OR(ISNUMBER(SEARCH("sun &amp; shade",E865)),ISNUMBER(SEARCH("sun and shade",E865))),"Sun &amp; Shade Mix",
ISNUMBER(SEARCH("tall fescue",E865)),"Tall Fescue",
ISNUMBER(SEARCH("bermudagrass",E865)),"Bermudagrass",
ISNUMBER(SEARCH("kentucky",E865)),"Kentucky Bluegrass",
ISNUMBER(SEARCH("zoysia",E865)),"Zoysia",
ISNUMBER(SEARCH("ryegrass",E865)),"Perennial Ryegrass",
ISNUMBER(SEARCH("centipede",E865)),"Centipede Grass",
ISNUMBER(SEARCH("dense shade",E865)),"Dense Shade Mix",
ISNUMBER(SEARCH("southern gold",E865)),"Southern Gold Mix",
ISNUMBER(SEARCH("heat-tolerant blue",E865)),"Heat-Tolerant Blue Mix",
ISNUMBER(SEARCH("high traffic",E865)),"High Traffic Mix",
ISNUMBER(SEARCH("quick fix",E865)),"Quick Fix Mix",
ISNUMBER(SEARCH("starter",E865)),"Starter Fertilizer",
ISNUMBER(SEARCH("weed &amp; feed",E865)),"Weed &amp; Feed",
ISNUMBER(SEARCH("lawn food",E865)),"Lawn Food",
ISNUMBER(SEARCH("triple action",E865)),"Triple Action Fertilizer",
ISNUMBER(SEARCH("green max",E865)),"Green Max Lawn Food",
ISNUMBER(SEARCH("patchmaster",E865)),"PatchMaster Repair",
ISNUMBER(SEARCH("ez seed",E865)),"EZ Seed Repair",
ISNUMBER(SEARCH("rapid grass",E865)),"Rapid Grass",
ISNUMBER(SEARCH("thick'r lawn",E865)),"Thick'R Lawn",
ISNUMBER(SEARCH("fungicide",E865)),"Fungicide",
ISNUMBER(SEARCH("moss",E865)),"Moss Control",
ISNUMBER(SEARCH("perlite",E865)),"Perlite",
ISNUMBER(SEARCH("plant food",E865)),"Plant Food",
ISNUMBER(SEARCH("spreader",E865)),"Spreader",
ISNUMBER(SEARCH("sprayer",E865)),"Sprayer",
ISNUMBER(SEARCH("mower",E865)),"Lawn Mower",
ISNUMBER(SEARCH("sweeper",E865)),"Lawn Sweeper",
OR(ISNUMBER(SEARCH("pruner",E865)),ISNUMBER(SEARCH("trimmer",E865)),ISNUMBER(SEARCH("pole saw",E865))),"Pruning Tools",
TRUE,"Other"
)</f>
        <v>Bait &amp; Poison</v>
      </c>
      <c r="J865" s="7" t="str">
        <f t="shared" si="275"/>
        <v>Rodent Control - Bait &amp; Poison</v>
      </c>
      <c r="K865" s="4">
        <v>900</v>
      </c>
      <c r="L865" s="4">
        <v>4.4000000000000004</v>
      </c>
      <c r="M865" s="4">
        <v>740</v>
      </c>
      <c r="N865" s="4" t="s">
        <v>4003</v>
      </c>
      <c r="O865" s="4">
        <f>VLOOKUP(A865,[18]Sheet1!$A:$M,2,0)</f>
        <v>400</v>
      </c>
      <c r="P865" s="4">
        <f>VLOOKUP(A865,[18]Sheet1!$A:$M,3,0)</f>
        <v>300</v>
      </c>
      <c r="Q865" s="4">
        <f>VLOOKUP(A865,[18]Sheet1!$A:$M,4,0)</f>
        <v>400</v>
      </c>
      <c r="R865" s="4">
        <f>VLOOKUP(A865,[18]Sheet1!$A:$M,5,0)</f>
        <v>700</v>
      </c>
      <c r="S865" s="4">
        <f>VLOOKUP(A865,[18]Sheet1!$A:$M,6,0)</f>
        <v>800</v>
      </c>
      <c r="T865" s="4">
        <f>VLOOKUP(A865,[18]Sheet1!$A:$M,7,0)</f>
        <v>1000</v>
      </c>
      <c r="U865" s="4">
        <f>VLOOKUP(A865,[18]Sheet1!$A:$M,8,0)</f>
        <v>1000</v>
      </c>
      <c r="V865" s="4">
        <f>VLOOKUP(A865,[18]Sheet1!$A:$M,9,0)</f>
        <v>1000</v>
      </c>
      <c r="W865" s="4">
        <f>VLOOKUP(A865,[18]Sheet1!$A:$M,10,0)</f>
        <v>900</v>
      </c>
      <c r="X865" s="4">
        <f>VLOOKUP(A865,[18]Sheet1!$A:$M,11,0)</f>
        <v>700</v>
      </c>
      <c r="Y865" s="4">
        <f>VLOOKUP(A865,[18]Sheet1!$A:$M,12,0)</f>
        <v>800</v>
      </c>
      <c r="Z865" s="4">
        <f>VLOOKUP(A865,[18]Sheet1!$A:$M,13,0)</f>
        <v>500</v>
      </c>
      <c r="AA865" s="4">
        <f t="shared" si="270"/>
        <v>8500</v>
      </c>
      <c r="AB865" s="7">
        <f t="shared" si="271"/>
        <v>708</v>
      </c>
      <c r="AC865" s="15">
        <f t="shared" si="272"/>
        <v>708.33333333333337</v>
      </c>
      <c r="AD865" s="16">
        <f t="shared" si="276"/>
        <v>239190</v>
      </c>
      <c r="AE865" s="16">
        <f t="shared" si="277"/>
        <v>19932.5</v>
      </c>
      <c r="AF865" s="21">
        <v>7.4</v>
      </c>
      <c r="AG865" s="21">
        <v>28.14</v>
      </c>
      <c r="AH865" s="15">
        <f t="shared" si="278"/>
        <v>0.19040000000000001</v>
      </c>
      <c r="AI865" s="15">
        <f t="shared" si="279"/>
        <v>0.66639999999999988</v>
      </c>
      <c r="AJ865" s="10">
        <v>0.5</v>
      </c>
      <c r="AK865" s="10">
        <v>0.5</v>
      </c>
      <c r="AL865" s="21">
        <v>7.4</v>
      </c>
      <c r="AM865" s="9">
        <f t="shared" si="280"/>
        <v>4.2210000000000001</v>
      </c>
      <c r="AN865" s="9">
        <f t="shared" si="281"/>
        <v>0.84419999999999995</v>
      </c>
      <c r="AO865" s="9">
        <f t="shared" si="282"/>
        <v>5.6280000000000001</v>
      </c>
      <c r="AP865" s="9">
        <f t="shared" si="283"/>
        <v>0.56280000000000008</v>
      </c>
      <c r="AQ865" s="9">
        <f t="shared" si="284"/>
        <v>5.6280000000000001</v>
      </c>
      <c r="AR865" s="9">
        <f t="shared" si="285"/>
        <v>7.0350000000000001</v>
      </c>
      <c r="AS865" s="11">
        <f t="shared" si="286"/>
        <v>1.9039999999999999</v>
      </c>
      <c r="AT865" s="12">
        <f t="shared" si="287"/>
        <v>0.96599999999999986</v>
      </c>
    </row>
    <row r="866" spans="1:46" ht="16.5" x14ac:dyDescent="0.4">
      <c r="A866" s="4" t="s">
        <v>3907</v>
      </c>
      <c r="B866" s="4" t="s">
        <v>3927</v>
      </c>
      <c r="C866" s="4" t="s">
        <v>3927</v>
      </c>
      <c r="D866" s="4" t="s">
        <v>3937</v>
      </c>
      <c r="E866" s="4" t="s">
        <v>3960</v>
      </c>
      <c r="F866" s="4" t="s">
        <v>3983</v>
      </c>
      <c r="G866" s="7" t="str">
        <f>VLOOKUP(A866,[1]done!$A:$I,9,0)</f>
        <v>All Other products</v>
      </c>
      <c r="H866" s="7" t="str" cm="1">
        <f t="array" ref="H866">_xlfn.IFS(
OR(ISNUMBER(SEARCH("mouse",E866)),ISNUMBER(SEARCH("rat",E866)),ISNUMBER(SEARCH("mice",E866)),ISNUMBER(SEARCH("rodent",E866))),"Rodent Control",
OR(ISNUMBER(SEARCH("fly",E866)),ISNUMBER(SEARCH("gnat",E866)),ISNUMBER(SEARCH("insect",E866)),ISNUMBER(SEARCH("mosquito",E866))),"Flying Insect Control",
OR(ISNUMBER(SEARCH("roach",E866)),ISNUMBER(SEARCH("ant",E866)),ISNUMBER(SEARCH("spider",E866)),ISNUMBER(SEARCH("cricket",E866)),ISNUMBER(SEARCH("scorpion",E866)),ISNUMBER(SEARCH("centipede",E866)),ISNUMBER(SEARCH("beetle",E866))),"Crawling Insect Control",
OR(ISNUMBER(SEARCH("tree",E866)),ISNUMBER(SEARCH("lantern",E866)),ISNUMBER(SEARCH("garden",E866)),ISNUMBER(SEARCH("plant",E866))),"Garden Pest Control",
OR(ISNUMBER(SEARCH("grass seed",E866)),ISNUMBER(SEARCH("seed mix",E866))),"Grass Seed",
OR(ISNUMBER(SEARCH("lawn food",E866)),ISNUMBER(SEARCH("fertilizer",E866))),"Lawn Fertilizer",
OR(ISNUMBER(SEARCH("patch",E866)),ISNUMBER(SEARCH("repair",E866)),ISNUMBER(SEARCH("thick'r",E866)),ISNUMBER(SEARCH("thick'r lawn",E866)),ISNUMBER(SEARCH("rapid grass",E866))),"Lawn Repair",
OR(ISNUMBER(SEARCH("weed",E866)),ISNUMBER(SEARCH("crabgrass",E866))),"Weed Control",
OR(ISNUMBER(SEARCH("fungicide",E866)),ISNUMBER(SEARCH("moss",E866))),"Disease &amp; Moss Control",
OR(ISNUMBER(SEARCH("plant food",E866)),ISNUMBER(SEARCH("miracid",E866))),"Plant Nutrition",
OR(ISNUMBER(SEARCH("perlite",E866))),"Soil Amendment",
OR(ISNUMBER(SEARCH("spreader",E866)),ISNUMBER(SEARCH("sprayer",E866)),ISNUMBER(SEARCH("mower",E866)),ISNUMBER(SEARCH("sweeper",E866)),ISNUMBER(SEARCH("pruner",E866)),ISNUMBER(SEARCH("trimmer",E866)),ISNUMBER(SEARCH("pole saw",E866))),"Garden Equipment",
TRUE,"Other"
)</f>
        <v>Flying Insect Control</v>
      </c>
      <c r="I866" s="7" t="str" cm="1">
        <f t="array" ref="I866">_xlfn.IFS(
OR(ISNUMBER(SEARCH("glue trap",E866)),ISNUMBER(SEARCH("glue board",E866))),"Glue Traps",
OR(ISNUMBER(SEARCH("snap trap",E866)),ISNUMBER(SEARCH("power-kill",E866)),ISNUMBER(SEARCH("wide pedal",E866)),ISNUMBER(SEARCH("metal pedal",E866))),"Snap Traps",
OR(ISNUMBER(SEARCH("electronic",E866)),ISNUMBER(SEARCH("zapper",E866))),"Electronic Traps",
OR(ISNUMBER(SEARCH("live catch",E866)),ISNUMBER(SEARCH("multi-catch",E866)),ISNUMBER(SEARCH("catch &amp; hold",E866)),ISNUMBER(SEARCH("tin cat",E866))),"Live Catch Traps",
OR(ISNUMBER(SEARCH("bait",E866)),ISNUMBER(SEARCH("poison",E866))),"Bait &amp; Poison",
ISNUMBER(SEARCH("repellent",E866)),"Repellents",
OR(ISNUMBER(SEARCH("fly trap",E866)),ISNUMBER(SEARCH("fly ribbon",E866)),ISNUMBER(SEARCH("fly stick",E866)),ISNUMBER(SEARCH("window fly",E866)),ISNUMBER(SEARCH("fly magnet",E866))),"Fly Traps",
OR(ISNUMBER(SEARCH("uv",E866)),ISNUMBER(SEARCH("fly light",E866)),ISNUMBER(SEARCH("plug-in",E866))),"UV Fly Traps",
ISNUMBER(SEARCH("roach",E866)),"Roach Traps",
ISNUMBER(SEARCH("ant",E866)),"Ant Traps",
ISNUMBER(SEARCH("spider",E866)),"Spider Traps",
ISNUMBER(SEARCH("mosquito",E866)),"Mosquito Traps",
ISNUMBER(SEARCH("beetle",E866)),"Beetle Traps",
ISNUMBER(SEARCH("lantern",E866)),"Lanternfly Control",
OR(ISNUMBER(SEARCH("tree shield",E866)),ISNUMBER(SEARCH("tree banding",E866)),ISNUMBER(SEARCH("insect barrier",E866))),"Tree Barriers",
OR(ISNUMBER(SEARCH("sun &amp; shade",E866)),ISNUMBER(SEARCH("sun and shade",E866))),"Sun &amp; Shade Mix",
ISNUMBER(SEARCH("tall fescue",E866)),"Tall Fescue",
ISNUMBER(SEARCH("bermudagrass",E866)),"Bermudagrass",
ISNUMBER(SEARCH("kentucky",E866)),"Kentucky Bluegrass",
ISNUMBER(SEARCH("zoysia",E866)),"Zoysia",
ISNUMBER(SEARCH("ryegrass",E866)),"Perennial Ryegrass",
ISNUMBER(SEARCH("centipede",E866)),"Centipede Grass",
ISNUMBER(SEARCH("dense shade",E866)),"Dense Shade Mix",
ISNUMBER(SEARCH("southern gold",E866)),"Southern Gold Mix",
ISNUMBER(SEARCH("heat-tolerant blue",E866)),"Heat-Tolerant Blue Mix",
ISNUMBER(SEARCH("high traffic",E866)),"High Traffic Mix",
ISNUMBER(SEARCH("quick fix",E866)),"Quick Fix Mix",
ISNUMBER(SEARCH("starter",E866)),"Starter Fertilizer",
ISNUMBER(SEARCH("weed &amp; feed",E866)),"Weed &amp; Feed",
ISNUMBER(SEARCH("lawn food",E866)),"Lawn Food",
ISNUMBER(SEARCH("triple action",E866)),"Triple Action Fertilizer",
ISNUMBER(SEARCH("green max",E866)),"Green Max Lawn Food",
ISNUMBER(SEARCH("patchmaster",E866)),"PatchMaster Repair",
ISNUMBER(SEARCH("ez seed",E866)),"EZ Seed Repair",
ISNUMBER(SEARCH("rapid grass",E866)),"Rapid Grass",
ISNUMBER(SEARCH("thick'r lawn",E866)),"Thick'R Lawn",
ISNUMBER(SEARCH("fungicide",E866)),"Fungicide",
ISNUMBER(SEARCH("moss",E866)),"Moss Control",
ISNUMBER(SEARCH("perlite",E866)),"Perlite",
ISNUMBER(SEARCH("plant food",E866)),"Plant Food",
ISNUMBER(SEARCH("spreader",E866)),"Spreader",
ISNUMBER(SEARCH("sprayer",E866)),"Sprayer",
ISNUMBER(SEARCH("mower",E866)),"Lawn Mower",
ISNUMBER(SEARCH("sweeper",E866)),"Lawn Sweeper",
OR(ISNUMBER(SEARCH("pruner",E866)),ISNUMBER(SEARCH("trimmer",E866)),ISNUMBER(SEARCH("pole saw",E866))),"Pruning Tools",
TRUE,"Other"
)</f>
        <v>Other</v>
      </c>
      <c r="J866" s="7" t="str">
        <f t="shared" si="275"/>
        <v>Flying Insect Control - Other</v>
      </c>
      <c r="K866" s="4">
        <v>900</v>
      </c>
      <c r="L866" s="4">
        <v>4.5999999999999996</v>
      </c>
      <c r="M866" s="4">
        <v>1318</v>
      </c>
      <c r="N866" s="4" t="s">
        <v>1400</v>
      </c>
      <c r="O866" s="4">
        <f>VLOOKUP(A866,[18]Sheet1!$A:$M,2,0)</f>
        <v>400</v>
      </c>
      <c r="P866" s="4">
        <f>VLOOKUP(A866,[18]Sheet1!$A:$M,3,0)</f>
        <v>400</v>
      </c>
      <c r="Q866" s="4">
        <f>VLOOKUP(A866,[18]Sheet1!$A:$M,4,0)</f>
        <v>300</v>
      </c>
      <c r="R866" s="4">
        <f>VLOOKUP(A866,[18]Sheet1!$A:$M,5,0)</f>
        <v>900</v>
      </c>
      <c r="S866" s="4">
        <f>VLOOKUP(A866,[18]Sheet1!$A:$M,6,0)</f>
        <v>1000</v>
      </c>
      <c r="T866" s="4">
        <f>VLOOKUP(A866,[18]Sheet1!$A:$M,7,0)</f>
        <v>1000</v>
      </c>
      <c r="U866" s="4">
        <f>VLOOKUP(A866,[18]Sheet1!$A:$M,8,0)</f>
        <v>1000</v>
      </c>
      <c r="V866" s="4">
        <f>VLOOKUP(A866,[18]Sheet1!$A:$M,9,0)</f>
        <v>1000</v>
      </c>
      <c r="W866" s="4">
        <f>VLOOKUP(A866,[18]Sheet1!$A:$M,10,0)</f>
        <v>900</v>
      </c>
      <c r="X866" s="4">
        <f>VLOOKUP(A866,[18]Sheet1!$A:$M,11,0)</f>
        <v>400</v>
      </c>
      <c r="Y866" s="4">
        <f>VLOOKUP(A866,[18]Sheet1!$A:$M,12,0)</f>
        <v>600</v>
      </c>
      <c r="Z866" s="4">
        <f>VLOOKUP(A866,[18]Sheet1!$A:$M,13,0)</f>
        <v>400</v>
      </c>
      <c r="AA866" s="4">
        <f t="shared" si="270"/>
        <v>8300</v>
      </c>
      <c r="AB866" s="7">
        <f t="shared" si="271"/>
        <v>692</v>
      </c>
      <c r="AC866" s="15">
        <f t="shared" si="272"/>
        <v>691.66666666666663</v>
      </c>
      <c r="AD866" s="16">
        <f t="shared" si="276"/>
        <v>114955</v>
      </c>
      <c r="AE866" s="16">
        <f t="shared" si="277"/>
        <v>9579.5833333333321</v>
      </c>
      <c r="AF866" s="21">
        <v>6.13</v>
      </c>
      <c r="AG866" s="21">
        <v>13.85</v>
      </c>
      <c r="AH866" s="15">
        <f t="shared" si="278"/>
        <v>-0.10600000000000008</v>
      </c>
      <c r="AI866" s="15">
        <f t="shared" si="279"/>
        <v>-0.37100000000000022</v>
      </c>
      <c r="AJ866" s="10">
        <v>0.5</v>
      </c>
      <c r="AK866" s="10">
        <v>0.5</v>
      </c>
      <c r="AL866" s="21">
        <v>6.13</v>
      </c>
      <c r="AM866" s="9">
        <f t="shared" si="280"/>
        <v>2.0774999999999997</v>
      </c>
      <c r="AN866" s="9">
        <f t="shared" si="281"/>
        <v>0.41549999999999998</v>
      </c>
      <c r="AO866" s="9">
        <f t="shared" si="282"/>
        <v>2.77</v>
      </c>
      <c r="AP866" s="9">
        <f t="shared" si="283"/>
        <v>0.27700000000000002</v>
      </c>
      <c r="AQ866" s="9">
        <f t="shared" si="284"/>
        <v>2.77</v>
      </c>
      <c r="AR866" s="9">
        <f t="shared" si="285"/>
        <v>3.4624999999999999</v>
      </c>
      <c r="AS866" s="11">
        <f t="shared" si="286"/>
        <v>-1.0600000000000007</v>
      </c>
      <c r="AT866" s="12">
        <f t="shared" si="287"/>
        <v>-1.5216666666666674</v>
      </c>
    </row>
    <row r="867" spans="1:46" ht="16.5" x14ac:dyDescent="0.4">
      <c r="A867" s="4" t="s">
        <v>3908</v>
      </c>
      <c r="B867" s="4" t="s">
        <v>3927</v>
      </c>
      <c r="C867" s="4" t="s">
        <v>3929</v>
      </c>
      <c r="D867" s="4" t="s">
        <v>3938</v>
      </c>
      <c r="E867" s="4" t="s">
        <v>3961</v>
      </c>
      <c r="F867" s="4" t="s">
        <v>3984</v>
      </c>
      <c r="G867" s="7" t="str">
        <f>VLOOKUP(A867,[1]done!$A:$I,9,0)</f>
        <v>Rodent</v>
      </c>
      <c r="H867" s="7" t="str" cm="1">
        <f t="array" ref="H867">_xlfn.IFS(
OR(ISNUMBER(SEARCH("mouse",E867)),ISNUMBER(SEARCH("rat",E867)),ISNUMBER(SEARCH("mice",E867)),ISNUMBER(SEARCH("rodent",E867))),"Rodent Control",
OR(ISNUMBER(SEARCH("fly",E867)),ISNUMBER(SEARCH("gnat",E867)),ISNUMBER(SEARCH("insect",E867)),ISNUMBER(SEARCH("mosquito",E867))),"Flying Insect Control",
OR(ISNUMBER(SEARCH("roach",E867)),ISNUMBER(SEARCH("ant",E867)),ISNUMBER(SEARCH("spider",E867)),ISNUMBER(SEARCH("cricket",E867)),ISNUMBER(SEARCH("scorpion",E867)),ISNUMBER(SEARCH("centipede",E867)),ISNUMBER(SEARCH("beetle",E867))),"Crawling Insect Control",
OR(ISNUMBER(SEARCH("tree",E867)),ISNUMBER(SEARCH("lantern",E867)),ISNUMBER(SEARCH("garden",E867)),ISNUMBER(SEARCH("plant",E867))),"Garden Pest Control",
OR(ISNUMBER(SEARCH("grass seed",E867)),ISNUMBER(SEARCH("seed mix",E867))),"Grass Seed",
OR(ISNUMBER(SEARCH("lawn food",E867)),ISNUMBER(SEARCH("fertilizer",E867))),"Lawn Fertilizer",
OR(ISNUMBER(SEARCH("patch",E867)),ISNUMBER(SEARCH("repair",E867)),ISNUMBER(SEARCH("thick'r",E867)),ISNUMBER(SEARCH("thick'r lawn",E867)),ISNUMBER(SEARCH("rapid grass",E867))),"Lawn Repair",
OR(ISNUMBER(SEARCH("weed",E867)),ISNUMBER(SEARCH("crabgrass",E867))),"Weed Control",
OR(ISNUMBER(SEARCH("fungicide",E867)),ISNUMBER(SEARCH("moss",E867))),"Disease &amp; Moss Control",
OR(ISNUMBER(SEARCH("plant food",E867)),ISNUMBER(SEARCH("miracid",E867))),"Plant Nutrition",
OR(ISNUMBER(SEARCH("perlite",E867))),"Soil Amendment",
OR(ISNUMBER(SEARCH("spreader",E867)),ISNUMBER(SEARCH("sprayer",E867)),ISNUMBER(SEARCH("mower",E867)),ISNUMBER(SEARCH("sweeper",E867)),ISNUMBER(SEARCH("pruner",E867)),ISNUMBER(SEARCH("trimmer",E867)),ISNUMBER(SEARCH("pole saw",E867))),"Garden Equipment",
TRUE,"Other"
)</f>
        <v>Rodent Control</v>
      </c>
      <c r="I867" s="7" t="str" cm="1">
        <f t="array" ref="I867">_xlfn.IFS(
OR(ISNUMBER(SEARCH("glue trap",E867)),ISNUMBER(SEARCH("glue board",E867))),"Glue Traps",
OR(ISNUMBER(SEARCH("snap trap",E867)),ISNUMBER(SEARCH("power-kill",E867)),ISNUMBER(SEARCH("wide pedal",E867)),ISNUMBER(SEARCH("metal pedal",E867))),"Snap Traps",
OR(ISNUMBER(SEARCH("electronic",E867)),ISNUMBER(SEARCH("zapper",E867))),"Electronic Traps",
OR(ISNUMBER(SEARCH("live catch",E867)),ISNUMBER(SEARCH("multi-catch",E867)),ISNUMBER(SEARCH("catch &amp; hold",E867)),ISNUMBER(SEARCH("tin cat",E867))),"Live Catch Traps",
OR(ISNUMBER(SEARCH("bait",E867)),ISNUMBER(SEARCH("poison",E867))),"Bait &amp; Poison",
ISNUMBER(SEARCH("repellent",E867)),"Repellents",
OR(ISNUMBER(SEARCH("fly trap",E867)),ISNUMBER(SEARCH("fly ribbon",E867)),ISNUMBER(SEARCH("fly stick",E867)),ISNUMBER(SEARCH("window fly",E867)),ISNUMBER(SEARCH("fly magnet",E867))),"Fly Traps",
OR(ISNUMBER(SEARCH("uv",E867)),ISNUMBER(SEARCH("fly light",E867)),ISNUMBER(SEARCH("plug-in",E867))),"UV Fly Traps",
ISNUMBER(SEARCH("roach",E867)),"Roach Traps",
ISNUMBER(SEARCH("ant",E867)),"Ant Traps",
ISNUMBER(SEARCH("spider",E867)),"Spider Traps",
ISNUMBER(SEARCH("mosquito",E867)),"Mosquito Traps",
ISNUMBER(SEARCH("beetle",E867)),"Beetle Traps",
ISNUMBER(SEARCH("lantern",E867)),"Lanternfly Control",
OR(ISNUMBER(SEARCH("tree shield",E867)),ISNUMBER(SEARCH("tree banding",E867)),ISNUMBER(SEARCH("insect barrier",E867))),"Tree Barriers",
OR(ISNUMBER(SEARCH("sun &amp; shade",E867)),ISNUMBER(SEARCH("sun and shade",E867))),"Sun &amp; Shade Mix",
ISNUMBER(SEARCH("tall fescue",E867)),"Tall Fescue",
ISNUMBER(SEARCH("bermudagrass",E867)),"Bermudagrass",
ISNUMBER(SEARCH("kentucky",E867)),"Kentucky Bluegrass",
ISNUMBER(SEARCH("zoysia",E867)),"Zoysia",
ISNUMBER(SEARCH("ryegrass",E867)),"Perennial Ryegrass",
ISNUMBER(SEARCH("centipede",E867)),"Centipede Grass",
ISNUMBER(SEARCH("dense shade",E867)),"Dense Shade Mix",
ISNUMBER(SEARCH("southern gold",E867)),"Southern Gold Mix",
ISNUMBER(SEARCH("heat-tolerant blue",E867)),"Heat-Tolerant Blue Mix",
ISNUMBER(SEARCH("high traffic",E867)),"High Traffic Mix",
ISNUMBER(SEARCH("quick fix",E867)),"Quick Fix Mix",
ISNUMBER(SEARCH("starter",E867)),"Starter Fertilizer",
ISNUMBER(SEARCH("weed &amp; feed",E867)),"Weed &amp; Feed",
ISNUMBER(SEARCH("lawn food",E867)),"Lawn Food",
ISNUMBER(SEARCH("triple action",E867)),"Triple Action Fertilizer",
ISNUMBER(SEARCH("green max",E867)),"Green Max Lawn Food",
ISNUMBER(SEARCH("patchmaster",E867)),"PatchMaster Repair",
ISNUMBER(SEARCH("ez seed",E867)),"EZ Seed Repair",
ISNUMBER(SEARCH("rapid grass",E867)),"Rapid Grass",
ISNUMBER(SEARCH("thick'r lawn",E867)),"Thick'R Lawn",
ISNUMBER(SEARCH("fungicide",E867)),"Fungicide",
ISNUMBER(SEARCH("moss",E867)),"Moss Control",
ISNUMBER(SEARCH("perlite",E867)),"Perlite",
ISNUMBER(SEARCH("plant food",E867)),"Plant Food",
ISNUMBER(SEARCH("spreader",E867)),"Spreader",
ISNUMBER(SEARCH("sprayer",E867)),"Sprayer",
ISNUMBER(SEARCH("mower",E867)),"Lawn Mower",
ISNUMBER(SEARCH("sweeper",E867)),"Lawn Sweeper",
OR(ISNUMBER(SEARCH("pruner",E867)),ISNUMBER(SEARCH("trimmer",E867)),ISNUMBER(SEARCH("pole saw",E867))),"Pruning Tools",
TRUE,"Other"
)</f>
        <v>Bait &amp; Poison</v>
      </c>
      <c r="J867" s="7" t="str">
        <f t="shared" si="275"/>
        <v>Rodent Control - Bait &amp; Poison</v>
      </c>
      <c r="K867" s="4">
        <v>800</v>
      </c>
      <c r="L867" s="4">
        <v>4.3</v>
      </c>
      <c r="M867" s="4">
        <v>834</v>
      </c>
      <c r="N867" s="4">
        <v>1</v>
      </c>
      <c r="O867" s="4">
        <f>VLOOKUP(A867,[18]Sheet1!$A:$M,2,0)</f>
        <v>500</v>
      </c>
      <c r="P867" s="4">
        <f>VLOOKUP(A867,[18]Sheet1!$A:$M,3,0)</f>
        <v>300</v>
      </c>
      <c r="Q867" s="4">
        <f>VLOOKUP(A867,[18]Sheet1!$A:$M,4,0)</f>
        <v>800</v>
      </c>
      <c r="R867" s="4">
        <f>VLOOKUP(A867,[18]Sheet1!$A:$M,5,0)</f>
        <v>300</v>
      </c>
      <c r="S867" s="4">
        <f>VLOOKUP(A867,[18]Sheet1!$A:$M,6,0)</f>
        <v>500</v>
      </c>
      <c r="T867" s="4">
        <f>VLOOKUP(A867,[18]Sheet1!$A:$M,7,0)</f>
        <v>700</v>
      </c>
      <c r="U867" s="4">
        <f>VLOOKUP(A867,[18]Sheet1!$A:$M,8,0)</f>
        <v>700</v>
      </c>
      <c r="V867" s="4">
        <f>VLOOKUP(A867,[18]Sheet1!$A:$M,9,0)</f>
        <v>1000</v>
      </c>
      <c r="W867" s="4">
        <f>VLOOKUP(A867,[18]Sheet1!$A:$M,10,0)</f>
        <v>1000</v>
      </c>
      <c r="X867" s="4">
        <f>VLOOKUP(A867,[18]Sheet1!$A:$M,11,0)</f>
        <v>1000</v>
      </c>
      <c r="Y867" s="4">
        <f>VLOOKUP(A867,[18]Sheet1!$A:$M,12,0)</f>
        <v>1000</v>
      </c>
      <c r="Z867" s="4">
        <f>VLOOKUP(A867,[18]Sheet1!$A:$M,13,0)</f>
        <v>1000</v>
      </c>
      <c r="AA867" s="4">
        <f t="shared" si="270"/>
        <v>8800</v>
      </c>
      <c r="AB867" s="7">
        <f t="shared" si="271"/>
        <v>733</v>
      </c>
      <c r="AC867" s="15">
        <f t="shared" si="272"/>
        <v>733.33333333333337</v>
      </c>
      <c r="AD867" s="16">
        <f t="shared" si="276"/>
        <v>131296</v>
      </c>
      <c r="AE867" s="16">
        <f t="shared" si="277"/>
        <v>10941.333333333334</v>
      </c>
      <c r="AF867" s="21">
        <v>6.13</v>
      </c>
      <c r="AG867" s="21">
        <v>14.92</v>
      </c>
      <c r="AH867" s="15">
        <f t="shared" si="278"/>
        <v>-7.746666666666667E-2</v>
      </c>
      <c r="AI867" s="15">
        <f t="shared" si="279"/>
        <v>-0.27113333333333328</v>
      </c>
      <c r="AJ867" s="10">
        <v>0.5</v>
      </c>
      <c r="AK867" s="10">
        <v>0.5</v>
      </c>
      <c r="AL867" s="21">
        <v>6.13</v>
      </c>
      <c r="AM867" s="9">
        <f t="shared" si="280"/>
        <v>2.238</v>
      </c>
      <c r="AN867" s="9">
        <f t="shared" si="281"/>
        <v>0.4476</v>
      </c>
      <c r="AO867" s="9">
        <f t="shared" si="282"/>
        <v>2.984</v>
      </c>
      <c r="AP867" s="9">
        <f t="shared" si="283"/>
        <v>0.2984</v>
      </c>
      <c r="AQ867" s="9">
        <f t="shared" si="284"/>
        <v>2.984</v>
      </c>
      <c r="AR867" s="9">
        <f t="shared" si="285"/>
        <v>3.73</v>
      </c>
      <c r="AS867" s="11">
        <f t="shared" si="286"/>
        <v>-0.77466666666666661</v>
      </c>
      <c r="AT867" s="12">
        <f t="shared" si="287"/>
        <v>-1.272</v>
      </c>
    </row>
    <row r="868" spans="1:46" ht="16.5" x14ac:dyDescent="0.4">
      <c r="A868" s="4" t="s">
        <v>3909</v>
      </c>
      <c r="B868" s="4" t="s">
        <v>3927</v>
      </c>
      <c r="C868" s="4" t="s">
        <v>3927</v>
      </c>
      <c r="D868" s="4" t="s">
        <v>3939</v>
      </c>
      <c r="E868" s="4" t="s">
        <v>3962</v>
      </c>
      <c r="F868" s="4" t="s">
        <v>3985</v>
      </c>
      <c r="G868" s="7" t="str">
        <f>VLOOKUP(A868,[1]done!$A:$I,9,0)</f>
        <v>Rodent</v>
      </c>
      <c r="H868" s="7" t="str" cm="1">
        <f t="array" ref="H868">_xlfn.IFS(
OR(ISNUMBER(SEARCH("mouse",E868)),ISNUMBER(SEARCH("rat",E868)),ISNUMBER(SEARCH("mice",E868)),ISNUMBER(SEARCH("rodent",E868))),"Rodent Control",
OR(ISNUMBER(SEARCH("fly",E868)),ISNUMBER(SEARCH("gnat",E868)),ISNUMBER(SEARCH("insect",E868)),ISNUMBER(SEARCH("mosquito",E868))),"Flying Insect Control",
OR(ISNUMBER(SEARCH("roach",E868)),ISNUMBER(SEARCH("ant",E868)),ISNUMBER(SEARCH("spider",E868)),ISNUMBER(SEARCH("cricket",E868)),ISNUMBER(SEARCH("scorpion",E868)),ISNUMBER(SEARCH("centipede",E868)),ISNUMBER(SEARCH("beetle",E868))),"Crawling Insect Control",
OR(ISNUMBER(SEARCH("tree",E868)),ISNUMBER(SEARCH("lantern",E868)),ISNUMBER(SEARCH("garden",E868)),ISNUMBER(SEARCH("plant",E868))),"Garden Pest Control",
OR(ISNUMBER(SEARCH("grass seed",E868)),ISNUMBER(SEARCH("seed mix",E868))),"Grass Seed",
OR(ISNUMBER(SEARCH("lawn food",E868)),ISNUMBER(SEARCH("fertilizer",E868))),"Lawn Fertilizer",
OR(ISNUMBER(SEARCH("patch",E868)),ISNUMBER(SEARCH("repair",E868)),ISNUMBER(SEARCH("thick'r",E868)),ISNUMBER(SEARCH("thick'r lawn",E868)),ISNUMBER(SEARCH("rapid grass",E868))),"Lawn Repair",
OR(ISNUMBER(SEARCH("weed",E868)),ISNUMBER(SEARCH("crabgrass",E868))),"Weed Control",
OR(ISNUMBER(SEARCH("fungicide",E868)),ISNUMBER(SEARCH("moss",E868))),"Disease &amp; Moss Control",
OR(ISNUMBER(SEARCH("plant food",E868)),ISNUMBER(SEARCH("miracid",E868))),"Plant Nutrition",
OR(ISNUMBER(SEARCH("perlite",E868))),"Soil Amendment",
OR(ISNUMBER(SEARCH("spreader",E868)),ISNUMBER(SEARCH("sprayer",E868)),ISNUMBER(SEARCH("mower",E868)),ISNUMBER(SEARCH("sweeper",E868)),ISNUMBER(SEARCH("pruner",E868)),ISNUMBER(SEARCH("trimmer",E868)),ISNUMBER(SEARCH("pole saw",E868))),"Garden Equipment",
TRUE,"Other"
)</f>
        <v>Rodent Control</v>
      </c>
      <c r="I868" s="7" t="str" cm="1">
        <f t="array" ref="I868">_xlfn.IFS(
OR(ISNUMBER(SEARCH("glue trap",E868)),ISNUMBER(SEARCH("glue board",E868))),"Glue Traps",
OR(ISNUMBER(SEARCH("snap trap",E868)),ISNUMBER(SEARCH("power-kill",E868)),ISNUMBER(SEARCH("wide pedal",E868)),ISNUMBER(SEARCH("metal pedal",E868))),"Snap Traps",
OR(ISNUMBER(SEARCH("electronic",E868)),ISNUMBER(SEARCH("zapper",E868))),"Electronic Traps",
OR(ISNUMBER(SEARCH("live catch",E868)),ISNUMBER(SEARCH("multi-catch",E868)),ISNUMBER(SEARCH("catch &amp; hold",E868)),ISNUMBER(SEARCH("tin cat",E868))),"Live Catch Traps",
OR(ISNUMBER(SEARCH("bait",E868)),ISNUMBER(SEARCH("poison",E868))),"Bait &amp; Poison",
ISNUMBER(SEARCH("repellent",E868)),"Repellents",
OR(ISNUMBER(SEARCH("fly trap",E868)),ISNUMBER(SEARCH("fly ribbon",E868)),ISNUMBER(SEARCH("fly stick",E868)),ISNUMBER(SEARCH("window fly",E868)),ISNUMBER(SEARCH("fly magnet",E868))),"Fly Traps",
OR(ISNUMBER(SEARCH("uv",E868)),ISNUMBER(SEARCH("fly light",E868)),ISNUMBER(SEARCH("plug-in",E868))),"UV Fly Traps",
ISNUMBER(SEARCH("roach",E868)),"Roach Traps",
ISNUMBER(SEARCH("ant",E868)),"Ant Traps",
ISNUMBER(SEARCH("spider",E868)),"Spider Traps",
ISNUMBER(SEARCH("mosquito",E868)),"Mosquito Traps",
ISNUMBER(SEARCH("beetle",E868)),"Beetle Traps",
ISNUMBER(SEARCH("lantern",E868)),"Lanternfly Control",
OR(ISNUMBER(SEARCH("tree shield",E868)),ISNUMBER(SEARCH("tree banding",E868)),ISNUMBER(SEARCH("insect barrier",E868))),"Tree Barriers",
OR(ISNUMBER(SEARCH("sun &amp; shade",E868)),ISNUMBER(SEARCH("sun and shade",E868))),"Sun &amp; Shade Mix",
ISNUMBER(SEARCH("tall fescue",E868)),"Tall Fescue",
ISNUMBER(SEARCH("bermudagrass",E868)),"Bermudagrass",
ISNUMBER(SEARCH("kentucky",E868)),"Kentucky Bluegrass",
ISNUMBER(SEARCH("zoysia",E868)),"Zoysia",
ISNUMBER(SEARCH("ryegrass",E868)),"Perennial Ryegrass",
ISNUMBER(SEARCH("centipede",E868)),"Centipede Grass",
ISNUMBER(SEARCH("dense shade",E868)),"Dense Shade Mix",
ISNUMBER(SEARCH("southern gold",E868)),"Southern Gold Mix",
ISNUMBER(SEARCH("heat-tolerant blue",E868)),"Heat-Tolerant Blue Mix",
ISNUMBER(SEARCH("high traffic",E868)),"High Traffic Mix",
ISNUMBER(SEARCH("quick fix",E868)),"Quick Fix Mix",
ISNUMBER(SEARCH("starter",E868)),"Starter Fertilizer",
ISNUMBER(SEARCH("weed &amp; feed",E868)),"Weed &amp; Feed",
ISNUMBER(SEARCH("lawn food",E868)),"Lawn Food",
ISNUMBER(SEARCH("triple action",E868)),"Triple Action Fertilizer",
ISNUMBER(SEARCH("green max",E868)),"Green Max Lawn Food",
ISNUMBER(SEARCH("patchmaster",E868)),"PatchMaster Repair",
ISNUMBER(SEARCH("ez seed",E868)),"EZ Seed Repair",
ISNUMBER(SEARCH("rapid grass",E868)),"Rapid Grass",
ISNUMBER(SEARCH("thick'r lawn",E868)),"Thick'R Lawn",
ISNUMBER(SEARCH("fungicide",E868)),"Fungicide",
ISNUMBER(SEARCH("moss",E868)),"Moss Control",
ISNUMBER(SEARCH("perlite",E868)),"Perlite",
ISNUMBER(SEARCH("plant food",E868)),"Plant Food",
ISNUMBER(SEARCH("spreader",E868)),"Spreader",
ISNUMBER(SEARCH("sprayer",E868)),"Sprayer",
ISNUMBER(SEARCH("mower",E868)),"Lawn Mower",
ISNUMBER(SEARCH("sweeper",E868)),"Lawn Sweeper",
OR(ISNUMBER(SEARCH("pruner",E868)),ISNUMBER(SEARCH("trimmer",E868)),ISNUMBER(SEARCH("pole saw",E868))),"Pruning Tools",
TRUE,"Other"
)</f>
        <v>Bait &amp; Poison</v>
      </c>
      <c r="J868" s="7" t="str">
        <f t="shared" si="275"/>
        <v>Rodent Control - Bait &amp; Poison</v>
      </c>
      <c r="K868" s="4">
        <v>300</v>
      </c>
      <c r="L868" s="4">
        <v>4.5999999999999996</v>
      </c>
      <c r="M868" s="4">
        <v>1107</v>
      </c>
      <c r="N868" s="4" t="s">
        <v>4004</v>
      </c>
      <c r="O868" s="4">
        <f>VLOOKUP(A868,[18]Sheet1!$A:$M,2,0)</f>
        <v>0</v>
      </c>
      <c r="P868" s="4">
        <f>VLOOKUP(A868,[18]Sheet1!$A:$M,3,0)</f>
        <v>0</v>
      </c>
      <c r="Q868" s="4">
        <f>VLOOKUP(A868,[18]Sheet1!$A:$M,4,0)</f>
        <v>100</v>
      </c>
      <c r="R868" s="4">
        <f>VLOOKUP(A868,[18]Sheet1!$A:$M,5,0)</f>
        <v>100</v>
      </c>
      <c r="S868" s="4">
        <f>VLOOKUP(A868,[18]Sheet1!$A:$M,6,0)</f>
        <v>200</v>
      </c>
      <c r="T868" s="4">
        <f>VLOOKUP(A868,[18]Sheet1!$A:$M,7,0)</f>
        <v>300</v>
      </c>
      <c r="U868" s="4">
        <f>VLOOKUP(A868,[18]Sheet1!$A:$M,8,0)</f>
        <v>200</v>
      </c>
      <c r="V868" s="4">
        <f>VLOOKUP(A868,[18]Sheet1!$A:$M,9,0)</f>
        <v>200</v>
      </c>
      <c r="W868" s="4">
        <f>VLOOKUP(A868,[18]Sheet1!$A:$M,10,0)</f>
        <v>300</v>
      </c>
      <c r="X868" s="4">
        <f>VLOOKUP(A868,[18]Sheet1!$A:$M,11,0)</f>
        <v>200</v>
      </c>
      <c r="Y868" s="4">
        <f>VLOOKUP(A868,[18]Sheet1!$A:$M,12,0)</f>
        <v>400</v>
      </c>
      <c r="Z868" s="4">
        <f>VLOOKUP(A868,[18]Sheet1!$A:$M,13,0)</f>
        <v>50</v>
      </c>
      <c r="AA868" s="4">
        <f t="shared" si="270"/>
        <v>2050</v>
      </c>
      <c r="AB868" s="7">
        <f t="shared" si="271"/>
        <v>171</v>
      </c>
      <c r="AC868" s="15">
        <f t="shared" si="272"/>
        <v>170.83333333333334</v>
      </c>
      <c r="AD868" s="16">
        <f t="shared" si="276"/>
        <v>149424.5</v>
      </c>
      <c r="AE868" s="16">
        <f t="shared" si="277"/>
        <v>12452.041666666668</v>
      </c>
      <c r="AF868" s="21">
        <v>13.43</v>
      </c>
      <c r="AG868" s="21">
        <v>72.89</v>
      </c>
      <c r="AH868" s="15">
        <f t="shared" si="278"/>
        <v>0.98173333333333346</v>
      </c>
      <c r="AI868" s="15">
        <f t="shared" si="279"/>
        <v>3.4360666666666666</v>
      </c>
      <c r="AJ868" s="10">
        <v>0.5</v>
      </c>
      <c r="AK868" s="10">
        <v>0.5</v>
      </c>
      <c r="AL868" s="21">
        <v>13.43</v>
      </c>
      <c r="AM868" s="9">
        <f t="shared" si="280"/>
        <v>10.9335</v>
      </c>
      <c r="AN868" s="9">
        <f t="shared" si="281"/>
        <v>2.1867000000000001</v>
      </c>
      <c r="AO868" s="9">
        <f t="shared" si="282"/>
        <v>14.578000000000001</v>
      </c>
      <c r="AP868" s="9">
        <f t="shared" si="283"/>
        <v>1.4578</v>
      </c>
      <c r="AQ868" s="9">
        <f t="shared" si="284"/>
        <v>14.578000000000001</v>
      </c>
      <c r="AR868" s="9">
        <f t="shared" si="285"/>
        <v>18.2225</v>
      </c>
      <c r="AS868" s="11">
        <f t="shared" si="286"/>
        <v>9.8173333333333339</v>
      </c>
      <c r="AT868" s="12">
        <f t="shared" si="287"/>
        <v>7.3876666666666679</v>
      </c>
    </row>
    <row r="869" spans="1:46" ht="16.5" x14ac:dyDescent="0.4">
      <c r="A869" s="4" t="s">
        <v>3910</v>
      </c>
      <c r="B869" s="4" t="s">
        <v>3927</v>
      </c>
      <c r="C869" s="4" t="s">
        <v>3929</v>
      </c>
      <c r="D869" s="4" t="s">
        <v>3940</v>
      </c>
      <c r="E869" s="4" t="s">
        <v>3963</v>
      </c>
      <c r="F869" s="4" t="s">
        <v>3986</v>
      </c>
      <c r="G869" s="7" t="str">
        <f>VLOOKUP(A869,[1]done!$A:$I,9,0)</f>
        <v>All Other products</v>
      </c>
      <c r="H869" s="7" t="str" cm="1">
        <f t="array" ref="H869">_xlfn.IFS(
OR(ISNUMBER(SEARCH("mouse",E869)),ISNUMBER(SEARCH("rat",E869)),ISNUMBER(SEARCH("mice",E869)),ISNUMBER(SEARCH("rodent",E869))),"Rodent Control",
OR(ISNUMBER(SEARCH("fly",E869)),ISNUMBER(SEARCH("gnat",E869)),ISNUMBER(SEARCH("insect",E869)),ISNUMBER(SEARCH("mosquito",E869))),"Flying Insect Control",
OR(ISNUMBER(SEARCH("roach",E869)),ISNUMBER(SEARCH("ant",E869)),ISNUMBER(SEARCH("spider",E869)),ISNUMBER(SEARCH("cricket",E869)),ISNUMBER(SEARCH("scorpion",E869)),ISNUMBER(SEARCH("centipede",E869)),ISNUMBER(SEARCH("beetle",E869))),"Crawling Insect Control",
OR(ISNUMBER(SEARCH("tree",E869)),ISNUMBER(SEARCH("lantern",E869)),ISNUMBER(SEARCH("garden",E869)),ISNUMBER(SEARCH("plant",E869))),"Garden Pest Control",
OR(ISNUMBER(SEARCH("grass seed",E869)),ISNUMBER(SEARCH("seed mix",E869))),"Grass Seed",
OR(ISNUMBER(SEARCH("lawn food",E869)),ISNUMBER(SEARCH("fertilizer",E869))),"Lawn Fertilizer",
OR(ISNUMBER(SEARCH("patch",E869)),ISNUMBER(SEARCH("repair",E869)),ISNUMBER(SEARCH("thick'r",E869)),ISNUMBER(SEARCH("thick'r lawn",E869)),ISNUMBER(SEARCH("rapid grass",E869))),"Lawn Repair",
OR(ISNUMBER(SEARCH("weed",E869)),ISNUMBER(SEARCH("crabgrass",E869))),"Weed Control",
OR(ISNUMBER(SEARCH("fungicide",E869)),ISNUMBER(SEARCH("moss",E869))),"Disease &amp; Moss Control",
OR(ISNUMBER(SEARCH("plant food",E869)),ISNUMBER(SEARCH("miracid",E869))),"Plant Nutrition",
OR(ISNUMBER(SEARCH("perlite",E869))),"Soil Amendment",
OR(ISNUMBER(SEARCH("spreader",E869)),ISNUMBER(SEARCH("sprayer",E869)),ISNUMBER(SEARCH("mower",E869)),ISNUMBER(SEARCH("sweeper",E869)),ISNUMBER(SEARCH("pruner",E869)),ISNUMBER(SEARCH("trimmer",E869)),ISNUMBER(SEARCH("pole saw",E869))),"Garden Equipment",
TRUE,"Other"
)</f>
        <v>Other</v>
      </c>
      <c r="I869" s="7" t="str" cm="1">
        <f t="array" ref="I869">_xlfn.IFS(
OR(ISNUMBER(SEARCH("glue trap",E869)),ISNUMBER(SEARCH("glue board",E869))),"Glue Traps",
OR(ISNUMBER(SEARCH("snap trap",E869)),ISNUMBER(SEARCH("power-kill",E869)),ISNUMBER(SEARCH("wide pedal",E869)),ISNUMBER(SEARCH("metal pedal",E869))),"Snap Traps",
OR(ISNUMBER(SEARCH("electronic",E869)),ISNUMBER(SEARCH("zapper",E869))),"Electronic Traps",
OR(ISNUMBER(SEARCH("live catch",E869)),ISNUMBER(SEARCH("multi-catch",E869)),ISNUMBER(SEARCH("catch &amp; hold",E869)),ISNUMBER(SEARCH("tin cat",E869))),"Live Catch Traps",
OR(ISNUMBER(SEARCH("bait",E869)),ISNUMBER(SEARCH("poison",E869))),"Bait &amp; Poison",
ISNUMBER(SEARCH("repellent",E869)),"Repellents",
OR(ISNUMBER(SEARCH("fly trap",E869)),ISNUMBER(SEARCH("fly ribbon",E869)),ISNUMBER(SEARCH("fly stick",E869)),ISNUMBER(SEARCH("window fly",E869)),ISNUMBER(SEARCH("fly magnet",E869))),"Fly Traps",
OR(ISNUMBER(SEARCH("uv",E869)),ISNUMBER(SEARCH("fly light",E869)),ISNUMBER(SEARCH("plug-in",E869))),"UV Fly Traps",
ISNUMBER(SEARCH("roach",E869)),"Roach Traps",
ISNUMBER(SEARCH("ant",E869)),"Ant Traps",
ISNUMBER(SEARCH("spider",E869)),"Spider Traps",
ISNUMBER(SEARCH("mosquito",E869)),"Mosquito Traps",
ISNUMBER(SEARCH("beetle",E869)),"Beetle Traps",
ISNUMBER(SEARCH("lantern",E869)),"Lanternfly Control",
OR(ISNUMBER(SEARCH("tree shield",E869)),ISNUMBER(SEARCH("tree banding",E869)),ISNUMBER(SEARCH("insect barrier",E869))),"Tree Barriers",
OR(ISNUMBER(SEARCH("sun &amp; shade",E869)),ISNUMBER(SEARCH("sun and shade",E869))),"Sun &amp; Shade Mix",
ISNUMBER(SEARCH("tall fescue",E869)),"Tall Fescue",
ISNUMBER(SEARCH("bermudagrass",E869)),"Bermudagrass",
ISNUMBER(SEARCH("kentucky",E869)),"Kentucky Bluegrass",
ISNUMBER(SEARCH("zoysia",E869)),"Zoysia",
ISNUMBER(SEARCH("ryegrass",E869)),"Perennial Ryegrass",
ISNUMBER(SEARCH("centipede",E869)),"Centipede Grass",
ISNUMBER(SEARCH("dense shade",E869)),"Dense Shade Mix",
ISNUMBER(SEARCH("southern gold",E869)),"Southern Gold Mix",
ISNUMBER(SEARCH("heat-tolerant blue",E869)),"Heat-Tolerant Blue Mix",
ISNUMBER(SEARCH("high traffic",E869)),"High Traffic Mix",
ISNUMBER(SEARCH("quick fix",E869)),"Quick Fix Mix",
ISNUMBER(SEARCH("starter",E869)),"Starter Fertilizer",
ISNUMBER(SEARCH("weed &amp; feed",E869)),"Weed &amp; Feed",
ISNUMBER(SEARCH("lawn food",E869)),"Lawn Food",
ISNUMBER(SEARCH("triple action",E869)),"Triple Action Fertilizer",
ISNUMBER(SEARCH("green max",E869)),"Green Max Lawn Food",
ISNUMBER(SEARCH("patchmaster",E869)),"PatchMaster Repair",
ISNUMBER(SEARCH("ez seed",E869)),"EZ Seed Repair",
ISNUMBER(SEARCH("rapid grass",E869)),"Rapid Grass",
ISNUMBER(SEARCH("thick'r lawn",E869)),"Thick'R Lawn",
ISNUMBER(SEARCH("fungicide",E869)),"Fungicide",
ISNUMBER(SEARCH("moss",E869)),"Moss Control",
ISNUMBER(SEARCH("perlite",E869)),"Perlite",
ISNUMBER(SEARCH("plant food",E869)),"Plant Food",
ISNUMBER(SEARCH("spreader",E869)),"Spreader",
ISNUMBER(SEARCH("sprayer",E869)),"Sprayer",
ISNUMBER(SEARCH("mower",E869)),"Lawn Mower",
ISNUMBER(SEARCH("sweeper",E869)),"Lawn Sweeper",
OR(ISNUMBER(SEARCH("pruner",E869)),ISNUMBER(SEARCH("trimmer",E869)),ISNUMBER(SEARCH("pole saw",E869))),"Pruning Tools",
TRUE,"Other"
)</f>
        <v>Bait &amp; Poison</v>
      </c>
      <c r="J869" s="7" t="str">
        <f t="shared" si="275"/>
        <v>Other - Bait &amp; Poison</v>
      </c>
      <c r="K869" s="4">
        <v>200</v>
      </c>
      <c r="L869" s="4">
        <v>4.3</v>
      </c>
      <c r="M869" s="4">
        <v>1326</v>
      </c>
      <c r="N869" s="4" t="s">
        <v>1328</v>
      </c>
      <c r="O869" s="4">
        <f>VLOOKUP(A869,[18]Sheet1!$A:$M,2,0)</f>
        <v>100</v>
      </c>
      <c r="P869" s="4">
        <f>VLOOKUP(A869,[18]Sheet1!$A:$M,3,0)</f>
        <v>100</v>
      </c>
      <c r="Q869" s="4">
        <f>VLOOKUP(A869,[18]Sheet1!$A:$M,4,0)</f>
        <v>100</v>
      </c>
      <c r="R869" s="4">
        <f>VLOOKUP(A869,[18]Sheet1!$A:$M,5,0)</f>
        <v>100</v>
      </c>
      <c r="S869" s="4">
        <f>VLOOKUP(A869,[18]Sheet1!$A:$M,6,0)</f>
        <v>100</v>
      </c>
      <c r="T869" s="4">
        <f>VLOOKUP(A869,[18]Sheet1!$A:$M,7,0)</f>
        <v>100</v>
      </c>
      <c r="U869" s="4">
        <f>VLOOKUP(A869,[18]Sheet1!$A:$M,8,0)</f>
        <v>100</v>
      </c>
      <c r="V869" s="4">
        <f>VLOOKUP(A869,[18]Sheet1!$A:$M,9,0)</f>
        <v>100</v>
      </c>
      <c r="W869" s="4">
        <f>VLOOKUP(A869,[18]Sheet1!$A:$M,10,0)</f>
        <v>200</v>
      </c>
      <c r="X869" s="4">
        <f>VLOOKUP(A869,[18]Sheet1!$A:$M,11,0)</f>
        <v>200</v>
      </c>
      <c r="Y869" s="4">
        <f>VLOOKUP(A869,[18]Sheet1!$A:$M,12,0)</f>
        <v>200</v>
      </c>
      <c r="Z869" s="4">
        <f>VLOOKUP(A869,[18]Sheet1!$A:$M,13,0)</f>
        <v>200</v>
      </c>
      <c r="AA869" s="4">
        <f t="shared" si="270"/>
        <v>1600</v>
      </c>
      <c r="AB869" s="7">
        <f t="shared" si="271"/>
        <v>133</v>
      </c>
      <c r="AC869" s="15">
        <f t="shared" si="272"/>
        <v>133.33333333333334</v>
      </c>
      <c r="AD869" s="16">
        <f t="shared" si="276"/>
        <v>35904</v>
      </c>
      <c r="AE869" s="16">
        <f t="shared" si="277"/>
        <v>2992.0000000000005</v>
      </c>
      <c r="AF869" s="21">
        <v>7.71</v>
      </c>
      <c r="AG869" s="21">
        <v>22.44</v>
      </c>
      <c r="AH869" s="15">
        <f t="shared" si="278"/>
        <v>1.7733333333333334E-2</v>
      </c>
      <c r="AI869" s="15">
        <f t="shared" si="279"/>
        <v>6.2066666666666666E-2</v>
      </c>
      <c r="AJ869" s="10">
        <v>0.5</v>
      </c>
      <c r="AK869" s="10">
        <v>0.5</v>
      </c>
      <c r="AL869" s="21">
        <v>7.71</v>
      </c>
      <c r="AM869" s="9">
        <f t="shared" si="280"/>
        <v>3.3660000000000001</v>
      </c>
      <c r="AN869" s="9">
        <f t="shared" si="281"/>
        <v>0.67320000000000002</v>
      </c>
      <c r="AO869" s="9">
        <f t="shared" si="282"/>
        <v>4.4880000000000004</v>
      </c>
      <c r="AP869" s="9">
        <f t="shared" si="283"/>
        <v>0.44880000000000003</v>
      </c>
      <c r="AQ869" s="9">
        <f t="shared" si="284"/>
        <v>4.4880000000000004</v>
      </c>
      <c r="AR869" s="9">
        <f t="shared" si="285"/>
        <v>5.61</v>
      </c>
      <c r="AS869" s="11">
        <f t="shared" si="286"/>
        <v>0.17733333333333334</v>
      </c>
      <c r="AT869" s="12">
        <f t="shared" si="287"/>
        <v>-0.57066666666666654</v>
      </c>
    </row>
    <row r="870" spans="1:46" ht="16.5" x14ac:dyDescent="0.4">
      <c r="A870" s="4" t="s">
        <v>3911</v>
      </c>
      <c r="B870" s="4" t="s">
        <v>3927</v>
      </c>
      <c r="C870" s="4" t="s">
        <v>3929</v>
      </c>
      <c r="D870" s="4" t="s">
        <v>3941</v>
      </c>
      <c r="E870" s="4" t="s">
        <v>3964</v>
      </c>
      <c r="F870" s="4" t="s">
        <v>3987</v>
      </c>
      <c r="G870" s="7" t="str">
        <f>VLOOKUP(A870,[1]done!$A:$I,9,0)</f>
        <v>Rodent</v>
      </c>
      <c r="H870" s="7" t="str" cm="1">
        <f t="array" ref="H870">_xlfn.IFS(
OR(ISNUMBER(SEARCH("mouse",E870)),ISNUMBER(SEARCH("rat",E870)),ISNUMBER(SEARCH("mice",E870)),ISNUMBER(SEARCH("rodent",E870))),"Rodent Control",
OR(ISNUMBER(SEARCH("fly",E870)),ISNUMBER(SEARCH("gnat",E870)),ISNUMBER(SEARCH("insect",E870)),ISNUMBER(SEARCH("mosquito",E870))),"Flying Insect Control",
OR(ISNUMBER(SEARCH("roach",E870)),ISNUMBER(SEARCH("ant",E870)),ISNUMBER(SEARCH("spider",E870)),ISNUMBER(SEARCH("cricket",E870)),ISNUMBER(SEARCH("scorpion",E870)),ISNUMBER(SEARCH("centipede",E870)),ISNUMBER(SEARCH("beetle",E870))),"Crawling Insect Control",
OR(ISNUMBER(SEARCH("tree",E870)),ISNUMBER(SEARCH("lantern",E870)),ISNUMBER(SEARCH("garden",E870)),ISNUMBER(SEARCH("plant",E870))),"Garden Pest Control",
OR(ISNUMBER(SEARCH("grass seed",E870)),ISNUMBER(SEARCH("seed mix",E870))),"Grass Seed",
OR(ISNUMBER(SEARCH("lawn food",E870)),ISNUMBER(SEARCH("fertilizer",E870))),"Lawn Fertilizer",
OR(ISNUMBER(SEARCH("patch",E870)),ISNUMBER(SEARCH("repair",E870)),ISNUMBER(SEARCH("thick'r",E870)),ISNUMBER(SEARCH("thick'r lawn",E870)),ISNUMBER(SEARCH("rapid grass",E870))),"Lawn Repair",
OR(ISNUMBER(SEARCH("weed",E870)),ISNUMBER(SEARCH("crabgrass",E870))),"Weed Control",
OR(ISNUMBER(SEARCH("fungicide",E870)),ISNUMBER(SEARCH("moss",E870))),"Disease &amp; Moss Control",
OR(ISNUMBER(SEARCH("plant food",E870)),ISNUMBER(SEARCH("miracid",E870))),"Plant Nutrition",
OR(ISNUMBER(SEARCH("perlite",E870))),"Soil Amendment",
OR(ISNUMBER(SEARCH("spreader",E870)),ISNUMBER(SEARCH("sprayer",E870)),ISNUMBER(SEARCH("mower",E870)),ISNUMBER(SEARCH("sweeper",E870)),ISNUMBER(SEARCH("pruner",E870)),ISNUMBER(SEARCH("trimmer",E870)),ISNUMBER(SEARCH("pole saw",E870))),"Garden Equipment",
TRUE,"Other"
)</f>
        <v>Rodent Control</v>
      </c>
      <c r="I870" s="7" t="str" cm="1">
        <f t="array" ref="I870">_xlfn.IFS(
OR(ISNUMBER(SEARCH("glue trap",E870)),ISNUMBER(SEARCH("glue board",E870))),"Glue Traps",
OR(ISNUMBER(SEARCH("snap trap",E870)),ISNUMBER(SEARCH("power-kill",E870)),ISNUMBER(SEARCH("wide pedal",E870)),ISNUMBER(SEARCH("metal pedal",E870))),"Snap Traps",
OR(ISNUMBER(SEARCH("electronic",E870)),ISNUMBER(SEARCH("zapper",E870))),"Electronic Traps",
OR(ISNUMBER(SEARCH("live catch",E870)),ISNUMBER(SEARCH("multi-catch",E870)),ISNUMBER(SEARCH("catch &amp; hold",E870)),ISNUMBER(SEARCH("tin cat",E870))),"Live Catch Traps",
OR(ISNUMBER(SEARCH("bait",E870)),ISNUMBER(SEARCH("poison",E870))),"Bait &amp; Poison",
ISNUMBER(SEARCH("repellent",E870)),"Repellents",
OR(ISNUMBER(SEARCH("fly trap",E870)),ISNUMBER(SEARCH("fly ribbon",E870)),ISNUMBER(SEARCH("fly stick",E870)),ISNUMBER(SEARCH("window fly",E870)),ISNUMBER(SEARCH("fly magnet",E870))),"Fly Traps",
OR(ISNUMBER(SEARCH("uv",E870)),ISNUMBER(SEARCH("fly light",E870)),ISNUMBER(SEARCH("plug-in",E870))),"UV Fly Traps",
ISNUMBER(SEARCH("roach",E870)),"Roach Traps",
ISNUMBER(SEARCH("ant",E870)),"Ant Traps",
ISNUMBER(SEARCH("spider",E870)),"Spider Traps",
ISNUMBER(SEARCH("mosquito",E870)),"Mosquito Traps",
ISNUMBER(SEARCH("beetle",E870)),"Beetle Traps",
ISNUMBER(SEARCH("lantern",E870)),"Lanternfly Control",
OR(ISNUMBER(SEARCH("tree shield",E870)),ISNUMBER(SEARCH("tree banding",E870)),ISNUMBER(SEARCH("insect barrier",E870))),"Tree Barriers",
OR(ISNUMBER(SEARCH("sun &amp; shade",E870)),ISNUMBER(SEARCH("sun and shade",E870))),"Sun &amp; Shade Mix",
ISNUMBER(SEARCH("tall fescue",E870)),"Tall Fescue",
ISNUMBER(SEARCH("bermudagrass",E870)),"Bermudagrass",
ISNUMBER(SEARCH("kentucky",E870)),"Kentucky Bluegrass",
ISNUMBER(SEARCH("zoysia",E870)),"Zoysia",
ISNUMBER(SEARCH("ryegrass",E870)),"Perennial Ryegrass",
ISNUMBER(SEARCH("centipede",E870)),"Centipede Grass",
ISNUMBER(SEARCH("dense shade",E870)),"Dense Shade Mix",
ISNUMBER(SEARCH("southern gold",E870)),"Southern Gold Mix",
ISNUMBER(SEARCH("heat-tolerant blue",E870)),"Heat-Tolerant Blue Mix",
ISNUMBER(SEARCH("high traffic",E870)),"High Traffic Mix",
ISNUMBER(SEARCH("quick fix",E870)),"Quick Fix Mix",
ISNUMBER(SEARCH("starter",E870)),"Starter Fertilizer",
ISNUMBER(SEARCH("weed &amp; feed",E870)),"Weed &amp; Feed",
ISNUMBER(SEARCH("lawn food",E870)),"Lawn Food",
ISNUMBER(SEARCH("triple action",E870)),"Triple Action Fertilizer",
ISNUMBER(SEARCH("green max",E870)),"Green Max Lawn Food",
ISNUMBER(SEARCH("patchmaster",E870)),"PatchMaster Repair",
ISNUMBER(SEARCH("ez seed",E870)),"EZ Seed Repair",
ISNUMBER(SEARCH("rapid grass",E870)),"Rapid Grass",
ISNUMBER(SEARCH("thick'r lawn",E870)),"Thick'R Lawn",
ISNUMBER(SEARCH("fungicide",E870)),"Fungicide",
ISNUMBER(SEARCH("moss",E870)),"Moss Control",
ISNUMBER(SEARCH("perlite",E870)),"Perlite",
ISNUMBER(SEARCH("plant food",E870)),"Plant Food",
ISNUMBER(SEARCH("spreader",E870)),"Spreader",
ISNUMBER(SEARCH("sprayer",E870)),"Sprayer",
ISNUMBER(SEARCH("mower",E870)),"Lawn Mower",
ISNUMBER(SEARCH("sweeper",E870)),"Lawn Sweeper",
OR(ISNUMBER(SEARCH("pruner",E870)),ISNUMBER(SEARCH("trimmer",E870)),ISNUMBER(SEARCH("pole saw",E870))),"Pruning Tools",
TRUE,"Other"
)</f>
        <v>Ant Traps</v>
      </c>
      <c r="J870" s="7" t="str">
        <f t="shared" si="275"/>
        <v>Rodent Control - Ant Traps</v>
      </c>
      <c r="K870" s="4">
        <v>200</v>
      </c>
      <c r="L870" s="4">
        <v>4.4000000000000004</v>
      </c>
      <c r="M870" s="4">
        <v>966</v>
      </c>
      <c r="N870" s="4" t="s">
        <v>4005</v>
      </c>
      <c r="O870" s="4">
        <f>VLOOKUP(A870,[18]Sheet1!$A:$M,2,0)</f>
        <v>200</v>
      </c>
      <c r="P870" s="4">
        <f>VLOOKUP(A870,[18]Sheet1!$A:$M,3,0)</f>
        <v>200</v>
      </c>
      <c r="Q870" s="4">
        <f>VLOOKUP(A870,[18]Sheet1!$A:$M,4,0)</f>
        <v>200</v>
      </c>
      <c r="R870" s="4">
        <f>VLOOKUP(A870,[18]Sheet1!$A:$M,5,0)</f>
        <v>200</v>
      </c>
      <c r="S870" s="4">
        <f>VLOOKUP(A870,[18]Sheet1!$A:$M,6,0)</f>
        <v>300</v>
      </c>
      <c r="T870" s="4">
        <f>VLOOKUP(A870,[18]Sheet1!$A:$M,7,0)</f>
        <v>300</v>
      </c>
      <c r="U870" s="4">
        <f>VLOOKUP(A870,[18]Sheet1!$A:$M,8,0)</f>
        <v>300</v>
      </c>
      <c r="V870" s="4">
        <f>VLOOKUP(A870,[18]Sheet1!$A:$M,9,0)</f>
        <v>200</v>
      </c>
      <c r="W870" s="4">
        <f>VLOOKUP(A870,[18]Sheet1!$A:$M,10,0)</f>
        <v>300</v>
      </c>
      <c r="X870" s="4">
        <f>VLOOKUP(A870,[18]Sheet1!$A:$M,11,0)</f>
        <v>400</v>
      </c>
      <c r="Y870" s="4">
        <f>VLOOKUP(A870,[18]Sheet1!$A:$M,12,0)</f>
        <v>400</v>
      </c>
      <c r="Z870" s="4">
        <f>VLOOKUP(A870,[18]Sheet1!$A:$M,13,0)</f>
        <v>200</v>
      </c>
      <c r="AA870" s="4">
        <f t="shared" si="270"/>
        <v>3200</v>
      </c>
      <c r="AB870" s="7">
        <f t="shared" si="271"/>
        <v>267</v>
      </c>
      <c r="AC870" s="15">
        <f t="shared" si="272"/>
        <v>266.66666666666669</v>
      </c>
      <c r="AD870" s="16">
        <f t="shared" si="276"/>
        <v>245408</v>
      </c>
      <c r="AE870" s="16">
        <f t="shared" si="277"/>
        <v>20450.666666666668</v>
      </c>
      <c r="AF870" s="21">
        <v>19.850000000000001</v>
      </c>
      <c r="AG870" s="21">
        <v>76.69</v>
      </c>
      <c r="AH870" s="15">
        <f t="shared" si="278"/>
        <v>0.65506666666666624</v>
      </c>
      <c r="AI870" s="15">
        <f t="shared" si="279"/>
        <v>2.2927333333333317</v>
      </c>
      <c r="AJ870" s="10">
        <v>0.5</v>
      </c>
      <c r="AK870" s="10">
        <v>0.5</v>
      </c>
      <c r="AL870" s="21">
        <v>19.850000000000001</v>
      </c>
      <c r="AM870" s="9">
        <f t="shared" si="280"/>
        <v>11.503499999999999</v>
      </c>
      <c r="AN870" s="9">
        <f t="shared" si="281"/>
        <v>2.3007</v>
      </c>
      <c r="AO870" s="9">
        <f t="shared" si="282"/>
        <v>15.338000000000001</v>
      </c>
      <c r="AP870" s="9">
        <f t="shared" si="283"/>
        <v>1.5338000000000001</v>
      </c>
      <c r="AQ870" s="9">
        <f t="shared" si="284"/>
        <v>15.338000000000001</v>
      </c>
      <c r="AR870" s="9">
        <f t="shared" si="285"/>
        <v>19.172499999999999</v>
      </c>
      <c r="AS870" s="11">
        <f t="shared" si="286"/>
        <v>6.550666666666662</v>
      </c>
      <c r="AT870" s="12">
        <f t="shared" si="287"/>
        <v>3.99433333333333</v>
      </c>
    </row>
    <row r="871" spans="1:46" ht="16.5" x14ac:dyDescent="0.4">
      <c r="A871" s="4" t="s">
        <v>3912</v>
      </c>
      <c r="B871" s="4" t="s">
        <v>3927</v>
      </c>
      <c r="C871" s="4" t="s">
        <v>3927</v>
      </c>
      <c r="D871" s="4" t="s">
        <v>3942</v>
      </c>
      <c r="E871" s="4" t="s">
        <v>3965</v>
      </c>
      <c r="F871" s="4" t="s">
        <v>3988</v>
      </c>
      <c r="G871" s="7" t="str">
        <f>VLOOKUP(A871,[1]done!$A:$I,9,0)</f>
        <v>Rodent</v>
      </c>
      <c r="H871" s="7" t="str" cm="1">
        <f t="array" ref="H871">_xlfn.IFS(
OR(ISNUMBER(SEARCH("mouse",E871)),ISNUMBER(SEARCH("rat",E871)),ISNUMBER(SEARCH("mice",E871)),ISNUMBER(SEARCH("rodent",E871))),"Rodent Control",
OR(ISNUMBER(SEARCH("fly",E871)),ISNUMBER(SEARCH("gnat",E871)),ISNUMBER(SEARCH("insect",E871)),ISNUMBER(SEARCH("mosquito",E871))),"Flying Insect Control",
OR(ISNUMBER(SEARCH("roach",E871)),ISNUMBER(SEARCH("ant",E871)),ISNUMBER(SEARCH("spider",E871)),ISNUMBER(SEARCH("cricket",E871)),ISNUMBER(SEARCH("scorpion",E871)),ISNUMBER(SEARCH("centipede",E871)),ISNUMBER(SEARCH("beetle",E871))),"Crawling Insect Control",
OR(ISNUMBER(SEARCH("tree",E871)),ISNUMBER(SEARCH("lantern",E871)),ISNUMBER(SEARCH("garden",E871)),ISNUMBER(SEARCH("plant",E871))),"Garden Pest Control",
OR(ISNUMBER(SEARCH("grass seed",E871)),ISNUMBER(SEARCH("seed mix",E871))),"Grass Seed",
OR(ISNUMBER(SEARCH("lawn food",E871)),ISNUMBER(SEARCH("fertilizer",E871))),"Lawn Fertilizer",
OR(ISNUMBER(SEARCH("patch",E871)),ISNUMBER(SEARCH("repair",E871)),ISNUMBER(SEARCH("thick'r",E871)),ISNUMBER(SEARCH("thick'r lawn",E871)),ISNUMBER(SEARCH("rapid grass",E871))),"Lawn Repair",
OR(ISNUMBER(SEARCH("weed",E871)),ISNUMBER(SEARCH("crabgrass",E871))),"Weed Control",
OR(ISNUMBER(SEARCH("fungicide",E871)),ISNUMBER(SEARCH("moss",E871))),"Disease &amp; Moss Control",
OR(ISNUMBER(SEARCH("plant food",E871)),ISNUMBER(SEARCH("miracid",E871))),"Plant Nutrition",
OR(ISNUMBER(SEARCH("perlite",E871))),"Soil Amendment",
OR(ISNUMBER(SEARCH("spreader",E871)),ISNUMBER(SEARCH("sprayer",E871)),ISNUMBER(SEARCH("mower",E871)),ISNUMBER(SEARCH("sweeper",E871)),ISNUMBER(SEARCH("pruner",E871)),ISNUMBER(SEARCH("trimmer",E871)),ISNUMBER(SEARCH("pole saw",E871))),"Garden Equipment",
TRUE,"Other"
)</f>
        <v>Rodent Control</v>
      </c>
      <c r="I871" s="7" t="str" cm="1">
        <f t="array" ref="I871">_xlfn.IFS(
OR(ISNUMBER(SEARCH("glue trap",E871)),ISNUMBER(SEARCH("glue board",E871))),"Glue Traps",
OR(ISNUMBER(SEARCH("snap trap",E871)),ISNUMBER(SEARCH("power-kill",E871)),ISNUMBER(SEARCH("wide pedal",E871)),ISNUMBER(SEARCH("metal pedal",E871))),"Snap Traps",
OR(ISNUMBER(SEARCH("electronic",E871)),ISNUMBER(SEARCH("zapper",E871))),"Electronic Traps",
OR(ISNUMBER(SEARCH("live catch",E871)),ISNUMBER(SEARCH("multi-catch",E871)),ISNUMBER(SEARCH("catch &amp; hold",E871)),ISNUMBER(SEARCH("tin cat",E871))),"Live Catch Traps",
OR(ISNUMBER(SEARCH("bait",E871)),ISNUMBER(SEARCH("poison",E871))),"Bait &amp; Poison",
ISNUMBER(SEARCH("repellent",E871)),"Repellents",
OR(ISNUMBER(SEARCH("fly trap",E871)),ISNUMBER(SEARCH("fly ribbon",E871)),ISNUMBER(SEARCH("fly stick",E871)),ISNUMBER(SEARCH("window fly",E871)),ISNUMBER(SEARCH("fly magnet",E871))),"Fly Traps",
OR(ISNUMBER(SEARCH("uv",E871)),ISNUMBER(SEARCH("fly light",E871)),ISNUMBER(SEARCH("plug-in",E871))),"UV Fly Traps",
ISNUMBER(SEARCH("roach",E871)),"Roach Traps",
ISNUMBER(SEARCH("ant",E871)),"Ant Traps",
ISNUMBER(SEARCH("spider",E871)),"Spider Traps",
ISNUMBER(SEARCH("mosquito",E871)),"Mosquito Traps",
ISNUMBER(SEARCH("beetle",E871)),"Beetle Traps",
ISNUMBER(SEARCH("lantern",E871)),"Lanternfly Control",
OR(ISNUMBER(SEARCH("tree shield",E871)),ISNUMBER(SEARCH("tree banding",E871)),ISNUMBER(SEARCH("insect barrier",E871))),"Tree Barriers",
OR(ISNUMBER(SEARCH("sun &amp; shade",E871)),ISNUMBER(SEARCH("sun and shade",E871))),"Sun &amp; Shade Mix",
ISNUMBER(SEARCH("tall fescue",E871)),"Tall Fescue",
ISNUMBER(SEARCH("bermudagrass",E871)),"Bermudagrass",
ISNUMBER(SEARCH("kentucky",E871)),"Kentucky Bluegrass",
ISNUMBER(SEARCH("zoysia",E871)),"Zoysia",
ISNUMBER(SEARCH("ryegrass",E871)),"Perennial Ryegrass",
ISNUMBER(SEARCH("centipede",E871)),"Centipede Grass",
ISNUMBER(SEARCH("dense shade",E871)),"Dense Shade Mix",
ISNUMBER(SEARCH("southern gold",E871)),"Southern Gold Mix",
ISNUMBER(SEARCH("heat-tolerant blue",E871)),"Heat-Tolerant Blue Mix",
ISNUMBER(SEARCH("high traffic",E871)),"High Traffic Mix",
ISNUMBER(SEARCH("quick fix",E871)),"Quick Fix Mix",
ISNUMBER(SEARCH("starter",E871)),"Starter Fertilizer",
ISNUMBER(SEARCH("weed &amp; feed",E871)),"Weed &amp; Feed",
ISNUMBER(SEARCH("lawn food",E871)),"Lawn Food",
ISNUMBER(SEARCH("triple action",E871)),"Triple Action Fertilizer",
ISNUMBER(SEARCH("green max",E871)),"Green Max Lawn Food",
ISNUMBER(SEARCH("patchmaster",E871)),"PatchMaster Repair",
ISNUMBER(SEARCH("ez seed",E871)),"EZ Seed Repair",
ISNUMBER(SEARCH("rapid grass",E871)),"Rapid Grass",
ISNUMBER(SEARCH("thick'r lawn",E871)),"Thick'R Lawn",
ISNUMBER(SEARCH("fungicide",E871)),"Fungicide",
ISNUMBER(SEARCH("moss",E871)),"Moss Control",
ISNUMBER(SEARCH("perlite",E871)),"Perlite",
ISNUMBER(SEARCH("plant food",E871)),"Plant Food",
ISNUMBER(SEARCH("spreader",E871)),"Spreader",
ISNUMBER(SEARCH("sprayer",E871)),"Sprayer",
ISNUMBER(SEARCH("mower",E871)),"Lawn Mower",
ISNUMBER(SEARCH("sweeper",E871)),"Lawn Sweeper",
OR(ISNUMBER(SEARCH("pruner",E871)),ISNUMBER(SEARCH("trimmer",E871)),ISNUMBER(SEARCH("pole saw",E871))),"Pruning Tools",
TRUE,"Other"
)</f>
        <v>Bait &amp; Poison</v>
      </c>
      <c r="J871" s="7" t="str">
        <f t="shared" si="275"/>
        <v>Rodent Control - Bait &amp; Poison</v>
      </c>
      <c r="K871" s="4">
        <v>200</v>
      </c>
      <c r="L871" s="4">
        <v>4.4000000000000004</v>
      </c>
      <c r="M871" s="4">
        <v>86</v>
      </c>
      <c r="N871" s="4" t="s">
        <v>493</v>
      </c>
      <c r="O871" s="4">
        <f>VLOOKUP(A871,[18]Sheet1!$A:$M,2,0)</f>
        <v>100</v>
      </c>
      <c r="P871" s="4">
        <f>VLOOKUP(A871,[18]Sheet1!$A:$M,3,0)</f>
        <v>100</v>
      </c>
      <c r="Q871" s="4">
        <f>VLOOKUP(A871,[18]Sheet1!$A:$M,4,0)</f>
        <v>100</v>
      </c>
      <c r="R871" s="4">
        <f>VLOOKUP(A871,[18]Sheet1!$A:$M,5,0)</f>
        <v>100</v>
      </c>
      <c r="S871" s="4">
        <f>VLOOKUP(A871,[18]Sheet1!$A:$M,6,0)</f>
        <v>100</v>
      </c>
      <c r="T871" s="4">
        <f>VLOOKUP(A871,[18]Sheet1!$A:$M,7,0)</f>
        <v>200</v>
      </c>
      <c r="U871" s="4">
        <f>VLOOKUP(A871,[18]Sheet1!$A:$M,8,0)</f>
        <v>200</v>
      </c>
      <c r="V871" s="4">
        <f>VLOOKUP(A871,[18]Sheet1!$A:$M,9,0)</f>
        <v>100</v>
      </c>
      <c r="W871" s="4">
        <f>VLOOKUP(A871,[18]Sheet1!$A:$M,10,0)</f>
        <v>200</v>
      </c>
      <c r="X871" s="4">
        <f>VLOOKUP(A871,[18]Sheet1!$A:$M,11,0)</f>
        <v>100</v>
      </c>
      <c r="Y871" s="4">
        <f>VLOOKUP(A871,[18]Sheet1!$A:$M,12,0)</f>
        <v>100</v>
      </c>
      <c r="Z871" s="4">
        <f>VLOOKUP(A871,[18]Sheet1!$A:$M,13,0)</f>
        <v>100</v>
      </c>
      <c r="AA871" s="4">
        <f t="shared" si="270"/>
        <v>1500</v>
      </c>
      <c r="AB871" s="7">
        <f t="shared" si="271"/>
        <v>125</v>
      </c>
      <c r="AC871" s="15">
        <f t="shared" si="272"/>
        <v>125</v>
      </c>
      <c r="AD871" s="16">
        <f t="shared" si="276"/>
        <v>26234.999999999996</v>
      </c>
      <c r="AE871" s="16">
        <f t="shared" si="277"/>
        <v>2186.25</v>
      </c>
      <c r="AF871" s="21">
        <v>7.71</v>
      </c>
      <c r="AG871" s="21">
        <v>17.489999999999998</v>
      </c>
      <c r="AH871" s="15">
        <f t="shared" si="278"/>
        <v>-0.11426666666666679</v>
      </c>
      <c r="AI871" s="15">
        <f t="shared" si="279"/>
        <v>-0.3999333333333337</v>
      </c>
      <c r="AJ871" s="10">
        <v>0.5</v>
      </c>
      <c r="AK871" s="10">
        <v>0.5</v>
      </c>
      <c r="AL871" s="21">
        <v>7.71</v>
      </c>
      <c r="AM871" s="9">
        <f t="shared" si="280"/>
        <v>2.6234999999999995</v>
      </c>
      <c r="AN871" s="9">
        <f t="shared" si="281"/>
        <v>0.52469999999999994</v>
      </c>
      <c r="AO871" s="9">
        <f t="shared" si="282"/>
        <v>3.4979999999999998</v>
      </c>
      <c r="AP871" s="9">
        <f t="shared" si="283"/>
        <v>0.3498</v>
      </c>
      <c r="AQ871" s="9">
        <f t="shared" si="284"/>
        <v>3.4979999999999998</v>
      </c>
      <c r="AR871" s="9">
        <f t="shared" si="285"/>
        <v>4.3724999999999996</v>
      </c>
      <c r="AS871" s="11">
        <f t="shared" si="286"/>
        <v>-1.1426666666666678</v>
      </c>
      <c r="AT871" s="12">
        <f t="shared" si="287"/>
        <v>-1.7256666666666678</v>
      </c>
    </row>
    <row r="872" spans="1:46" ht="16.5" x14ac:dyDescent="0.4">
      <c r="A872" s="4" t="s">
        <v>3913</v>
      </c>
      <c r="B872" s="4" t="s">
        <v>3927</v>
      </c>
      <c r="C872" s="4" t="s">
        <v>3927</v>
      </c>
      <c r="D872" s="4" t="s">
        <v>3943</v>
      </c>
      <c r="E872" s="4" t="s">
        <v>3966</v>
      </c>
      <c r="F872" s="4" t="s">
        <v>3989</v>
      </c>
      <c r="G872" s="7" t="str">
        <f>VLOOKUP(A872,[1]done!$A:$I,9,0)</f>
        <v>All Other products</v>
      </c>
      <c r="H872" s="7" t="str" cm="1">
        <f t="array" ref="H872">_xlfn.IFS(
OR(ISNUMBER(SEARCH("mouse",E872)),ISNUMBER(SEARCH("rat",E872)),ISNUMBER(SEARCH("mice",E872)),ISNUMBER(SEARCH("rodent",E872))),"Rodent Control",
OR(ISNUMBER(SEARCH("fly",E872)),ISNUMBER(SEARCH("gnat",E872)),ISNUMBER(SEARCH("insect",E872)),ISNUMBER(SEARCH("mosquito",E872))),"Flying Insect Control",
OR(ISNUMBER(SEARCH("roach",E872)),ISNUMBER(SEARCH("ant",E872)),ISNUMBER(SEARCH("spider",E872)),ISNUMBER(SEARCH("cricket",E872)),ISNUMBER(SEARCH("scorpion",E872)),ISNUMBER(SEARCH("centipede",E872)),ISNUMBER(SEARCH("beetle",E872))),"Crawling Insect Control",
OR(ISNUMBER(SEARCH("tree",E872)),ISNUMBER(SEARCH("lantern",E872)),ISNUMBER(SEARCH("garden",E872)),ISNUMBER(SEARCH("plant",E872))),"Garden Pest Control",
OR(ISNUMBER(SEARCH("grass seed",E872)),ISNUMBER(SEARCH("seed mix",E872))),"Grass Seed",
OR(ISNUMBER(SEARCH("lawn food",E872)),ISNUMBER(SEARCH("fertilizer",E872))),"Lawn Fertilizer",
OR(ISNUMBER(SEARCH("patch",E872)),ISNUMBER(SEARCH("repair",E872)),ISNUMBER(SEARCH("thick'r",E872)),ISNUMBER(SEARCH("thick'r lawn",E872)),ISNUMBER(SEARCH("rapid grass",E872))),"Lawn Repair",
OR(ISNUMBER(SEARCH("weed",E872)),ISNUMBER(SEARCH("crabgrass",E872))),"Weed Control",
OR(ISNUMBER(SEARCH("fungicide",E872)),ISNUMBER(SEARCH("moss",E872))),"Disease &amp; Moss Control",
OR(ISNUMBER(SEARCH("plant food",E872)),ISNUMBER(SEARCH("miracid",E872))),"Plant Nutrition",
OR(ISNUMBER(SEARCH("perlite",E872))),"Soil Amendment",
OR(ISNUMBER(SEARCH("spreader",E872)),ISNUMBER(SEARCH("sprayer",E872)),ISNUMBER(SEARCH("mower",E872)),ISNUMBER(SEARCH("sweeper",E872)),ISNUMBER(SEARCH("pruner",E872)),ISNUMBER(SEARCH("trimmer",E872)),ISNUMBER(SEARCH("pole saw",E872))),"Garden Equipment",
TRUE,"Other"
)</f>
        <v>Other</v>
      </c>
      <c r="I872" s="7" t="str" cm="1">
        <f t="array" ref="I872">_xlfn.IFS(
OR(ISNUMBER(SEARCH("glue trap",E872)),ISNUMBER(SEARCH("glue board",E872))),"Glue Traps",
OR(ISNUMBER(SEARCH("snap trap",E872)),ISNUMBER(SEARCH("power-kill",E872)),ISNUMBER(SEARCH("wide pedal",E872)),ISNUMBER(SEARCH("metal pedal",E872))),"Snap Traps",
OR(ISNUMBER(SEARCH("electronic",E872)),ISNUMBER(SEARCH("zapper",E872))),"Electronic Traps",
OR(ISNUMBER(SEARCH("live catch",E872)),ISNUMBER(SEARCH("multi-catch",E872)),ISNUMBER(SEARCH("catch &amp; hold",E872)),ISNUMBER(SEARCH("tin cat",E872))),"Live Catch Traps",
OR(ISNUMBER(SEARCH("bait",E872)),ISNUMBER(SEARCH("poison",E872))),"Bait &amp; Poison",
ISNUMBER(SEARCH("repellent",E872)),"Repellents",
OR(ISNUMBER(SEARCH("fly trap",E872)),ISNUMBER(SEARCH("fly ribbon",E872)),ISNUMBER(SEARCH("fly stick",E872)),ISNUMBER(SEARCH("window fly",E872)),ISNUMBER(SEARCH("fly magnet",E872))),"Fly Traps",
OR(ISNUMBER(SEARCH("uv",E872)),ISNUMBER(SEARCH("fly light",E872)),ISNUMBER(SEARCH("plug-in",E872))),"UV Fly Traps",
ISNUMBER(SEARCH("roach",E872)),"Roach Traps",
ISNUMBER(SEARCH("ant",E872)),"Ant Traps",
ISNUMBER(SEARCH("spider",E872)),"Spider Traps",
ISNUMBER(SEARCH("mosquito",E872)),"Mosquito Traps",
ISNUMBER(SEARCH("beetle",E872)),"Beetle Traps",
ISNUMBER(SEARCH("lantern",E872)),"Lanternfly Control",
OR(ISNUMBER(SEARCH("tree shield",E872)),ISNUMBER(SEARCH("tree banding",E872)),ISNUMBER(SEARCH("insect barrier",E872))),"Tree Barriers",
OR(ISNUMBER(SEARCH("sun &amp; shade",E872)),ISNUMBER(SEARCH("sun and shade",E872))),"Sun &amp; Shade Mix",
ISNUMBER(SEARCH("tall fescue",E872)),"Tall Fescue",
ISNUMBER(SEARCH("bermudagrass",E872)),"Bermudagrass",
ISNUMBER(SEARCH("kentucky",E872)),"Kentucky Bluegrass",
ISNUMBER(SEARCH("zoysia",E872)),"Zoysia",
ISNUMBER(SEARCH("ryegrass",E872)),"Perennial Ryegrass",
ISNUMBER(SEARCH("centipede",E872)),"Centipede Grass",
ISNUMBER(SEARCH("dense shade",E872)),"Dense Shade Mix",
ISNUMBER(SEARCH("southern gold",E872)),"Southern Gold Mix",
ISNUMBER(SEARCH("heat-tolerant blue",E872)),"Heat-Tolerant Blue Mix",
ISNUMBER(SEARCH("high traffic",E872)),"High Traffic Mix",
ISNUMBER(SEARCH("quick fix",E872)),"Quick Fix Mix",
ISNUMBER(SEARCH("starter",E872)),"Starter Fertilizer",
ISNUMBER(SEARCH("weed &amp; feed",E872)),"Weed &amp; Feed",
ISNUMBER(SEARCH("lawn food",E872)),"Lawn Food",
ISNUMBER(SEARCH("triple action",E872)),"Triple Action Fertilizer",
ISNUMBER(SEARCH("green max",E872)),"Green Max Lawn Food",
ISNUMBER(SEARCH("patchmaster",E872)),"PatchMaster Repair",
ISNUMBER(SEARCH("ez seed",E872)),"EZ Seed Repair",
ISNUMBER(SEARCH("rapid grass",E872)),"Rapid Grass",
ISNUMBER(SEARCH("thick'r lawn",E872)),"Thick'R Lawn",
ISNUMBER(SEARCH("fungicide",E872)),"Fungicide",
ISNUMBER(SEARCH("moss",E872)),"Moss Control",
ISNUMBER(SEARCH("perlite",E872)),"Perlite",
ISNUMBER(SEARCH("plant food",E872)),"Plant Food",
ISNUMBER(SEARCH("spreader",E872)),"Spreader",
ISNUMBER(SEARCH("sprayer",E872)),"Sprayer",
ISNUMBER(SEARCH("mower",E872)),"Lawn Mower",
ISNUMBER(SEARCH("sweeper",E872)),"Lawn Sweeper",
OR(ISNUMBER(SEARCH("pruner",E872)),ISNUMBER(SEARCH("trimmer",E872)),ISNUMBER(SEARCH("pole saw",E872))),"Pruning Tools",
TRUE,"Other"
)</f>
        <v>Bait &amp; Poison</v>
      </c>
      <c r="J872" s="7" t="str">
        <f t="shared" si="275"/>
        <v>Other - Bait &amp; Poison</v>
      </c>
      <c r="K872" s="4">
        <v>200</v>
      </c>
      <c r="L872" s="4">
        <v>4</v>
      </c>
      <c r="M872" s="4">
        <v>889</v>
      </c>
      <c r="N872" s="4" t="s">
        <v>4006</v>
      </c>
      <c r="O872" s="4">
        <f>VLOOKUP(A872,[18]Sheet1!$A:$M,2,0)</f>
        <v>50</v>
      </c>
      <c r="P872" s="4">
        <f>VLOOKUP(A872,[18]Sheet1!$A:$M,3,0)</f>
        <v>50</v>
      </c>
      <c r="Q872" s="4">
        <f>VLOOKUP(A872,[18]Sheet1!$A:$M,4,0)</f>
        <v>100</v>
      </c>
      <c r="R872" s="4">
        <f>VLOOKUP(A872,[18]Sheet1!$A:$M,5,0)</f>
        <v>200</v>
      </c>
      <c r="S872" s="4">
        <f>VLOOKUP(A872,[18]Sheet1!$A:$M,6,0)</f>
        <v>200</v>
      </c>
      <c r="T872" s="4">
        <f>VLOOKUP(A872,[18]Sheet1!$A:$M,7,0)</f>
        <v>200</v>
      </c>
      <c r="U872" s="4">
        <f>VLOOKUP(A872,[18]Sheet1!$A:$M,8,0)</f>
        <v>300</v>
      </c>
      <c r="V872" s="4">
        <f>VLOOKUP(A872,[18]Sheet1!$A:$M,9,0)</f>
        <v>200</v>
      </c>
      <c r="W872" s="4">
        <f>VLOOKUP(A872,[18]Sheet1!$A:$M,10,0)</f>
        <v>100</v>
      </c>
      <c r="X872" s="4">
        <f>VLOOKUP(A872,[18]Sheet1!$A:$M,11,0)</f>
        <v>200</v>
      </c>
      <c r="Y872" s="4">
        <f>VLOOKUP(A872,[18]Sheet1!$A:$M,12,0)</f>
        <v>100</v>
      </c>
      <c r="Z872" s="4">
        <f>VLOOKUP(A872,[18]Sheet1!$A:$M,13,0)</f>
        <v>100</v>
      </c>
      <c r="AA872" s="4">
        <f t="shared" si="270"/>
        <v>1800</v>
      </c>
      <c r="AB872" s="7">
        <f t="shared" si="271"/>
        <v>150</v>
      </c>
      <c r="AC872" s="15">
        <f t="shared" si="272"/>
        <v>150</v>
      </c>
      <c r="AD872" s="16">
        <f t="shared" si="276"/>
        <v>70470</v>
      </c>
      <c r="AE872" s="16">
        <f t="shared" si="277"/>
        <v>5872.5</v>
      </c>
      <c r="AF872" s="21">
        <v>7.63</v>
      </c>
      <c r="AG872" s="21">
        <v>39.15</v>
      </c>
      <c r="AH872" s="15">
        <f t="shared" si="278"/>
        <v>0.46866666666666668</v>
      </c>
      <c r="AI872" s="15">
        <f t="shared" si="279"/>
        <v>1.6403333333333332</v>
      </c>
      <c r="AJ872" s="10">
        <v>0.5</v>
      </c>
      <c r="AK872" s="10">
        <v>0.5</v>
      </c>
      <c r="AL872" s="21">
        <v>7.63</v>
      </c>
      <c r="AM872" s="9">
        <f t="shared" si="280"/>
        <v>5.8724999999999996</v>
      </c>
      <c r="AN872" s="9">
        <f t="shared" si="281"/>
        <v>1.1744999999999999</v>
      </c>
      <c r="AO872" s="9">
        <f t="shared" si="282"/>
        <v>7.83</v>
      </c>
      <c r="AP872" s="9">
        <f t="shared" si="283"/>
        <v>0.78300000000000003</v>
      </c>
      <c r="AQ872" s="9">
        <f t="shared" si="284"/>
        <v>7.83</v>
      </c>
      <c r="AR872" s="9">
        <f t="shared" si="285"/>
        <v>9.7874999999999996</v>
      </c>
      <c r="AS872" s="11">
        <f t="shared" si="286"/>
        <v>4.6866666666666665</v>
      </c>
      <c r="AT872" s="12">
        <f t="shared" si="287"/>
        <v>3.3816666666666664</v>
      </c>
    </row>
    <row r="873" spans="1:46" ht="16.5" x14ac:dyDescent="0.4">
      <c r="A873" s="4" t="s">
        <v>3914</v>
      </c>
      <c r="B873" s="4" t="s">
        <v>3927</v>
      </c>
      <c r="C873" s="4" t="s">
        <v>3927</v>
      </c>
      <c r="D873" s="4" t="s">
        <v>3944</v>
      </c>
      <c r="E873" s="4" t="s">
        <v>3967</v>
      </c>
      <c r="F873" s="4" t="s">
        <v>3990</v>
      </c>
      <c r="G873" s="7" t="str">
        <f>VLOOKUP(A873,[1]done!$A:$I,9,0)</f>
        <v>All Other products</v>
      </c>
      <c r="H873" s="7" t="str" cm="1">
        <f t="array" ref="H873">_xlfn.IFS(
OR(ISNUMBER(SEARCH("mouse",E873)),ISNUMBER(SEARCH("rat",E873)),ISNUMBER(SEARCH("mice",E873)),ISNUMBER(SEARCH("rodent",E873))),"Rodent Control",
OR(ISNUMBER(SEARCH("fly",E873)),ISNUMBER(SEARCH("gnat",E873)),ISNUMBER(SEARCH("insect",E873)),ISNUMBER(SEARCH("mosquito",E873))),"Flying Insect Control",
OR(ISNUMBER(SEARCH("roach",E873)),ISNUMBER(SEARCH("ant",E873)),ISNUMBER(SEARCH("spider",E873)),ISNUMBER(SEARCH("cricket",E873)),ISNUMBER(SEARCH("scorpion",E873)),ISNUMBER(SEARCH("centipede",E873)),ISNUMBER(SEARCH("beetle",E873))),"Crawling Insect Control",
OR(ISNUMBER(SEARCH("tree",E873)),ISNUMBER(SEARCH("lantern",E873)),ISNUMBER(SEARCH("garden",E873)),ISNUMBER(SEARCH("plant",E873))),"Garden Pest Control",
OR(ISNUMBER(SEARCH("grass seed",E873)),ISNUMBER(SEARCH("seed mix",E873))),"Grass Seed",
OR(ISNUMBER(SEARCH("lawn food",E873)),ISNUMBER(SEARCH("fertilizer",E873))),"Lawn Fertilizer",
OR(ISNUMBER(SEARCH("patch",E873)),ISNUMBER(SEARCH("repair",E873)),ISNUMBER(SEARCH("thick'r",E873)),ISNUMBER(SEARCH("thick'r lawn",E873)),ISNUMBER(SEARCH("rapid grass",E873))),"Lawn Repair",
OR(ISNUMBER(SEARCH("weed",E873)),ISNUMBER(SEARCH("crabgrass",E873))),"Weed Control",
OR(ISNUMBER(SEARCH("fungicide",E873)),ISNUMBER(SEARCH("moss",E873))),"Disease &amp; Moss Control",
OR(ISNUMBER(SEARCH("plant food",E873)),ISNUMBER(SEARCH("miracid",E873))),"Plant Nutrition",
OR(ISNUMBER(SEARCH("perlite",E873))),"Soil Amendment",
OR(ISNUMBER(SEARCH("spreader",E873)),ISNUMBER(SEARCH("sprayer",E873)),ISNUMBER(SEARCH("mower",E873)),ISNUMBER(SEARCH("sweeper",E873)),ISNUMBER(SEARCH("pruner",E873)),ISNUMBER(SEARCH("trimmer",E873)),ISNUMBER(SEARCH("pole saw",E873))),"Garden Equipment",
TRUE,"Other"
)</f>
        <v>Flying Insect Control</v>
      </c>
      <c r="I873" s="7" t="str" cm="1">
        <f t="array" ref="I873">_xlfn.IFS(
OR(ISNUMBER(SEARCH("glue trap",E873)),ISNUMBER(SEARCH("glue board",E873))),"Glue Traps",
OR(ISNUMBER(SEARCH("snap trap",E873)),ISNUMBER(SEARCH("power-kill",E873)),ISNUMBER(SEARCH("wide pedal",E873)),ISNUMBER(SEARCH("metal pedal",E873))),"Snap Traps",
OR(ISNUMBER(SEARCH("electronic",E873)),ISNUMBER(SEARCH("zapper",E873))),"Electronic Traps",
OR(ISNUMBER(SEARCH("live catch",E873)),ISNUMBER(SEARCH("multi-catch",E873)),ISNUMBER(SEARCH("catch &amp; hold",E873)),ISNUMBER(SEARCH("tin cat",E873))),"Live Catch Traps",
OR(ISNUMBER(SEARCH("bait",E873)),ISNUMBER(SEARCH("poison",E873))),"Bait &amp; Poison",
ISNUMBER(SEARCH("repellent",E873)),"Repellents",
OR(ISNUMBER(SEARCH("fly trap",E873)),ISNUMBER(SEARCH("fly ribbon",E873)),ISNUMBER(SEARCH("fly stick",E873)),ISNUMBER(SEARCH("window fly",E873)),ISNUMBER(SEARCH("fly magnet",E873))),"Fly Traps",
OR(ISNUMBER(SEARCH("uv",E873)),ISNUMBER(SEARCH("fly light",E873)),ISNUMBER(SEARCH("plug-in",E873))),"UV Fly Traps",
ISNUMBER(SEARCH("roach",E873)),"Roach Traps",
ISNUMBER(SEARCH("ant",E873)),"Ant Traps",
ISNUMBER(SEARCH("spider",E873)),"Spider Traps",
ISNUMBER(SEARCH("mosquito",E873)),"Mosquito Traps",
ISNUMBER(SEARCH("beetle",E873)),"Beetle Traps",
ISNUMBER(SEARCH("lantern",E873)),"Lanternfly Control",
OR(ISNUMBER(SEARCH("tree shield",E873)),ISNUMBER(SEARCH("tree banding",E873)),ISNUMBER(SEARCH("insect barrier",E873))),"Tree Barriers",
OR(ISNUMBER(SEARCH("sun &amp; shade",E873)),ISNUMBER(SEARCH("sun and shade",E873))),"Sun &amp; Shade Mix",
ISNUMBER(SEARCH("tall fescue",E873)),"Tall Fescue",
ISNUMBER(SEARCH("bermudagrass",E873)),"Bermudagrass",
ISNUMBER(SEARCH("kentucky",E873)),"Kentucky Bluegrass",
ISNUMBER(SEARCH("zoysia",E873)),"Zoysia",
ISNUMBER(SEARCH("ryegrass",E873)),"Perennial Ryegrass",
ISNUMBER(SEARCH("centipede",E873)),"Centipede Grass",
ISNUMBER(SEARCH("dense shade",E873)),"Dense Shade Mix",
ISNUMBER(SEARCH("southern gold",E873)),"Southern Gold Mix",
ISNUMBER(SEARCH("heat-tolerant blue",E873)),"Heat-Tolerant Blue Mix",
ISNUMBER(SEARCH("high traffic",E873)),"High Traffic Mix",
ISNUMBER(SEARCH("quick fix",E873)),"Quick Fix Mix",
ISNUMBER(SEARCH("starter",E873)),"Starter Fertilizer",
ISNUMBER(SEARCH("weed &amp; feed",E873)),"Weed &amp; Feed",
ISNUMBER(SEARCH("lawn food",E873)),"Lawn Food",
ISNUMBER(SEARCH("triple action",E873)),"Triple Action Fertilizer",
ISNUMBER(SEARCH("green max",E873)),"Green Max Lawn Food",
ISNUMBER(SEARCH("patchmaster",E873)),"PatchMaster Repair",
ISNUMBER(SEARCH("ez seed",E873)),"EZ Seed Repair",
ISNUMBER(SEARCH("rapid grass",E873)),"Rapid Grass",
ISNUMBER(SEARCH("thick'r lawn",E873)),"Thick'R Lawn",
ISNUMBER(SEARCH("fungicide",E873)),"Fungicide",
ISNUMBER(SEARCH("moss",E873)),"Moss Control",
ISNUMBER(SEARCH("perlite",E873)),"Perlite",
ISNUMBER(SEARCH("plant food",E873)),"Plant Food",
ISNUMBER(SEARCH("spreader",E873)),"Spreader",
ISNUMBER(SEARCH("sprayer",E873)),"Sprayer",
ISNUMBER(SEARCH("mower",E873)),"Lawn Mower",
ISNUMBER(SEARCH("sweeper",E873)),"Lawn Sweeper",
OR(ISNUMBER(SEARCH("pruner",E873)),ISNUMBER(SEARCH("trimmer",E873)),ISNUMBER(SEARCH("pole saw",E873))),"Pruning Tools",
TRUE,"Other"
)</f>
        <v>Other</v>
      </c>
      <c r="J873" s="7" t="str">
        <f t="shared" si="275"/>
        <v>Flying Insect Control - Other</v>
      </c>
      <c r="K873" s="4">
        <v>200</v>
      </c>
      <c r="L873" s="4">
        <v>4.4000000000000004</v>
      </c>
      <c r="M873" s="4">
        <v>202</v>
      </c>
      <c r="N873" s="4" t="s">
        <v>4007</v>
      </c>
      <c r="O873" s="4">
        <f>VLOOKUP(A873,[18]Sheet1!$A:$M,2,0)</f>
        <v>0</v>
      </c>
      <c r="P873" s="4">
        <f>VLOOKUP(A873,[18]Sheet1!$A:$M,3,0)</f>
        <v>0</v>
      </c>
      <c r="Q873" s="4">
        <f>VLOOKUP(A873,[18]Sheet1!$A:$M,4,0)</f>
        <v>100</v>
      </c>
      <c r="R873" s="4">
        <f>VLOOKUP(A873,[18]Sheet1!$A:$M,5,0)</f>
        <v>200</v>
      </c>
      <c r="S873" s="4">
        <f>VLOOKUP(A873,[18]Sheet1!$A:$M,6,0)</f>
        <v>200</v>
      </c>
      <c r="T873" s="4">
        <f>VLOOKUP(A873,[18]Sheet1!$A:$M,7,0)</f>
        <v>600</v>
      </c>
      <c r="U873" s="4">
        <f>VLOOKUP(A873,[18]Sheet1!$A:$M,8,0)</f>
        <v>300</v>
      </c>
      <c r="V873" s="4">
        <f>VLOOKUP(A873,[18]Sheet1!$A:$M,9,0)</f>
        <v>300</v>
      </c>
      <c r="W873" s="4">
        <f>VLOOKUP(A873,[18]Sheet1!$A:$M,10,0)</f>
        <v>100</v>
      </c>
      <c r="X873" s="4">
        <f>VLOOKUP(A873,[18]Sheet1!$A:$M,11,0)</f>
        <v>100</v>
      </c>
      <c r="Y873" s="4">
        <f>VLOOKUP(A873,[18]Sheet1!$A:$M,12,0)</f>
        <v>50</v>
      </c>
      <c r="Z873" s="4">
        <f>VLOOKUP(A873,[18]Sheet1!$A:$M,13,0)</f>
        <v>0</v>
      </c>
      <c r="AA873" s="4">
        <f t="shared" si="270"/>
        <v>1950</v>
      </c>
      <c r="AB873" s="7">
        <f t="shared" si="271"/>
        <v>163</v>
      </c>
      <c r="AC873" s="15">
        <f t="shared" si="272"/>
        <v>162.5</v>
      </c>
      <c r="AD873" s="16">
        <f t="shared" si="276"/>
        <v>68211</v>
      </c>
      <c r="AE873" s="16">
        <f t="shared" si="277"/>
        <v>5684.2499999999991</v>
      </c>
      <c r="AF873" s="21">
        <v>8.6999999999999993</v>
      </c>
      <c r="AG873" s="21">
        <v>34.979999999999997</v>
      </c>
      <c r="AH873" s="15">
        <f t="shared" si="278"/>
        <v>0.28613333333333313</v>
      </c>
      <c r="AI873" s="15">
        <f t="shared" si="279"/>
        <v>1.0014666666666658</v>
      </c>
      <c r="AJ873" s="10">
        <v>0.5</v>
      </c>
      <c r="AK873" s="10">
        <v>0.5</v>
      </c>
      <c r="AL873" s="21">
        <v>8.6999999999999993</v>
      </c>
      <c r="AM873" s="9">
        <f t="shared" si="280"/>
        <v>5.246999999999999</v>
      </c>
      <c r="AN873" s="9">
        <f t="shared" si="281"/>
        <v>1.0493999999999999</v>
      </c>
      <c r="AO873" s="9">
        <f t="shared" si="282"/>
        <v>6.9959999999999996</v>
      </c>
      <c r="AP873" s="9">
        <f t="shared" si="283"/>
        <v>0.6996</v>
      </c>
      <c r="AQ873" s="9">
        <f t="shared" si="284"/>
        <v>6.9959999999999996</v>
      </c>
      <c r="AR873" s="9">
        <f t="shared" si="285"/>
        <v>8.7449999999999992</v>
      </c>
      <c r="AS873" s="11">
        <f t="shared" si="286"/>
        <v>2.8613333333333313</v>
      </c>
      <c r="AT873" s="12">
        <f t="shared" si="287"/>
        <v>1.6953333333333316</v>
      </c>
    </row>
    <row r="874" spans="1:46" ht="16.5" x14ac:dyDescent="0.4">
      <c r="A874" s="4" t="s">
        <v>3915</v>
      </c>
      <c r="B874" s="4" t="s">
        <v>3927</v>
      </c>
      <c r="C874" s="4" t="s">
        <v>3929</v>
      </c>
      <c r="D874" s="4" t="s">
        <v>3945</v>
      </c>
      <c r="E874" s="4" t="s">
        <v>3968</v>
      </c>
      <c r="F874" s="4" t="s">
        <v>3991</v>
      </c>
      <c r="G874" s="7" t="str">
        <f>VLOOKUP(A874,[1]done!$A:$I,9,0)</f>
        <v>All Other products</v>
      </c>
      <c r="H874" s="7" t="str" cm="1">
        <f t="array" ref="H874">_xlfn.IFS(
OR(ISNUMBER(SEARCH("mouse",E874)),ISNUMBER(SEARCH("rat",E874)),ISNUMBER(SEARCH("mice",E874)),ISNUMBER(SEARCH("rodent",E874))),"Rodent Control",
OR(ISNUMBER(SEARCH("fly",E874)),ISNUMBER(SEARCH("gnat",E874)),ISNUMBER(SEARCH("insect",E874)),ISNUMBER(SEARCH("mosquito",E874))),"Flying Insect Control",
OR(ISNUMBER(SEARCH("roach",E874)),ISNUMBER(SEARCH("ant",E874)),ISNUMBER(SEARCH("spider",E874)),ISNUMBER(SEARCH("cricket",E874)),ISNUMBER(SEARCH("scorpion",E874)),ISNUMBER(SEARCH("centipede",E874)),ISNUMBER(SEARCH("beetle",E874))),"Crawling Insect Control",
OR(ISNUMBER(SEARCH("tree",E874)),ISNUMBER(SEARCH("lantern",E874)),ISNUMBER(SEARCH("garden",E874)),ISNUMBER(SEARCH("plant",E874))),"Garden Pest Control",
OR(ISNUMBER(SEARCH("grass seed",E874)),ISNUMBER(SEARCH("seed mix",E874))),"Grass Seed",
OR(ISNUMBER(SEARCH("lawn food",E874)),ISNUMBER(SEARCH("fertilizer",E874))),"Lawn Fertilizer",
OR(ISNUMBER(SEARCH("patch",E874)),ISNUMBER(SEARCH("repair",E874)),ISNUMBER(SEARCH("thick'r",E874)),ISNUMBER(SEARCH("thick'r lawn",E874)),ISNUMBER(SEARCH("rapid grass",E874))),"Lawn Repair",
OR(ISNUMBER(SEARCH("weed",E874)),ISNUMBER(SEARCH("crabgrass",E874))),"Weed Control",
OR(ISNUMBER(SEARCH("fungicide",E874)),ISNUMBER(SEARCH("moss",E874))),"Disease &amp; Moss Control",
OR(ISNUMBER(SEARCH("plant food",E874)),ISNUMBER(SEARCH("miracid",E874))),"Plant Nutrition",
OR(ISNUMBER(SEARCH("perlite",E874))),"Soil Amendment",
OR(ISNUMBER(SEARCH("spreader",E874)),ISNUMBER(SEARCH("sprayer",E874)),ISNUMBER(SEARCH("mower",E874)),ISNUMBER(SEARCH("sweeper",E874)),ISNUMBER(SEARCH("pruner",E874)),ISNUMBER(SEARCH("trimmer",E874)),ISNUMBER(SEARCH("pole saw",E874))),"Garden Equipment",
TRUE,"Other"
)</f>
        <v>Other</v>
      </c>
      <c r="I874" s="7" t="str" cm="1">
        <f t="array" ref="I874">_xlfn.IFS(
OR(ISNUMBER(SEARCH("glue trap",E874)),ISNUMBER(SEARCH("glue board",E874))),"Glue Traps",
OR(ISNUMBER(SEARCH("snap trap",E874)),ISNUMBER(SEARCH("power-kill",E874)),ISNUMBER(SEARCH("wide pedal",E874)),ISNUMBER(SEARCH("metal pedal",E874))),"Snap Traps",
OR(ISNUMBER(SEARCH("electronic",E874)),ISNUMBER(SEARCH("zapper",E874))),"Electronic Traps",
OR(ISNUMBER(SEARCH("live catch",E874)),ISNUMBER(SEARCH("multi-catch",E874)),ISNUMBER(SEARCH("catch &amp; hold",E874)),ISNUMBER(SEARCH("tin cat",E874))),"Live Catch Traps",
OR(ISNUMBER(SEARCH("bait",E874)),ISNUMBER(SEARCH("poison",E874))),"Bait &amp; Poison",
ISNUMBER(SEARCH("repellent",E874)),"Repellents",
OR(ISNUMBER(SEARCH("fly trap",E874)),ISNUMBER(SEARCH("fly ribbon",E874)),ISNUMBER(SEARCH("fly stick",E874)),ISNUMBER(SEARCH("window fly",E874)),ISNUMBER(SEARCH("fly magnet",E874))),"Fly Traps",
OR(ISNUMBER(SEARCH("uv",E874)),ISNUMBER(SEARCH("fly light",E874)),ISNUMBER(SEARCH("plug-in",E874))),"UV Fly Traps",
ISNUMBER(SEARCH("roach",E874)),"Roach Traps",
ISNUMBER(SEARCH("ant",E874)),"Ant Traps",
ISNUMBER(SEARCH("spider",E874)),"Spider Traps",
ISNUMBER(SEARCH("mosquito",E874)),"Mosquito Traps",
ISNUMBER(SEARCH("beetle",E874)),"Beetle Traps",
ISNUMBER(SEARCH("lantern",E874)),"Lanternfly Control",
OR(ISNUMBER(SEARCH("tree shield",E874)),ISNUMBER(SEARCH("tree banding",E874)),ISNUMBER(SEARCH("insect barrier",E874))),"Tree Barriers",
OR(ISNUMBER(SEARCH("sun &amp; shade",E874)),ISNUMBER(SEARCH("sun and shade",E874))),"Sun &amp; Shade Mix",
ISNUMBER(SEARCH("tall fescue",E874)),"Tall Fescue",
ISNUMBER(SEARCH("bermudagrass",E874)),"Bermudagrass",
ISNUMBER(SEARCH("kentucky",E874)),"Kentucky Bluegrass",
ISNUMBER(SEARCH("zoysia",E874)),"Zoysia",
ISNUMBER(SEARCH("ryegrass",E874)),"Perennial Ryegrass",
ISNUMBER(SEARCH("centipede",E874)),"Centipede Grass",
ISNUMBER(SEARCH("dense shade",E874)),"Dense Shade Mix",
ISNUMBER(SEARCH("southern gold",E874)),"Southern Gold Mix",
ISNUMBER(SEARCH("heat-tolerant blue",E874)),"Heat-Tolerant Blue Mix",
ISNUMBER(SEARCH("high traffic",E874)),"High Traffic Mix",
ISNUMBER(SEARCH("quick fix",E874)),"Quick Fix Mix",
ISNUMBER(SEARCH("starter",E874)),"Starter Fertilizer",
ISNUMBER(SEARCH("weed &amp; feed",E874)),"Weed &amp; Feed",
ISNUMBER(SEARCH("lawn food",E874)),"Lawn Food",
ISNUMBER(SEARCH("triple action",E874)),"Triple Action Fertilizer",
ISNUMBER(SEARCH("green max",E874)),"Green Max Lawn Food",
ISNUMBER(SEARCH("patchmaster",E874)),"PatchMaster Repair",
ISNUMBER(SEARCH("ez seed",E874)),"EZ Seed Repair",
ISNUMBER(SEARCH("rapid grass",E874)),"Rapid Grass",
ISNUMBER(SEARCH("thick'r lawn",E874)),"Thick'R Lawn",
ISNUMBER(SEARCH("fungicide",E874)),"Fungicide",
ISNUMBER(SEARCH("moss",E874)),"Moss Control",
ISNUMBER(SEARCH("perlite",E874)),"Perlite",
ISNUMBER(SEARCH("plant food",E874)),"Plant Food",
ISNUMBER(SEARCH("spreader",E874)),"Spreader",
ISNUMBER(SEARCH("sprayer",E874)),"Sprayer",
ISNUMBER(SEARCH("mower",E874)),"Lawn Mower",
ISNUMBER(SEARCH("sweeper",E874)),"Lawn Sweeper",
OR(ISNUMBER(SEARCH("pruner",E874)),ISNUMBER(SEARCH("trimmer",E874)),ISNUMBER(SEARCH("pole saw",E874))),"Pruning Tools",
TRUE,"Other"
)</f>
        <v>Other</v>
      </c>
      <c r="J874" s="7" t="str">
        <f t="shared" si="275"/>
        <v>Other - Other</v>
      </c>
      <c r="K874" s="4">
        <v>100</v>
      </c>
      <c r="L874" s="4">
        <v>3.3</v>
      </c>
      <c r="M874" s="4">
        <v>592</v>
      </c>
      <c r="N874" s="4" t="s">
        <v>4008</v>
      </c>
      <c r="O874" s="4">
        <f>VLOOKUP(A874,[18]Sheet1!$A:$M,2,0)</f>
        <v>100</v>
      </c>
      <c r="P874" s="4">
        <f>VLOOKUP(A874,[18]Sheet1!$A:$M,3,0)</f>
        <v>100</v>
      </c>
      <c r="Q874" s="4">
        <f>VLOOKUP(A874,[18]Sheet1!$A:$M,4,0)</f>
        <v>200</v>
      </c>
      <c r="R874" s="4">
        <f>VLOOKUP(A874,[18]Sheet1!$A:$M,5,0)</f>
        <v>200</v>
      </c>
      <c r="S874" s="4">
        <f>VLOOKUP(A874,[18]Sheet1!$A:$M,6,0)</f>
        <v>200</v>
      </c>
      <c r="T874" s="4">
        <f>VLOOKUP(A874,[18]Sheet1!$A:$M,7,0)</f>
        <v>200</v>
      </c>
      <c r="U874" s="4">
        <f>VLOOKUP(A874,[18]Sheet1!$A:$M,8,0)</f>
        <v>200</v>
      </c>
      <c r="V874" s="4">
        <f>VLOOKUP(A874,[18]Sheet1!$A:$M,9,0)</f>
        <v>200</v>
      </c>
      <c r="W874" s="4">
        <f>VLOOKUP(A874,[18]Sheet1!$A:$M,10,0)</f>
        <v>100</v>
      </c>
      <c r="X874" s="4">
        <f>VLOOKUP(A874,[18]Sheet1!$A:$M,11,0)</f>
        <v>200</v>
      </c>
      <c r="Y874" s="4">
        <f>VLOOKUP(A874,[18]Sheet1!$A:$M,12,0)</f>
        <v>200</v>
      </c>
      <c r="Z874" s="4">
        <f>VLOOKUP(A874,[18]Sheet1!$A:$M,13,0)</f>
        <v>200</v>
      </c>
      <c r="AA874" s="4">
        <f t="shared" si="270"/>
        <v>2100</v>
      </c>
      <c r="AB874" s="7">
        <f t="shared" si="271"/>
        <v>175</v>
      </c>
      <c r="AC874" s="15">
        <f t="shared" si="272"/>
        <v>175</v>
      </c>
      <c r="AD874" s="16">
        <f t="shared" si="276"/>
        <v>37779</v>
      </c>
      <c r="AE874" s="16">
        <f t="shared" si="277"/>
        <v>3148.2499999999995</v>
      </c>
      <c r="AF874" s="21">
        <v>4.09</v>
      </c>
      <c r="AG874" s="21">
        <v>17.989999999999998</v>
      </c>
      <c r="AH874" s="15">
        <f t="shared" si="278"/>
        <v>0.14039999999999994</v>
      </c>
      <c r="AI874" s="15">
        <f t="shared" si="279"/>
        <v>0.49139999999999973</v>
      </c>
      <c r="AJ874" s="10">
        <v>0.5</v>
      </c>
      <c r="AK874" s="10">
        <v>0.5</v>
      </c>
      <c r="AL874" s="21">
        <v>4.09</v>
      </c>
      <c r="AM874" s="9">
        <f t="shared" si="280"/>
        <v>2.6984999999999997</v>
      </c>
      <c r="AN874" s="9">
        <f t="shared" si="281"/>
        <v>0.53969999999999996</v>
      </c>
      <c r="AO874" s="9">
        <f t="shared" si="282"/>
        <v>3.5979999999999999</v>
      </c>
      <c r="AP874" s="9">
        <f t="shared" si="283"/>
        <v>0.35979999999999995</v>
      </c>
      <c r="AQ874" s="9">
        <f t="shared" si="284"/>
        <v>3.5979999999999999</v>
      </c>
      <c r="AR874" s="9">
        <f t="shared" si="285"/>
        <v>4.4974999999999996</v>
      </c>
      <c r="AS874" s="11">
        <f t="shared" si="286"/>
        <v>1.4039999999999992</v>
      </c>
      <c r="AT874" s="12">
        <f t="shared" si="287"/>
        <v>0.80433333333333279</v>
      </c>
    </row>
    <row r="875" spans="1:46" ht="16.5" x14ac:dyDescent="0.4">
      <c r="A875" s="4" t="s">
        <v>3916</v>
      </c>
      <c r="B875" s="4" t="s">
        <v>3927</v>
      </c>
      <c r="C875" s="4" t="s">
        <v>2718</v>
      </c>
      <c r="D875" s="4" t="s">
        <v>3946</v>
      </c>
      <c r="E875" s="4" t="s">
        <v>3969</v>
      </c>
      <c r="F875" s="4" t="s">
        <v>3992</v>
      </c>
      <c r="G875" s="7" t="str">
        <f>VLOOKUP(A875,[1]done!$A:$I,9,0)</f>
        <v>Rodent</v>
      </c>
      <c r="H875" s="7" t="str" cm="1">
        <f t="array" ref="H875">_xlfn.IFS(
OR(ISNUMBER(SEARCH("mouse",E875)),ISNUMBER(SEARCH("rat",E875)),ISNUMBER(SEARCH("mice",E875)),ISNUMBER(SEARCH("rodent",E875))),"Rodent Control",
OR(ISNUMBER(SEARCH("fly",E875)),ISNUMBER(SEARCH("gnat",E875)),ISNUMBER(SEARCH("insect",E875)),ISNUMBER(SEARCH("mosquito",E875))),"Flying Insect Control",
OR(ISNUMBER(SEARCH("roach",E875)),ISNUMBER(SEARCH("ant",E875)),ISNUMBER(SEARCH("spider",E875)),ISNUMBER(SEARCH("cricket",E875)),ISNUMBER(SEARCH("scorpion",E875)),ISNUMBER(SEARCH("centipede",E875)),ISNUMBER(SEARCH("beetle",E875))),"Crawling Insect Control",
OR(ISNUMBER(SEARCH("tree",E875)),ISNUMBER(SEARCH("lantern",E875)),ISNUMBER(SEARCH("garden",E875)),ISNUMBER(SEARCH("plant",E875))),"Garden Pest Control",
OR(ISNUMBER(SEARCH("grass seed",E875)),ISNUMBER(SEARCH("seed mix",E875))),"Grass Seed",
OR(ISNUMBER(SEARCH("lawn food",E875)),ISNUMBER(SEARCH("fertilizer",E875))),"Lawn Fertilizer",
OR(ISNUMBER(SEARCH("patch",E875)),ISNUMBER(SEARCH("repair",E875)),ISNUMBER(SEARCH("thick'r",E875)),ISNUMBER(SEARCH("thick'r lawn",E875)),ISNUMBER(SEARCH("rapid grass",E875))),"Lawn Repair",
OR(ISNUMBER(SEARCH("weed",E875)),ISNUMBER(SEARCH("crabgrass",E875))),"Weed Control",
OR(ISNUMBER(SEARCH("fungicide",E875)),ISNUMBER(SEARCH("moss",E875))),"Disease &amp; Moss Control",
OR(ISNUMBER(SEARCH("plant food",E875)),ISNUMBER(SEARCH("miracid",E875))),"Plant Nutrition",
OR(ISNUMBER(SEARCH("perlite",E875))),"Soil Amendment",
OR(ISNUMBER(SEARCH("spreader",E875)),ISNUMBER(SEARCH("sprayer",E875)),ISNUMBER(SEARCH("mower",E875)),ISNUMBER(SEARCH("sweeper",E875)),ISNUMBER(SEARCH("pruner",E875)),ISNUMBER(SEARCH("trimmer",E875)),ISNUMBER(SEARCH("pole saw",E875))),"Garden Equipment",
TRUE,"Other"
)</f>
        <v>Rodent Control</v>
      </c>
      <c r="I875" s="7" t="str" cm="1">
        <f t="array" ref="I875">_xlfn.IFS(
OR(ISNUMBER(SEARCH("glue trap",E875)),ISNUMBER(SEARCH("glue board",E875))),"Glue Traps",
OR(ISNUMBER(SEARCH("snap trap",E875)),ISNUMBER(SEARCH("power-kill",E875)),ISNUMBER(SEARCH("wide pedal",E875)),ISNUMBER(SEARCH("metal pedal",E875))),"Snap Traps",
OR(ISNUMBER(SEARCH("electronic",E875)),ISNUMBER(SEARCH("zapper",E875))),"Electronic Traps",
OR(ISNUMBER(SEARCH("live catch",E875)),ISNUMBER(SEARCH("multi-catch",E875)),ISNUMBER(SEARCH("catch &amp; hold",E875)),ISNUMBER(SEARCH("tin cat",E875))),"Live Catch Traps",
OR(ISNUMBER(SEARCH("bait",E875)),ISNUMBER(SEARCH("poison",E875))),"Bait &amp; Poison",
ISNUMBER(SEARCH("repellent",E875)),"Repellents",
OR(ISNUMBER(SEARCH("fly trap",E875)),ISNUMBER(SEARCH("fly ribbon",E875)),ISNUMBER(SEARCH("fly stick",E875)),ISNUMBER(SEARCH("window fly",E875)),ISNUMBER(SEARCH("fly magnet",E875))),"Fly Traps",
OR(ISNUMBER(SEARCH("uv",E875)),ISNUMBER(SEARCH("fly light",E875)),ISNUMBER(SEARCH("plug-in",E875))),"UV Fly Traps",
ISNUMBER(SEARCH("roach",E875)),"Roach Traps",
ISNUMBER(SEARCH("ant",E875)),"Ant Traps",
ISNUMBER(SEARCH("spider",E875)),"Spider Traps",
ISNUMBER(SEARCH("mosquito",E875)),"Mosquito Traps",
ISNUMBER(SEARCH("beetle",E875)),"Beetle Traps",
ISNUMBER(SEARCH("lantern",E875)),"Lanternfly Control",
OR(ISNUMBER(SEARCH("tree shield",E875)),ISNUMBER(SEARCH("tree banding",E875)),ISNUMBER(SEARCH("insect barrier",E875))),"Tree Barriers",
OR(ISNUMBER(SEARCH("sun &amp; shade",E875)),ISNUMBER(SEARCH("sun and shade",E875))),"Sun &amp; Shade Mix",
ISNUMBER(SEARCH("tall fescue",E875)),"Tall Fescue",
ISNUMBER(SEARCH("bermudagrass",E875)),"Bermudagrass",
ISNUMBER(SEARCH("kentucky",E875)),"Kentucky Bluegrass",
ISNUMBER(SEARCH("zoysia",E875)),"Zoysia",
ISNUMBER(SEARCH("ryegrass",E875)),"Perennial Ryegrass",
ISNUMBER(SEARCH("centipede",E875)),"Centipede Grass",
ISNUMBER(SEARCH("dense shade",E875)),"Dense Shade Mix",
ISNUMBER(SEARCH("southern gold",E875)),"Southern Gold Mix",
ISNUMBER(SEARCH("heat-tolerant blue",E875)),"Heat-Tolerant Blue Mix",
ISNUMBER(SEARCH("high traffic",E875)),"High Traffic Mix",
ISNUMBER(SEARCH("quick fix",E875)),"Quick Fix Mix",
ISNUMBER(SEARCH("starter",E875)),"Starter Fertilizer",
ISNUMBER(SEARCH("weed &amp; feed",E875)),"Weed &amp; Feed",
ISNUMBER(SEARCH("lawn food",E875)),"Lawn Food",
ISNUMBER(SEARCH("triple action",E875)),"Triple Action Fertilizer",
ISNUMBER(SEARCH("green max",E875)),"Green Max Lawn Food",
ISNUMBER(SEARCH("patchmaster",E875)),"PatchMaster Repair",
ISNUMBER(SEARCH("ez seed",E875)),"EZ Seed Repair",
ISNUMBER(SEARCH("rapid grass",E875)),"Rapid Grass",
ISNUMBER(SEARCH("thick'r lawn",E875)),"Thick'R Lawn",
ISNUMBER(SEARCH("fungicide",E875)),"Fungicide",
ISNUMBER(SEARCH("moss",E875)),"Moss Control",
ISNUMBER(SEARCH("perlite",E875)),"Perlite",
ISNUMBER(SEARCH("plant food",E875)),"Plant Food",
ISNUMBER(SEARCH("spreader",E875)),"Spreader",
ISNUMBER(SEARCH("sprayer",E875)),"Sprayer",
ISNUMBER(SEARCH("mower",E875)),"Lawn Mower",
ISNUMBER(SEARCH("sweeper",E875)),"Lawn Sweeper",
OR(ISNUMBER(SEARCH("pruner",E875)),ISNUMBER(SEARCH("trimmer",E875)),ISNUMBER(SEARCH("pole saw",E875))),"Pruning Tools",
TRUE,"Other"
)</f>
        <v>Bait &amp; Poison</v>
      </c>
      <c r="J875" s="7" t="str">
        <f t="shared" si="275"/>
        <v>Rodent Control - Bait &amp; Poison</v>
      </c>
      <c r="K875" s="4">
        <v>100</v>
      </c>
      <c r="L875" s="4">
        <v>4.4000000000000004</v>
      </c>
      <c r="M875" s="4">
        <v>608</v>
      </c>
      <c r="N875" s="4" t="s">
        <v>4009</v>
      </c>
      <c r="O875" s="4">
        <f>VLOOKUP(A875,[18]Sheet1!$A:$M,2,0)</f>
        <v>100</v>
      </c>
      <c r="P875" s="4">
        <f>VLOOKUP(A875,[18]Sheet1!$A:$M,3,0)</f>
        <v>50</v>
      </c>
      <c r="Q875" s="4">
        <f>VLOOKUP(A875,[18]Sheet1!$A:$M,4,0)</f>
        <v>50</v>
      </c>
      <c r="R875" s="4">
        <f>VLOOKUP(A875,[18]Sheet1!$A:$M,5,0)</f>
        <v>100</v>
      </c>
      <c r="S875" s="4">
        <f>VLOOKUP(A875,[18]Sheet1!$A:$M,6,0)</f>
        <v>100</v>
      </c>
      <c r="T875" s="4">
        <f>VLOOKUP(A875,[18]Sheet1!$A:$M,7,0)</f>
        <v>100</v>
      </c>
      <c r="U875" s="4">
        <f>VLOOKUP(A875,[18]Sheet1!$A:$M,8,0)</f>
        <v>100</v>
      </c>
      <c r="V875" s="4">
        <f>VLOOKUP(A875,[18]Sheet1!$A:$M,9,0)</f>
        <v>100</v>
      </c>
      <c r="W875" s="4">
        <f>VLOOKUP(A875,[18]Sheet1!$A:$M,10,0)</f>
        <v>100</v>
      </c>
      <c r="X875" s="4">
        <f>VLOOKUP(A875,[18]Sheet1!$A:$M,11,0)</f>
        <v>200</v>
      </c>
      <c r="Y875" s="4">
        <f>VLOOKUP(A875,[18]Sheet1!$A:$M,12,0)</f>
        <v>200</v>
      </c>
      <c r="Z875" s="4">
        <f>VLOOKUP(A875,[18]Sheet1!$A:$M,13,0)</f>
        <v>100</v>
      </c>
      <c r="AA875" s="4">
        <f t="shared" si="270"/>
        <v>1300</v>
      </c>
      <c r="AB875" s="7">
        <f t="shared" si="271"/>
        <v>108</v>
      </c>
      <c r="AC875" s="15">
        <f t="shared" si="272"/>
        <v>108.33333333333333</v>
      </c>
      <c r="AD875" s="16">
        <f t="shared" si="276"/>
        <v>77935</v>
      </c>
      <c r="AE875" s="16">
        <f t="shared" si="277"/>
        <v>6494.583333333333</v>
      </c>
      <c r="AF875" s="21">
        <v>9.2200000000000006</v>
      </c>
      <c r="AG875" s="21">
        <v>59.95</v>
      </c>
      <c r="AH875" s="15">
        <f t="shared" si="278"/>
        <v>0.91733333333333322</v>
      </c>
      <c r="AI875" s="15">
        <f t="shared" si="279"/>
        <v>3.2106666666666661</v>
      </c>
      <c r="AJ875" s="10">
        <v>0.5</v>
      </c>
      <c r="AK875" s="10">
        <v>0.5</v>
      </c>
      <c r="AL875" s="21">
        <v>9.2200000000000006</v>
      </c>
      <c r="AM875" s="9">
        <f t="shared" si="280"/>
        <v>8.9924999999999997</v>
      </c>
      <c r="AN875" s="9">
        <f t="shared" si="281"/>
        <v>1.7985</v>
      </c>
      <c r="AO875" s="9">
        <f t="shared" si="282"/>
        <v>11.990000000000002</v>
      </c>
      <c r="AP875" s="9">
        <f t="shared" si="283"/>
        <v>1.1990000000000001</v>
      </c>
      <c r="AQ875" s="9">
        <f t="shared" si="284"/>
        <v>11.990000000000002</v>
      </c>
      <c r="AR875" s="9">
        <f t="shared" si="285"/>
        <v>14.987500000000001</v>
      </c>
      <c r="AS875" s="11">
        <f t="shared" si="286"/>
        <v>9.173333333333332</v>
      </c>
      <c r="AT875" s="12">
        <f t="shared" si="287"/>
        <v>7.1749999999999998</v>
      </c>
    </row>
    <row r="876" spans="1:46" ht="16.5" x14ac:dyDescent="0.4">
      <c r="A876" s="4" t="s">
        <v>3917</v>
      </c>
      <c r="B876" s="4" t="s">
        <v>3927</v>
      </c>
      <c r="C876" s="4" t="s">
        <v>3930</v>
      </c>
      <c r="D876" s="4" t="s">
        <v>3947</v>
      </c>
      <c r="E876" s="4" t="s">
        <v>3970</v>
      </c>
      <c r="F876" s="4" t="s">
        <v>3993</v>
      </c>
      <c r="G876" s="7" t="str">
        <f>VLOOKUP(A876,[1]done!$A:$I,9,0)</f>
        <v>All Other products</v>
      </c>
      <c r="H876" s="7" t="str" cm="1">
        <f t="array" ref="H876">_xlfn.IFS(
OR(ISNUMBER(SEARCH("mouse",E876)),ISNUMBER(SEARCH("rat",E876)),ISNUMBER(SEARCH("mice",E876)),ISNUMBER(SEARCH("rodent",E876))),"Rodent Control",
OR(ISNUMBER(SEARCH("fly",E876)),ISNUMBER(SEARCH("gnat",E876)),ISNUMBER(SEARCH("insect",E876)),ISNUMBER(SEARCH("mosquito",E876))),"Flying Insect Control",
OR(ISNUMBER(SEARCH("roach",E876)),ISNUMBER(SEARCH("ant",E876)),ISNUMBER(SEARCH("spider",E876)),ISNUMBER(SEARCH("cricket",E876)),ISNUMBER(SEARCH("scorpion",E876)),ISNUMBER(SEARCH("centipede",E876)),ISNUMBER(SEARCH("beetle",E876))),"Crawling Insect Control",
OR(ISNUMBER(SEARCH("tree",E876)),ISNUMBER(SEARCH("lantern",E876)),ISNUMBER(SEARCH("garden",E876)),ISNUMBER(SEARCH("plant",E876))),"Garden Pest Control",
OR(ISNUMBER(SEARCH("grass seed",E876)),ISNUMBER(SEARCH("seed mix",E876))),"Grass Seed",
OR(ISNUMBER(SEARCH("lawn food",E876)),ISNUMBER(SEARCH("fertilizer",E876))),"Lawn Fertilizer",
OR(ISNUMBER(SEARCH("patch",E876)),ISNUMBER(SEARCH("repair",E876)),ISNUMBER(SEARCH("thick'r",E876)),ISNUMBER(SEARCH("thick'r lawn",E876)),ISNUMBER(SEARCH("rapid grass",E876))),"Lawn Repair",
OR(ISNUMBER(SEARCH("weed",E876)),ISNUMBER(SEARCH("crabgrass",E876))),"Weed Control",
OR(ISNUMBER(SEARCH("fungicide",E876)),ISNUMBER(SEARCH("moss",E876))),"Disease &amp; Moss Control",
OR(ISNUMBER(SEARCH("plant food",E876)),ISNUMBER(SEARCH("miracid",E876))),"Plant Nutrition",
OR(ISNUMBER(SEARCH("perlite",E876))),"Soil Amendment",
OR(ISNUMBER(SEARCH("spreader",E876)),ISNUMBER(SEARCH("sprayer",E876)),ISNUMBER(SEARCH("mower",E876)),ISNUMBER(SEARCH("sweeper",E876)),ISNUMBER(SEARCH("pruner",E876)),ISNUMBER(SEARCH("trimmer",E876)),ISNUMBER(SEARCH("pole saw",E876))),"Garden Equipment",
TRUE,"Other"
)</f>
        <v>Flying Insect Control</v>
      </c>
      <c r="I876" s="7" t="str" cm="1">
        <f t="array" ref="I876">_xlfn.IFS(
OR(ISNUMBER(SEARCH("glue trap",E876)),ISNUMBER(SEARCH("glue board",E876))),"Glue Traps",
OR(ISNUMBER(SEARCH("snap trap",E876)),ISNUMBER(SEARCH("power-kill",E876)),ISNUMBER(SEARCH("wide pedal",E876)),ISNUMBER(SEARCH("metal pedal",E876))),"Snap Traps",
OR(ISNUMBER(SEARCH("electronic",E876)),ISNUMBER(SEARCH("zapper",E876))),"Electronic Traps",
OR(ISNUMBER(SEARCH("live catch",E876)),ISNUMBER(SEARCH("multi-catch",E876)),ISNUMBER(SEARCH("catch &amp; hold",E876)),ISNUMBER(SEARCH("tin cat",E876))),"Live Catch Traps",
OR(ISNUMBER(SEARCH("bait",E876)),ISNUMBER(SEARCH("poison",E876))),"Bait &amp; Poison",
ISNUMBER(SEARCH("repellent",E876)),"Repellents",
OR(ISNUMBER(SEARCH("fly trap",E876)),ISNUMBER(SEARCH("fly ribbon",E876)),ISNUMBER(SEARCH("fly stick",E876)),ISNUMBER(SEARCH("window fly",E876)),ISNUMBER(SEARCH("fly magnet",E876))),"Fly Traps",
OR(ISNUMBER(SEARCH("uv",E876)),ISNUMBER(SEARCH("fly light",E876)),ISNUMBER(SEARCH("plug-in",E876))),"UV Fly Traps",
ISNUMBER(SEARCH("roach",E876)),"Roach Traps",
ISNUMBER(SEARCH("ant",E876)),"Ant Traps",
ISNUMBER(SEARCH("spider",E876)),"Spider Traps",
ISNUMBER(SEARCH("mosquito",E876)),"Mosquito Traps",
ISNUMBER(SEARCH("beetle",E876)),"Beetle Traps",
ISNUMBER(SEARCH("lantern",E876)),"Lanternfly Control",
OR(ISNUMBER(SEARCH("tree shield",E876)),ISNUMBER(SEARCH("tree banding",E876)),ISNUMBER(SEARCH("insect barrier",E876))),"Tree Barriers",
OR(ISNUMBER(SEARCH("sun &amp; shade",E876)),ISNUMBER(SEARCH("sun and shade",E876))),"Sun &amp; Shade Mix",
ISNUMBER(SEARCH("tall fescue",E876)),"Tall Fescue",
ISNUMBER(SEARCH("bermudagrass",E876)),"Bermudagrass",
ISNUMBER(SEARCH("kentucky",E876)),"Kentucky Bluegrass",
ISNUMBER(SEARCH("zoysia",E876)),"Zoysia",
ISNUMBER(SEARCH("ryegrass",E876)),"Perennial Ryegrass",
ISNUMBER(SEARCH("centipede",E876)),"Centipede Grass",
ISNUMBER(SEARCH("dense shade",E876)),"Dense Shade Mix",
ISNUMBER(SEARCH("southern gold",E876)),"Southern Gold Mix",
ISNUMBER(SEARCH("heat-tolerant blue",E876)),"Heat-Tolerant Blue Mix",
ISNUMBER(SEARCH("high traffic",E876)),"High Traffic Mix",
ISNUMBER(SEARCH("quick fix",E876)),"Quick Fix Mix",
ISNUMBER(SEARCH("starter",E876)),"Starter Fertilizer",
ISNUMBER(SEARCH("weed &amp; feed",E876)),"Weed &amp; Feed",
ISNUMBER(SEARCH("lawn food",E876)),"Lawn Food",
ISNUMBER(SEARCH("triple action",E876)),"Triple Action Fertilizer",
ISNUMBER(SEARCH("green max",E876)),"Green Max Lawn Food",
ISNUMBER(SEARCH("patchmaster",E876)),"PatchMaster Repair",
ISNUMBER(SEARCH("ez seed",E876)),"EZ Seed Repair",
ISNUMBER(SEARCH("rapid grass",E876)),"Rapid Grass",
ISNUMBER(SEARCH("thick'r lawn",E876)),"Thick'R Lawn",
ISNUMBER(SEARCH("fungicide",E876)),"Fungicide",
ISNUMBER(SEARCH("moss",E876)),"Moss Control",
ISNUMBER(SEARCH("perlite",E876)),"Perlite",
ISNUMBER(SEARCH("plant food",E876)),"Plant Food",
ISNUMBER(SEARCH("spreader",E876)),"Spreader",
ISNUMBER(SEARCH("sprayer",E876)),"Sprayer",
ISNUMBER(SEARCH("mower",E876)),"Lawn Mower",
ISNUMBER(SEARCH("sweeper",E876)),"Lawn Sweeper",
OR(ISNUMBER(SEARCH("pruner",E876)),ISNUMBER(SEARCH("trimmer",E876)),ISNUMBER(SEARCH("pole saw",E876))),"Pruning Tools",
TRUE,"Other"
)</f>
        <v>Other</v>
      </c>
      <c r="J876" s="7" t="str">
        <f t="shared" si="275"/>
        <v>Flying Insect Control - Other</v>
      </c>
      <c r="K876" s="4">
        <v>100</v>
      </c>
      <c r="L876" s="4">
        <v>4.0999999999999996</v>
      </c>
      <c r="M876" s="4">
        <v>195</v>
      </c>
      <c r="N876" s="4" t="s">
        <v>4010</v>
      </c>
      <c r="O876" s="4">
        <f>VLOOKUP(A876,[18]Sheet1!$A:$M,2,0)</f>
        <v>0</v>
      </c>
      <c r="P876" s="4">
        <f>VLOOKUP(A876,[18]Sheet1!$A:$M,3,0)</f>
        <v>0</v>
      </c>
      <c r="Q876" s="4">
        <f>VLOOKUP(A876,[18]Sheet1!$A:$M,4,0)</f>
        <v>0</v>
      </c>
      <c r="R876" s="4">
        <f>VLOOKUP(A876,[18]Sheet1!$A:$M,5,0)</f>
        <v>50</v>
      </c>
      <c r="S876" s="4">
        <f>VLOOKUP(A876,[18]Sheet1!$A:$M,6,0)</f>
        <v>50</v>
      </c>
      <c r="T876" s="4">
        <f>VLOOKUP(A876,[18]Sheet1!$A:$M,7,0)</f>
        <v>100</v>
      </c>
      <c r="U876" s="4">
        <f>VLOOKUP(A876,[18]Sheet1!$A:$M,8,0)</f>
        <v>100</v>
      </c>
      <c r="V876" s="4">
        <f>VLOOKUP(A876,[18]Sheet1!$A:$M,9,0)</f>
        <v>100</v>
      </c>
      <c r="W876" s="4">
        <f>VLOOKUP(A876,[18]Sheet1!$A:$M,10,0)</f>
        <v>100</v>
      </c>
      <c r="X876" s="4">
        <f>VLOOKUP(A876,[18]Sheet1!$A:$M,11,0)</f>
        <v>50</v>
      </c>
      <c r="Y876" s="4">
        <f>VLOOKUP(A876,[18]Sheet1!$A:$M,12,0)</f>
        <v>50</v>
      </c>
      <c r="Z876" s="4">
        <f>VLOOKUP(A876,[18]Sheet1!$A:$M,13,0)</f>
        <v>50</v>
      </c>
      <c r="AA876" s="4">
        <f t="shared" si="270"/>
        <v>650</v>
      </c>
      <c r="AB876" s="7">
        <f t="shared" si="271"/>
        <v>54</v>
      </c>
      <c r="AC876" s="15">
        <f t="shared" si="272"/>
        <v>54.166666666666664</v>
      </c>
      <c r="AD876" s="16">
        <f t="shared" si="276"/>
        <v>16893.5</v>
      </c>
      <c r="AE876" s="16">
        <f t="shared" si="277"/>
        <v>1407.7916666666665</v>
      </c>
      <c r="AF876" s="21">
        <v>6.13</v>
      </c>
      <c r="AG876" s="21">
        <v>25.99</v>
      </c>
      <c r="AH876" s="15">
        <f t="shared" si="278"/>
        <v>0.21773333333333322</v>
      </c>
      <c r="AI876" s="15">
        <f t="shared" si="279"/>
        <v>0.76206666666666611</v>
      </c>
      <c r="AJ876" s="10">
        <v>0.5</v>
      </c>
      <c r="AK876" s="10">
        <v>0.5</v>
      </c>
      <c r="AL876" s="21">
        <v>6.13</v>
      </c>
      <c r="AM876" s="9">
        <f t="shared" si="280"/>
        <v>3.8984999999999994</v>
      </c>
      <c r="AN876" s="9">
        <f t="shared" si="281"/>
        <v>0.77969999999999995</v>
      </c>
      <c r="AO876" s="9">
        <f t="shared" si="282"/>
        <v>5.1980000000000004</v>
      </c>
      <c r="AP876" s="9">
        <f t="shared" si="283"/>
        <v>0.51979999999999993</v>
      </c>
      <c r="AQ876" s="9">
        <f t="shared" si="284"/>
        <v>5.1980000000000004</v>
      </c>
      <c r="AR876" s="9">
        <f t="shared" si="285"/>
        <v>6.4974999999999996</v>
      </c>
      <c r="AS876" s="11">
        <f t="shared" si="286"/>
        <v>2.177333333333332</v>
      </c>
      <c r="AT876" s="12">
        <f t="shared" si="287"/>
        <v>1.3109999999999993</v>
      </c>
    </row>
    <row r="877" spans="1:46" ht="16.5" x14ac:dyDescent="0.4">
      <c r="A877" s="4" t="s">
        <v>3918</v>
      </c>
      <c r="B877" s="4" t="s">
        <v>3927</v>
      </c>
      <c r="C877" s="4" t="s">
        <v>3927</v>
      </c>
      <c r="D877" s="4" t="s">
        <v>3948</v>
      </c>
      <c r="E877" s="4" t="s">
        <v>3971</v>
      </c>
      <c r="F877" s="4" t="s">
        <v>3994</v>
      </c>
      <c r="G877" s="7" t="str">
        <f>VLOOKUP(A877,[1]done!$A:$I,9,0)</f>
        <v>Other Glue boards for insects or rodents</v>
      </c>
      <c r="H877" s="7" t="str" cm="1">
        <f t="array" ref="H877">_xlfn.IFS(
OR(ISNUMBER(SEARCH("mouse",E877)),ISNUMBER(SEARCH("rat",E877)),ISNUMBER(SEARCH("mice",E877)),ISNUMBER(SEARCH("rodent",E877))),"Rodent Control",
OR(ISNUMBER(SEARCH("fly",E877)),ISNUMBER(SEARCH("gnat",E877)),ISNUMBER(SEARCH("insect",E877)),ISNUMBER(SEARCH("mosquito",E877))),"Flying Insect Control",
OR(ISNUMBER(SEARCH("roach",E877)),ISNUMBER(SEARCH("ant",E877)),ISNUMBER(SEARCH("spider",E877)),ISNUMBER(SEARCH("cricket",E877)),ISNUMBER(SEARCH("scorpion",E877)),ISNUMBER(SEARCH("centipede",E877)),ISNUMBER(SEARCH("beetle",E877))),"Crawling Insect Control",
OR(ISNUMBER(SEARCH("tree",E877)),ISNUMBER(SEARCH("lantern",E877)),ISNUMBER(SEARCH("garden",E877)),ISNUMBER(SEARCH("plant",E877))),"Garden Pest Control",
OR(ISNUMBER(SEARCH("grass seed",E877)),ISNUMBER(SEARCH("seed mix",E877))),"Grass Seed",
OR(ISNUMBER(SEARCH("lawn food",E877)),ISNUMBER(SEARCH("fertilizer",E877))),"Lawn Fertilizer",
OR(ISNUMBER(SEARCH("patch",E877)),ISNUMBER(SEARCH("repair",E877)),ISNUMBER(SEARCH("thick'r",E877)),ISNUMBER(SEARCH("thick'r lawn",E877)),ISNUMBER(SEARCH("rapid grass",E877))),"Lawn Repair",
OR(ISNUMBER(SEARCH("weed",E877)),ISNUMBER(SEARCH("crabgrass",E877))),"Weed Control",
OR(ISNUMBER(SEARCH("fungicide",E877)),ISNUMBER(SEARCH("moss",E877))),"Disease &amp; Moss Control",
OR(ISNUMBER(SEARCH("plant food",E877)),ISNUMBER(SEARCH("miracid",E877))),"Plant Nutrition",
OR(ISNUMBER(SEARCH("perlite",E877))),"Soil Amendment",
OR(ISNUMBER(SEARCH("spreader",E877)),ISNUMBER(SEARCH("sprayer",E877)),ISNUMBER(SEARCH("mower",E877)),ISNUMBER(SEARCH("sweeper",E877)),ISNUMBER(SEARCH("pruner",E877)),ISNUMBER(SEARCH("trimmer",E877)),ISNUMBER(SEARCH("pole saw",E877))),"Garden Equipment",
TRUE,"Other"
)</f>
        <v>Other</v>
      </c>
      <c r="I877" s="7" t="str" cm="1">
        <f t="array" ref="I877">_xlfn.IFS(
OR(ISNUMBER(SEARCH("glue trap",E877)),ISNUMBER(SEARCH("glue board",E877))),"Glue Traps",
OR(ISNUMBER(SEARCH("snap trap",E877)),ISNUMBER(SEARCH("power-kill",E877)),ISNUMBER(SEARCH("wide pedal",E877)),ISNUMBER(SEARCH("metal pedal",E877))),"Snap Traps",
OR(ISNUMBER(SEARCH("electronic",E877)),ISNUMBER(SEARCH("zapper",E877))),"Electronic Traps",
OR(ISNUMBER(SEARCH("live catch",E877)),ISNUMBER(SEARCH("multi-catch",E877)),ISNUMBER(SEARCH("catch &amp; hold",E877)),ISNUMBER(SEARCH("tin cat",E877))),"Live Catch Traps",
OR(ISNUMBER(SEARCH("bait",E877)),ISNUMBER(SEARCH("poison",E877))),"Bait &amp; Poison",
ISNUMBER(SEARCH("repellent",E877)),"Repellents",
OR(ISNUMBER(SEARCH("fly trap",E877)),ISNUMBER(SEARCH("fly ribbon",E877)),ISNUMBER(SEARCH("fly stick",E877)),ISNUMBER(SEARCH("window fly",E877)),ISNUMBER(SEARCH("fly magnet",E877))),"Fly Traps",
OR(ISNUMBER(SEARCH("uv",E877)),ISNUMBER(SEARCH("fly light",E877)),ISNUMBER(SEARCH("plug-in",E877))),"UV Fly Traps",
ISNUMBER(SEARCH("roach",E877)),"Roach Traps",
ISNUMBER(SEARCH("ant",E877)),"Ant Traps",
ISNUMBER(SEARCH("spider",E877)),"Spider Traps",
ISNUMBER(SEARCH("mosquito",E877)),"Mosquito Traps",
ISNUMBER(SEARCH("beetle",E877)),"Beetle Traps",
ISNUMBER(SEARCH("lantern",E877)),"Lanternfly Control",
OR(ISNUMBER(SEARCH("tree shield",E877)),ISNUMBER(SEARCH("tree banding",E877)),ISNUMBER(SEARCH("insect barrier",E877))),"Tree Barriers",
OR(ISNUMBER(SEARCH("sun &amp; shade",E877)),ISNUMBER(SEARCH("sun and shade",E877))),"Sun &amp; Shade Mix",
ISNUMBER(SEARCH("tall fescue",E877)),"Tall Fescue",
ISNUMBER(SEARCH("bermudagrass",E877)),"Bermudagrass",
ISNUMBER(SEARCH("kentucky",E877)),"Kentucky Bluegrass",
ISNUMBER(SEARCH("zoysia",E877)),"Zoysia",
ISNUMBER(SEARCH("ryegrass",E877)),"Perennial Ryegrass",
ISNUMBER(SEARCH("centipede",E877)),"Centipede Grass",
ISNUMBER(SEARCH("dense shade",E877)),"Dense Shade Mix",
ISNUMBER(SEARCH("southern gold",E877)),"Southern Gold Mix",
ISNUMBER(SEARCH("heat-tolerant blue",E877)),"Heat-Tolerant Blue Mix",
ISNUMBER(SEARCH("high traffic",E877)),"High Traffic Mix",
ISNUMBER(SEARCH("quick fix",E877)),"Quick Fix Mix",
ISNUMBER(SEARCH("starter",E877)),"Starter Fertilizer",
ISNUMBER(SEARCH("weed &amp; feed",E877)),"Weed &amp; Feed",
ISNUMBER(SEARCH("lawn food",E877)),"Lawn Food",
ISNUMBER(SEARCH("triple action",E877)),"Triple Action Fertilizer",
ISNUMBER(SEARCH("green max",E877)),"Green Max Lawn Food",
ISNUMBER(SEARCH("patchmaster",E877)),"PatchMaster Repair",
ISNUMBER(SEARCH("ez seed",E877)),"EZ Seed Repair",
ISNUMBER(SEARCH("rapid grass",E877)),"Rapid Grass",
ISNUMBER(SEARCH("thick'r lawn",E877)),"Thick'R Lawn",
ISNUMBER(SEARCH("fungicide",E877)),"Fungicide",
ISNUMBER(SEARCH("moss",E877)),"Moss Control",
ISNUMBER(SEARCH("perlite",E877)),"Perlite",
ISNUMBER(SEARCH("plant food",E877)),"Plant Food",
ISNUMBER(SEARCH("spreader",E877)),"Spreader",
ISNUMBER(SEARCH("sprayer",E877)),"Sprayer",
ISNUMBER(SEARCH("mower",E877)),"Lawn Mower",
ISNUMBER(SEARCH("sweeper",E877)),"Lawn Sweeper",
OR(ISNUMBER(SEARCH("pruner",E877)),ISNUMBER(SEARCH("trimmer",E877)),ISNUMBER(SEARCH("pole saw",E877))),"Pruning Tools",
TRUE,"Other"
)</f>
        <v>Other</v>
      </c>
      <c r="J877" s="7" t="str">
        <f t="shared" si="275"/>
        <v>Other - Other</v>
      </c>
      <c r="K877" s="4">
        <v>100</v>
      </c>
      <c r="L877" s="4">
        <v>4.7</v>
      </c>
      <c r="M877" s="4">
        <v>15</v>
      </c>
      <c r="N877" s="4" t="s">
        <v>4011</v>
      </c>
      <c r="O877" s="4">
        <f>VLOOKUP(A877,[18]Sheet1!$A:$M,2,0)</f>
        <v>0</v>
      </c>
      <c r="P877" s="4">
        <f>VLOOKUP(A877,[18]Sheet1!$A:$M,3,0)</f>
        <v>0</v>
      </c>
      <c r="Q877" s="4">
        <f>VLOOKUP(A877,[18]Sheet1!$A:$M,4,0)</f>
        <v>50</v>
      </c>
      <c r="R877" s="4">
        <f>VLOOKUP(A877,[18]Sheet1!$A:$M,5,0)</f>
        <v>100</v>
      </c>
      <c r="S877" s="4">
        <f>VLOOKUP(A877,[18]Sheet1!$A:$M,6,0)</f>
        <v>100</v>
      </c>
      <c r="T877" s="4">
        <f>VLOOKUP(A877,[18]Sheet1!$A:$M,7,0)</f>
        <v>0</v>
      </c>
      <c r="U877" s="4">
        <f>VLOOKUP(A877,[18]Sheet1!$A:$M,8,0)</f>
        <v>0</v>
      </c>
      <c r="V877" s="4">
        <f>VLOOKUP(A877,[18]Sheet1!$A:$M,9,0)</f>
        <v>100</v>
      </c>
      <c r="W877" s="4">
        <f>VLOOKUP(A877,[18]Sheet1!$A:$M,10,0)</f>
        <v>100</v>
      </c>
      <c r="X877" s="4">
        <f>VLOOKUP(A877,[18]Sheet1!$A:$M,11,0)</f>
        <v>0</v>
      </c>
      <c r="Y877" s="4">
        <f>VLOOKUP(A877,[18]Sheet1!$A:$M,12,0)</f>
        <v>0</v>
      </c>
      <c r="Z877" s="4">
        <f>VLOOKUP(A877,[18]Sheet1!$A:$M,13,0)</f>
        <v>0</v>
      </c>
      <c r="AA877" s="4">
        <f t="shared" si="270"/>
        <v>450</v>
      </c>
      <c r="AB877" s="7">
        <f t="shared" si="271"/>
        <v>38</v>
      </c>
      <c r="AC877" s="15">
        <f t="shared" si="272"/>
        <v>37.5</v>
      </c>
      <c r="AD877" s="16">
        <f t="shared" si="276"/>
        <v>6201</v>
      </c>
      <c r="AE877" s="16">
        <f t="shared" si="277"/>
        <v>516.75</v>
      </c>
      <c r="AF877" s="21">
        <v>6.13</v>
      </c>
      <c r="AG877" s="21">
        <v>13.78</v>
      </c>
      <c r="AH877" s="15">
        <f t="shared" si="278"/>
        <v>-0.10786666666666676</v>
      </c>
      <c r="AI877" s="15">
        <f t="shared" si="279"/>
        <v>-0.37753333333333361</v>
      </c>
      <c r="AJ877" s="10">
        <v>0.5</v>
      </c>
      <c r="AK877" s="10">
        <v>0.5</v>
      </c>
      <c r="AL877" s="21">
        <v>6.13</v>
      </c>
      <c r="AM877" s="9">
        <f t="shared" si="280"/>
        <v>2.0669999999999997</v>
      </c>
      <c r="AN877" s="9">
        <f t="shared" si="281"/>
        <v>0.41339999999999999</v>
      </c>
      <c r="AO877" s="9">
        <f t="shared" si="282"/>
        <v>2.7560000000000002</v>
      </c>
      <c r="AP877" s="9">
        <f t="shared" si="283"/>
        <v>0.27560000000000001</v>
      </c>
      <c r="AQ877" s="9">
        <f t="shared" si="284"/>
        <v>2.7560000000000002</v>
      </c>
      <c r="AR877" s="9">
        <f t="shared" si="285"/>
        <v>3.4449999999999998</v>
      </c>
      <c r="AS877" s="11">
        <f t="shared" si="286"/>
        <v>-1.0786666666666676</v>
      </c>
      <c r="AT877" s="12">
        <f t="shared" si="287"/>
        <v>-1.5380000000000005</v>
      </c>
    </row>
    <row r="878" spans="1:46" ht="16.5" x14ac:dyDescent="0.4">
      <c r="A878" s="4" t="s">
        <v>3919</v>
      </c>
      <c r="B878" s="4" t="s">
        <v>3927</v>
      </c>
      <c r="C878" s="4" t="s">
        <v>3931</v>
      </c>
      <c r="D878" s="4" t="s">
        <v>3949</v>
      </c>
      <c r="E878" s="4" t="s">
        <v>3972</v>
      </c>
      <c r="F878" s="4" t="s">
        <v>3995</v>
      </c>
      <c r="G878" s="7" t="str">
        <f>VLOOKUP(A878,[1]done!$A:$I,9,0)</f>
        <v>Rodent</v>
      </c>
      <c r="H878" s="7" t="str" cm="1">
        <f t="array" ref="H878">_xlfn.IFS(
OR(ISNUMBER(SEARCH("mouse",E878)),ISNUMBER(SEARCH("rat",E878)),ISNUMBER(SEARCH("mice",E878)),ISNUMBER(SEARCH("rodent",E878))),"Rodent Control",
OR(ISNUMBER(SEARCH("fly",E878)),ISNUMBER(SEARCH("gnat",E878)),ISNUMBER(SEARCH("insect",E878)),ISNUMBER(SEARCH("mosquito",E878))),"Flying Insect Control",
OR(ISNUMBER(SEARCH("roach",E878)),ISNUMBER(SEARCH("ant",E878)),ISNUMBER(SEARCH("spider",E878)),ISNUMBER(SEARCH("cricket",E878)),ISNUMBER(SEARCH("scorpion",E878)),ISNUMBER(SEARCH("centipede",E878)),ISNUMBER(SEARCH("beetle",E878))),"Crawling Insect Control",
OR(ISNUMBER(SEARCH("tree",E878)),ISNUMBER(SEARCH("lantern",E878)),ISNUMBER(SEARCH("garden",E878)),ISNUMBER(SEARCH("plant",E878))),"Garden Pest Control",
OR(ISNUMBER(SEARCH("grass seed",E878)),ISNUMBER(SEARCH("seed mix",E878))),"Grass Seed",
OR(ISNUMBER(SEARCH("lawn food",E878)),ISNUMBER(SEARCH("fertilizer",E878))),"Lawn Fertilizer",
OR(ISNUMBER(SEARCH("patch",E878)),ISNUMBER(SEARCH("repair",E878)),ISNUMBER(SEARCH("thick'r",E878)),ISNUMBER(SEARCH("thick'r lawn",E878)),ISNUMBER(SEARCH("rapid grass",E878))),"Lawn Repair",
OR(ISNUMBER(SEARCH("weed",E878)),ISNUMBER(SEARCH("crabgrass",E878))),"Weed Control",
OR(ISNUMBER(SEARCH("fungicide",E878)),ISNUMBER(SEARCH("moss",E878))),"Disease &amp; Moss Control",
OR(ISNUMBER(SEARCH("plant food",E878)),ISNUMBER(SEARCH("miracid",E878))),"Plant Nutrition",
OR(ISNUMBER(SEARCH("perlite",E878))),"Soil Amendment",
OR(ISNUMBER(SEARCH("spreader",E878)),ISNUMBER(SEARCH("sprayer",E878)),ISNUMBER(SEARCH("mower",E878)),ISNUMBER(SEARCH("sweeper",E878)),ISNUMBER(SEARCH("pruner",E878)),ISNUMBER(SEARCH("trimmer",E878)),ISNUMBER(SEARCH("pole saw",E878))),"Garden Equipment",
TRUE,"Other"
)</f>
        <v>Rodent Control</v>
      </c>
      <c r="I878" s="7" t="str" cm="1">
        <f t="array" ref="I878">_xlfn.IFS(
OR(ISNUMBER(SEARCH("glue trap",E878)),ISNUMBER(SEARCH("glue board",E878))),"Glue Traps",
OR(ISNUMBER(SEARCH("snap trap",E878)),ISNUMBER(SEARCH("power-kill",E878)),ISNUMBER(SEARCH("wide pedal",E878)),ISNUMBER(SEARCH("metal pedal",E878))),"Snap Traps",
OR(ISNUMBER(SEARCH("electronic",E878)),ISNUMBER(SEARCH("zapper",E878))),"Electronic Traps",
OR(ISNUMBER(SEARCH("live catch",E878)),ISNUMBER(SEARCH("multi-catch",E878)),ISNUMBER(SEARCH("catch &amp; hold",E878)),ISNUMBER(SEARCH("tin cat",E878))),"Live Catch Traps",
OR(ISNUMBER(SEARCH("bait",E878)),ISNUMBER(SEARCH("poison",E878))),"Bait &amp; Poison",
ISNUMBER(SEARCH("repellent",E878)),"Repellents",
OR(ISNUMBER(SEARCH("fly trap",E878)),ISNUMBER(SEARCH("fly ribbon",E878)),ISNUMBER(SEARCH("fly stick",E878)),ISNUMBER(SEARCH("window fly",E878)),ISNUMBER(SEARCH("fly magnet",E878))),"Fly Traps",
OR(ISNUMBER(SEARCH("uv",E878)),ISNUMBER(SEARCH("fly light",E878)),ISNUMBER(SEARCH("plug-in",E878))),"UV Fly Traps",
ISNUMBER(SEARCH("roach",E878)),"Roach Traps",
ISNUMBER(SEARCH("ant",E878)),"Ant Traps",
ISNUMBER(SEARCH("spider",E878)),"Spider Traps",
ISNUMBER(SEARCH("mosquito",E878)),"Mosquito Traps",
ISNUMBER(SEARCH("beetle",E878)),"Beetle Traps",
ISNUMBER(SEARCH("lantern",E878)),"Lanternfly Control",
OR(ISNUMBER(SEARCH("tree shield",E878)),ISNUMBER(SEARCH("tree banding",E878)),ISNUMBER(SEARCH("insect barrier",E878))),"Tree Barriers",
OR(ISNUMBER(SEARCH("sun &amp; shade",E878)),ISNUMBER(SEARCH("sun and shade",E878))),"Sun &amp; Shade Mix",
ISNUMBER(SEARCH("tall fescue",E878)),"Tall Fescue",
ISNUMBER(SEARCH("bermudagrass",E878)),"Bermudagrass",
ISNUMBER(SEARCH("kentucky",E878)),"Kentucky Bluegrass",
ISNUMBER(SEARCH("zoysia",E878)),"Zoysia",
ISNUMBER(SEARCH("ryegrass",E878)),"Perennial Ryegrass",
ISNUMBER(SEARCH("centipede",E878)),"Centipede Grass",
ISNUMBER(SEARCH("dense shade",E878)),"Dense Shade Mix",
ISNUMBER(SEARCH("southern gold",E878)),"Southern Gold Mix",
ISNUMBER(SEARCH("heat-tolerant blue",E878)),"Heat-Tolerant Blue Mix",
ISNUMBER(SEARCH("high traffic",E878)),"High Traffic Mix",
ISNUMBER(SEARCH("quick fix",E878)),"Quick Fix Mix",
ISNUMBER(SEARCH("starter",E878)),"Starter Fertilizer",
ISNUMBER(SEARCH("weed &amp; feed",E878)),"Weed &amp; Feed",
ISNUMBER(SEARCH("lawn food",E878)),"Lawn Food",
ISNUMBER(SEARCH("triple action",E878)),"Triple Action Fertilizer",
ISNUMBER(SEARCH("green max",E878)),"Green Max Lawn Food",
ISNUMBER(SEARCH("patchmaster",E878)),"PatchMaster Repair",
ISNUMBER(SEARCH("ez seed",E878)),"EZ Seed Repair",
ISNUMBER(SEARCH("rapid grass",E878)),"Rapid Grass",
ISNUMBER(SEARCH("thick'r lawn",E878)),"Thick'R Lawn",
ISNUMBER(SEARCH("fungicide",E878)),"Fungicide",
ISNUMBER(SEARCH("moss",E878)),"Moss Control",
ISNUMBER(SEARCH("perlite",E878)),"Perlite",
ISNUMBER(SEARCH("plant food",E878)),"Plant Food",
ISNUMBER(SEARCH("spreader",E878)),"Spreader",
ISNUMBER(SEARCH("sprayer",E878)),"Sprayer",
ISNUMBER(SEARCH("mower",E878)),"Lawn Mower",
ISNUMBER(SEARCH("sweeper",E878)),"Lawn Sweeper",
OR(ISNUMBER(SEARCH("pruner",E878)),ISNUMBER(SEARCH("trimmer",E878)),ISNUMBER(SEARCH("pole saw",E878))),"Pruning Tools",
TRUE,"Other"
)</f>
        <v>Bait &amp; Poison</v>
      </c>
      <c r="J878" s="7" t="str">
        <f t="shared" si="275"/>
        <v>Rodent Control - Bait &amp; Poison</v>
      </c>
      <c r="K878" s="4">
        <v>50</v>
      </c>
      <c r="L878" s="4">
        <v>4.3</v>
      </c>
      <c r="M878" s="4">
        <v>159</v>
      </c>
      <c r="N878" s="4" t="s">
        <v>4012</v>
      </c>
      <c r="O878" s="4">
        <f>VLOOKUP(A878,[18]Sheet1!$A:$M,2,0)</f>
        <v>0</v>
      </c>
      <c r="P878" s="4">
        <f>VLOOKUP(A878,[18]Sheet1!$A:$M,3,0)</f>
        <v>0</v>
      </c>
      <c r="Q878" s="4">
        <f>VLOOKUP(A878,[18]Sheet1!$A:$M,4,0)</f>
        <v>0</v>
      </c>
      <c r="R878" s="4">
        <f>VLOOKUP(A878,[18]Sheet1!$A:$M,5,0)</f>
        <v>0</v>
      </c>
      <c r="S878" s="4">
        <f>VLOOKUP(A878,[18]Sheet1!$A:$M,6,0)</f>
        <v>50</v>
      </c>
      <c r="T878" s="4">
        <f>VLOOKUP(A878,[18]Sheet1!$A:$M,7,0)</f>
        <v>0</v>
      </c>
      <c r="U878" s="4">
        <f>VLOOKUP(A878,[18]Sheet1!$A:$M,8,0)</f>
        <v>50</v>
      </c>
      <c r="V878" s="4">
        <f>VLOOKUP(A878,[18]Sheet1!$A:$M,9,0)</f>
        <v>0</v>
      </c>
      <c r="W878" s="4">
        <f>VLOOKUP(A878,[18]Sheet1!$A:$M,10,0)</f>
        <v>50</v>
      </c>
      <c r="X878" s="4">
        <f>VLOOKUP(A878,[18]Sheet1!$A:$M,11,0)</f>
        <v>50</v>
      </c>
      <c r="Y878" s="4">
        <f>VLOOKUP(A878,[18]Sheet1!$A:$M,12,0)</f>
        <v>50</v>
      </c>
      <c r="Z878" s="4">
        <f>VLOOKUP(A878,[18]Sheet1!$A:$M,13,0)</f>
        <v>0</v>
      </c>
      <c r="AA878" s="4">
        <f t="shared" si="270"/>
        <v>250</v>
      </c>
      <c r="AB878" s="7">
        <f t="shared" si="271"/>
        <v>21</v>
      </c>
      <c r="AC878" s="15">
        <f t="shared" si="272"/>
        <v>20.833333333333332</v>
      </c>
      <c r="AD878" s="16">
        <f t="shared" si="276"/>
        <v>3747.5</v>
      </c>
      <c r="AE878" s="16">
        <f t="shared" si="277"/>
        <v>312.29166666666663</v>
      </c>
      <c r="AF878" s="21">
        <v>6.48</v>
      </c>
      <c r="AG878" s="21">
        <v>14.99</v>
      </c>
      <c r="AH878" s="15">
        <f t="shared" si="278"/>
        <v>-9.8933333333333401E-2</v>
      </c>
      <c r="AI878" s="15">
        <f t="shared" si="279"/>
        <v>-0.34626666666666689</v>
      </c>
      <c r="AJ878" s="10">
        <v>0.5</v>
      </c>
      <c r="AK878" s="10">
        <v>0.5</v>
      </c>
      <c r="AL878" s="21">
        <v>6.48</v>
      </c>
      <c r="AM878" s="9">
        <f t="shared" si="280"/>
        <v>2.2484999999999999</v>
      </c>
      <c r="AN878" s="9">
        <f t="shared" si="281"/>
        <v>0.44969999999999999</v>
      </c>
      <c r="AO878" s="9">
        <f t="shared" si="282"/>
        <v>2.9980000000000002</v>
      </c>
      <c r="AP878" s="9">
        <f t="shared" si="283"/>
        <v>0.29980000000000001</v>
      </c>
      <c r="AQ878" s="9">
        <f t="shared" si="284"/>
        <v>2.9980000000000002</v>
      </c>
      <c r="AR878" s="9">
        <f t="shared" si="285"/>
        <v>3.7475000000000001</v>
      </c>
      <c r="AS878" s="11">
        <f t="shared" si="286"/>
        <v>-0.98933333333333395</v>
      </c>
      <c r="AT878" s="12">
        <f t="shared" si="287"/>
        <v>-1.4890000000000005</v>
      </c>
    </row>
    <row r="879" spans="1:46" ht="16.5" x14ac:dyDescent="0.4">
      <c r="A879" s="4" t="s">
        <v>3920</v>
      </c>
      <c r="B879" s="4" t="s">
        <v>3927</v>
      </c>
      <c r="C879" s="4" t="s">
        <v>3927</v>
      </c>
      <c r="D879" s="4" t="s">
        <v>3950</v>
      </c>
      <c r="E879" s="4" t="s">
        <v>3973</v>
      </c>
      <c r="F879" s="4" t="s">
        <v>3996</v>
      </c>
      <c r="G879" s="7" t="str">
        <f>VLOOKUP(A879,[1]done!$A:$I,9,0)</f>
        <v>All Other products</v>
      </c>
      <c r="H879" s="7" t="str" cm="1">
        <f t="array" ref="H879">_xlfn.IFS(
OR(ISNUMBER(SEARCH("mouse",E879)),ISNUMBER(SEARCH("rat",E879)),ISNUMBER(SEARCH("mice",E879)),ISNUMBER(SEARCH("rodent",E879))),"Rodent Control",
OR(ISNUMBER(SEARCH("fly",E879)),ISNUMBER(SEARCH("gnat",E879)),ISNUMBER(SEARCH("insect",E879)),ISNUMBER(SEARCH("mosquito",E879))),"Flying Insect Control",
OR(ISNUMBER(SEARCH("roach",E879)),ISNUMBER(SEARCH("ant",E879)),ISNUMBER(SEARCH("spider",E879)),ISNUMBER(SEARCH("cricket",E879)),ISNUMBER(SEARCH("scorpion",E879)),ISNUMBER(SEARCH("centipede",E879)),ISNUMBER(SEARCH("beetle",E879))),"Crawling Insect Control",
OR(ISNUMBER(SEARCH("tree",E879)),ISNUMBER(SEARCH("lantern",E879)),ISNUMBER(SEARCH("garden",E879)),ISNUMBER(SEARCH("plant",E879))),"Garden Pest Control",
OR(ISNUMBER(SEARCH("grass seed",E879)),ISNUMBER(SEARCH("seed mix",E879))),"Grass Seed",
OR(ISNUMBER(SEARCH("lawn food",E879)),ISNUMBER(SEARCH("fertilizer",E879))),"Lawn Fertilizer",
OR(ISNUMBER(SEARCH("patch",E879)),ISNUMBER(SEARCH("repair",E879)),ISNUMBER(SEARCH("thick'r",E879)),ISNUMBER(SEARCH("thick'r lawn",E879)),ISNUMBER(SEARCH("rapid grass",E879))),"Lawn Repair",
OR(ISNUMBER(SEARCH("weed",E879)),ISNUMBER(SEARCH("crabgrass",E879))),"Weed Control",
OR(ISNUMBER(SEARCH("fungicide",E879)),ISNUMBER(SEARCH("moss",E879))),"Disease &amp; Moss Control",
OR(ISNUMBER(SEARCH("plant food",E879)),ISNUMBER(SEARCH("miracid",E879))),"Plant Nutrition",
OR(ISNUMBER(SEARCH("perlite",E879))),"Soil Amendment",
OR(ISNUMBER(SEARCH("spreader",E879)),ISNUMBER(SEARCH("sprayer",E879)),ISNUMBER(SEARCH("mower",E879)),ISNUMBER(SEARCH("sweeper",E879)),ISNUMBER(SEARCH("pruner",E879)),ISNUMBER(SEARCH("trimmer",E879)),ISNUMBER(SEARCH("pole saw",E879))),"Garden Equipment",
TRUE,"Other"
)</f>
        <v>Flying Insect Control</v>
      </c>
      <c r="I879" s="7" t="str" cm="1">
        <f t="array" ref="I879">_xlfn.IFS(
OR(ISNUMBER(SEARCH("glue trap",E879)),ISNUMBER(SEARCH("glue board",E879))),"Glue Traps",
OR(ISNUMBER(SEARCH("snap trap",E879)),ISNUMBER(SEARCH("power-kill",E879)),ISNUMBER(SEARCH("wide pedal",E879)),ISNUMBER(SEARCH("metal pedal",E879))),"Snap Traps",
OR(ISNUMBER(SEARCH("electronic",E879)),ISNUMBER(SEARCH("zapper",E879))),"Electronic Traps",
OR(ISNUMBER(SEARCH("live catch",E879)),ISNUMBER(SEARCH("multi-catch",E879)),ISNUMBER(SEARCH("catch &amp; hold",E879)),ISNUMBER(SEARCH("tin cat",E879))),"Live Catch Traps",
OR(ISNUMBER(SEARCH("bait",E879)),ISNUMBER(SEARCH("poison",E879))),"Bait &amp; Poison",
ISNUMBER(SEARCH("repellent",E879)),"Repellents",
OR(ISNUMBER(SEARCH("fly trap",E879)),ISNUMBER(SEARCH("fly ribbon",E879)),ISNUMBER(SEARCH("fly stick",E879)),ISNUMBER(SEARCH("window fly",E879)),ISNUMBER(SEARCH("fly magnet",E879))),"Fly Traps",
OR(ISNUMBER(SEARCH("uv",E879)),ISNUMBER(SEARCH("fly light",E879)),ISNUMBER(SEARCH("plug-in",E879))),"UV Fly Traps",
ISNUMBER(SEARCH("roach",E879)),"Roach Traps",
ISNUMBER(SEARCH("ant",E879)),"Ant Traps",
ISNUMBER(SEARCH("spider",E879)),"Spider Traps",
ISNUMBER(SEARCH("mosquito",E879)),"Mosquito Traps",
ISNUMBER(SEARCH("beetle",E879)),"Beetle Traps",
ISNUMBER(SEARCH("lantern",E879)),"Lanternfly Control",
OR(ISNUMBER(SEARCH("tree shield",E879)),ISNUMBER(SEARCH("tree banding",E879)),ISNUMBER(SEARCH("insect barrier",E879))),"Tree Barriers",
OR(ISNUMBER(SEARCH("sun &amp; shade",E879)),ISNUMBER(SEARCH("sun and shade",E879))),"Sun &amp; Shade Mix",
ISNUMBER(SEARCH("tall fescue",E879)),"Tall Fescue",
ISNUMBER(SEARCH("bermudagrass",E879)),"Bermudagrass",
ISNUMBER(SEARCH("kentucky",E879)),"Kentucky Bluegrass",
ISNUMBER(SEARCH("zoysia",E879)),"Zoysia",
ISNUMBER(SEARCH("ryegrass",E879)),"Perennial Ryegrass",
ISNUMBER(SEARCH("centipede",E879)),"Centipede Grass",
ISNUMBER(SEARCH("dense shade",E879)),"Dense Shade Mix",
ISNUMBER(SEARCH("southern gold",E879)),"Southern Gold Mix",
ISNUMBER(SEARCH("heat-tolerant blue",E879)),"Heat-Tolerant Blue Mix",
ISNUMBER(SEARCH("high traffic",E879)),"High Traffic Mix",
ISNUMBER(SEARCH("quick fix",E879)),"Quick Fix Mix",
ISNUMBER(SEARCH("starter",E879)),"Starter Fertilizer",
ISNUMBER(SEARCH("weed &amp; feed",E879)),"Weed &amp; Feed",
ISNUMBER(SEARCH("lawn food",E879)),"Lawn Food",
ISNUMBER(SEARCH("triple action",E879)),"Triple Action Fertilizer",
ISNUMBER(SEARCH("green max",E879)),"Green Max Lawn Food",
ISNUMBER(SEARCH("patchmaster",E879)),"PatchMaster Repair",
ISNUMBER(SEARCH("ez seed",E879)),"EZ Seed Repair",
ISNUMBER(SEARCH("rapid grass",E879)),"Rapid Grass",
ISNUMBER(SEARCH("thick'r lawn",E879)),"Thick'R Lawn",
ISNUMBER(SEARCH("fungicide",E879)),"Fungicide",
ISNUMBER(SEARCH("moss",E879)),"Moss Control",
ISNUMBER(SEARCH("perlite",E879)),"Perlite",
ISNUMBER(SEARCH("plant food",E879)),"Plant Food",
ISNUMBER(SEARCH("spreader",E879)),"Spreader",
ISNUMBER(SEARCH("sprayer",E879)),"Sprayer",
ISNUMBER(SEARCH("mower",E879)),"Lawn Mower",
ISNUMBER(SEARCH("sweeper",E879)),"Lawn Sweeper",
OR(ISNUMBER(SEARCH("pruner",E879)),ISNUMBER(SEARCH("trimmer",E879)),ISNUMBER(SEARCH("pole saw",E879))),"Pruning Tools",
TRUE,"Other"
)</f>
        <v>Other</v>
      </c>
      <c r="J879" s="7" t="str">
        <f t="shared" si="275"/>
        <v>Flying Insect Control - Other</v>
      </c>
      <c r="K879" s="4">
        <v>50</v>
      </c>
      <c r="L879" s="4">
        <v>4.4000000000000004</v>
      </c>
      <c r="M879" s="4">
        <v>374</v>
      </c>
      <c r="N879" s="4" t="s">
        <v>4013</v>
      </c>
      <c r="O879" s="4">
        <f>VLOOKUP(A879,[18]Sheet1!$A:$M,2,0)</f>
        <v>0</v>
      </c>
      <c r="P879" s="4">
        <f>VLOOKUP(A879,[18]Sheet1!$A:$M,3,0)</f>
        <v>0</v>
      </c>
      <c r="Q879" s="4">
        <f>VLOOKUP(A879,[18]Sheet1!$A:$M,4,0)</f>
        <v>0</v>
      </c>
      <c r="R879" s="4">
        <f>VLOOKUP(A879,[18]Sheet1!$A:$M,5,0)</f>
        <v>50</v>
      </c>
      <c r="S879" s="4">
        <f>VLOOKUP(A879,[18]Sheet1!$A:$M,6,0)</f>
        <v>100</v>
      </c>
      <c r="T879" s="4">
        <f>VLOOKUP(A879,[18]Sheet1!$A:$M,7,0)</f>
        <v>200</v>
      </c>
      <c r="U879" s="4">
        <f>VLOOKUP(A879,[18]Sheet1!$A:$M,8,0)</f>
        <v>200</v>
      </c>
      <c r="V879" s="4">
        <f>VLOOKUP(A879,[18]Sheet1!$A:$M,9,0)</f>
        <v>200</v>
      </c>
      <c r="W879" s="4">
        <f>VLOOKUP(A879,[18]Sheet1!$A:$M,10,0)</f>
        <v>100</v>
      </c>
      <c r="X879" s="4">
        <f>VLOOKUP(A879,[18]Sheet1!$A:$M,11,0)</f>
        <v>100</v>
      </c>
      <c r="Y879" s="4">
        <f>VLOOKUP(A879,[18]Sheet1!$A:$M,12,0)</f>
        <v>0</v>
      </c>
      <c r="Z879" s="4">
        <f>VLOOKUP(A879,[18]Sheet1!$A:$M,13,0)</f>
        <v>0</v>
      </c>
      <c r="AA879" s="4">
        <f t="shared" si="270"/>
        <v>950</v>
      </c>
      <c r="AB879" s="7">
        <f t="shared" si="271"/>
        <v>79</v>
      </c>
      <c r="AC879" s="15">
        <f t="shared" si="272"/>
        <v>79.166666666666671</v>
      </c>
      <c r="AD879" s="16">
        <f t="shared" si="276"/>
        <v>28870.5</v>
      </c>
      <c r="AE879" s="16">
        <f t="shared" si="277"/>
        <v>2405.875</v>
      </c>
      <c r="AF879" s="21">
        <v>6.13</v>
      </c>
      <c r="AG879" s="21">
        <v>30.39</v>
      </c>
      <c r="AH879" s="15">
        <f t="shared" si="278"/>
        <v>0.33506666666666662</v>
      </c>
      <c r="AI879" s="15">
        <f t="shared" si="279"/>
        <v>1.172733333333333</v>
      </c>
      <c r="AJ879" s="10">
        <v>0.5</v>
      </c>
      <c r="AK879" s="10">
        <v>0.5</v>
      </c>
      <c r="AL879" s="21">
        <v>6.13</v>
      </c>
      <c r="AM879" s="9">
        <f t="shared" si="280"/>
        <v>4.5584999999999996</v>
      </c>
      <c r="AN879" s="9">
        <f t="shared" si="281"/>
        <v>0.91169999999999995</v>
      </c>
      <c r="AO879" s="9">
        <f t="shared" si="282"/>
        <v>6.0780000000000003</v>
      </c>
      <c r="AP879" s="9">
        <f t="shared" si="283"/>
        <v>0.60780000000000001</v>
      </c>
      <c r="AQ879" s="9">
        <f t="shared" si="284"/>
        <v>6.0780000000000003</v>
      </c>
      <c r="AR879" s="9">
        <f t="shared" si="285"/>
        <v>7.5975000000000001</v>
      </c>
      <c r="AS879" s="11">
        <f t="shared" si="286"/>
        <v>3.3506666666666658</v>
      </c>
      <c r="AT879" s="12">
        <f t="shared" si="287"/>
        <v>2.3376666666666659</v>
      </c>
    </row>
    <row r="880" spans="1:46" ht="16.5" x14ac:dyDescent="0.4">
      <c r="A880" s="4" t="s">
        <v>3921</v>
      </c>
      <c r="B880" s="4" t="s">
        <v>3927</v>
      </c>
      <c r="C880" s="4" t="s">
        <v>3927</v>
      </c>
      <c r="D880" s="4" t="s">
        <v>3951</v>
      </c>
      <c r="E880" s="4" t="s">
        <v>3974</v>
      </c>
      <c r="F880" s="4" t="s">
        <v>3997</v>
      </c>
      <c r="G880" s="7" t="str">
        <f>VLOOKUP(A880,[1]done!$A:$I,9,0)</f>
        <v>All Other products</v>
      </c>
      <c r="H880" s="7" t="str" cm="1">
        <f t="array" ref="H880">_xlfn.IFS(
OR(ISNUMBER(SEARCH("mouse",E880)),ISNUMBER(SEARCH("rat",E880)),ISNUMBER(SEARCH("mice",E880)),ISNUMBER(SEARCH("rodent",E880))),"Rodent Control",
OR(ISNUMBER(SEARCH("fly",E880)),ISNUMBER(SEARCH("gnat",E880)),ISNUMBER(SEARCH("insect",E880)),ISNUMBER(SEARCH("mosquito",E880))),"Flying Insect Control",
OR(ISNUMBER(SEARCH("roach",E880)),ISNUMBER(SEARCH("ant",E880)),ISNUMBER(SEARCH("spider",E880)),ISNUMBER(SEARCH("cricket",E880)),ISNUMBER(SEARCH("scorpion",E880)),ISNUMBER(SEARCH("centipede",E880)),ISNUMBER(SEARCH("beetle",E880))),"Crawling Insect Control",
OR(ISNUMBER(SEARCH("tree",E880)),ISNUMBER(SEARCH("lantern",E880)),ISNUMBER(SEARCH("garden",E880)),ISNUMBER(SEARCH("plant",E880))),"Garden Pest Control",
OR(ISNUMBER(SEARCH("grass seed",E880)),ISNUMBER(SEARCH("seed mix",E880))),"Grass Seed",
OR(ISNUMBER(SEARCH("lawn food",E880)),ISNUMBER(SEARCH("fertilizer",E880))),"Lawn Fertilizer",
OR(ISNUMBER(SEARCH("patch",E880)),ISNUMBER(SEARCH("repair",E880)),ISNUMBER(SEARCH("thick'r",E880)),ISNUMBER(SEARCH("thick'r lawn",E880)),ISNUMBER(SEARCH("rapid grass",E880))),"Lawn Repair",
OR(ISNUMBER(SEARCH("weed",E880)),ISNUMBER(SEARCH("crabgrass",E880))),"Weed Control",
OR(ISNUMBER(SEARCH("fungicide",E880)),ISNUMBER(SEARCH("moss",E880))),"Disease &amp; Moss Control",
OR(ISNUMBER(SEARCH("plant food",E880)),ISNUMBER(SEARCH("miracid",E880))),"Plant Nutrition",
OR(ISNUMBER(SEARCH("perlite",E880))),"Soil Amendment",
OR(ISNUMBER(SEARCH("spreader",E880)),ISNUMBER(SEARCH("sprayer",E880)),ISNUMBER(SEARCH("mower",E880)),ISNUMBER(SEARCH("sweeper",E880)),ISNUMBER(SEARCH("pruner",E880)),ISNUMBER(SEARCH("trimmer",E880)),ISNUMBER(SEARCH("pole saw",E880))),"Garden Equipment",
TRUE,"Other"
)</f>
        <v>Other</v>
      </c>
      <c r="I880" s="7" t="str" cm="1">
        <f t="array" ref="I880">_xlfn.IFS(
OR(ISNUMBER(SEARCH("glue trap",E880)),ISNUMBER(SEARCH("glue board",E880))),"Glue Traps",
OR(ISNUMBER(SEARCH("snap trap",E880)),ISNUMBER(SEARCH("power-kill",E880)),ISNUMBER(SEARCH("wide pedal",E880)),ISNUMBER(SEARCH("metal pedal",E880))),"Snap Traps",
OR(ISNUMBER(SEARCH("electronic",E880)),ISNUMBER(SEARCH("zapper",E880))),"Electronic Traps",
OR(ISNUMBER(SEARCH("live catch",E880)),ISNUMBER(SEARCH("multi-catch",E880)),ISNUMBER(SEARCH("catch &amp; hold",E880)),ISNUMBER(SEARCH("tin cat",E880))),"Live Catch Traps",
OR(ISNUMBER(SEARCH("bait",E880)),ISNUMBER(SEARCH("poison",E880))),"Bait &amp; Poison",
ISNUMBER(SEARCH("repellent",E880)),"Repellents",
OR(ISNUMBER(SEARCH("fly trap",E880)),ISNUMBER(SEARCH("fly ribbon",E880)),ISNUMBER(SEARCH("fly stick",E880)),ISNUMBER(SEARCH("window fly",E880)),ISNUMBER(SEARCH("fly magnet",E880))),"Fly Traps",
OR(ISNUMBER(SEARCH("uv",E880)),ISNUMBER(SEARCH("fly light",E880)),ISNUMBER(SEARCH("plug-in",E880))),"UV Fly Traps",
ISNUMBER(SEARCH("roach",E880)),"Roach Traps",
ISNUMBER(SEARCH("ant",E880)),"Ant Traps",
ISNUMBER(SEARCH("spider",E880)),"Spider Traps",
ISNUMBER(SEARCH("mosquito",E880)),"Mosquito Traps",
ISNUMBER(SEARCH("beetle",E880)),"Beetle Traps",
ISNUMBER(SEARCH("lantern",E880)),"Lanternfly Control",
OR(ISNUMBER(SEARCH("tree shield",E880)),ISNUMBER(SEARCH("tree banding",E880)),ISNUMBER(SEARCH("insect barrier",E880))),"Tree Barriers",
OR(ISNUMBER(SEARCH("sun &amp; shade",E880)),ISNUMBER(SEARCH("sun and shade",E880))),"Sun &amp; Shade Mix",
ISNUMBER(SEARCH("tall fescue",E880)),"Tall Fescue",
ISNUMBER(SEARCH("bermudagrass",E880)),"Bermudagrass",
ISNUMBER(SEARCH("kentucky",E880)),"Kentucky Bluegrass",
ISNUMBER(SEARCH("zoysia",E880)),"Zoysia",
ISNUMBER(SEARCH("ryegrass",E880)),"Perennial Ryegrass",
ISNUMBER(SEARCH("centipede",E880)),"Centipede Grass",
ISNUMBER(SEARCH("dense shade",E880)),"Dense Shade Mix",
ISNUMBER(SEARCH("southern gold",E880)),"Southern Gold Mix",
ISNUMBER(SEARCH("heat-tolerant blue",E880)),"Heat-Tolerant Blue Mix",
ISNUMBER(SEARCH("high traffic",E880)),"High Traffic Mix",
ISNUMBER(SEARCH("quick fix",E880)),"Quick Fix Mix",
ISNUMBER(SEARCH("starter",E880)),"Starter Fertilizer",
ISNUMBER(SEARCH("weed &amp; feed",E880)),"Weed &amp; Feed",
ISNUMBER(SEARCH("lawn food",E880)),"Lawn Food",
ISNUMBER(SEARCH("triple action",E880)),"Triple Action Fertilizer",
ISNUMBER(SEARCH("green max",E880)),"Green Max Lawn Food",
ISNUMBER(SEARCH("patchmaster",E880)),"PatchMaster Repair",
ISNUMBER(SEARCH("ez seed",E880)),"EZ Seed Repair",
ISNUMBER(SEARCH("rapid grass",E880)),"Rapid Grass",
ISNUMBER(SEARCH("thick'r lawn",E880)),"Thick'R Lawn",
ISNUMBER(SEARCH("fungicide",E880)),"Fungicide",
ISNUMBER(SEARCH("moss",E880)),"Moss Control",
ISNUMBER(SEARCH("perlite",E880)),"Perlite",
ISNUMBER(SEARCH("plant food",E880)),"Plant Food",
ISNUMBER(SEARCH("spreader",E880)),"Spreader",
ISNUMBER(SEARCH("sprayer",E880)),"Sprayer",
ISNUMBER(SEARCH("mower",E880)),"Lawn Mower",
ISNUMBER(SEARCH("sweeper",E880)),"Lawn Sweeper",
OR(ISNUMBER(SEARCH("pruner",E880)),ISNUMBER(SEARCH("trimmer",E880)),ISNUMBER(SEARCH("pole saw",E880))),"Pruning Tools",
TRUE,"Other"
)</f>
        <v>Bait &amp; Poison</v>
      </c>
      <c r="J880" s="7" t="str">
        <f t="shared" si="275"/>
        <v>Other - Bait &amp; Poison</v>
      </c>
      <c r="K880" s="4">
        <v>50</v>
      </c>
      <c r="L880" s="4">
        <v>4.3</v>
      </c>
      <c r="M880" s="4">
        <v>102</v>
      </c>
      <c r="N880" s="4" t="s">
        <v>4014</v>
      </c>
      <c r="O880" s="4">
        <f>VLOOKUP(A880,[18]Sheet1!$A:$M,2,0)</f>
        <v>50</v>
      </c>
      <c r="P880" s="4">
        <f>VLOOKUP(A880,[18]Sheet1!$A:$M,3,0)</f>
        <v>50</v>
      </c>
      <c r="Q880" s="4">
        <f>VLOOKUP(A880,[18]Sheet1!$A:$M,4,0)</f>
        <v>50</v>
      </c>
      <c r="R880" s="4">
        <f>VLOOKUP(A880,[18]Sheet1!$A:$M,5,0)</f>
        <v>50</v>
      </c>
      <c r="S880" s="4">
        <f>VLOOKUP(A880,[18]Sheet1!$A:$M,6,0)</f>
        <v>50</v>
      </c>
      <c r="T880" s="4">
        <f>VLOOKUP(A880,[18]Sheet1!$A:$M,7,0)</f>
        <v>50</v>
      </c>
      <c r="U880" s="4">
        <f>VLOOKUP(A880,[18]Sheet1!$A:$M,8,0)</f>
        <v>50</v>
      </c>
      <c r="V880" s="4">
        <f>VLOOKUP(A880,[18]Sheet1!$A:$M,9,0)</f>
        <v>50</v>
      </c>
      <c r="W880" s="4">
        <f>VLOOKUP(A880,[18]Sheet1!$A:$M,10,0)</f>
        <v>50</v>
      </c>
      <c r="X880" s="4">
        <f>VLOOKUP(A880,[18]Sheet1!$A:$M,11,0)</f>
        <v>100</v>
      </c>
      <c r="Y880" s="4">
        <f>VLOOKUP(A880,[18]Sheet1!$A:$M,12,0)</f>
        <v>100</v>
      </c>
      <c r="Z880" s="4">
        <f>VLOOKUP(A880,[18]Sheet1!$A:$M,13,0)</f>
        <v>50</v>
      </c>
      <c r="AA880" s="4">
        <f t="shared" si="270"/>
        <v>700</v>
      </c>
      <c r="AB880" s="7">
        <f t="shared" si="271"/>
        <v>58</v>
      </c>
      <c r="AC880" s="15">
        <f t="shared" si="272"/>
        <v>58.333333333333336</v>
      </c>
      <c r="AD880" s="16">
        <f t="shared" si="276"/>
        <v>28945</v>
      </c>
      <c r="AE880" s="16">
        <f t="shared" si="277"/>
        <v>2412.0833333333335</v>
      </c>
      <c r="AF880" s="21">
        <v>8.1199999999999992</v>
      </c>
      <c r="AG880" s="21">
        <v>41.35</v>
      </c>
      <c r="AH880" s="15">
        <f t="shared" si="278"/>
        <v>0.49466666666666659</v>
      </c>
      <c r="AI880" s="15">
        <f t="shared" si="279"/>
        <v>1.7313333333333327</v>
      </c>
      <c r="AJ880" s="10">
        <v>0.5</v>
      </c>
      <c r="AK880" s="10">
        <v>0.5</v>
      </c>
      <c r="AL880" s="21">
        <v>8.1199999999999992</v>
      </c>
      <c r="AM880" s="9">
        <f t="shared" si="280"/>
        <v>6.2024999999999997</v>
      </c>
      <c r="AN880" s="9">
        <f t="shared" si="281"/>
        <v>1.2404999999999999</v>
      </c>
      <c r="AO880" s="9">
        <f t="shared" si="282"/>
        <v>8.2700000000000014</v>
      </c>
      <c r="AP880" s="9">
        <f t="shared" si="283"/>
        <v>0.82700000000000007</v>
      </c>
      <c r="AQ880" s="9">
        <f t="shared" si="284"/>
        <v>8.2700000000000014</v>
      </c>
      <c r="AR880" s="9">
        <f t="shared" si="285"/>
        <v>10.3375</v>
      </c>
      <c r="AS880" s="11">
        <f t="shared" si="286"/>
        <v>4.9466666666666654</v>
      </c>
      <c r="AT880" s="12">
        <f t="shared" si="287"/>
        <v>3.5683333333333329</v>
      </c>
    </row>
    <row r="881" spans="1:46" ht="16.5" x14ac:dyDescent="0.4">
      <c r="A881" s="4" t="s">
        <v>3922</v>
      </c>
      <c r="B881" s="4" t="s">
        <v>3927</v>
      </c>
      <c r="C881" s="4" t="s">
        <v>3929</v>
      </c>
      <c r="D881" s="4" t="s">
        <v>3952</v>
      </c>
      <c r="E881" s="4" t="s">
        <v>3975</v>
      </c>
      <c r="F881" s="4" t="s">
        <v>3998</v>
      </c>
      <c r="G881" s="7" t="str">
        <f>VLOOKUP(A881,[1]done!$A:$I,9,0)</f>
        <v>Rodent</v>
      </c>
      <c r="H881" s="7" t="str" cm="1">
        <f t="array" ref="H881">_xlfn.IFS(
OR(ISNUMBER(SEARCH("mouse",E881)),ISNUMBER(SEARCH("rat",E881)),ISNUMBER(SEARCH("mice",E881)),ISNUMBER(SEARCH("rodent",E881))),"Rodent Control",
OR(ISNUMBER(SEARCH("fly",E881)),ISNUMBER(SEARCH("gnat",E881)),ISNUMBER(SEARCH("insect",E881)),ISNUMBER(SEARCH("mosquito",E881))),"Flying Insect Control",
OR(ISNUMBER(SEARCH("roach",E881)),ISNUMBER(SEARCH("ant",E881)),ISNUMBER(SEARCH("spider",E881)),ISNUMBER(SEARCH("cricket",E881)),ISNUMBER(SEARCH("scorpion",E881)),ISNUMBER(SEARCH("centipede",E881)),ISNUMBER(SEARCH("beetle",E881))),"Crawling Insect Control",
OR(ISNUMBER(SEARCH("tree",E881)),ISNUMBER(SEARCH("lantern",E881)),ISNUMBER(SEARCH("garden",E881)),ISNUMBER(SEARCH("plant",E881))),"Garden Pest Control",
OR(ISNUMBER(SEARCH("grass seed",E881)),ISNUMBER(SEARCH("seed mix",E881))),"Grass Seed",
OR(ISNUMBER(SEARCH("lawn food",E881)),ISNUMBER(SEARCH("fertilizer",E881))),"Lawn Fertilizer",
OR(ISNUMBER(SEARCH("patch",E881)),ISNUMBER(SEARCH("repair",E881)),ISNUMBER(SEARCH("thick'r",E881)),ISNUMBER(SEARCH("thick'r lawn",E881)),ISNUMBER(SEARCH("rapid grass",E881))),"Lawn Repair",
OR(ISNUMBER(SEARCH("weed",E881)),ISNUMBER(SEARCH("crabgrass",E881))),"Weed Control",
OR(ISNUMBER(SEARCH("fungicide",E881)),ISNUMBER(SEARCH("moss",E881))),"Disease &amp; Moss Control",
OR(ISNUMBER(SEARCH("plant food",E881)),ISNUMBER(SEARCH("miracid",E881))),"Plant Nutrition",
OR(ISNUMBER(SEARCH("perlite",E881))),"Soil Amendment",
OR(ISNUMBER(SEARCH("spreader",E881)),ISNUMBER(SEARCH("sprayer",E881)),ISNUMBER(SEARCH("mower",E881)),ISNUMBER(SEARCH("sweeper",E881)),ISNUMBER(SEARCH("pruner",E881)),ISNUMBER(SEARCH("trimmer",E881)),ISNUMBER(SEARCH("pole saw",E881))),"Garden Equipment",
TRUE,"Other"
)</f>
        <v>Rodent Control</v>
      </c>
      <c r="I881" s="7" t="str" cm="1">
        <f t="array" ref="I881">_xlfn.IFS(
OR(ISNUMBER(SEARCH("glue trap",E881)),ISNUMBER(SEARCH("glue board",E881))),"Glue Traps",
OR(ISNUMBER(SEARCH("snap trap",E881)),ISNUMBER(SEARCH("power-kill",E881)),ISNUMBER(SEARCH("wide pedal",E881)),ISNUMBER(SEARCH("metal pedal",E881))),"Snap Traps",
OR(ISNUMBER(SEARCH("electronic",E881)),ISNUMBER(SEARCH("zapper",E881))),"Electronic Traps",
OR(ISNUMBER(SEARCH("live catch",E881)),ISNUMBER(SEARCH("multi-catch",E881)),ISNUMBER(SEARCH("catch &amp; hold",E881)),ISNUMBER(SEARCH("tin cat",E881))),"Live Catch Traps",
OR(ISNUMBER(SEARCH("bait",E881)),ISNUMBER(SEARCH("poison",E881))),"Bait &amp; Poison",
ISNUMBER(SEARCH("repellent",E881)),"Repellents",
OR(ISNUMBER(SEARCH("fly trap",E881)),ISNUMBER(SEARCH("fly ribbon",E881)),ISNUMBER(SEARCH("fly stick",E881)),ISNUMBER(SEARCH("window fly",E881)),ISNUMBER(SEARCH("fly magnet",E881))),"Fly Traps",
OR(ISNUMBER(SEARCH("uv",E881)),ISNUMBER(SEARCH("fly light",E881)),ISNUMBER(SEARCH("plug-in",E881))),"UV Fly Traps",
ISNUMBER(SEARCH("roach",E881)),"Roach Traps",
ISNUMBER(SEARCH("ant",E881)),"Ant Traps",
ISNUMBER(SEARCH("spider",E881)),"Spider Traps",
ISNUMBER(SEARCH("mosquito",E881)),"Mosquito Traps",
ISNUMBER(SEARCH("beetle",E881)),"Beetle Traps",
ISNUMBER(SEARCH("lantern",E881)),"Lanternfly Control",
OR(ISNUMBER(SEARCH("tree shield",E881)),ISNUMBER(SEARCH("tree banding",E881)),ISNUMBER(SEARCH("insect barrier",E881))),"Tree Barriers",
OR(ISNUMBER(SEARCH("sun &amp; shade",E881)),ISNUMBER(SEARCH("sun and shade",E881))),"Sun &amp; Shade Mix",
ISNUMBER(SEARCH("tall fescue",E881)),"Tall Fescue",
ISNUMBER(SEARCH("bermudagrass",E881)),"Bermudagrass",
ISNUMBER(SEARCH("kentucky",E881)),"Kentucky Bluegrass",
ISNUMBER(SEARCH("zoysia",E881)),"Zoysia",
ISNUMBER(SEARCH("ryegrass",E881)),"Perennial Ryegrass",
ISNUMBER(SEARCH("centipede",E881)),"Centipede Grass",
ISNUMBER(SEARCH("dense shade",E881)),"Dense Shade Mix",
ISNUMBER(SEARCH("southern gold",E881)),"Southern Gold Mix",
ISNUMBER(SEARCH("heat-tolerant blue",E881)),"Heat-Tolerant Blue Mix",
ISNUMBER(SEARCH("high traffic",E881)),"High Traffic Mix",
ISNUMBER(SEARCH("quick fix",E881)),"Quick Fix Mix",
ISNUMBER(SEARCH("starter",E881)),"Starter Fertilizer",
ISNUMBER(SEARCH("weed &amp; feed",E881)),"Weed &amp; Feed",
ISNUMBER(SEARCH("lawn food",E881)),"Lawn Food",
ISNUMBER(SEARCH("triple action",E881)),"Triple Action Fertilizer",
ISNUMBER(SEARCH("green max",E881)),"Green Max Lawn Food",
ISNUMBER(SEARCH("patchmaster",E881)),"PatchMaster Repair",
ISNUMBER(SEARCH("ez seed",E881)),"EZ Seed Repair",
ISNUMBER(SEARCH("rapid grass",E881)),"Rapid Grass",
ISNUMBER(SEARCH("thick'r lawn",E881)),"Thick'R Lawn",
ISNUMBER(SEARCH("fungicide",E881)),"Fungicide",
ISNUMBER(SEARCH("moss",E881)),"Moss Control",
ISNUMBER(SEARCH("perlite",E881)),"Perlite",
ISNUMBER(SEARCH("plant food",E881)),"Plant Food",
ISNUMBER(SEARCH("spreader",E881)),"Spreader",
ISNUMBER(SEARCH("sprayer",E881)),"Sprayer",
ISNUMBER(SEARCH("mower",E881)),"Lawn Mower",
ISNUMBER(SEARCH("sweeper",E881)),"Lawn Sweeper",
OR(ISNUMBER(SEARCH("pruner",E881)),ISNUMBER(SEARCH("trimmer",E881)),ISNUMBER(SEARCH("pole saw",E881))),"Pruning Tools",
TRUE,"Other"
)</f>
        <v>Bait &amp; Poison</v>
      </c>
      <c r="J881" s="7" t="str">
        <f t="shared" si="275"/>
        <v>Rodent Control - Bait &amp; Poison</v>
      </c>
      <c r="K881" s="4">
        <v>50</v>
      </c>
      <c r="L881" s="4">
        <v>4</v>
      </c>
      <c r="M881" s="4">
        <v>208</v>
      </c>
      <c r="N881" s="4">
        <v>1</v>
      </c>
      <c r="O881" s="4">
        <f>VLOOKUP(A881,[18]Sheet1!$A:$M,2,0)</f>
        <v>0</v>
      </c>
      <c r="P881" s="4">
        <f>VLOOKUP(A881,[18]Sheet1!$A:$M,3,0)</f>
        <v>0</v>
      </c>
      <c r="Q881" s="4">
        <f>VLOOKUP(A881,[18]Sheet1!$A:$M,4,0)</f>
        <v>0</v>
      </c>
      <c r="R881" s="4">
        <f>VLOOKUP(A881,[18]Sheet1!$A:$M,5,0)</f>
        <v>0</v>
      </c>
      <c r="S881" s="4">
        <f>VLOOKUP(A881,[18]Sheet1!$A:$M,6,0)</f>
        <v>50</v>
      </c>
      <c r="T881" s="4">
        <f>VLOOKUP(A881,[18]Sheet1!$A:$M,7,0)</f>
        <v>50</v>
      </c>
      <c r="U881" s="4">
        <f>VLOOKUP(A881,[18]Sheet1!$A:$M,8,0)</f>
        <v>50</v>
      </c>
      <c r="V881" s="4">
        <f>VLOOKUP(A881,[18]Sheet1!$A:$M,9,0)</f>
        <v>50</v>
      </c>
      <c r="W881" s="4">
        <f>VLOOKUP(A881,[18]Sheet1!$A:$M,10,0)</f>
        <v>50</v>
      </c>
      <c r="X881" s="4">
        <f>VLOOKUP(A881,[18]Sheet1!$A:$M,11,0)</f>
        <v>50</v>
      </c>
      <c r="Y881" s="4">
        <f>VLOOKUP(A881,[18]Sheet1!$A:$M,12,0)</f>
        <v>0</v>
      </c>
      <c r="Z881" s="4">
        <f>VLOOKUP(A881,[18]Sheet1!$A:$M,13,0)</f>
        <v>0</v>
      </c>
      <c r="AA881" s="4">
        <f t="shared" si="270"/>
        <v>300</v>
      </c>
      <c r="AB881" s="7">
        <f t="shared" si="271"/>
        <v>25</v>
      </c>
      <c r="AC881" s="15">
        <f t="shared" si="272"/>
        <v>25</v>
      </c>
      <c r="AD881" s="16">
        <f t="shared" si="276"/>
        <v>5996.9999999999991</v>
      </c>
      <c r="AE881" s="16">
        <f t="shared" si="277"/>
        <v>499.74999999999994</v>
      </c>
      <c r="AF881" s="21">
        <v>5.22</v>
      </c>
      <c r="AG881" s="21">
        <v>19.989999999999998</v>
      </c>
      <c r="AH881" s="15">
        <f t="shared" si="278"/>
        <v>0.11839999999999991</v>
      </c>
      <c r="AI881" s="15">
        <f t="shared" si="279"/>
        <v>0.41439999999999966</v>
      </c>
      <c r="AJ881" s="10">
        <v>0.5</v>
      </c>
      <c r="AK881" s="10">
        <v>0.5</v>
      </c>
      <c r="AL881" s="21">
        <v>5.22</v>
      </c>
      <c r="AM881" s="9">
        <f t="shared" si="280"/>
        <v>2.9984999999999995</v>
      </c>
      <c r="AN881" s="9">
        <f t="shared" si="281"/>
        <v>0.5996999999999999</v>
      </c>
      <c r="AO881" s="9">
        <f t="shared" si="282"/>
        <v>3.9979999999999998</v>
      </c>
      <c r="AP881" s="9">
        <f t="shared" si="283"/>
        <v>0.39979999999999999</v>
      </c>
      <c r="AQ881" s="9">
        <f t="shared" si="284"/>
        <v>3.9979999999999998</v>
      </c>
      <c r="AR881" s="9">
        <f t="shared" si="285"/>
        <v>4.9974999999999996</v>
      </c>
      <c r="AS881" s="11">
        <f t="shared" si="286"/>
        <v>1.1839999999999991</v>
      </c>
      <c r="AT881" s="12">
        <f t="shared" si="287"/>
        <v>0.51766666666666572</v>
      </c>
    </row>
    <row r="882" spans="1:46" ht="16.5" x14ac:dyDescent="0.4">
      <c r="A882" s="4" t="s">
        <v>3923</v>
      </c>
      <c r="B882" s="4" t="s">
        <v>3927</v>
      </c>
      <c r="C882" s="4" t="s">
        <v>3927</v>
      </c>
      <c r="D882" s="4" t="s">
        <v>3953</v>
      </c>
      <c r="E882" s="4" t="s">
        <v>3976</v>
      </c>
      <c r="F882" s="4" t="s">
        <v>3999</v>
      </c>
      <c r="G882" s="7" t="str">
        <f>VLOOKUP(A882,[1]done!$A:$I,9,0)</f>
        <v>All Other products</v>
      </c>
      <c r="H882" s="7" t="str" cm="1">
        <f t="array" ref="H882">_xlfn.IFS(
OR(ISNUMBER(SEARCH("mouse",E882)),ISNUMBER(SEARCH("rat",E882)),ISNUMBER(SEARCH("mice",E882)),ISNUMBER(SEARCH("rodent",E882))),"Rodent Control",
OR(ISNUMBER(SEARCH("fly",E882)),ISNUMBER(SEARCH("gnat",E882)),ISNUMBER(SEARCH("insect",E882)),ISNUMBER(SEARCH("mosquito",E882))),"Flying Insect Control",
OR(ISNUMBER(SEARCH("roach",E882)),ISNUMBER(SEARCH("ant",E882)),ISNUMBER(SEARCH("spider",E882)),ISNUMBER(SEARCH("cricket",E882)),ISNUMBER(SEARCH("scorpion",E882)),ISNUMBER(SEARCH("centipede",E882)),ISNUMBER(SEARCH("beetle",E882))),"Crawling Insect Control",
OR(ISNUMBER(SEARCH("tree",E882)),ISNUMBER(SEARCH("lantern",E882)),ISNUMBER(SEARCH("garden",E882)),ISNUMBER(SEARCH("plant",E882))),"Garden Pest Control",
OR(ISNUMBER(SEARCH("grass seed",E882)),ISNUMBER(SEARCH("seed mix",E882))),"Grass Seed",
OR(ISNUMBER(SEARCH("lawn food",E882)),ISNUMBER(SEARCH("fertilizer",E882))),"Lawn Fertilizer",
OR(ISNUMBER(SEARCH("patch",E882)),ISNUMBER(SEARCH("repair",E882)),ISNUMBER(SEARCH("thick'r",E882)),ISNUMBER(SEARCH("thick'r lawn",E882)),ISNUMBER(SEARCH("rapid grass",E882))),"Lawn Repair",
OR(ISNUMBER(SEARCH("weed",E882)),ISNUMBER(SEARCH("crabgrass",E882))),"Weed Control",
OR(ISNUMBER(SEARCH("fungicide",E882)),ISNUMBER(SEARCH("moss",E882))),"Disease &amp; Moss Control",
OR(ISNUMBER(SEARCH("plant food",E882)),ISNUMBER(SEARCH("miracid",E882))),"Plant Nutrition",
OR(ISNUMBER(SEARCH("perlite",E882))),"Soil Amendment",
OR(ISNUMBER(SEARCH("spreader",E882)),ISNUMBER(SEARCH("sprayer",E882)),ISNUMBER(SEARCH("mower",E882)),ISNUMBER(SEARCH("sweeper",E882)),ISNUMBER(SEARCH("pruner",E882)),ISNUMBER(SEARCH("trimmer",E882)),ISNUMBER(SEARCH("pole saw",E882))),"Garden Equipment",
TRUE,"Other"
)</f>
        <v>Flying Insect Control</v>
      </c>
      <c r="I882" s="7" t="str" cm="1">
        <f t="array" ref="I882">_xlfn.IFS(
OR(ISNUMBER(SEARCH("glue trap",E882)),ISNUMBER(SEARCH("glue board",E882))),"Glue Traps",
OR(ISNUMBER(SEARCH("snap trap",E882)),ISNUMBER(SEARCH("power-kill",E882)),ISNUMBER(SEARCH("wide pedal",E882)),ISNUMBER(SEARCH("metal pedal",E882))),"Snap Traps",
OR(ISNUMBER(SEARCH("electronic",E882)),ISNUMBER(SEARCH("zapper",E882))),"Electronic Traps",
OR(ISNUMBER(SEARCH("live catch",E882)),ISNUMBER(SEARCH("multi-catch",E882)),ISNUMBER(SEARCH("catch &amp; hold",E882)),ISNUMBER(SEARCH("tin cat",E882))),"Live Catch Traps",
OR(ISNUMBER(SEARCH("bait",E882)),ISNUMBER(SEARCH("poison",E882))),"Bait &amp; Poison",
ISNUMBER(SEARCH("repellent",E882)),"Repellents",
OR(ISNUMBER(SEARCH("fly trap",E882)),ISNUMBER(SEARCH("fly ribbon",E882)),ISNUMBER(SEARCH("fly stick",E882)),ISNUMBER(SEARCH("window fly",E882)),ISNUMBER(SEARCH("fly magnet",E882))),"Fly Traps",
OR(ISNUMBER(SEARCH("uv",E882)),ISNUMBER(SEARCH("fly light",E882)),ISNUMBER(SEARCH("plug-in",E882))),"UV Fly Traps",
ISNUMBER(SEARCH("roach",E882)),"Roach Traps",
ISNUMBER(SEARCH("ant",E882)),"Ant Traps",
ISNUMBER(SEARCH("spider",E882)),"Spider Traps",
ISNUMBER(SEARCH("mosquito",E882)),"Mosquito Traps",
ISNUMBER(SEARCH("beetle",E882)),"Beetle Traps",
ISNUMBER(SEARCH("lantern",E882)),"Lanternfly Control",
OR(ISNUMBER(SEARCH("tree shield",E882)),ISNUMBER(SEARCH("tree banding",E882)),ISNUMBER(SEARCH("insect barrier",E882))),"Tree Barriers",
OR(ISNUMBER(SEARCH("sun &amp; shade",E882)),ISNUMBER(SEARCH("sun and shade",E882))),"Sun &amp; Shade Mix",
ISNUMBER(SEARCH("tall fescue",E882)),"Tall Fescue",
ISNUMBER(SEARCH("bermudagrass",E882)),"Bermudagrass",
ISNUMBER(SEARCH("kentucky",E882)),"Kentucky Bluegrass",
ISNUMBER(SEARCH("zoysia",E882)),"Zoysia",
ISNUMBER(SEARCH("ryegrass",E882)),"Perennial Ryegrass",
ISNUMBER(SEARCH("centipede",E882)),"Centipede Grass",
ISNUMBER(SEARCH("dense shade",E882)),"Dense Shade Mix",
ISNUMBER(SEARCH("southern gold",E882)),"Southern Gold Mix",
ISNUMBER(SEARCH("heat-tolerant blue",E882)),"Heat-Tolerant Blue Mix",
ISNUMBER(SEARCH("high traffic",E882)),"High Traffic Mix",
ISNUMBER(SEARCH("quick fix",E882)),"Quick Fix Mix",
ISNUMBER(SEARCH("starter",E882)),"Starter Fertilizer",
ISNUMBER(SEARCH("weed &amp; feed",E882)),"Weed &amp; Feed",
ISNUMBER(SEARCH("lawn food",E882)),"Lawn Food",
ISNUMBER(SEARCH("triple action",E882)),"Triple Action Fertilizer",
ISNUMBER(SEARCH("green max",E882)),"Green Max Lawn Food",
ISNUMBER(SEARCH("patchmaster",E882)),"PatchMaster Repair",
ISNUMBER(SEARCH("ez seed",E882)),"EZ Seed Repair",
ISNUMBER(SEARCH("rapid grass",E882)),"Rapid Grass",
ISNUMBER(SEARCH("thick'r lawn",E882)),"Thick'R Lawn",
ISNUMBER(SEARCH("fungicide",E882)),"Fungicide",
ISNUMBER(SEARCH("moss",E882)),"Moss Control",
ISNUMBER(SEARCH("perlite",E882)),"Perlite",
ISNUMBER(SEARCH("plant food",E882)),"Plant Food",
ISNUMBER(SEARCH("spreader",E882)),"Spreader",
ISNUMBER(SEARCH("sprayer",E882)),"Sprayer",
ISNUMBER(SEARCH("mower",E882)),"Lawn Mower",
ISNUMBER(SEARCH("sweeper",E882)),"Lawn Sweeper",
OR(ISNUMBER(SEARCH("pruner",E882)),ISNUMBER(SEARCH("trimmer",E882)),ISNUMBER(SEARCH("pole saw",E882))),"Pruning Tools",
TRUE,"Other"
)</f>
        <v>Other</v>
      </c>
      <c r="J882" s="7" t="str">
        <f t="shared" si="275"/>
        <v>Flying Insect Control - Other</v>
      </c>
      <c r="K882" s="4">
        <v>50</v>
      </c>
      <c r="L882" s="4">
        <v>4</v>
      </c>
      <c r="M882" s="4">
        <v>84</v>
      </c>
      <c r="N882" s="4" t="s">
        <v>4015</v>
      </c>
      <c r="O882" s="4">
        <f>VLOOKUP(A882,[18]Sheet1!$A:$M,2,0)</f>
        <v>0</v>
      </c>
      <c r="P882" s="4">
        <f>VLOOKUP(A882,[18]Sheet1!$A:$M,3,0)</f>
        <v>0</v>
      </c>
      <c r="Q882" s="4">
        <f>VLOOKUP(A882,[18]Sheet1!$A:$M,4,0)</f>
        <v>0</v>
      </c>
      <c r="R882" s="4">
        <f>VLOOKUP(A882,[18]Sheet1!$A:$M,5,0)</f>
        <v>0</v>
      </c>
      <c r="S882" s="4">
        <f>VLOOKUP(A882,[18]Sheet1!$A:$M,6,0)</f>
        <v>0</v>
      </c>
      <c r="T882" s="4">
        <f>VLOOKUP(A882,[18]Sheet1!$A:$M,7,0)</f>
        <v>50</v>
      </c>
      <c r="U882" s="4">
        <f>VLOOKUP(A882,[18]Sheet1!$A:$M,8,0)</f>
        <v>0</v>
      </c>
      <c r="V882" s="4">
        <f>VLOOKUP(A882,[18]Sheet1!$A:$M,9,0)</f>
        <v>0</v>
      </c>
      <c r="W882" s="4">
        <f>VLOOKUP(A882,[18]Sheet1!$A:$M,10,0)</f>
        <v>50</v>
      </c>
      <c r="X882" s="4">
        <f>VLOOKUP(A882,[18]Sheet1!$A:$M,11,0)</f>
        <v>0</v>
      </c>
      <c r="Y882" s="4">
        <f>VLOOKUP(A882,[18]Sheet1!$A:$M,12,0)</f>
        <v>50</v>
      </c>
      <c r="Z882" s="4">
        <f>VLOOKUP(A882,[18]Sheet1!$A:$M,13,0)</f>
        <v>0</v>
      </c>
      <c r="AA882" s="4">
        <f t="shared" si="270"/>
        <v>150</v>
      </c>
      <c r="AB882" s="7">
        <f t="shared" si="271"/>
        <v>13</v>
      </c>
      <c r="AC882" s="15">
        <f t="shared" si="272"/>
        <v>12.5</v>
      </c>
      <c r="AD882" s="16">
        <f t="shared" si="276"/>
        <v>2968.5</v>
      </c>
      <c r="AE882" s="16">
        <f t="shared" si="277"/>
        <v>247.375</v>
      </c>
      <c r="AF882" s="21">
        <v>6.39</v>
      </c>
      <c r="AG882" s="21">
        <v>19.79</v>
      </c>
      <c r="AH882" s="15">
        <f t="shared" si="278"/>
        <v>3.50666666666666E-2</v>
      </c>
      <c r="AI882" s="15">
        <f t="shared" si="279"/>
        <v>0.12273333333333308</v>
      </c>
      <c r="AJ882" s="10">
        <v>0.5</v>
      </c>
      <c r="AK882" s="10">
        <v>0.5</v>
      </c>
      <c r="AL882" s="21">
        <v>6.39</v>
      </c>
      <c r="AM882" s="9">
        <f t="shared" si="280"/>
        <v>2.9684999999999997</v>
      </c>
      <c r="AN882" s="9">
        <f t="shared" si="281"/>
        <v>0.59370000000000001</v>
      </c>
      <c r="AO882" s="9">
        <f t="shared" si="282"/>
        <v>3.9580000000000002</v>
      </c>
      <c r="AP882" s="9">
        <f t="shared" si="283"/>
        <v>0.39579999999999999</v>
      </c>
      <c r="AQ882" s="9">
        <f t="shared" si="284"/>
        <v>3.9580000000000002</v>
      </c>
      <c r="AR882" s="9">
        <f t="shared" si="285"/>
        <v>4.9474999999999998</v>
      </c>
      <c r="AS882" s="11">
        <f t="shared" si="286"/>
        <v>0.35066666666666596</v>
      </c>
      <c r="AT882" s="12">
        <f t="shared" si="287"/>
        <v>-0.30900000000000044</v>
      </c>
    </row>
    <row r="883" spans="1:46" ht="16.5" x14ac:dyDescent="0.4">
      <c r="A883" s="4" t="s">
        <v>3924</v>
      </c>
      <c r="B883" s="4" t="s">
        <v>3927</v>
      </c>
      <c r="C883" s="4" t="s">
        <v>3932</v>
      </c>
      <c r="D883" s="4" t="s">
        <v>3954</v>
      </c>
      <c r="E883" s="4" t="s">
        <v>3977</v>
      </c>
      <c r="F883" s="4" t="s">
        <v>4000</v>
      </c>
      <c r="G883" s="7" t="str">
        <f>VLOOKUP(A883,[1]done!$A:$I,9,0)</f>
        <v>All Other products</v>
      </c>
      <c r="H883" s="7" t="str" cm="1">
        <f t="array" ref="H883">_xlfn.IFS(
OR(ISNUMBER(SEARCH("mouse",E883)),ISNUMBER(SEARCH("rat",E883)),ISNUMBER(SEARCH("mice",E883)),ISNUMBER(SEARCH("rodent",E883))),"Rodent Control",
OR(ISNUMBER(SEARCH("fly",E883)),ISNUMBER(SEARCH("gnat",E883)),ISNUMBER(SEARCH("insect",E883)),ISNUMBER(SEARCH("mosquito",E883))),"Flying Insect Control",
OR(ISNUMBER(SEARCH("roach",E883)),ISNUMBER(SEARCH("ant",E883)),ISNUMBER(SEARCH("spider",E883)),ISNUMBER(SEARCH("cricket",E883)),ISNUMBER(SEARCH("scorpion",E883)),ISNUMBER(SEARCH("centipede",E883)),ISNUMBER(SEARCH("beetle",E883))),"Crawling Insect Control",
OR(ISNUMBER(SEARCH("tree",E883)),ISNUMBER(SEARCH("lantern",E883)),ISNUMBER(SEARCH("garden",E883)),ISNUMBER(SEARCH("plant",E883))),"Garden Pest Control",
OR(ISNUMBER(SEARCH("grass seed",E883)),ISNUMBER(SEARCH("seed mix",E883))),"Grass Seed",
OR(ISNUMBER(SEARCH("lawn food",E883)),ISNUMBER(SEARCH("fertilizer",E883))),"Lawn Fertilizer",
OR(ISNUMBER(SEARCH("patch",E883)),ISNUMBER(SEARCH("repair",E883)),ISNUMBER(SEARCH("thick'r",E883)),ISNUMBER(SEARCH("thick'r lawn",E883)),ISNUMBER(SEARCH("rapid grass",E883))),"Lawn Repair",
OR(ISNUMBER(SEARCH("weed",E883)),ISNUMBER(SEARCH("crabgrass",E883))),"Weed Control",
OR(ISNUMBER(SEARCH("fungicide",E883)),ISNUMBER(SEARCH("moss",E883))),"Disease &amp; Moss Control",
OR(ISNUMBER(SEARCH("plant food",E883)),ISNUMBER(SEARCH("miracid",E883))),"Plant Nutrition",
OR(ISNUMBER(SEARCH("perlite",E883))),"Soil Amendment",
OR(ISNUMBER(SEARCH("spreader",E883)),ISNUMBER(SEARCH("sprayer",E883)),ISNUMBER(SEARCH("mower",E883)),ISNUMBER(SEARCH("sweeper",E883)),ISNUMBER(SEARCH("pruner",E883)),ISNUMBER(SEARCH("trimmer",E883)),ISNUMBER(SEARCH("pole saw",E883))),"Garden Equipment",
TRUE,"Other"
)</f>
        <v>Other</v>
      </c>
      <c r="I883" s="7" t="str" cm="1">
        <f t="array" ref="I883">_xlfn.IFS(
OR(ISNUMBER(SEARCH("glue trap",E883)),ISNUMBER(SEARCH("glue board",E883))),"Glue Traps",
OR(ISNUMBER(SEARCH("snap trap",E883)),ISNUMBER(SEARCH("power-kill",E883)),ISNUMBER(SEARCH("wide pedal",E883)),ISNUMBER(SEARCH("metal pedal",E883))),"Snap Traps",
OR(ISNUMBER(SEARCH("electronic",E883)),ISNUMBER(SEARCH("zapper",E883))),"Electronic Traps",
OR(ISNUMBER(SEARCH("live catch",E883)),ISNUMBER(SEARCH("multi-catch",E883)),ISNUMBER(SEARCH("catch &amp; hold",E883)),ISNUMBER(SEARCH("tin cat",E883))),"Live Catch Traps",
OR(ISNUMBER(SEARCH("bait",E883)),ISNUMBER(SEARCH("poison",E883))),"Bait &amp; Poison",
ISNUMBER(SEARCH("repellent",E883)),"Repellents",
OR(ISNUMBER(SEARCH("fly trap",E883)),ISNUMBER(SEARCH("fly ribbon",E883)),ISNUMBER(SEARCH("fly stick",E883)),ISNUMBER(SEARCH("window fly",E883)),ISNUMBER(SEARCH("fly magnet",E883))),"Fly Traps",
OR(ISNUMBER(SEARCH("uv",E883)),ISNUMBER(SEARCH("fly light",E883)),ISNUMBER(SEARCH("plug-in",E883))),"UV Fly Traps",
ISNUMBER(SEARCH("roach",E883)),"Roach Traps",
ISNUMBER(SEARCH("ant",E883)),"Ant Traps",
ISNUMBER(SEARCH("spider",E883)),"Spider Traps",
ISNUMBER(SEARCH("mosquito",E883)),"Mosquito Traps",
ISNUMBER(SEARCH("beetle",E883)),"Beetle Traps",
ISNUMBER(SEARCH("lantern",E883)),"Lanternfly Control",
OR(ISNUMBER(SEARCH("tree shield",E883)),ISNUMBER(SEARCH("tree banding",E883)),ISNUMBER(SEARCH("insect barrier",E883))),"Tree Barriers",
OR(ISNUMBER(SEARCH("sun &amp; shade",E883)),ISNUMBER(SEARCH("sun and shade",E883))),"Sun &amp; Shade Mix",
ISNUMBER(SEARCH("tall fescue",E883)),"Tall Fescue",
ISNUMBER(SEARCH("bermudagrass",E883)),"Bermudagrass",
ISNUMBER(SEARCH("kentucky",E883)),"Kentucky Bluegrass",
ISNUMBER(SEARCH("zoysia",E883)),"Zoysia",
ISNUMBER(SEARCH("ryegrass",E883)),"Perennial Ryegrass",
ISNUMBER(SEARCH("centipede",E883)),"Centipede Grass",
ISNUMBER(SEARCH("dense shade",E883)),"Dense Shade Mix",
ISNUMBER(SEARCH("southern gold",E883)),"Southern Gold Mix",
ISNUMBER(SEARCH("heat-tolerant blue",E883)),"Heat-Tolerant Blue Mix",
ISNUMBER(SEARCH("high traffic",E883)),"High Traffic Mix",
ISNUMBER(SEARCH("quick fix",E883)),"Quick Fix Mix",
ISNUMBER(SEARCH("starter",E883)),"Starter Fertilizer",
ISNUMBER(SEARCH("weed &amp; feed",E883)),"Weed &amp; Feed",
ISNUMBER(SEARCH("lawn food",E883)),"Lawn Food",
ISNUMBER(SEARCH("triple action",E883)),"Triple Action Fertilizer",
ISNUMBER(SEARCH("green max",E883)),"Green Max Lawn Food",
ISNUMBER(SEARCH("patchmaster",E883)),"PatchMaster Repair",
ISNUMBER(SEARCH("ez seed",E883)),"EZ Seed Repair",
ISNUMBER(SEARCH("rapid grass",E883)),"Rapid Grass",
ISNUMBER(SEARCH("thick'r lawn",E883)),"Thick'R Lawn",
ISNUMBER(SEARCH("fungicide",E883)),"Fungicide",
ISNUMBER(SEARCH("moss",E883)),"Moss Control",
ISNUMBER(SEARCH("perlite",E883)),"Perlite",
ISNUMBER(SEARCH("plant food",E883)),"Plant Food",
ISNUMBER(SEARCH("spreader",E883)),"Spreader",
ISNUMBER(SEARCH("sprayer",E883)),"Sprayer",
ISNUMBER(SEARCH("mower",E883)),"Lawn Mower",
ISNUMBER(SEARCH("sweeper",E883)),"Lawn Sweeper",
OR(ISNUMBER(SEARCH("pruner",E883)),ISNUMBER(SEARCH("trimmer",E883)),ISNUMBER(SEARCH("pole saw",E883))),"Pruning Tools",
TRUE,"Other"
)</f>
        <v>Other</v>
      </c>
      <c r="J883" s="7" t="str">
        <f t="shared" si="275"/>
        <v>Other - Other</v>
      </c>
      <c r="K883" s="4">
        <v>50</v>
      </c>
      <c r="L883" s="4">
        <v>4.7</v>
      </c>
      <c r="M883" s="4">
        <v>16</v>
      </c>
      <c r="N883" s="4" t="s">
        <v>4016</v>
      </c>
      <c r="O883" s="4">
        <f>VLOOKUP(A883,[18]Sheet1!$A:$M,2,0)</f>
        <v>0</v>
      </c>
      <c r="P883" s="4">
        <f>VLOOKUP(A883,[18]Sheet1!$A:$M,3,0)</f>
        <v>0</v>
      </c>
      <c r="Q883" s="4">
        <f>VLOOKUP(A883,[18]Sheet1!$A:$M,4,0)</f>
        <v>0</v>
      </c>
      <c r="R883" s="4">
        <f>VLOOKUP(A883,[18]Sheet1!$A:$M,5,0)</f>
        <v>0</v>
      </c>
      <c r="S883" s="4">
        <f>VLOOKUP(A883,[18]Sheet1!$A:$M,6,0)</f>
        <v>0</v>
      </c>
      <c r="T883" s="4">
        <f>VLOOKUP(A883,[18]Sheet1!$A:$M,7,0)</f>
        <v>50</v>
      </c>
      <c r="U883" s="4">
        <f>VLOOKUP(A883,[18]Sheet1!$A:$M,8,0)</f>
        <v>50</v>
      </c>
      <c r="V883" s="4">
        <f>VLOOKUP(A883,[18]Sheet1!$A:$M,9,0)</f>
        <v>50</v>
      </c>
      <c r="W883" s="4">
        <f>VLOOKUP(A883,[18]Sheet1!$A:$M,10,0)</f>
        <v>50</v>
      </c>
      <c r="X883" s="4">
        <f>VLOOKUP(A883,[18]Sheet1!$A:$M,11,0)</f>
        <v>0</v>
      </c>
      <c r="Y883" s="4">
        <f>VLOOKUP(A883,[18]Sheet1!$A:$M,12,0)</f>
        <v>0</v>
      </c>
      <c r="Z883" s="4">
        <f>VLOOKUP(A883,[18]Sheet1!$A:$M,13,0)</f>
        <v>0</v>
      </c>
      <c r="AA883" s="4">
        <f t="shared" si="270"/>
        <v>200</v>
      </c>
      <c r="AB883" s="7">
        <f t="shared" si="271"/>
        <v>17</v>
      </c>
      <c r="AC883" s="15">
        <f t="shared" si="272"/>
        <v>16.666666666666668</v>
      </c>
      <c r="AD883" s="16">
        <f t="shared" si="276"/>
        <v>5698</v>
      </c>
      <c r="AE883" s="16">
        <f t="shared" si="277"/>
        <v>474.83333333333331</v>
      </c>
      <c r="AF883" s="21">
        <v>6.6</v>
      </c>
      <c r="AG883" s="21">
        <v>28.49</v>
      </c>
      <c r="AH883" s="15">
        <f t="shared" si="278"/>
        <v>0.2530666666666665</v>
      </c>
      <c r="AI883" s="15">
        <f t="shared" si="279"/>
        <v>0.88573333333333271</v>
      </c>
      <c r="AJ883" s="10">
        <v>0.5</v>
      </c>
      <c r="AK883" s="10">
        <v>0.5</v>
      </c>
      <c r="AL883" s="21">
        <v>6.6</v>
      </c>
      <c r="AM883" s="9">
        <f t="shared" si="280"/>
        <v>4.2734999999999994</v>
      </c>
      <c r="AN883" s="9">
        <f t="shared" si="281"/>
        <v>0.8546999999999999</v>
      </c>
      <c r="AO883" s="9">
        <f t="shared" si="282"/>
        <v>5.6980000000000004</v>
      </c>
      <c r="AP883" s="9">
        <f t="shared" si="283"/>
        <v>0.56979999999999997</v>
      </c>
      <c r="AQ883" s="9">
        <f t="shared" si="284"/>
        <v>5.6980000000000004</v>
      </c>
      <c r="AR883" s="9">
        <f t="shared" si="285"/>
        <v>7.1224999999999996</v>
      </c>
      <c r="AS883" s="11">
        <f t="shared" si="286"/>
        <v>2.5306666666666651</v>
      </c>
      <c r="AT883" s="12">
        <f t="shared" si="287"/>
        <v>1.5809999999999989</v>
      </c>
    </row>
    <row r="884" spans="1:46" ht="16.5" x14ac:dyDescent="0.4">
      <c r="A884" s="4" t="s">
        <v>3925</v>
      </c>
      <c r="B884" s="4" t="s">
        <v>3927</v>
      </c>
      <c r="C884" s="4" t="s">
        <v>3927</v>
      </c>
      <c r="D884" s="4" t="s">
        <v>3955</v>
      </c>
      <c r="E884" s="4" t="s">
        <v>3978</v>
      </c>
      <c r="F884" s="4" t="s">
        <v>4001</v>
      </c>
      <c r="G884" s="7" t="str">
        <f>VLOOKUP(A884,[1]done!$A:$I,9,0)</f>
        <v>All Other products</v>
      </c>
      <c r="H884" s="7" t="str" cm="1">
        <f t="array" ref="H884">_xlfn.IFS(
OR(ISNUMBER(SEARCH("mouse",E884)),ISNUMBER(SEARCH("rat",E884)),ISNUMBER(SEARCH("mice",E884)),ISNUMBER(SEARCH("rodent",E884))),"Rodent Control",
OR(ISNUMBER(SEARCH("fly",E884)),ISNUMBER(SEARCH("gnat",E884)),ISNUMBER(SEARCH("insect",E884)),ISNUMBER(SEARCH("mosquito",E884))),"Flying Insect Control",
OR(ISNUMBER(SEARCH("roach",E884)),ISNUMBER(SEARCH("ant",E884)),ISNUMBER(SEARCH("spider",E884)),ISNUMBER(SEARCH("cricket",E884)),ISNUMBER(SEARCH("scorpion",E884)),ISNUMBER(SEARCH("centipede",E884)),ISNUMBER(SEARCH("beetle",E884))),"Crawling Insect Control",
OR(ISNUMBER(SEARCH("tree",E884)),ISNUMBER(SEARCH("lantern",E884)),ISNUMBER(SEARCH("garden",E884)),ISNUMBER(SEARCH("plant",E884))),"Garden Pest Control",
OR(ISNUMBER(SEARCH("grass seed",E884)),ISNUMBER(SEARCH("seed mix",E884))),"Grass Seed",
OR(ISNUMBER(SEARCH("lawn food",E884)),ISNUMBER(SEARCH("fertilizer",E884))),"Lawn Fertilizer",
OR(ISNUMBER(SEARCH("patch",E884)),ISNUMBER(SEARCH("repair",E884)),ISNUMBER(SEARCH("thick'r",E884)),ISNUMBER(SEARCH("thick'r lawn",E884)),ISNUMBER(SEARCH("rapid grass",E884))),"Lawn Repair",
OR(ISNUMBER(SEARCH("weed",E884)),ISNUMBER(SEARCH("crabgrass",E884))),"Weed Control",
OR(ISNUMBER(SEARCH("fungicide",E884)),ISNUMBER(SEARCH("moss",E884))),"Disease &amp; Moss Control",
OR(ISNUMBER(SEARCH("plant food",E884)),ISNUMBER(SEARCH("miracid",E884))),"Plant Nutrition",
OR(ISNUMBER(SEARCH("perlite",E884))),"Soil Amendment",
OR(ISNUMBER(SEARCH("spreader",E884)),ISNUMBER(SEARCH("sprayer",E884)),ISNUMBER(SEARCH("mower",E884)),ISNUMBER(SEARCH("sweeper",E884)),ISNUMBER(SEARCH("pruner",E884)),ISNUMBER(SEARCH("trimmer",E884)),ISNUMBER(SEARCH("pole saw",E884))),"Garden Equipment",
TRUE,"Other"
)</f>
        <v>Other</v>
      </c>
      <c r="I884" s="7" t="str" cm="1">
        <f t="array" ref="I884">_xlfn.IFS(
OR(ISNUMBER(SEARCH("glue trap",E884)),ISNUMBER(SEARCH("glue board",E884))),"Glue Traps",
OR(ISNUMBER(SEARCH("snap trap",E884)),ISNUMBER(SEARCH("power-kill",E884)),ISNUMBER(SEARCH("wide pedal",E884)),ISNUMBER(SEARCH("metal pedal",E884))),"Snap Traps",
OR(ISNUMBER(SEARCH("electronic",E884)),ISNUMBER(SEARCH("zapper",E884))),"Electronic Traps",
OR(ISNUMBER(SEARCH("live catch",E884)),ISNUMBER(SEARCH("multi-catch",E884)),ISNUMBER(SEARCH("catch &amp; hold",E884)),ISNUMBER(SEARCH("tin cat",E884))),"Live Catch Traps",
OR(ISNUMBER(SEARCH("bait",E884)),ISNUMBER(SEARCH("poison",E884))),"Bait &amp; Poison",
ISNUMBER(SEARCH("repellent",E884)),"Repellents",
OR(ISNUMBER(SEARCH("fly trap",E884)),ISNUMBER(SEARCH("fly ribbon",E884)),ISNUMBER(SEARCH("fly stick",E884)),ISNUMBER(SEARCH("window fly",E884)),ISNUMBER(SEARCH("fly magnet",E884))),"Fly Traps",
OR(ISNUMBER(SEARCH("uv",E884)),ISNUMBER(SEARCH("fly light",E884)),ISNUMBER(SEARCH("plug-in",E884))),"UV Fly Traps",
ISNUMBER(SEARCH("roach",E884)),"Roach Traps",
ISNUMBER(SEARCH("ant",E884)),"Ant Traps",
ISNUMBER(SEARCH("spider",E884)),"Spider Traps",
ISNUMBER(SEARCH("mosquito",E884)),"Mosquito Traps",
ISNUMBER(SEARCH("beetle",E884)),"Beetle Traps",
ISNUMBER(SEARCH("lantern",E884)),"Lanternfly Control",
OR(ISNUMBER(SEARCH("tree shield",E884)),ISNUMBER(SEARCH("tree banding",E884)),ISNUMBER(SEARCH("insect barrier",E884))),"Tree Barriers",
OR(ISNUMBER(SEARCH("sun &amp; shade",E884)),ISNUMBER(SEARCH("sun and shade",E884))),"Sun &amp; Shade Mix",
ISNUMBER(SEARCH("tall fescue",E884)),"Tall Fescue",
ISNUMBER(SEARCH("bermudagrass",E884)),"Bermudagrass",
ISNUMBER(SEARCH("kentucky",E884)),"Kentucky Bluegrass",
ISNUMBER(SEARCH("zoysia",E884)),"Zoysia",
ISNUMBER(SEARCH("ryegrass",E884)),"Perennial Ryegrass",
ISNUMBER(SEARCH("centipede",E884)),"Centipede Grass",
ISNUMBER(SEARCH("dense shade",E884)),"Dense Shade Mix",
ISNUMBER(SEARCH("southern gold",E884)),"Southern Gold Mix",
ISNUMBER(SEARCH("heat-tolerant blue",E884)),"Heat-Tolerant Blue Mix",
ISNUMBER(SEARCH("high traffic",E884)),"High Traffic Mix",
ISNUMBER(SEARCH("quick fix",E884)),"Quick Fix Mix",
ISNUMBER(SEARCH("starter",E884)),"Starter Fertilizer",
ISNUMBER(SEARCH("weed &amp; feed",E884)),"Weed &amp; Feed",
ISNUMBER(SEARCH("lawn food",E884)),"Lawn Food",
ISNUMBER(SEARCH("triple action",E884)),"Triple Action Fertilizer",
ISNUMBER(SEARCH("green max",E884)),"Green Max Lawn Food",
ISNUMBER(SEARCH("patchmaster",E884)),"PatchMaster Repair",
ISNUMBER(SEARCH("ez seed",E884)),"EZ Seed Repair",
ISNUMBER(SEARCH("rapid grass",E884)),"Rapid Grass",
ISNUMBER(SEARCH("thick'r lawn",E884)),"Thick'R Lawn",
ISNUMBER(SEARCH("fungicide",E884)),"Fungicide",
ISNUMBER(SEARCH("moss",E884)),"Moss Control",
ISNUMBER(SEARCH("perlite",E884)),"Perlite",
ISNUMBER(SEARCH("plant food",E884)),"Plant Food",
ISNUMBER(SEARCH("spreader",E884)),"Spreader",
ISNUMBER(SEARCH("sprayer",E884)),"Sprayer",
ISNUMBER(SEARCH("mower",E884)),"Lawn Mower",
ISNUMBER(SEARCH("sweeper",E884)),"Lawn Sweeper",
OR(ISNUMBER(SEARCH("pruner",E884)),ISNUMBER(SEARCH("trimmer",E884)),ISNUMBER(SEARCH("pole saw",E884))),"Pruning Tools",
TRUE,"Other"
)</f>
        <v>Other</v>
      </c>
      <c r="J884" s="7" t="str">
        <f t="shared" si="275"/>
        <v>Other - Other</v>
      </c>
      <c r="K884" s="4">
        <v>50</v>
      </c>
      <c r="L884" s="4">
        <v>4.5999999999999996</v>
      </c>
      <c r="M884" s="4">
        <v>12</v>
      </c>
      <c r="N884" s="4" t="s">
        <v>4017</v>
      </c>
      <c r="O884" s="4">
        <f>VLOOKUP(A884,[18]Sheet1!$A:$M,2,0)</f>
        <v>0</v>
      </c>
      <c r="P884" s="4">
        <f>VLOOKUP(A884,[18]Sheet1!$A:$M,3,0)</f>
        <v>0</v>
      </c>
      <c r="Q884" s="4">
        <f>VLOOKUP(A884,[18]Sheet1!$A:$M,4,0)</f>
        <v>0</v>
      </c>
      <c r="R884" s="4">
        <f>VLOOKUP(A884,[18]Sheet1!$A:$M,5,0)</f>
        <v>50</v>
      </c>
      <c r="S884" s="4">
        <f>VLOOKUP(A884,[18]Sheet1!$A:$M,6,0)</f>
        <v>50</v>
      </c>
      <c r="T884" s="4">
        <f>VLOOKUP(A884,[18]Sheet1!$A:$M,7,0)</f>
        <v>100</v>
      </c>
      <c r="U884" s="4">
        <f>VLOOKUP(A884,[18]Sheet1!$A:$M,8,0)</f>
        <v>100</v>
      </c>
      <c r="V884" s="4">
        <f>VLOOKUP(A884,[18]Sheet1!$A:$M,9,0)</f>
        <v>50</v>
      </c>
      <c r="W884" s="4">
        <f>VLOOKUP(A884,[18]Sheet1!$A:$M,10,0)</f>
        <v>50</v>
      </c>
      <c r="X884" s="4">
        <f>VLOOKUP(A884,[18]Sheet1!$A:$M,11,0)</f>
        <v>0</v>
      </c>
      <c r="Y884" s="4">
        <f>VLOOKUP(A884,[18]Sheet1!$A:$M,12,0)</f>
        <v>0</v>
      </c>
      <c r="Z884" s="4">
        <f>VLOOKUP(A884,[18]Sheet1!$A:$M,13,0)</f>
        <v>0</v>
      </c>
      <c r="AA884" s="4">
        <f t="shared" si="270"/>
        <v>400</v>
      </c>
      <c r="AB884" s="7">
        <f t="shared" si="271"/>
        <v>33</v>
      </c>
      <c r="AC884" s="15">
        <f t="shared" si="272"/>
        <v>33.333333333333336</v>
      </c>
      <c r="AD884" s="16">
        <f t="shared" si="276"/>
        <v>29595.999999999996</v>
      </c>
      <c r="AE884" s="16">
        <f t="shared" si="277"/>
        <v>2466.3333333333335</v>
      </c>
      <c r="AF884" s="21">
        <v>12.87</v>
      </c>
      <c r="AG884" s="21">
        <v>73.989999999999995</v>
      </c>
      <c r="AH884" s="15">
        <f t="shared" si="278"/>
        <v>1.0484</v>
      </c>
      <c r="AI884" s="15">
        <f t="shared" si="279"/>
        <v>3.6693999999999996</v>
      </c>
      <c r="AJ884" s="10">
        <v>0.5</v>
      </c>
      <c r="AK884" s="10">
        <v>0.5</v>
      </c>
      <c r="AL884" s="21">
        <v>12.87</v>
      </c>
      <c r="AM884" s="9">
        <f t="shared" si="280"/>
        <v>11.0985</v>
      </c>
      <c r="AN884" s="9">
        <f t="shared" si="281"/>
        <v>2.2196999999999996</v>
      </c>
      <c r="AO884" s="9">
        <f t="shared" si="282"/>
        <v>14.798</v>
      </c>
      <c r="AP884" s="9">
        <f t="shared" si="283"/>
        <v>1.4798</v>
      </c>
      <c r="AQ884" s="9">
        <f t="shared" si="284"/>
        <v>14.798</v>
      </c>
      <c r="AR884" s="9">
        <f t="shared" si="285"/>
        <v>18.497499999999999</v>
      </c>
      <c r="AS884" s="11">
        <f t="shared" si="286"/>
        <v>10.484</v>
      </c>
      <c r="AT884" s="12">
        <f t="shared" si="287"/>
        <v>8.0176666666666687</v>
      </c>
    </row>
    <row r="885" spans="1:46" ht="16.5" x14ac:dyDescent="0.4">
      <c r="A885" s="4" t="s">
        <v>3926</v>
      </c>
      <c r="B885" s="4" t="s">
        <v>3927</v>
      </c>
      <c r="C885" s="4" t="s">
        <v>3933</v>
      </c>
      <c r="D885" s="4" t="s">
        <v>3956</v>
      </c>
      <c r="E885" s="4" t="s">
        <v>3979</v>
      </c>
      <c r="F885" s="4" t="s">
        <v>4002</v>
      </c>
      <c r="G885" s="7" t="str">
        <f>VLOOKUP(A885,[1]done!$A:$I,9,0)</f>
        <v>All Other products</v>
      </c>
      <c r="H885" s="7" t="str" cm="1">
        <f t="array" ref="H885">_xlfn.IFS(
OR(ISNUMBER(SEARCH("mouse",E885)),ISNUMBER(SEARCH("rat",E885)),ISNUMBER(SEARCH("mice",E885)),ISNUMBER(SEARCH("rodent",E885))),"Rodent Control",
OR(ISNUMBER(SEARCH("fly",E885)),ISNUMBER(SEARCH("gnat",E885)),ISNUMBER(SEARCH("insect",E885)),ISNUMBER(SEARCH("mosquito",E885))),"Flying Insect Control",
OR(ISNUMBER(SEARCH("roach",E885)),ISNUMBER(SEARCH("ant",E885)),ISNUMBER(SEARCH("spider",E885)),ISNUMBER(SEARCH("cricket",E885)),ISNUMBER(SEARCH("scorpion",E885)),ISNUMBER(SEARCH("centipede",E885)),ISNUMBER(SEARCH("beetle",E885))),"Crawling Insect Control",
OR(ISNUMBER(SEARCH("tree",E885)),ISNUMBER(SEARCH("lantern",E885)),ISNUMBER(SEARCH("garden",E885)),ISNUMBER(SEARCH("plant",E885))),"Garden Pest Control",
OR(ISNUMBER(SEARCH("grass seed",E885)),ISNUMBER(SEARCH("seed mix",E885))),"Grass Seed",
OR(ISNUMBER(SEARCH("lawn food",E885)),ISNUMBER(SEARCH("fertilizer",E885))),"Lawn Fertilizer",
OR(ISNUMBER(SEARCH("patch",E885)),ISNUMBER(SEARCH("repair",E885)),ISNUMBER(SEARCH("thick'r",E885)),ISNUMBER(SEARCH("thick'r lawn",E885)),ISNUMBER(SEARCH("rapid grass",E885))),"Lawn Repair",
OR(ISNUMBER(SEARCH("weed",E885)),ISNUMBER(SEARCH("crabgrass",E885))),"Weed Control",
OR(ISNUMBER(SEARCH("fungicide",E885)),ISNUMBER(SEARCH("moss",E885))),"Disease &amp; Moss Control",
OR(ISNUMBER(SEARCH("plant food",E885)),ISNUMBER(SEARCH("miracid",E885))),"Plant Nutrition",
OR(ISNUMBER(SEARCH("perlite",E885))),"Soil Amendment",
OR(ISNUMBER(SEARCH("spreader",E885)),ISNUMBER(SEARCH("sprayer",E885)),ISNUMBER(SEARCH("mower",E885)),ISNUMBER(SEARCH("sweeper",E885)),ISNUMBER(SEARCH("pruner",E885)),ISNUMBER(SEARCH("trimmer",E885)),ISNUMBER(SEARCH("pole saw",E885))),"Garden Equipment",
TRUE,"Other"
)</f>
        <v>Other</v>
      </c>
      <c r="I885" s="7" t="str" cm="1">
        <f t="array" ref="I885">_xlfn.IFS(
OR(ISNUMBER(SEARCH("glue trap",E885)),ISNUMBER(SEARCH("glue board",E885))),"Glue Traps",
OR(ISNUMBER(SEARCH("snap trap",E885)),ISNUMBER(SEARCH("power-kill",E885)),ISNUMBER(SEARCH("wide pedal",E885)),ISNUMBER(SEARCH("metal pedal",E885))),"Snap Traps",
OR(ISNUMBER(SEARCH("electronic",E885)),ISNUMBER(SEARCH("zapper",E885))),"Electronic Traps",
OR(ISNUMBER(SEARCH("live catch",E885)),ISNUMBER(SEARCH("multi-catch",E885)),ISNUMBER(SEARCH("catch &amp; hold",E885)),ISNUMBER(SEARCH("tin cat",E885))),"Live Catch Traps",
OR(ISNUMBER(SEARCH("bait",E885)),ISNUMBER(SEARCH("poison",E885))),"Bait &amp; Poison",
ISNUMBER(SEARCH("repellent",E885)),"Repellents",
OR(ISNUMBER(SEARCH("fly trap",E885)),ISNUMBER(SEARCH("fly ribbon",E885)),ISNUMBER(SEARCH("fly stick",E885)),ISNUMBER(SEARCH("window fly",E885)),ISNUMBER(SEARCH("fly magnet",E885))),"Fly Traps",
OR(ISNUMBER(SEARCH("uv",E885)),ISNUMBER(SEARCH("fly light",E885)),ISNUMBER(SEARCH("plug-in",E885))),"UV Fly Traps",
ISNUMBER(SEARCH("roach",E885)),"Roach Traps",
ISNUMBER(SEARCH("ant",E885)),"Ant Traps",
ISNUMBER(SEARCH("spider",E885)),"Spider Traps",
ISNUMBER(SEARCH("mosquito",E885)),"Mosquito Traps",
ISNUMBER(SEARCH("beetle",E885)),"Beetle Traps",
ISNUMBER(SEARCH("lantern",E885)),"Lanternfly Control",
OR(ISNUMBER(SEARCH("tree shield",E885)),ISNUMBER(SEARCH("tree banding",E885)),ISNUMBER(SEARCH("insect barrier",E885))),"Tree Barriers",
OR(ISNUMBER(SEARCH("sun &amp; shade",E885)),ISNUMBER(SEARCH("sun and shade",E885))),"Sun &amp; Shade Mix",
ISNUMBER(SEARCH("tall fescue",E885)),"Tall Fescue",
ISNUMBER(SEARCH("bermudagrass",E885)),"Bermudagrass",
ISNUMBER(SEARCH("kentucky",E885)),"Kentucky Bluegrass",
ISNUMBER(SEARCH("zoysia",E885)),"Zoysia",
ISNUMBER(SEARCH("ryegrass",E885)),"Perennial Ryegrass",
ISNUMBER(SEARCH("centipede",E885)),"Centipede Grass",
ISNUMBER(SEARCH("dense shade",E885)),"Dense Shade Mix",
ISNUMBER(SEARCH("southern gold",E885)),"Southern Gold Mix",
ISNUMBER(SEARCH("heat-tolerant blue",E885)),"Heat-Tolerant Blue Mix",
ISNUMBER(SEARCH("high traffic",E885)),"High Traffic Mix",
ISNUMBER(SEARCH("quick fix",E885)),"Quick Fix Mix",
ISNUMBER(SEARCH("starter",E885)),"Starter Fertilizer",
ISNUMBER(SEARCH("weed &amp; feed",E885)),"Weed &amp; Feed",
ISNUMBER(SEARCH("lawn food",E885)),"Lawn Food",
ISNUMBER(SEARCH("triple action",E885)),"Triple Action Fertilizer",
ISNUMBER(SEARCH("green max",E885)),"Green Max Lawn Food",
ISNUMBER(SEARCH("patchmaster",E885)),"PatchMaster Repair",
ISNUMBER(SEARCH("ez seed",E885)),"EZ Seed Repair",
ISNUMBER(SEARCH("rapid grass",E885)),"Rapid Grass",
ISNUMBER(SEARCH("thick'r lawn",E885)),"Thick'R Lawn",
ISNUMBER(SEARCH("fungicide",E885)),"Fungicide",
ISNUMBER(SEARCH("moss",E885)),"Moss Control",
ISNUMBER(SEARCH("perlite",E885)),"Perlite",
ISNUMBER(SEARCH("plant food",E885)),"Plant Food",
ISNUMBER(SEARCH("spreader",E885)),"Spreader",
ISNUMBER(SEARCH("sprayer",E885)),"Sprayer",
ISNUMBER(SEARCH("mower",E885)),"Lawn Mower",
ISNUMBER(SEARCH("sweeper",E885)),"Lawn Sweeper",
OR(ISNUMBER(SEARCH("pruner",E885)),ISNUMBER(SEARCH("trimmer",E885)),ISNUMBER(SEARCH("pole saw",E885))),"Pruning Tools",
TRUE,"Other"
)</f>
        <v>Other</v>
      </c>
      <c r="J885" s="7" t="str">
        <f t="shared" si="275"/>
        <v>Other - Other</v>
      </c>
      <c r="K885" s="4">
        <v>50</v>
      </c>
      <c r="L885" s="4">
        <v>4.5999999999999996</v>
      </c>
      <c r="M885" s="4">
        <v>86</v>
      </c>
      <c r="O885" s="4">
        <f>VLOOKUP(A885,[18]Sheet1!$A:$M,2,0)</f>
        <v>0</v>
      </c>
      <c r="P885" s="4">
        <f>VLOOKUP(A885,[18]Sheet1!$A:$M,3,0)</f>
        <v>0</v>
      </c>
      <c r="Q885" s="4">
        <f>VLOOKUP(A885,[18]Sheet1!$A:$M,4,0)</f>
        <v>0</v>
      </c>
      <c r="R885" s="4">
        <f>VLOOKUP(A885,[18]Sheet1!$A:$M,5,0)</f>
        <v>50</v>
      </c>
      <c r="S885" s="4">
        <f>VLOOKUP(A885,[18]Sheet1!$A:$M,6,0)</f>
        <v>50</v>
      </c>
      <c r="T885" s="4">
        <f>VLOOKUP(A885,[18]Sheet1!$A:$M,7,0)</f>
        <v>0</v>
      </c>
      <c r="U885" s="4">
        <f>VLOOKUP(A885,[18]Sheet1!$A:$M,8,0)</f>
        <v>0</v>
      </c>
      <c r="V885" s="4">
        <f>VLOOKUP(A885,[18]Sheet1!$A:$M,9,0)</f>
        <v>0</v>
      </c>
      <c r="W885" s="4">
        <f>VLOOKUP(A885,[18]Sheet1!$A:$M,10,0)</f>
        <v>50</v>
      </c>
      <c r="X885" s="4">
        <f>VLOOKUP(A885,[18]Sheet1!$A:$M,11,0)</f>
        <v>50</v>
      </c>
      <c r="Y885" s="4">
        <f>VLOOKUP(A885,[18]Sheet1!$A:$M,12,0)</f>
        <v>50</v>
      </c>
      <c r="Z885" s="4">
        <f>VLOOKUP(A885,[18]Sheet1!$A:$M,13,0)</f>
        <v>0</v>
      </c>
      <c r="AA885" s="4">
        <f t="shared" si="270"/>
        <v>250</v>
      </c>
      <c r="AB885" s="7">
        <f t="shared" si="271"/>
        <v>21</v>
      </c>
      <c r="AC885" s="15">
        <f t="shared" si="272"/>
        <v>20.833333333333332</v>
      </c>
      <c r="AD885" s="16">
        <f t="shared" si="276"/>
        <v>1587.5</v>
      </c>
      <c r="AE885" s="16">
        <f t="shared" si="277"/>
        <v>132.29166666666666</v>
      </c>
      <c r="AF885" s="21">
        <v>3.24</v>
      </c>
      <c r="AG885" s="21">
        <v>6.35</v>
      </c>
      <c r="AH885" s="15">
        <f t="shared" si="278"/>
        <v>-0.11333333333333338</v>
      </c>
      <c r="AI885" s="15">
        <f t="shared" si="279"/>
        <v>-0.39666666666666678</v>
      </c>
      <c r="AJ885" s="10">
        <v>0.5</v>
      </c>
      <c r="AK885" s="10">
        <v>0.5</v>
      </c>
      <c r="AL885" s="21">
        <v>3.24</v>
      </c>
      <c r="AM885" s="9">
        <f t="shared" si="280"/>
        <v>0.9524999999999999</v>
      </c>
      <c r="AN885" s="9">
        <f t="shared" si="281"/>
        <v>0.19049999999999997</v>
      </c>
      <c r="AO885" s="9">
        <f t="shared" si="282"/>
        <v>1.27</v>
      </c>
      <c r="AP885" s="9">
        <f t="shared" si="283"/>
        <v>0.127</v>
      </c>
      <c r="AQ885" s="9">
        <f t="shared" si="284"/>
        <v>1.27</v>
      </c>
      <c r="AR885" s="9">
        <f t="shared" si="285"/>
        <v>1.5874999999999999</v>
      </c>
      <c r="AS885" s="11">
        <f t="shared" si="286"/>
        <v>-1.1333333333333337</v>
      </c>
      <c r="AT885" s="12">
        <f t="shared" si="287"/>
        <v>-1.3450000000000004</v>
      </c>
    </row>
    <row r="886" spans="1:46" ht="16.5" x14ac:dyDescent="0.4">
      <c r="A886" s="4" t="s">
        <v>4018</v>
      </c>
      <c r="B886" s="4" t="s">
        <v>4037</v>
      </c>
      <c r="C886" s="4" t="s">
        <v>4037</v>
      </c>
      <c r="D886" s="4" t="s">
        <v>4038</v>
      </c>
      <c r="E886" s="4" t="s">
        <v>4057</v>
      </c>
      <c r="F886" s="4" t="s">
        <v>4076</v>
      </c>
      <c r="G886" s="7" t="str">
        <f>VLOOKUP(A886,[1]done!$A:$I,9,0)</f>
        <v>All Other products</v>
      </c>
      <c r="H886" s="7" t="str" cm="1">
        <f t="array" ref="H886">_xlfn.IFS(
OR(ISNUMBER(SEARCH("mouse",E886)),ISNUMBER(SEARCH("rat",E886)),ISNUMBER(SEARCH("mice",E886)),ISNUMBER(SEARCH("rodent",E886))),"Rodent Control",
OR(ISNUMBER(SEARCH("fly",E886)),ISNUMBER(SEARCH("gnat",E886)),ISNUMBER(SEARCH("insect",E886)),ISNUMBER(SEARCH("mosquito",E886))),"Flying Insect Control",
OR(ISNUMBER(SEARCH("roach",E886)),ISNUMBER(SEARCH("ant",E886)),ISNUMBER(SEARCH("spider",E886)),ISNUMBER(SEARCH("cricket",E886)),ISNUMBER(SEARCH("scorpion",E886)),ISNUMBER(SEARCH("centipede",E886)),ISNUMBER(SEARCH("beetle",E886))),"Crawling Insect Control",
OR(ISNUMBER(SEARCH("tree",E886)),ISNUMBER(SEARCH("lantern",E886)),ISNUMBER(SEARCH("garden",E886)),ISNUMBER(SEARCH("plant",E886))),"Garden Pest Control",
OR(ISNUMBER(SEARCH("grass seed",E886)),ISNUMBER(SEARCH("seed mix",E886))),"Grass Seed",
OR(ISNUMBER(SEARCH("lawn food",E886)),ISNUMBER(SEARCH("fertilizer",E886))),"Lawn Fertilizer",
OR(ISNUMBER(SEARCH("patch",E886)),ISNUMBER(SEARCH("repair",E886)),ISNUMBER(SEARCH("thick'r",E886)),ISNUMBER(SEARCH("thick'r lawn",E886)),ISNUMBER(SEARCH("rapid grass",E886))),"Lawn Repair",
OR(ISNUMBER(SEARCH("weed",E886)),ISNUMBER(SEARCH("crabgrass",E886))),"Weed Control",
OR(ISNUMBER(SEARCH("fungicide",E886)),ISNUMBER(SEARCH("moss",E886))),"Disease &amp; Moss Control",
OR(ISNUMBER(SEARCH("plant food",E886)),ISNUMBER(SEARCH("miracid",E886))),"Plant Nutrition",
OR(ISNUMBER(SEARCH("perlite",E886))),"Soil Amendment",
OR(ISNUMBER(SEARCH("spreader",E886)),ISNUMBER(SEARCH("sprayer",E886)),ISNUMBER(SEARCH("mower",E886)),ISNUMBER(SEARCH("sweeper",E886)),ISNUMBER(SEARCH("pruner",E886)),ISNUMBER(SEARCH("trimmer",E886)),ISNUMBER(SEARCH("pole saw",E886))),"Garden Equipment",
TRUE,"Other"
)</f>
        <v>Other</v>
      </c>
      <c r="I886" s="7" t="str" cm="1">
        <f t="array" ref="I886">_xlfn.IFS(
OR(ISNUMBER(SEARCH("glue trap",E886)),ISNUMBER(SEARCH("glue board",E886))),"Glue Traps",
OR(ISNUMBER(SEARCH("snap trap",E886)),ISNUMBER(SEARCH("power-kill",E886)),ISNUMBER(SEARCH("wide pedal",E886)),ISNUMBER(SEARCH("metal pedal",E886))),"Snap Traps",
OR(ISNUMBER(SEARCH("electronic",E886)),ISNUMBER(SEARCH("zapper",E886))),"Electronic Traps",
OR(ISNUMBER(SEARCH("live catch",E886)),ISNUMBER(SEARCH("multi-catch",E886)),ISNUMBER(SEARCH("catch &amp; hold",E886)),ISNUMBER(SEARCH("tin cat",E886))),"Live Catch Traps",
OR(ISNUMBER(SEARCH("bait",E886)),ISNUMBER(SEARCH("poison",E886))),"Bait &amp; Poison",
ISNUMBER(SEARCH("repellent",E886)),"Repellents",
OR(ISNUMBER(SEARCH("fly trap",E886)),ISNUMBER(SEARCH("fly ribbon",E886)),ISNUMBER(SEARCH("fly stick",E886)),ISNUMBER(SEARCH("window fly",E886)),ISNUMBER(SEARCH("fly magnet",E886))),"Fly Traps",
OR(ISNUMBER(SEARCH("uv",E886)),ISNUMBER(SEARCH("fly light",E886)),ISNUMBER(SEARCH("plug-in",E886))),"UV Fly Traps",
ISNUMBER(SEARCH("roach",E886)),"Roach Traps",
ISNUMBER(SEARCH("ant",E886)),"Ant Traps",
ISNUMBER(SEARCH("spider",E886)),"Spider Traps",
ISNUMBER(SEARCH("mosquito",E886)),"Mosquito Traps",
ISNUMBER(SEARCH("beetle",E886)),"Beetle Traps",
ISNUMBER(SEARCH("lantern",E886)),"Lanternfly Control",
OR(ISNUMBER(SEARCH("tree shield",E886)),ISNUMBER(SEARCH("tree banding",E886)),ISNUMBER(SEARCH("insect barrier",E886))),"Tree Barriers",
OR(ISNUMBER(SEARCH("sun &amp; shade",E886)),ISNUMBER(SEARCH("sun and shade",E886))),"Sun &amp; Shade Mix",
ISNUMBER(SEARCH("tall fescue",E886)),"Tall Fescue",
ISNUMBER(SEARCH("bermudagrass",E886)),"Bermudagrass",
ISNUMBER(SEARCH("kentucky",E886)),"Kentucky Bluegrass",
ISNUMBER(SEARCH("zoysia",E886)),"Zoysia",
ISNUMBER(SEARCH("ryegrass",E886)),"Perennial Ryegrass",
ISNUMBER(SEARCH("centipede",E886)),"Centipede Grass",
ISNUMBER(SEARCH("dense shade",E886)),"Dense Shade Mix",
ISNUMBER(SEARCH("southern gold",E886)),"Southern Gold Mix",
ISNUMBER(SEARCH("heat-tolerant blue",E886)),"Heat-Tolerant Blue Mix",
ISNUMBER(SEARCH("high traffic",E886)),"High Traffic Mix",
ISNUMBER(SEARCH("quick fix",E886)),"Quick Fix Mix",
ISNUMBER(SEARCH("starter",E886)),"Starter Fertilizer",
ISNUMBER(SEARCH("weed &amp; feed",E886)),"Weed &amp; Feed",
ISNUMBER(SEARCH("lawn food",E886)),"Lawn Food",
ISNUMBER(SEARCH("triple action",E886)),"Triple Action Fertilizer",
ISNUMBER(SEARCH("green max",E886)),"Green Max Lawn Food",
ISNUMBER(SEARCH("patchmaster",E886)),"PatchMaster Repair",
ISNUMBER(SEARCH("ez seed",E886)),"EZ Seed Repair",
ISNUMBER(SEARCH("rapid grass",E886)),"Rapid Grass",
ISNUMBER(SEARCH("thick'r lawn",E886)),"Thick'R Lawn",
ISNUMBER(SEARCH("fungicide",E886)),"Fungicide",
ISNUMBER(SEARCH("moss",E886)),"Moss Control",
ISNUMBER(SEARCH("perlite",E886)),"Perlite",
ISNUMBER(SEARCH("plant food",E886)),"Plant Food",
ISNUMBER(SEARCH("spreader",E886)),"Spreader",
ISNUMBER(SEARCH("sprayer",E886)),"Sprayer",
ISNUMBER(SEARCH("mower",E886)),"Lawn Mower",
ISNUMBER(SEARCH("sweeper",E886)),"Lawn Sweeper",
OR(ISNUMBER(SEARCH("pruner",E886)),ISNUMBER(SEARCH("trimmer",E886)),ISNUMBER(SEARCH("pole saw",E886))),"Pruning Tools",
TRUE,"Other"
)</f>
        <v>Repellents</v>
      </c>
      <c r="J886" s="7" t="str">
        <f t="shared" ref="J886:J904" si="288">H886&amp;" - "&amp;I886</f>
        <v>Other - Repellents</v>
      </c>
      <c r="K886" s="4">
        <v>1000</v>
      </c>
      <c r="L886" s="4">
        <v>3.2</v>
      </c>
      <c r="M886" s="4">
        <v>6132</v>
      </c>
      <c r="N886" s="4" t="s">
        <v>4095</v>
      </c>
      <c r="O886" s="4">
        <f>VLOOKUP(A886,[19]Sheet1!$A:$M,2,0)</f>
        <v>1000</v>
      </c>
      <c r="P886" s="4">
        <f>VLOOKUP(A886,[19]Sheet1!$A:$M,3,0)</f>
        <v>1000</v>
      </c>
      <c r="Q886" s="4">
        <f>VLOOKUP(A886,[19]Sheet1!$A:$M,4,0)</f>
        <v>1000</v>
      </c>
      <c r="R886" s="4">
        <f>VLOOKUP(A886,[19]Sheet1!$A:$M,5,0)</f>
        <v>2000</v>
      </c>
      <c r="S886" s="4">
        <f>VLOOKUP(A886,[19]Sheet1!$A:$M,6,0)</f>
        <v>800</v>
      </c>
      <c r="T886" s="4">
        <f>VLOOKUP(A886,[19]Sheet1!$A:$M,7,0)</f>
        <v>2000</v>
      </c>
      <c r="U886" s="4">
        <f>VLOOKUP(A886,[19]Sheet1!$A:$M,8,0)</f>
        <v>1000</v>
      </c>
      <c r="V886" s="4">
        <f>VLOOKUP(A886,[19]Sheet1!$A:$M,9,0)</f>
        <v>1000</v>
      </c>
      <c r="W886" s="4">
        <f>VLOOKUP(A886,[19]Sheet1!$A:$M,10,0)</f>
        <v>1000</v>
      </c>
      <c r="X886" s="4">
        <f>VLOOKUP(A886,[19]Sheet1!$A:$M,11,0)</f>
        <v>1000</v>
      </c>
      <c r="Y886" s="4">
        <f>VLOOKUP(A886,[19]Sheet1!$A:$M,12,0)</f>
        <v>1000</v>
      </c>
      <c r="Z886" s="4">
        <f>VLOOKUP(A886,[19]Sheet1!$A:$M,13,0)</f>
        <v>1000</v>
      </c>
      <c r="AA886" s="4">
        <f t="shared" ref="AA886:AA904" si="289">SUM(O886:Z886)</f>
        <v>13800</v>
      </c>
      <c r="AB886" s="7">
        <f t="shared" ref="AB886:AB904" si="290">ROUND(AA886/12,0)</f>
        <v>1150</v>
      </c>
      <c r="AC886" s="15">
        <f t="shared" ref="AC886:AC904" si="291">AVERAGE(O886:Z886)</f>
        <v>1150</v>
      </c>
      <c r="AD886" s="16">
        <f t="shared" ref="AD886:AD904" si="292">AG886*AA886</f>
        <v>330786</v>
      </c>
      <c r="AE886" s="16">
        <f t="shared" ref="AE886:AE904" si="293">AG886*AC886</f>
        <v>27565.5</v>
      </c>
      <c r="AF886" s="21">
        <v>6.9</v>
      </c>
      <c r="AG886" s="21">
        <v>23.97</v>
      </c>
      <c r="AH886" s="15">
        <f t="shared" ref="AH886:AH904" si="294">0.1*AS886</f>
        <v>0.11253333333333332</v>
      </c>
      <c r="AI886" s="15">
        <f t="shared" ref="AI886:AI904" si="295">0.35*AS886</f>
        <v>0.39386666666666653</v>
      </c>
      <c r="AJ886" s="10">
        <v>0.5</v>
      </c>
      <c r="AK886" s="10">
        <v>0.5</v>
      </c>
      <c r="AL886" s="21">
        <v>6.9</v>
      </c>
      <c r="AM886" s="9">
        <f t="shared" ref="AM886:AM904" si="296">0.15*AG886</f>
        <v>3.5954999999999999</v>
      </c>
      <c r="AN886" s="9">
        <f t="shared" ref="AN886:AN904" si="297">0.03*AG886</f>
        <v>0.71909999999999996</v>
      </c>
      <c r="AO886" s="9">
        <f t="shared" ref="AO886:AO904" si="298">0.2*AG886</f>
        <v>4.7939999999999996</v>
      </c>
      <c r="AP886" s="9">
        <f t="shared" ref="AP886:AP904" si="299">0.02*AG886</f>
        <v>0.47939999999999999</v>
      </c>
      <c r="AQ886" s="9">
        <f t="shared" ref="AQ886:AQ904" si="300">0.2*AG886</f>
        <v>4.7939999999999996</v>
      </c>
      <c r="AR886" s="9">
        <f t="shared" ref="AR886:AR904" si="301">0.25*AG886</f>
        <v>5.9924999999999997</v>
      </c>
      <c r="AS886" s="11">
        <f t="shared" ref="AS886:AS904" si="302">(AG886*(1-(0.15+0.03+0.2+0.02))-AJ886-AK886-AL886-AQ886)/(1+0.1+0.4)</f>
        <v>1.1253333333333331</v>
      </c>
      <c r="AT886" s="12">
        <f t="shared" ref="AT886:AT904" si="303">(AG886*(1-(0.15+0.03+0.2+0.02))-AJ886-AK886-AL886-AR886)/(1+0.1+0.4)</f>
        <v>0.32633333333333309</v>
      </c>
    </row>
    <row r="887" spans="1:46" ht="16.5" x14ac:dyDescent="0.4">
      <c r="A887" s="4" t="s">
        <v>4019</v>
      </c>
      <c r="B887" s="4" t="s">
        <v>4037</v>
      </c>
      <c r="C887" s="4" t="s">
        <v>4037</v>
      </c>
      <c r="D887" s="4" t="s">
        <v>4039</v>
      </c>
      <c r="E887" s="4" t="s">
        <v>4058</v>
      </c>
      <c r="F887" s="4" t="s">
        <v>4077</v>
      </c>
      <c r="G887" s="7" t="str">
        <f>VLOOKUP(A887,[1]done!$A:$I,9,0)</f>
        <v>Other Glue boards for insects or rodents</v>
      </c>
      <c r="H887" s="7" t="str" cm="1">
        <f t="array" ref="H887">_xlfn.IFS(
OR(ISNUMBER(SEARCH("mouse",E887)),ISNUMBER(SEARCH("rat",E887)),ISNUMBER(SEARCH("mice",E887)),ISNUMBER(SEARCH("rodent",E887))),"Rodent Control",
OR(ISNUMBER(SEARCH("fly",E887)),ISNUMBER(SEARCH("gnat",E887)),ISNUMBER(SEARCH("insect",E887)),ISNUMBER(SEARCH("mosquito",E887))),"Flying Insect Control",
OR(ISNUMBER(SEARCH("roach",E887)),ISNUMBER(SEARCH("ant",E887)),ISNUMBER(SEARCH("spider",E887)),ISNUMBER(SEARCH("cricket",E887)),ISNUMBER(SEARCH("scorpion",E887)),ISNUMBER(SEARCH("centipede",E887)),ISNUMBER(SEARCH("beetle",E887))),"Crawling Insect Control",
OR(ISNUMBER(SEARCH("tree",E887)),ISNUMBER(SEARCH("lantern",E887)),ISNUMBER(SEARCH("garden",E887)),ISNUMBER(SEARCH("plant",E887))),"Garden Pest Control",
OR(ISNUMBER(SEARCH("grass seed",E887)),ISNUMBER(SEARCH("seed mix",E887))),"Grass Seed",
OR(ISNUMBER(SEARCH("lawn food",E887)),ISNUMBER(SEARCH("fertilizer",E887))),"Lawn Fertilizer",
OR(ISNUMBER(SEARCH("patch",E887)),ISNUMBER(SEARCH("repair",E887)),ISNUMBER(SEARCH("thick'r",E887)),ISNUMBER(SEARCH("thick'r lawn",E887)),ISNUMBER(SEARCH("rapid grass",E887))),"Lawn Repair",
OR(ISNUMBER(SEARCH("weed",E887)),ISNUMBER(SEARCH("crabgrass",E887))),"Weed Control",
OR(ISNUMBER(SEARCH("fungicide",E887)),ISNUMBER(SEARCH("moss",E887))),"Disease &amp; Moss Control",
OR(ISNUMBER(SEARCH("plant food",E887)),ISNUMBER(SEARCH("miracid",E887))),"Plant Nutrition",
OR(ISNUMBER(SEARCH("perlite",E887))),"Soil Amendment",
OR(ISNUMBER(SEARCH("spreader",E887)),ISNUMBER(SEARCH("sprayer",E887)),ISNUMBER(SEARCH("mower",E887)),ISNUMBER(SEARCH("sweeper",E887)),ISNUMBER(SEARCH("pruner",E887)),ISNUMBER(SEARCH("trimmer",E887)),ISNUMBER(SEARCH("pole saw",E887))),"Garden Equipment",
TRUE,"Other"
)</f>
        <v>Other</v>
      </c>
      <c r="I887" s="7" t="str" cm="1">
        <f t="array" ref="I887">_xlfn.IFS(
OR(ISNUMBER(SEARCH("glue trap",E887)),ISNUMBER(SEARCH("glue board",E887))),"Glue Traps",
OR(ISNUMBER(SEARCH("snap trap",E887)),ISNUMBER(SEARCH("power-kill",E887)),ISNUMBER(SEARCH("wide pedal",E887)),ISNUMBER(SEARCH("metal pedal",E887))),"Snap Traps",
OR(ISNUMBER(SEARCH("electronic",E887)),ISNUMBER(SEARCH("zapper",E887))),"Electronic Traps",
OR(ISNUMBER(SEARCH("live catch",E887)),ISNUMBER(SEARCH("multi-catch",E887)),ISNUMBER(SEARCH("catch &amp; hold",E887)),ISNUMBER(SEARCH("tin cat",E887))),"Live Catch Traps",
OR(ISNUMBER(SEARCH("bait",E887)),ISNUMBER(SEARCH("poison",E887))),"Bait &amp; Poison",
ISNUMBER(SEARCH("repellent",E887)),"Repellents",
OR(ISNUMBER(SEARCH("fly trap",E887)),ISNUMBER(SEARCH("fly ribbon",E887)),ISNUMBER(SEARCH("fly stick",E887)),ISNUMBER(SEARCH("window fly",E887)),ISNUMBER(SEARCH("fly magnet",E887))),"Fly Traps",
OR(ISNUMBER(SEARCH("uv",E887)),ISNUMBER(SEARCH("fly light",E887)),ISNUMBER(SEARCH("plug-in",E887))),"UV Fly Traps",
ISNUMBER(SEARCH("roach",E887)),"Roach Traps",
ISNUMBER(SEARCH("ant",E887)),"Ant Traps",
ISNUMBER(SEARCH("spider",E887)),"Spider Traps",
ISNUMBER(SEARCH("mosquito",E887)),"Mosquito Traps",
ISNUMBER(SEARCH("beetle",E887)),"Beetle Traps",
ISNUMBER(SEARCH("lantern",E887)),"Lanternfly Control",
OR(ISNUMBER(SEARCH("tree shield",E887)),ISNUMBER(SEARCH("tree banding",E887)),ISNUMBER(SEARCH("insect barrier",E887))),"Tree Barriers",
OR(ISNUMBER(SEARCH("sun &amp; shade",E887)),ISNUMBER(SEARCH("sun and shade",E887))),"Sun &amp; Shade Mix",
ISNUMBER(SEARCH("tall fescue",E887)),"Tall Fescue",
ISNUMBER(SEARCH("bermudagrass",E887)),"Bermudagrass",
ISNUMBER(SEARCH("kentucky",E887)),"Kentucky Bluegrass",
ISNUMBER(SEARCH("zoysia",E887)),"Zoysia",
ISNUMBER(SEARCH("ryegrass",E887)),"Perennial Ryegrass",
ISNUMBER(SEARCH("centipede",E887)),"Centipede Grass",
ISNUMBER(SEARCH("dense shade",E887)),"Dense Shade Mix",
ISNUMBER(SEARCH("southern gold",E887)),"Southern Gold Mix",
ISNUMBER(SEARCH("heat-tolerant blue",E887)),"Heat-Tolerant Blue Mix",
ISNUMBER(SEARCH("high traffic",E887)),"High Traffic Mix",
ISNUMBER(SEARCH("quick fix",E887)),"Quick Fix Mix",
ISNUMBER(SEARCH("starter",E887)),"Starter Fertilizer",
ISNUMBER(SEARCH("weed &amp; feed",E887)),"Weed &amp; Feed",
ISNUMBER(SEARCH("lawn food",E887)),"Lawn Food",
ISNUMBER(SEARCH("triple action",E887)),"Triple Action Fertilizer",
ISNUMBER(SEARCH("green max",E887)),"Green Max Lawn Food",
ISNUMBER(SEARCH("patchmaster",E887)),"PatchMaster Repair",
ISNUMBER(SEARCH("ez seed",E887)),"EZ Seed Repair",
ISNUMBER(SEARCH("rapid grass",E887)),"Rapid Grass",
ISNUMBER(SEARCH("thick'r lawn",E887)),"Thick'R Lawn",
ISNUMBER(SEARCH("fungicide",E887)),"Fungicide",
ISNUMBER(SEARCH("moss",E887)),"Moss Control",
ISNUMBER(SEARCH("perlite",E887)),"Perlite",
ISNUMBER(SEARCH("plant food",E887)),"Plant Food",
ISNUMBER(SEARCH("spreader",E887)),"Spreader",
ISNUMBER(SEARCH("sprayer",E887)),"Sprayer",
ISNUMBER(SEARCH("mower",E887)),"Lawn Mower",
ISNUMBER(SEARCH("sweeper",E887)),"Lawn Sweeper",
OR(ISNUMBER(SEARCH("pruner",E887)),ISNUMBER(SEARCH("trimmer",E887)),ISNUMBER(SEARCH("pole saw",E887))),"Pruning Tools",
TRUE,"Other"
)</f>
        <v>Repellents</v>
      </c>
      <c r="J887" s="7" t="str">
        <f t="shared" si="288"/>
        <v>Other - Repellents</v>
      </c>
      <c r="K887" s="4">
        <v>500</v>
      </c>
      <c r="L887" s="4">
        <v>3.2</v>
      </c>
      <c r="M887" s="4">
        <v>4534</v>
      </c>
      <c r="N887" s="4" t="s">
        <v>4096</v>
      </c>
      <c r="O887" s="4">
        <f>VLOOKUP(A887,[19]Sheet1!$A:$M,2,0)</f>
        <v>200</v>
      </c>
      <c r="P887" s="4">
        <f>VLOOKUP(A887,[19]Sheet1!$A:$M,3,0)</f>
        <v>200</v>
      </c>
      <c r="Q887" s="4">
        <f>VLOOKUP(A887,[19]Sheet1!$A:$M,4,0)</f>
        <v>300</v>
      </c>
      <c r="R887" s="4">
        <f>VLOOKUP(A887,[19]Sheet1!$A:$M,5,0)</f>
        <v>500</v>
      </c>
      <c r="S887" s="4">
        <f>VLOOKUP(A887,[19]Sheet1!$A:$M,6,0)</f>
        <v>500</v>
      </c>
      <c r="T887" s="4">
        <f>VLOOKUP(A887,[19]Sheet1!$A:$M,7,0)</f>
        <v>1000</v>
      </c>
      <c r="U887" s="4">
        <f>VLOOKUP(A887,[19]Sheet1!$A:$M,8,0)</f>
        <v>1000</v>
      </c>
      <c r="V887" s="4">
        <f>VLOOKUP(A887,[19]Sheet1!$A:$M,9,0)</f>
        <v>500</v>
      </c>
      <c r="W887" s="4">
        <f>VLOOKUP(A887,[19]Sheet1!$A:$M,10,0)</f>
        <v>500</v>
      </c>
      <c r="X887" s="4">
        <f>VLOOKUP(A887,[19]Sheet1!$A:$M,11,0)</f>
        <v>400</v>
      </c>
      <c r="Y887" s="4">
        <f>VLOOKUP(A887,[19]Sheet1!$A:$M,12,0)</f>
        <v>200</v>
      </c>
      <c r="Z887" s="4">
        <f>VLOOKUP(A887,[19]Sheet1!$A:$M,13,0)</f>
        <v>200</v>
      </c>
      <c r="AA887" s="4">
        <f t="shared" si="289"/>
        <v>5500</v>
      </c>
      <c r="AB887" s="7">
        <f t="shared" si="290"/>
        <v>458</v>
      </c>
      <c r="AC887" s="15">
        <f t="shared" si="291"/>
        <v>458.33333333333331</v>
      </c>
      <c r="AD887" s="16">
        <f t="shared" si="292"/>
        <v>109835</v>
      </c>
      <c r="AE887" s="16">
        <f t="shared" si="293"/>
        <v>9152.9166666666661</v>
      </c>
      <c r="AF887" s="21">
        <v>7.3</v>
      </c>
      <c r="AG887" s="21">
        <v>19.97</v>
      </c>
      <c r="AH887" s="15">
        <f t="shared" si="294"/>
        <v>-2.080000000000002E-2</v>
      </c>
      <c r="AI887" s="15">
        <f t="shared" si="295"/>
        <v>-7.2800000000000059E-2</v>
      </c>
      <c r="AJ887" s="10">
        <v>0.5</v>
      </c>
      <c r="AK887" s="10">
        <v>0.5</v>
      </c>
      <c r="AL887" s="21">
        <v>7.3</v>
      </c>
      <c r="AM887" s="9">
        <f t="shared" si="296"/>
        <v>2.9954999999999998</v>
      </c>
      <c r="AN887" s="9">
        <f t="shared" si="297"/>
        <v>0.59909999999999997</v>
      </c>
      <c r="AO887" s="9">
        <f t="shared" si="298"/>
        <v>3.9939999999999998</v>
      </c>
      <c r="AP887" s="9">
        <f t="shared" si="299"/>
        <v>0.39939999999999998</v>
      </c>
      <c r="AQ887" s="9">
        <f t="shared" si="300"/>
        <v>3.9939999999999998</v>
      </c>
      <c r="AR887" s="9">
        <f t="shared" si="301"/>
        <v>4.9924999999999997</v>
      </c>
      <c r="AS887" s="11">
        <f t="shared" si="302"/>
        <v>-0.20800000000000018</v>
      </c>
      <c r="AT887" s="12">
        <f t="shared" si="303"/>
        <v>-0.87366666666666681</v>
      </c>
    </row>
    <row r="888" spans="1:46" ht="16.5" x14ac:dyDescent="0.4">
      <c r="A888" s="4" t="s">
        <v>4020</v>
      </c>
      <c r="B888" s="4" t="s">
        <v>4037</v>
      </c>
      <c r="C888" s="4" t="s">
        <v>4037</v>
      </c>
      <c r="D888" s="4" t="s">
        <v>4040</v>
      </c>
      <c r="E888" s="4" t="s">
        <v>4059</v>
      </c>
      <c r="F888" s="4" t="s">
        <v>4078</v>
      </c>
      <c r="G888" s="7" t="str">
        <f>VLOOKUP(A888,[1]done!$A:$I,9,0)</f>
        <v>Other Glue boards for insects or rodents</v>
      </c>
      <c r="H888" s="7" t="str" cm="1">
        <f t="array" ref="H888">_xlfn.IFS(
OR(ISNUMBER(SEARCH("mouse",E888)),ISNUMBER(SEARCH("rat",E888)),ISNUMBER(SEARCH("mice",E888)),ISNUMBER(SEARCH("rodent",E888))),"Rodent Control",
OR(ISNUMBER(SEARCH("fly",E888)),ISNUMBER(SEARCH("gnat",E888)),ISNUMBER(SEARCH("insect",E888)),ISNUMBER(SEARCH("mosquito",E888))),"Flying Insect Control",
OR(ISNUMBER(SEARCH("roach",E888)),ISNUMBER(SEARCH("ant",E888)),ISNUMBER(SEARCH("spider",E888)),ISNUMBER(SEARCH("cricket",E888)),ISNUMBER(SEARCH("scorpion",E888)),ISNUMBER(SEARCH("centipede",E888)),ISNUMBER(SEARCH("beetle",E888))),"Crawling Insect Control",
OR(ISNUMBER(SEARCH("tree",E888)),ISNUMBER(SEARCH("lantern",E888)),ISNUMBER(SEARCH("garden",E888)),ISNUMBER(SEARCH("plant",E888))),"Garden Pest Control",
OR(ISNUMBER(SEARCH("grass seed",E888)),ISNUMBER(SEARCH("seed mix",E888))),"Grass Seed",
OR(ISNUMBER(SEARCH("lawn food",E888)),ISNUMBER(SEARCH("fertilizer",E888))),"Lawn Fertilizer",
OR(ISNUMBER(SEARCH("patch",E888)),ISNUMBER(SEARCH("repair",E888)),ISNUMBER(SEARCH("thick'r",E888)),ISNUMBER(SEARCH("thick'r lawn",E888)),ISNUMBER(SEARCH("rapid grass",E888))),"Lawn Repair",
OR(ISNUMBER(SEARCH("weed",E888)),ISNUMBER(SEARCH("crabgrass",E888))),"Weed Control",
OR(ISNUMBER(SEARCH("fungicide",E888)),ISNUMBER(SEARCH("moss",E888))),"Disease &amp; Moss Control",
OR(ISNUMBER(SEARCH("plant food",E888)),ISNUMBER(SEARCH("miracid",E888))),"Plant Nutrition",
OR(ISNUMBER(SEARCH("perlite",E888))),"Soil Amendment",
OR(ISNUMBER(SEARCH("spreader",E888)),ISNUMBER(SEARCH("sprayer",E888)),ISNUMBER(SEARCH("mower",E888)),ISNUMBER(SEARCH("sweeper",E888)),ISNUMBER(SEARCH("pruner",E888)),ISNUMBER(SEARCH("trimmer",E888)),ISNUMBER(SEARCH("pole saw",E888))),"Garden Equipment",
TRUE,"Other"
)</f>
        <v>Other</v>
      </c>
      <c r="I888" s="7" t="str" cm="1">
        <f t="array" ref="I888">_xlfn.IFS(
OR(ISNUMBER(SEARCH("glue trap",E888)),ISNUMBER(SEARCH("glue board",E888))),"Glue Traps",
OR(ISNUMBER(SEARCH("snap trap",E888)),ISNUMBER(SEARCH("power-kill",E888)),ISNUMBER(SEARCH("wide pedal",E888)),ISNUMBER(SEARCH("metal pedal",E888))),"Snap Traps",
OR(ISNUMBER(SEARCH("electronic",E888)),ISNUMBER(SEARCH("zapper",E888))),"Electronic Traps",
OR(ISNUMBER(SEARCH("live catch",E888)),ISNUMBER(SEARCH("multi-catch",E888)),ISNUMBER(SEARCH("catch &amp; hold",E888)),ISNUMBER(SEARCH("tin cat",E888))),"Live Catch Traps",
OR(ISNUMBER(SEARCH("bait",E888)),ISNUMBER(SEARCH("poison",E888))),"Bait &amp; Poison",
ISNUMBER(SEARCH("repellent",E888)),"Repellents",
OR(ISNUMBER(SEARCH("fly trap",E888)),ISNUMBER(SEARCH("fly ribbon",E888)),ISNUMBER(SEARCH("fly stick",E888)),ISNUMBER(SEARCH("window fly",E888)),ISNUMBER(SEARCH("fly magnet",E888))),"Fly Traps",
OR(ISNUMBER(SEARCH("uv",E888)),ISNUMBER(SEARCH("fly light",E888)),ISNUMBER(SEARCH("plug-in",E888))),"UV Fly Traps",
ISNUMBER(SEARCH("roach",E888)),"Roach Traps",
ISNUMBER(SEARCH("ant",E888)),"Ant Traps",
ISNUMBER(SEARCH("spider",E888)),"Spider Traps",
ISNUMBER(SEARCH("mosquito",E888)),"Mosquito Traps",
ISNUMBER(SEARCH("beetle",E888)),"Beetle Traps",
ISNUMBER(SEARCH("lantern",E888)),"Lanternfly Control",
OR(ISNUMBER(SEARCH("tree shield",E888)),ISNUMBER(SEARCH("tree banding",E888)),ISNUMBER(SEARCH("insect barrier",E888))),"Tree Barriers",
OR(ISNUMBER(SEARCH("sun &amp; shade",E888)),ISNUMBER(SEARCH("sun and shade",E888))),"Sun &amp; Shade Mix",
ISNUMBER(SEARCH("tall fescue",E888)),"Tall Fescue",
ISNUMBER(SEARCH("bermudagrass",E888)),"Bermudagrass",
ISNUMBER(SEARCH("kentucky",E888)),"Kentucky Bluegrass",
ISNUMBER(SEARCH("zoysia",E888)),"Zoysia",
ISNUMBER(SEARCH("ryegrass",E888)),"Perennial Ryegrass",
ISNUMBER(SEARCH("centipede",E888)),"Centipede Grass",
ISNUMBER(SEARCH("dense shade",E888)),"Dense Shade Mix",
ISNUMBER(SEARCH("southern gold",E888)),"Southern Gold Mix",
ISNUMBER(SEARCH("heat-tolerant blue",E888)),"Heat-Tolerant Blue Mix",
ISNUMBER(SEARCH("high traffic",E888)),"High Traffic Mix",
ISNUMBER(SEARCH("quick fix",E888)),"Quick Fix Mix",
ISNUMBER(SEARCH("starter",E888)),"Starter Fertilizer",
ISNUMBER(SEARCH("weed &amp; feed",E888)),"Weed &amp; Feed",
ISNUMBER(SEARCH("lawn food",E888)),"Lawn Food",
ISNUMBER(SEARCH("triple action",E888)),"Triple Action Fertilizer",
ISNUMBER(SEARCH("green max",E888)),"Green Max Lawn Food",
ISNUMBER(SEARCH("patchmaster",E888)),"PatchMaster Repair",
ISNUMBER(SEARCH("ez seed",E888)),"EZ Seed Repair",
ISNUMBER(SEARCH("rapid grass",E888)),"Rapid Grass",
ISNUMBER(SEARCH("thick'r lawn",E888)),"Thick'R Lawn",
ISNUMBER(SEARCH("fungicide",E888)),"Fungicide",
ISNUMBER(SEARCH("moss",E888)),"Moss Control",
ISNUMBER(SEARCH("perlite",E888)),"Perlite",
ISNUMBER(SEARCH("plant food",E888)),"Plant Food",
ISNUMBER(SEARCH("spreader",E888)),"Spreader",
ISNUMBER(SEARCH("sprayer",E888)),"Sprayer",
ISNUMBER(SEARCH("mower",E888)),"Lawn Mower",
ISNUMBER(SEARCH("sweeper",E888)),"Lawn Sweeper",
OR(ISNUMBER(SEARCH("pruner",E888)),ISNUMBER(SEARCH("trimmer",E888)),ISNUMBER(SEARCH("pole saw",E888))),"Pruning Tools",
TRUE,"Other"
)</f>
        <v>Repellents</v>
      </c>
      <c r="J888" s="7" t="str">
        <f t="shared" si="288"/>
        <v>Other - Repellents</v>
      </c>
      <c r="K888" s="4">
        <v>400</v>
      </c>
      <c r="L888" s="4">
        <v>3.1</v>
      </c>
      <c r="M888" s="4">
        <v>1149</v>
      </c>
      <c r="N888" s="4" t="s">
        <v>4097</v>
      </c>
      <c r="O888" s="4">
        <f>VLOOKUP(A888,[19]Sheet1!$A:$M,2,0)</f>
        <v>300</v>
      </c>
      <c r="P888" s="4">
        <f>VLOOKUP(A888,[19]Sheet1!$A:$M,3,0)</f>
        <v>300</v>
      </c>
      <c r="Q888" s="4">
        <f>VLOOKUP(A888,[19]Sheet1!$A:$M,4,0)</f>
        <v>500</v>
      </c>
      <c r="R888" s="4">
        <f>VLOOKUP(A888,[19]Sheet1!$A:$M,5,0)</f>
        <v>700</v>
      </c>
      <c r="S888" s="4">
        <f>VLOOKUP(A888,[19]Sheet1!$A:$M,6,0)</f>
        <v>700</v>
      </c>
      <c r="T888" s="4">
        <f>VLOOKUP(A888,[19]Sheet1!$A:$M,7,0)</f>
        <v>500</v>
      </c>
      <c r="U888" s="4">
        <f>VLOOKUP(A888,[19]Sheet1!$A:$M,8,0)</f>
        <v>100</v>
      </c>
      <c r="V888" s="4">
        <f>VLOOKUP(A888,[19]Sheet1!$A:$M,9,0)</f>
        <v>300</v>
      </c>
      <c r="W888" s="4">
        <f>VLOOKUP(A888,[19]Sheet1!$A:$M,10,0)</f>
        <v>400</v>
      </c>
      <c r="X888" s="4">
        <f>VLOOKUP(A888,[19]Sheet1!$A:$M,11,0)</f>
        <v>300</v>
      </c>
      <c r="Y888" s="4">
        <f>VLOOKUP(A888,[19]Sheet1!$A:$M,12,0)</f>
        <v>400</v>
      </c>
      <c r="Z888" s="4">
        <f>VLOOKUP(A888,[19]Sheet1!$A:$M,13,0)</f>
        <v>300</v>
      </c>
      <c r="AA888" s="4">
        <f t="shared" si="289"/>
        <v>4800</v>
      </c>
      <c r="AB888" s="7">
        <f t="shared" si="290"/>
        <v>400</v>
      </c>
      <c r="AC888" s="15">
        <f t="shared" si="291"/>
        <v>400</v>
      </c>
      <c r="AD888" s="16">
        <f t="shared" si="292"/>
        <v>95856</v>
      </c>
      <c r="AE888" s="16">
        <f t="shared" si="293"/>
        <v>7988</v>
      </c>
      <c r="AF888" s="21">
        <v>6.9</v>
      </c>
      <c r="AG888" s="21">
        <v>19.97</v>
      </c>
      <c r="AH888" s="15">
        <f t="shared" si="294"/>
        <v>5.866666666666613E-3</v>
      </c>
      <c r="AI888" s="15">
        <f t="shared" si="295"/>
        <v>2.0533333333333143E-2</v>
      </c>
      <c r="AJ888" s="10">
        <v>0.5</v>
      </c>
      <c r="AK888" s="10">
        <v>0.5</v>
      </c>
      <c r="AL888" s="21">
        <v>6.9</v>
      </c>
      <c r="AM888" s="9">
        <f t="shared" si="296"/>
        <v>2.9954999999999998</v>
      </c>
      <c r="AN888" s="9">
        <f t="shared" si="297"/>
        <v>0.59909999999999997</v>
      </c>
      <c r="AO888" s="9">
        <f t="shared" si="298"/>
        <v>3.9939999999999998</v>
      </c>
      <c r="AP888" s="9">
        <f t="shared" si="299"/>
        <v>0.39939999999999998</v>
      </c>
      <c r="AQ888" s="9">
        <f t="shared" si="300"/>
        <v>3.9939999999999998</v>
      </c>
      <c r="AR888" s="9">
        <f t="shared" si="301"/>
        <v>4.9924999999999997</v>
      </c>
      <c r="AS888" s="11">
        <f t="shared" si="302"/>
        <v>5.8666666666666124E-2</v>
      </c>
      <c r="AT888" s="12">
        <f t="shared" si="303"/>
        <v>-0.60700000000000054</v>
      </c>
    </row>
    <row r="889" spans="1:46" ht="16.5" x14ac:dyDescent="0.4">
      <c r="A889" s="4" t="s">
        <v>4021</v>
      </c>
      <c r="B889" s="4" t="s">
        <v>4037</v>
      </c>
      <c r="C889" s="4" t="s">
        <v>4037</v>
      </c>
      <c r="D889" s="4" t="s">
        <v>4041</v>
      </c>
      <c r="E889" s="4" t="s">
        <v>4060</v>
      </c>
      <c r="F889" s="4" t="s">
        <v>4079</v>
      </c>
      <c r="G889" s="7" t="str">
        <f>VLOOKUP(A889,[1]done!$A:$I,9,0)</f>
        <v>All Other products</v>
      </c>
      <c r="H889" s="7" t="str" cm="1">
        <f t="array" ref="H889">_xlfn.IFS(
OR(ISNUMBER(SEARCH("mouse",E889)),ISNUMBER(SEARCH("rat",E889)),ISNUMBER(SEARCH("mice",E889)),ISNUMBER(SEARCH("rodent",E889))),"Rodent Control",
OR(ISNUMBER(SEARCH("fly",E889)),ISNUMBER(SEARCH("gnat",E889)),ISNUMBER(SEARCH("insect",E889)),ISNUMBER(SEARCH("mosquito",E889))),"Flying Insect Control",
OR(ISNUMBER(SEARCH("roach",E889)),ISNUMBER(SEARCH("ant",E889)),ISNUMBER(SEARCH("spider",E889)),ISNUMBER(SEARCH("cricket",E889)),ISNUMBER(SEARCH("scorpion",E889)),ISNUMBER(SEARCH("centipede",E889)),ISNUMBER(SEARCH("beetle",E889))),"Crawling Insect Control",
OR(ISNUMBER(SEARCH("tree",E889)),ISNUMBER(SEARCH("lantern",E889)),ISNUMBER(SEARCH("garden",E889)),ISNUMBER(SEARCH("plant",E889))),"Garden Pest Control",
OR(ISNUMBER(SEARCH("grass seed",E889)),ISNUMBER(SEARCH("seed mix",E889))),"Grass Seed",
OR(ISNUMBER(SEARCH("lawn food",E889)),ISNUMBER(SEARCH("fertilizer",E889))),"Lawn Fertilizer",
OR(ISNUMBER(SEARCH("patch",E889)),ISNUMBER(SEARCH("repair",E889)),ISNUMBER(SEARCH("thick'r",E889)),ISNUMBER(SEARCH("thick'r lawn",E889)),ISNUMBER(SEARCH("rapid grass",E889))),"Lawn Repair",
OR(ISNUMBER(SEARCH("weed",E889)),ISNUMBER(SEARCH("crabgrass",E889))),"Weed Control",
OR(ISNUMBER(SEARCH("fungicide",E889)),ISNUMBER(SEARCH("moss",E889))),"Disease &amp; Moss Control",
OR(ISNUMBER(SEARCH("plant food",E889)),ISNUMBER(SEARCH("miracid",E889))),"Plant Nutrition",
OR(ISNUMBER(SEARCH("perlite",E889))),"Soil Amendment",
OR(ISNUMBER(SEARCH("spreader",E889)),ISNUMBER(SEARCH("sprayer",E889)),ISNUMBER(SEARCH("mower",E889)),ISNUMBER(SEARCH("sweeper",E889)),ISNUMBER(SEARCH("pruner",E889)),ISNUMBER(SEARCH("trimmer",E889)),ISNUMBER(SEARCH("pole saw",E889))),"Garden Equipment",
TRUE,"Other"
)</f>
        <v>Other</v>
      </c>
      <c r="I889" s="7" t="str" cm="1">
        <f t="array" ref="I889">_xlfn.IFS(
OR(ISNUMBER(SEARCH("glue trap",E889)),ISNUMBER(SEARCH("glue board",E889))),"Glue Traps",
OR(ISNUMBER(SEARCH("snap trap",E889)),ISNUMBER(SEARCH("power-kill",E889)),ISNUMBER(SEARCH("wide pedal",E889)),ISNUMBER(SEARCH("metal pedal",E889))),"Snap Traps",
OR(ISNUMBER(SEARCH("electronic",E889)),ISNUMBER(SEARCH("zapper",E889))),"Electronic Traps",
OR(ISNUMBER(SEARCH("live catch",E889)),ISNUMBER(SEARCH("multi-catch",E889)),ISNUMBER(SEARCH("catch &amp; hold",E889)),ISNUMBER(SEARCH("tin cat",E889))),"Live Catch Traps",
OR(ISNUMBER(SEARCH("bait",E889)),ISNUMBER(SEARCH("poison",E889))),"Bait &amp; Poison",
ISNUMBER(SEARCH("repellent",E889)),"Repellents",
OR(ISNUMBER(SEARCH("fly trap",E889)),ISNUMBER(SEARCH("fly ribbon",E889)),ISNUMBER(SEARCH("fly stick",E889)),ISNUMBER(SEARCH("window fly",E889)),ISNUMBER(SEARCH("fly magnet",E889))),"Fly Traps",
OR(ISNUMBER(SEARCH("uv",E889)),ISNUMBER(SEARCH("fly light",E889)),ISNUMBER(SEARCH("plug-in",E889))),"UV Fly Traps",
ISNUMBER(SEARCH("roach",E889)),"Roach Traps",
ISNUMBER(SEARCH("ant",E889)),"Ant Traps",
ISNUMBER(SEARCH("spider",E889)),"Spider Traps",
ISNUMBER(SEARCH("mosquito",E889)),"Mosquito Traps",
ISNUMBER(SEARCH("beetle",E889)),"Beetle Traps",
ISNUMBER(SEARCH("lantern",E889)),"Lanternfly Control",
OR(ISNUMBER(SEARCH("tree shield",E889)),ISNUMBER(SEARCH("tree banding",E889)),ISNUMBER(SEARCH("insect barrier",E889))),"Tree Barriers",
OR(ISNUMBER(SEARCH("sun &amp; shade",E889)),ISNUMBER(SEARCH("sun and shade",E889))),"Sun &amp; Shade Mix",
ISNUMBER(SEARCH("tall fescue",E889)),"Tall Fescue",
ISNUMBER(SEARCH("bermudagrass",E889)),"Bermudagrass",
ISNUMBER(SEARCH("kentucky",E889)),"Kentucky Bluegrass",
ISNUMBER(SEARCH("zoysia",E889)),"Zoysia",
ISNUMBER(SEARCH("ryegrass",E889)),"Perennial Ryegrass",
ISNUMBER(SEARCH("centipede",E889)),"Centipede Grass",
ISNUMBER(SEARCH("dense shade",E889)),"Dense Shade Mix",
ISNUMBER(SEARCH("southern gold",E889)),"Southern Gold Mix",
ISNUMBER(SEARCH("heat-tolerant blue",E889)),"Heat-Tolerant Blue Mix",
ISNUMBER(SEARCH("high traffic",E889)),"High Traffic Mix",
ISNUMBER(SEARCH("quick fix",E889)),"Quick Fix Mix",
ISNUMBER(SEARCH("starter",E889)),"Starter Fertilizer",
ISNUMBER(SEARCH("weed &amp; feed",E889)),"Weed &amp; Feed",
ISNUMBER(SEARCH("lawn food",E889)),"Lawn Food",
ISNUMBER(SEARCH("triple action",E889)),"Triple Action Fertilizer",
ISNUMBER(SEARCH("green max",E889)),"Green Max Lawn Food",
ISNUMBER(SEARCH("patchmaster",E889)),"PatchMaster Repair",
ISNUMBER(SEARCH("ez seed",E889)),"EZ Seed Repair",
ISNUMBER(SEARCH("rapid grass",E889)),"Rapid Grass",
ISNUMBER(SEARCH("thick'r lawn",E889)),"Thick'R Lawn",
ISNUMBER(SEARCH("fungicide",E889)),"Fungicide",
ISNUMBER(SEARCH("moss",E889)),"Moss Control",
ISNUMBER(SEARCH("perlite",E889)),"Perlite",
ISNUMBER(SEARCH("plant food",E889)),"Plant Food",
ISNUMBER(SEARCH("spreader",E889)),"Spreader",
ISNUMBER(SEARCH("sprayer",E889)),"Sprayer",
ISNUMBER(SEARCH("mower",E889)),"Lawn Mower",
ISNUMBER(SEARCH("sweeper",E889)),"Lawn Sweeper",
OR(ISNUMBER(SEARCH("pruner",E889)),ISNUMBER(SEARCH("trimmer",E889)),ISNUMBER(SEARCH("pole saw",E889))),"Pruning Tools",
TRUE,"Other"
)</f>
        <v>Repellents</v>
      </c>
      <c r="J889" s="7" t="str">
        <f t="shared" si="288"/>
        <v>Other - Repellents</v>
      </c>
      <c r="K889" s="4">
        <v>200</v>
      </c>
      <c r="L889" s="4">
        <v>3.2</v>
      </c>
      <c r="M889" s="4">
        <v>6126</v>
      </c>
      <c r="N889" s="4" t="s">
        <v>4098</v>
      </c>
      <c r="O889" s="4">
        <f>VLOOKUP(A889,[19]Sheet1!$A:$M,2,0)</f>
        <v>300</v>
      </c>
      <c r="P889" s="4">
        <f>VLOOKUP(A889,[19]Sheet1!$A:$M,3,0)</f>
        <v>400</v>
      </c>
      <c r="Q889" s="4">
        <f>VLOOKUP(A889,[19]Sheet1!$A:$M,4,0)</f>
        <v>600</v>
      </c>
      <c r="R889" s="4">
        <f>VLOOKUP(A889,[19]Sheet1!$A:$M,5,0)</f>
        <v>700</v>
      </c>
      <c r="S889" s="4">
        <f>VLOOKUP(A889,[19]Sheet1!$A:$M,6,0)</f>
        <v>400</v>
      </c>
      <c r="T889" s="4">
        <f>VLOOKUP(A889,[19]Sheet1!$A:$M,7,0)</f>
        <v>500</v>
      </c>
      <c r="U889" s="4">
        <f>VLOOKUP(A889,[19]Sheet1!$A:$M,8,0)</f>
        <v>700</v>
      </c>
      <c r="V889" s="4">
        <f>VLOOKUP(A889,[19]Sheet1!$A:$M,9,0)</f>
        <v>600</v>
      </c>
      <c r="W889" s="4">
        <f>VLOOKUP(A889,[19]Sheet1!$A:$M,10,0)</f>
        <v>200</v>
      </c>
      <c r="X889" s="4">
        <f>VLOOKUP(A889,[19]Sheet1!$A:$M,11,0)</f>
        <v>500</v>
      </c>
      <c r="Y889" s="4">
        <f>VLOOKUP(A889,[19]Sheet1!$A:$M,12,0)</f>
        <v>500</v>
      </c>
      <c r="Z889" s="4">
        <f>VLOOKUP(A889,[19]Sheet1!$A:$M,13,0)</f>
        <v>200</v>
      </c>
      <c r="AA889" s="4">
        <f t="shared" si="289"/>
        <v>5600</v>
      </c>
      <c r="AB889" s="7">
        <f t="shared" si="290"/>
        <v>467</v>
      </c>
      <c r="AC889" s="15">
        <f t="shared" si="291"/>
        <v>466.66666666666669</v>
      </c>
      <c r="AD889" s="16">
        <f t="shared" si="292"/>
        <v>223832</v>
      </c>
      <c r="AE889" s="16">
        <f t="shared" si="293"/>
        <v>18652.666666666668</v>
      </c>
      <c r="AF889" s="21">
        <v>8.2899999999999991</v>
      </c>
      <c r="AG889" s="21">
        <v>39.97</v>
      </c>
      <c r="AH889" s="15">
        <f t="shared" si="294"/>
        <v>0.44653333333333339</v>
      </c>
      <c r="AI889" s="15">
        <f t="shared" si="295"/>
        <v>1.5628666666666666</v>
      </c>
      <c r="AJ889" s="10">
        <v>0.5</v>
      </c>
      <c r="AK889" s="10">
        <v>0.5</v>
      </c>
      <c r="AL889" s="21">
        <v>8.2899999999999991</v>
      </c>
      <c r="AM889" s="9">
        <f t="shared" si="296"/>
        <v>5.9954999999999998</v>
      </c>
      <c r="AN889" s="9">
        <f t="shared" si="297"/>
        <v>1.1990999999999998</v>
      </c>
      <c r="AO889" s="9">
        <f t="shared" si="298"/>
        <v>7.9939999999999998</v>
      </c>
      <c r="AP889" s="9">
        <f t="shared" si="299"/>
        <v>0.7994</v>
      </c>
      <c r="AQ889" s="9">
        <f t="shared" si="300"/>
        <v>7.9939999999999998</v>
      </c>
      <c r="AR889" s="9">
        <f t="shared" si="301"/>
        <v>9.9924999999999997</v>
      </c>
      <c r="AS889" s="11">
        <f t="shared" si="302"/>
        <v>4.4653333333333336</v>
      </c>
      <c r="AT889" s="12">
        <f t="shared" si="303"/>
        <v>3.1330000000000005</v>
      </c>
    </row>
    <row r="890" spans="1:46" ht="16.5" x14ac:dyDescent="0.4">
      <c r="A890" s="4" t="s">
        <v>4022</v>
      </c>
      <c r="B890" s="4" t="s">
        <v>4037</v>
      </c>
      <c r="C890" s="4" t="s">
        <v>4037</v>
      </c>
      <c r="D890" s="4" t="s">
        <v>4042</v>
      </c>
      <c r="E890" s="4" t="s">
        <v>4061</v>
      </c>
      <c r="F890" s="4" t="s">
        <v>4080</v>
      </c>
      <c r="G890" s="7" t="str">
        <f>VLOOKUP(A890,[1]done!$A:$I,9,0)</f>
        <v>Other Glue boards for insects or rodents</v>
      </c>
      <c r="H890" s="7" t="str" cm="1">
        <f t="array" ref="H890">_xlfn.IFS(
OR(ISNUMBER(SEARCH("mouse",E890)),ISNUMBER(SEARCH("rat",E890)),ISNUMBER(SEARCH("mice",E890)),ISNUMBER(SEARCH("rodent",E890))),"Rodent Control",
OR(ISNUMBER(SEARCH("fly",E890)),ISNUMBER(SEARCH("gnat",E890)),ISNUMBER(SEARCH("insect",E890)),ISNUMBER(SEARCH("mosquito",E890))),"Flying Insect Control",
OR(ISNUMBER(SEARCH("roach",E890)),ISNUMBER(SEARCH("ant",E890)),ISNUMBER(SEARCH("spider",E890)),ISNUMBER(SEARCH("cricket",E890)),ISNUMBER(SEARCH("scorpion",E890)),ISNUMBER(SEARCH("centipede",E890)),ISNUMBER(SEARCH("beetle",E890))),"Crawling Insect Control",
OR(ISNUMBER(SEARCH("tree",E890)),ISNUMBER(SEARCH("lantern",E890)),ISNUMBER(SEARCH("garden",E890)),ISNUMBER(SEARCH("plant",E890))),"Garden Pest Control",
OR(ISNUMBER(SEARCH("grass seed",E890)),ISNUMBER(SEARCH("seed mix",E890))),"Grass Seed",
OR(ISNUMBER(SEARCH("lawn food",E890)),ISNUMBER(SEARCH("fertilizer",E890))),"Lawn Fertilizer",
OR(ISNUMBER(SEARCH("patch",E890)),ISNUMBER(SEARCH("repair",E890)),ISNUMBER(SEARCH("thick'r",E890)),ISNUMBER(SEARCH("thick'r lawn",E890)),ISNUMBER(SEARCH("rapid grass",E890))),"Lawn Repair",
OR(ISNUMBER(SEARCH("weed",E890)),ISNUMBER(SEARCH("crabgrass",E890))),"Weed Control",
OR(ISNUMBER(SEARCH("fungicide",E890)),ISNUMBER(SEARCH("moss",E890))),"Disease &amp; Moss Control",
OR(ISNUMBER(SEARCH("plant food",E890)),ISNUMBER(SEARCH("miracid",E890))),"Plant Nutrition",
OR(ISNUMBER(SEARCH("perlite",E890))),"Soil Amendment",
OR(ISNUMBER(SEARCH("spreader",E890)),ISNUMBER(SEARCH("sprayer",E890)),ISNUMBER(SEARCH("mower",E890)),ISNUMBER(SEARCH("sweeper",E890)),ISNUMBER(SEARCH("pruner",E890)),ISNUMBER(SEARCH("trimmer",E890)),ISNUMBER(SEARCH("pole saw",E890))),"Garden Equipment",
TRUE,"Other"
)</f>
        <v>Other</v>
      </c>
      <c r="I890" s="7" t="str" cm="1">
        <f t="array" ref="I890">_xlfn.IFS(
OR(ISNUMBER(SEARCH("glue trap",E890)),ISNUMBER(SEARCH("glue board",E890))),"Glue Traps",
OR(ISNUMBER(SEARCH("snap trap",E890)),ISNUMBER(SEARCH("power-kill",E890)),ISNUMBER(SEARCH("wide pedal",E890)),ISNUMBER(SEARCH("metal pedal",E890))),"Snap Traps",
OR(ISNUMBER(SEARCH("electronic",E890)),ISNUMBER(SEARCH("zapper",E890))),"Electronic Traps",
OR(ISNUMBER(SEARCH("live catch",E890)),ISNUMBER(SEARCH("multi-catch",E890)),ISNUMBER(SEARCH("catch &amp; hold",E890)),ISNUMBER(SEARCH("tin cat",E890))),"Live Catch Traps",
OR(ISNUMBER(SEARCH("bait",E890)),ISNUMBER(SEARCH("poison",E890))),"Bait &amp; Poison",
ISNUMBER(SEARCH("repellent",E890)),"Repellents",
OR(ISNUMBER(SEARCH("fly trap",E890)),ISNUMBER(SEARCH("fly ribbon",E890)),ISNUMBER(SEARCH("fly stick",E890)),ISNUMBER(SEARCH("window fly",E890)),ISNUMBER(SEARCH("fly magnet",E890))),"Fly Traps",
OR(ISNUMBER(SEARCH("uv",E890)),ISNUMBER(SEARCH("fly light",E890)),ISNUMBER(SEARCH("plug-in",E890))),"UV Fly Traps",
ISNUMBER(SEARCH("roach",E890)),"Roach Traps",
ISNUMBER(SEARCH("ant",E890)),"Ant Traps",
ISNUMBER(SEARCH("spider",E890)),"Spider Traps",
ISNUMBER(SEARCH("mosquito",E890)),"Mosquito Traps",
ISNUMBER(SEARCH("beetle",E890)),"Beetle Traps",
ISNUMBER(SEARCH("lantern",E890)),"Lanternfly Control",
OR(ISNUMBER(SEARCH("tree shield",E890)),ISNUMBER(SEARCH("tree banding",E890)),ISNUMBER(SEARCH("insect barrier",E890))),"Tree Barriers",
OR(ISNUMBER(SEARCH("sun &amp; shade",E890)),ISNUMBER(SEARCH("sun and shade",E890))),"Sun &amp; Shade Mix",
ISNUMBER(SEARCH("tall fescue",E890)),"Tall Fescue",
ISNUMBER(SEARCH("bermudagrass",E890)),"Bermudagrass",
ISNUMBER(SEARCH("kentucky",E890)),"Kentucky Bluegrass",
ISNUMBER(SEARCH("zoysia",E890)),"Zoysia",
ISNUMBER(SEARCH("ryegrass",E890)),"Perennial Ryegrass",
ISNUMBER(SEARCH("centipede",E890)),"Centipede Grass",
ISNUMBER(SEARCH("dense shade",E890)),"Dense Shade Mix",
ISNUMBER(SEARCH("southern gold",E890)),"Southern Gold Mix",
ISNUMBER(SEARCH("heat-tolerant blue",E890)),"Heat-Tolerant Blue Mix",
ISNUMBER(SEARCH("high traffic",E890)),"High Traffic Mix",
ISNUMBER(SEARCH("quick fix",E890)),"Quick Fix Mix",
ISNUMBER(SEARCH("starter",E890)),"Starter Fertilizer",
ISNUMBER(SEARCH("weed &amp; feed",E890)),"Weed &amp; Feed",
ISNUMBER(SEARCH("lawn food",E890)),"Lawn Food",
ISNUMBER(SEARCH("triple action",E890)),"Triple Action Fertilizer",
ISNUMBER(SEARCH("green max",E890)),"Green Max Lawn Food",
ISNUMBER(SEARCH("patchmaster",E890)),"PatchMaster Repair",
ISNUMBER(SEARCH("ez seed",E890)),"EZ Seed Repair",
ISNUMBER(SEARCH("rapid grass",E890)),"Rapid Grass",
ISNUMBER(SEARCH("thick'r lawn",E890)),"Thick'R Lawn",
ISNUMBER(SEARCH("fungicide",E890)),"Fungicide",
ISNUMBER(SEARCH("moss",E890)),"Moss Control",
ISNUMBER(SEARCH("perlite",E890)),"Perlite",
ISNUMBER(SEARCH("plant food",E890)),"Plant Food",
ISNUMBER(SEARCH("spreader",E890)),"Spreader",
ISNUMBER(SEARCH("sprayer",E890)),"Sprayer",
ISNUMBER(SEARCH("mower",E890)),"Lawn Mower",
ISNUMBER(SEARCH("sweeper",E890)),"Lawn Sweeper",
OR(ISNUMBER(SEARCH("pruner",E890)),ISNUMBER(SEARCH("trimmer",E890)),ISNUMBER(SEARCH("pole saw",E890))),"Pruning Tools",
TRUE,"Other"
)</f>
        <v>Repellents</v>
      </c>
      <c r="J890" s="7" t="str">
        <f t="shared" si="288"/>
        <v>Other - Repellents</v>
      </c>
      <c r="K890" s="4">
        <v>200</v>
      </c>
      <c r="L890" s="4">
        <v>3.2</v>
      </c>
      <c r="M890" s="4">
        <v>940</v>
      </c>
      <c r="N890" s="4" t="s">
        <v>4099</v>
      </c>
      <c r="O890" s="4">
        <f>VLOOKUP(A890,[19]Sheet1!$A:$M,2,0)</f>
        <v>100</v>
      </c>
      <c r="P890" s="4">
        <f>VLOOKUP(A890,[19]Sheet1!$A:$M,3,0)</f>
        <v>200</v>
      </c>
      <c r="Q890" s="4">
        <f>VLOOKUP(A890,[19]Sheet1!$A:$M,4,0)</f>
        <v>200</v>
      </c>
      <c r="R890" s="4">
        <f>VLOOKUP(A890,[19]Sheet1!$A:$M,5,0)</f>
        <v>400</v>
      </c>
      <c r="S890" s="4">
        <f>VLOOKUP(A890,[19]Sheet1!$A:$M,6,0)</f>
        <v>500</v>
      </c>
      <c r="T890" s="4">
        <f>VLOOKUP(A890,[19]Sheet1!$A:$M,7,0)</f>
        <v>300</v>
      </c>
      <c r="U890" s="4">
        <f>VLOOKUP(A890,[19]Sheet1!$A:$M,8,0)</f>
        <v>100</v>
      </c>
      <c r="V890" s="4">
        <f>VLOOKUP(A890,[19]Sheet1!$A:$M,9,0)</f>
        <v>100</v>
      </c>
      <c r="W890" s="4">
        <f>VLOOKUP(A890,[19]Sheet1!$A:$M,10,0)</f>
        <v>200</v>
      </c>
      <c r="X890" s="4">
        <f>VLOOKUP(A890,[19]Sheet1!$A:$M,11,0)</f>
        <v>100</v>
      </c>
      <c r="Y890" s="4">
        <f>VLOOKUP(A890,[19]Sheet1!$A:$M,12,0)</f>
        <v>100</v>
      </c>
      <c r="Z890" s="4">
        <f>VLOOKUP(A890,[19]Sheet1!$A:$M,13,0)</f>
        <v>100</v>
      </c>
      <c r="AA890" s="4">
        <f t="shared" si="289"/>
        <v>2400</v>
      </c>
      <c r="AB890" s="7">
        <f t="shared" si="290"/>
        <v>200</v>
      </c>
      <c r="AC890" s="15">
        <f t="shared" si="291"/>
        <v>200</v>
      </c>
      <c r="AD890" s="16">
        <f t="shared" si="292"/>
        <v>95928</v>
      </c>
      <c r="AE890" s="16">
        <f t="shared" si="293"/>
        <v>7994</v>
      </c>
      <c r="AF890" s="21">
        <v>9.4499999999999993</v>
      </c>
      <c r="AG890" s="21">
        <v>39.97</v>
      </c>
      <c r="AH890" s="15">
        <f t="shared" si="294"/>
        <v>0.36920000000000003</v>
      </c>
      <c r="AI890" s="15">
        <f t="shared" si="295"/>
        <v>1.2922</v>
      </c>
      <c r="AJ890" s="10">
        <v>0.5</v>
      </c>
      <c r="AK890" s="10">
        <v>0.5</v>
      </c>
      <c r="AL890" s="21">
        <v>9.4499999999999993</v>
      </c>
      <c r="AM890" s="9">
        <f t="shared" si="296"/>
        <v>5.9954999999999998</v>
      </c>
      <c r="AN890" s="9">
        <f t="shared" si="297"/>
        <v>1.1990999999999998</v>
      </c>
      <c r="AO890" s="9">
        <f t="shared" si="298"/>
        <v>7.9939999999999998</v>
      </c>
      <c r="AP890" s="9">
        <f t="shared" si="299"/>
        <v>0.7994</v>
      </c>
      <c r="AQ890" s="9">
        <f t="shared" si="300"/>
        <v>7.9939999999999998</v>
      </c>
      <c r="AR890" s="9">
        <f t="shared" si="301"/>
        <v>9.9924999999999997</v>
      </c>
      <c r="AS890" s="11">
        <f t="shared" si="302"/>
        <v>3.6920000000000002</v>
      </c>
      <c r="AT890" s="12">
        <f t="shared" si="303"/>
        <v>2.359666666666667</v>
      </c>
    </row>
    <row r="891" spans="1:46" ht="16.5" x14ac:dyDescent="0.4">
      <c r="A891" s="4" t="s">
        <v>4023</v>
      </c>
      <c r="B891" s="4" t="s">
        <v>4037</v>
      </c>
      <c r="C891" s="4" t="s">
        <v>4037</v>
      </c>
      <c r="D891" s="4" t="s">
        <v>4043</v>
      </c>
      <c r="E891" s="4" t="s">
        <v>4062</v>
      </c>
      <c r="F891" s="4" t="s">
        <v>4081</v>
      </c>
      <c r="G891" s="7" t="str">
        <f>VLOOKUP(A891,[1]done!$A:$I,9,0)</f>
        <v>Deer &amp; Rabbit control</v>
      </c>
      <c r="H891" s="7" t="str" cm="1">
        <f t="array" ref="H891">_xlfn.IFS(
OR(ISNUMBER(SEARCH("mouse",E891)),ISNUMBER(SEARCH("rat",E891)),ISNUMBER(SEARCH("mice",E891)),ISNUMBER(SEARCH("rodent",E891))),"Rodent Control",
OR(ISNUMBER(SEARCH("fly",E891)),ISNUMBER(SEARCH("gnat",E891)),ISNUMBER(SEARCH("insect",E891)),ISNUMBER(SEARCH("mosquito",E891))),"Flying Insect Control",
OR(ISNUMBER(SEARCH("roach",E891)),ISNUMBER(SEARCH("ant",E891)),ISNUMBER(SEARCH("spider",E891)),ISNUMBER(SEARCH("cricket",E891)),ISNUMBER(SEARCH("scorpion",E891)),ISNUMBER(SEARCH("centipede",E891)),ISNUMBER(SEARCH("beetle",E891))),"Crawling Insect Control",
OR(ISNUMBER(SEARCH("tree",E891)),ISNUMBER(SEARCH("lantern",E891)),ISNUMBER(SEARCH("garden",E891)),ISNUMBER(SEARCH("plant",E891))),"Garden Pest Control",
OR(ISNUMBER(SEARCH("grass seed",E891)),ISNUMBER(SEARCH("seed mix",E891))),"Grass Seed",
OR(ISNUMBER(SEARCH("lawn food",E891)),ISNUMBER(SEARCH("fertilizer",E891))),"Lawn Fertilizer",
OR(ISNUMBER(SEARCH("patch",E891)),ISNUMBER(SEARCH("repair",E891)),ISNUMBER(SEARCH("thick'r",E891)),ISNUMBER(SEARCH("thick'r lawn",E891)),ISNUMBER(SEARCH("rapid grass",E891))),"Lawn Repair",
OR(ISNUMBER(SEARCH("weed",E891)),ISNUMBER(SEARCH("crabgrass",E891))),"Weed Control",
OR(ISNUMBER(SEARCH("fungicide",E891)),ISNUMBER(SEARCH("moss",E891))),"Disease &amp; Moss Control",
OR(ISNUMBER(SEARCH("plant food",E891)),ISNUMBER(SEARCH("miracid",E891))),"Plant Nutrition",
OR(ISNUMBER(SEARCH("perlite",E891))),"Soil Amendment",
OR(ISNUMBER(SEARCH("spreader",E891)),ISNUMBER(SEARCH("sprayer",E891)),ISNUMBER(SEARCH("mower",E891)),ISNUMBER(SEARCH("sweeper",E891)),ISNUMBER(SEARCH("pruner",E891)),ISNUMBER(SEARCH("trimmer",E891)),ISNUMBER(SEARCH("pole saw",E891))),"Garden Equipment",
TRUE,"Other"
)</f>
        <v>Other</v>
      </c>
      <c r="I891" s="7" t="str" cm="1">
        <f t="array" ref="I891">_xlfn.IFS(
OR(ISNUMBER(SEARCH("glue trap",E891)),ISNUMBER(SEARCH("glue board",E891))),"Glue Traps",
OR(ISNUMBER(SEARCH("snap trap",E891)),ISNUMBER(SEARCH("power-kill",E891)),ISNUMBER(SEARCH("wide pedal",E891)),ISNUMBER(SEARCH("metal pedal",E891))),"Snap Traps",
OR(ISNUMBER(SEARCH("electronic",E891)),ISNUMBER(SEARCH("zapper",E891))),"Electronic Traps",
OR(ISNUMBER(SEARCH("live catch",E891)),ISNUMBER(SEARCH("multi-catch",E891)),ISNUMBER(SEARCH("catch &amp; hold",E891)),ISNUMBER(SEARCH("tin cat",E891))),"Live Catch Traps",
OR(ISNUMBER(SEARCH("bait",E891)),ISNUMBER(SEARCH("poison",E891))),"Bait &amp; Poison",
ISNUMBER(SEARCH("repellent",E891)),"Repellents",
OR(ISNUMBER(SEARCH("fly trap",E891)),ISNUMBER(SEARCH("fly ribbon",E891)),ISNUMBER(SEARCH("fly stick",E891)),ISNUMBER(SEARCH("window fly",E891)),ISNUMBER(SEARCH("fly magnet",E891))),"Fly Traps",
OR(ISNUMBER(SEARCH("uv",E891)),ISNUMBER(SEARCH("fly light",E891)),ISNUMBER(SEARCH("plug-in",E891))),"UV Fly Traps",
ISNUMBER(SEARCH("roach",E891)),"Roach Traps",
ISNUMBER(SEARCH("ant",E891)),"Ant Traps",
ISNUMBER(SEARCH("spider",E891)),"Spider Traps",
ISNUMBER(SEARCH("mosquito",E891)),"Mosquito Traps",
ISNUMBER(SEARCH("beetle",E891)),"Beetle Traps",
ISNUMBER(SEARCH("lantern",E891)),"Lanternfly Control",
OR(ISNUMBER(SEARCH("tree shield",E891)),ISNUMBER(SEARCH("tree banding",E891)),ISNUMBER(SEARCH("insect barrier",E891))),"Tree Barriers",
OR(ISNUMBER(SEARCH("sun &amp; shade",E891)),ISNUMBER(SEARCH("sun and shade",E891))),"Sun &amp; Shade Mix",
ISNUMBER(SEARCH("tall fescue",E891)),"Tall Fescue",
ISNUMBER(SEARCH("bermudagrass",E891)),"Bermudagrass",
ISNUMBER(SEARCH("kentucky",E891)),"Kentucky Bluegrass",
ISNUMBER(SEARCH("zoysia",E891)),"Zoysia",
ISNUMBER(SEARCH("ryegrass",E891)),"Perennial Ryegrass",
ISNUMBER(SEARCH("centipede",E891)),"Centipede Grass",
ISNUMBER(SEARCH("dense shade",E891)),"Dense Shade Mix",
ISNUMBER(SEARCH("southern gold",E891)),"Southern Gold Mix",
ISNUMBER(SEARCH("heat-tolerant blue",E891)),"Heat-Tolerant Blue Mix",
ISNUMBER(SEARCH("high traffic",E891)),"High Traffic Mix",
ISNUMBER(SEARCH("quick fix",E891)),"Quick Fix Mix",
ISNUMBER(SEARCH("starter",E891)),"Starter Fertilizer",
ISNUMBER(SEARCH("weed &amp; feed",E891)),"Weed &amp; Feed",
ISNUMBER(SEARCH("lawn food",E891)),"Lawn Food",
ISNUMBER(SEARCH("triple action",E891)),"Triple Action Fertilizer",
ISNUMBER(SEARCH("green max",E891)),"Green Max Lawn Food",
ISNUMBER(SEARCH("patchmaster",E891)),"PatchMaster Repair",
ISNUMBER(SEARCH("ez seed",E891)),"EZ Seed Repair",
ISNUMBER(SEARCH("rapid grass",E891)),"Rapid Grass",
ISNUMBER(SEARCH("thick'r lawn",E891)),"Thick'R Lawn",
ISNUMBER(SEARCH("fungicide",E891)),"Fungicide",
ISNUMBER(SEARCH("moss",E891)),"Moss Control",
ISNUMBER(SEARCH("perlite",E891)),"Perlite",
ISNUMBER(SEARCH("plant food",E891)),"Plant Food",
ISNUMBER(SEARCH("spreader",E891)),"Spreader",
ISNUMBER(SEARCH("sprayer",E891)),"Sprayer",
ISNUMBER(SEARCH("mower",E891)),"Lawn Mower",
ISNUMBER(SEARCH("sweeper",E891)),"Lawn Sweeper",
OR(ISNUMBER(SEARCH("pruner",E891)),ISNUMBER(SEARCH("trimmer",E891)),ISNUMBER(SEARCH("pole saw",E891))),"Pruning Tools",
TRUE,"Other"
)</f>
        <v>Repellents</v>
      </c>
      <c r="J891" s="7" t="str">
        <f t="shared" si="288"/>
        <v>Other - Repellents</v>
      </c>
      <c r="K891" s="4">
        <v>200</v>
      </c>
      <c r="L891" s="4">
        <v>3.9</v>
      </c>
      <c r="M891" s="4">
        <v>2299</v>
      </c>
      <c r="N891" s="4" t="s">
        <v>4096</v>
      </c>
      <c r="O891" s="4">
        <f>VLOOKUP(A891,[19]Sheet1!$A:$M,2,0)</f>
        <v>50</v>
      </c>
      <c r="P891" s="4">
        <f>VLOOKUP(A891,[19]Sheet1!$A:$M,3,0)</f>
        <v>50</v>
      </c>
      <c r="Q891" s="4">
        <f>VLOOKUP(A891,[19]Sheet1!$A:$M,4,0)</f>
        <v>200</v>
      </c>
      <c r="R891" s="4">
        <f>VLOOKUP(A891,[19]Sheet1!$A:$M,5,0)</f>
        <v>600</v>
      </c>
      <c r="S891" s="4">
        <f>VLOOKUP(A891,[19]Sheet1!$A:$M,6,0)</f>
        <v>700</v>
      </c>
      <c r="T891" s="4">
        <f>VLOOKUP(A891,[19]Sheet1!$A:$M,7,0)</f>
        <v>800</v>
      </c>
      <c r="U891" s="4">
        <f>VLOOKUP(A891,[19]Sheet1!$A:$M,8,0)</f>
        <v>600</v>
      </c>
      <c r="V891" s="4">
        <f>VLOOKUP(A891,[19]Sheet1!$A:$M,9,0)</f>
        <v>100</v>
      </c>
      <c r="W891" s="4">
        <f>VLOOKUP(A891,[19]Sheet1!$A:$M,10,0)</f>
        <v>200</v>
      </c>
      <c r="X891" s="4">
        <f>VLOOKUP(A891,[19]Sheet1!$A:$M,11,0)</f>
        <v>100</v>
      </c>
      <c r="Y891" s="4">
        <f>VLOOKUP(A891,[19]Sheet1!$A:$M,12,0)</f>
        <v>100</v>
      </c>
      <c r="Z891" s="4">
        <f>VLOOKUP(A891,[19]Sheet1!$A:$M,13,0)</f>
        <v>50</v>
      </c>
      <c r="AA891" s="4">
        <f t="shared" si="289"/>
        <v>3550</v>
      </c>
      <c r="AB891" s="7">
        <f t="shared" si="290"/>
        <v>296</v>
      </c>
      <c r="AC891" s="15">
        <f t="shared" si="291"/>
        <v>295.83333333333331</v>
      </c>
      <c r="AD891" s="16">
        <f t="shared" si="292"/>
        <v>70893.5</v>
      </c>
      <c r="AE891" s="16">
        <f t="shared" si="293"/>
        <v>5907.7916666666661</v>
      </c>
      <c r="AF891" s="21">
        <v>7.3</v>
      </c>
      <c r="AG891" s="21">
        <v>19.97</v>
      </c>
      <c r="AH891" s="15">
        <f t="shared" si="294"/>
        <v>-2.080000000000002E-2</v>
      </c>
      <c r="AI891" s="15">
        <f t="shared" si="295"/>
        <v>-7.2800000000000059E-2</v>
      </c>
      <c r="AJ891" s="10">
        <v>0.5</v>
      </c>
      <c r="AK891" s="10">
        <v>0.5</v>
      </c>
      <c r="AL891" s="21">
        <v>7.3</v>
      </c>
      <c r="AM891" s="9">
        <f t="shared" si="296"/>
        <v>2.9954999999999998</v>
      </c>
      <c r="AN891" s="9">
        <f t="shared" si="297"/>
        <v>0.59909999999999997</v>
      </c>
      <c r="AO891" s="9">
        <f t="shared" si="298"/>
        <v>3.9939999999999998</v>
      </c>
      <c r="AP891" s="9">
        <f t="shared" si="299"/>
        <v>0.39939999999999998</v>
      </c>
      <c r="AQ891" s="9">
        <f t="shared" si="300"/>
        <v>3.9939999999999998</v>
      </c>
      <c r="AR891" s="9">
        <f t="shared" si="301"/>
        <v>4.9924999999999997</v>
      </c>
      <c r="AS891" s="11">
        <f t="shared" si="302"/>
        <v>-0.20800000000000018</v>
      </c>
      <c r="AT891" s="12">
        <f t="shared" si="303"/>
        <v>-0.87366666666666681</v>
      </c>
    </row>
    <row r="892" spans="1:46" ht="16.5" x14ac:dyDescent="0.4">
      <c r="A892" s="4" t="s">
        <v>4024</v>
      </c>
      <c r="B892" s="4" t="s">
        <v>4037</v>
      </c>
      <c r="C892" s="4" t="s">
        <v>4037</v>
      </c>
      <c r="D892" s="4" t="s">
        <v>4044</v>
      </c>
      <c r="E892" s="4" t="s">
        <v>4063</v>
      </c>
      <c r="F892" s="4" t="s">
        <v>4082</v>
      </c>
      <c r="G892" s="7" t="str">
        <f>VLOOKUP(A892,[1]done!$A:$I,9,0)</f>
        <v>Mole Repellent</v>
      </c>
      <c r="H892" s="7" t="str" cm="1">
        <f t="array" ref="H892">_xlfn.IFS(
OR(ISNUMBER(SEARCH("mouse",E892)),ISNUMBER(SEARCH("rat",E892)),ISNUMBER(SEARCH("mice",E892)),ISNUMBER(SEARCH("rodent",E892))),"Rodent Control",
OR(ISNUMBER(SEARCH("fly",E892)),ISNUMBER(SEARCH("gnat",E892)),ISNUMBER(SEARCH("insect",E892)),ISNUMBER(SEARCH("mosquito",E892))),"Flying Insect Control",
OR(ISNUMBER(SEARCH("roach",E892)),ISNUMBER(SEARCH("ant",E892)),ISNUMBER(SEARCH("spider",E892)),ISNUMBER(SEARCH("cricket",E892)),ISNUMBER(SEARCH("scorpion",E892)),ISNUMBER(SEARCH("centipede",E892)),ISNUMBER(SEARCH("beetle",E892))),"Crawling Insect Control",
OR(ISNUMBER(SEARCH("tree",E892)),ISNUMBER(SEARCH("lantern",E892)),ISNUMBER(SEARCH("garden",E892)),ISNUMBER(SEARCH("plant",E892))),"Garden Pest Control",
OR(ISNUMBER(SEARCH("grass seed",E892)),ISNUMBER(SEARCH("seed mix",E892))),"Grass Seed",
OR(ISNUMBER(SEARCH("lawn food",E892)),ISNUMBER(SEARCH("fertilizer",E892))),"Lawn Fertilizer",
OR(ISNUMBER(SEARCH("patch",E892)),ISNUMBER(SEARCH("repair",E892)),ISNUMBER(SEARCH("thick'r",E892)),ISNUMBER(SEARCH("thick'r lawn",E892)),ISNUMBER(SEARCH("rapid grass",E892))),"Lawn Repair",
OR(ISNUMBER(SEARCH("weed",E892)),ISNUMBER(SEARCH("crabgrass",E892))),"Weed Control",
OR(ISNUMBER(SEARCH("fungicide",E892)),ISNUMBER(SEARCH("moss",E892))),"Disease &amp; Moss Control",
OR(ISNUMBER(SEARCH("plant food",E892)),ISNUMBER(SEARCH("miracid",E892))),"Plant Nutrition",
OR(ISNUMBER(SEARCH("perlite",E892))),"Soil Amendment",
OR(ISNUMBER(SEARCH("spreader",E892)),ISNUMBER(SEARCH("sprayer",E892)),ISNUMBER(SEARCH("mower",E892)),ISNUMBER(SEARCH("sweeper",E892)),ISNUMBER(SEARCH("pruner",E892)),ISNUMBER(SEARCH("trimmer",E892)),ISNUMBER(SEARCH("pole saw",E892))),"Garden Equipment",
TRUE,"Other"
)</f>
        <v>Other</v>
      </c>
      <c r="I892" s="7" t="str" cm="1">
        <f t="array" ref="I892">_xlfn.IFS(
OR(ISNUMBER(SEARCH("glue trap",E892)),ISNUMBER(SEARCH("glue board",E892))),"Glue Traps",
OR(ISNUMBER(SEARCH("snap trap",E892)),ISNUMBER(SEARCH("power-kill",E892)),ISNUMBER(SEARCH("wide pedal",E892)),ISNUMBER(SEARCH("metal pedal",E892))),"Snap Traps",
OR(ISNUMBER(SEARCH("electronic",E892)),ISNUMBER(SEARCH("zapper",E892))),"Electronic Traps",
OR(ISNUMBER(SEARCH("live catch",E892)),ISNUMBER(SEARCH("multi-catch",E892)),ISNUMBER(SEARCH("catch &amp; hold",E892)),ISNUMBER(SEARCH("tin cat",E892))),"Live Catch Traps",
OR(ISNUMBER(SEARCH("bait",E892)),ISNUMBER(SEARCH("poison",E892))),"Bait &amp; Poison",
ISNUMBER(SEARCH("repellent",E892)),"Repellents",
OR(ISNUMBER(SEARCH("fly trap",E892)),ISNUMBER(SEARCH("fly ribbon",E892)),ISNUMBER(SEARCH("fly stick",E892)),ISNUMBER(SEARCH("window fly",E892)),ISNUMBER(SEARCH("fly magnet",E892))),"Fly Traps",
OR(ISNUMBER(SEARCH("uv",E892)),ISNUMBER(SEARCH("fly light",E892)),ISNUMBER(SEARCH("plug-in",E892))),"UV Fly Traps",
ISNUMBER(SEARCH("roach",E892)),"Roach Traps",
ISNUMBER(SEARCH("ant",E892)),"Ant Traps",
ISNUMBER(SEARCH("spider",E892)),"Spider Traps",
ISNUMBER(SEARCH("mosquito",E892)),"Mosquito Traps",
ISNUMBER(SEARCH("beetle",E892)),"Beetle Traps",
ISNUMBER(SEARCH("lantern",E892)),"Lanternfly Control",
OR(ISNUMBER(SEARCH("tree shield",E892)),ISNUMBER(SEARCH("tree banding",E892)),ISNUMBER(SEARCH("insect barrier",E892))),"Tree Barriers",
OR(ISNUMBER(SEARCH("sun &amp; shade",E892)),ISNUMBER(SEARCH("sun and shade",E892))),"Sun &amp; Shade Mix",
ISNUMBER(SEARCH("tall fescue",E892)),"Tall Fescue",
ISNUMBER(SEARCH("bermudagrass",E892)),"Bermudagrass",
ISNUMBER(SEARCH("kentucky",E892)),"Kentucky Bluegrass",
ISNUMBER(SEARCH("zoysia",E892)),"Zoysia",
ISNUMBER(SEARCH("ryegrass",E892)),"Perennial Ryegrass",
ISNUMBER(SEARCH("centipede",E892)),"Centipede Grass",
ISNUMBER(SEARCH("dense shade",E892)),"Dense Shade Mix",
ISNUMBER(SEARCH("southern gold",E892)),"Southern Gold Mix",
ISNUMBER(SEARCH("heat-tolerant blue",E892)),"Heat-Tolerant Blue Mix",
ISNUMBER(SEARCH("high traffic",E892)),"High Traffic Mix",
ISNUMBER(SEARCH("quick fix",E892)),"Quick Fix Mix",
ISNUMBER(SEARCH("starter",E892)),"Starter Fertilizer",
ISNUMBER(SEARCH("weed &amp; feed",E892)),"Weed &amp; Feed",
ISNUMBER(SEARCH("lawn food",E892)),"Lawn Food",
ISNUMBER(SEARCH("triple action",E892)),"Triple Action Fertilizer",
ISNUMBER(SEARCH("green max",E892)),"Green Max Lawn Food",
ISNUMBER(SEARCH("patchmaster",E892)),"PatchMaster Repair",
ISNUMBER(SEARCH("ez seed",E892)),"EZ Seed Repair",
ISNUMBER(SEARCH("rapid grass",E892)),"Rapid Grass",
ISNUMBER(SEARCH("thick'r lawn",E892)),"Thick'R Lawn",
ISNUMBER(SEARCH("fungicide",E892)),"Fungicide",
ISNUMBER(SEARCH("moss",E892)),"Moss Control",
ISNUMBER(SEARCH("perlite",E892)),"Perlite",
ISNUMBER(SEARCH("plant food",E892)),"Plant Food",
ISNUMBER(SEARCH("spreader",E892)),"Spreader",
ISNUMBER(SEARCH("sprayer",E892)),"Sprayer",
ISNUMBER(SEARCH("mower",E892)),"Lawn Mower",
ISNUMBER(SEARCH("sweeper",E892)),"Lawn Sweeper",
OR(ISNUMBER(SEARCH("pruner",E892)),ISNUMBER(SEARCH("trimmer",E892)),ISNUMBER(SEARCH("pole saw",E892))),"Pruning Tools",
TRUE,"Other"
)</f>
        <v>Repellents</v>
      </c>
      <c r="J892" s="7" t="str">
        <f t="shared" si="288"/>
        <v>Other - Repellents</v>
      </c>
      <c r="K892" s="4">
        <v>200</v>
      </c>
      <c r="L892" s="4">
        <v>3.6</v>
      </c>
      <c r="M892" s="4">
        <v>84</v>
      </c>
      <c r="N892" s="4" t="s">
        <v>1429</v>
      </c>
      <c r="O892" s="4">
        <f>VLOOKUP(A892,[19]Sheet1!$A:$M,2,0)</f>
        <v>100</v>
      </c>
      <c r="P892" s="4">
        <f>VLOOKUP(A892,[19]Sheet1!$A:$M,3,0)</f>
        <v>100</v>
      </c>
      <c r="Q892" s="4">
        <f>VLOOKUP(A892,[19]Sheet1!$A:$M,4,0)</f>
        <v>300</v>
      </c>
      <c r="R892" s="4">
        <f>VLOOKUP(A892,[19]Sheet1!$A:$M,5,0)</f>
        <v>400</v>
      </c>
      <c r="S892" s="4">
        <f>VLOOKUP(A892,[19]Sheet1!$A:$M,6,0)</f>
        <v>300</v>
      </c>
      <c r="T892" s="4">
        <f>VLOOKUP(A892,[19]Sheet1!$A:$M,7,0)</f>
        <v>200</v>
      </c>
      <c r="U892" s="4">
        <f>VLOOKUP(A892,[19]Sheet1!$A:$M,8,0)</f>
        <v>200</v>
      </c>
      <c r="V892" s="4">
        <f>VLOOKUP(A892,[19]Sheet1!$A:$M,9,0)</f>
        <v>100</v>
      </c>
      <c r="W892" s="4">
        <f>VLOOKUP(A892,[19]Sheet1!$A:$M,10,0)</f>
        <v>200</v>
      </c>
      <c r="X892" s="4">
        <f>VLOOKUP(A892,[19]Sheet1!$A:$M,11,0)</f>
        <v>100</v>
      </c>
      <c r="Y892" s="4">
        <f>VLOOKUP(A892,[19]Sheet1!$A:$M,12,0)</f>
        <v>200</v>
      </c>
      <c r="Z892" s="4">
        <f>VLOOKUP(A892,[19]Sheet1!$A:$M,13,0)</f>
        <v>100</v>
      </c>
      <c r="AA892" s="4">
        <f t="shared" si="289"/>
        <v>2300</v>
      </c>
      <c r="AB892" s="7">
        <f t="shared" si="290"/>
        <v>192</v>
      </c>
      <c r="AC892" s="15">
        <f t="shared" si="291"/>
        <v>191.66666666666666</v>
      </c>
      <c r="AD892" s="16">
        <f t="shared" si="292"/>
        <v>96531</v>
      </c>
      <c r="AE892" s="16">
        <f t="shared" si="293"/>
        <v>8044.2499999999991</v>
      </c>
      <c r="AF892" s="21">
        <v>9.5299999999999994</v>
      </c>
      <c r="AG892" s="21">
        <v>41.97</v>
      </c>
      <c r="AH892" s="15">
        <f t="shared" si="294"/>
        <v>0.41720000000000002</v>
      </c>
      <c r="AI892" s="15">
        <f t="shared" si="295"/>
        <v>1.4601999999999997</v>
      </c>
      <c r="AJ892" s="10">
        <v>0.5</v>
      </c>
      <c r="AK892" s="10">
        <v>0.5</v>
      </c>
      <c r="AL892" s="21">
        <v>9.5299999999999994</v>
      </c>
      <c r="AM892" s="9">
        <f t="shared" si="296"/>
        <v>6.2954999999999997</v>
      </c>
      <c r="AN892" s="9">
        <f t="shared" si="297"/>
        <v>1.2590999999999999</v>
      </c>
      <c r="AO892" s="9">
        <f t="shared" si="298"/>
        <v>8.3940000000000001</v>
      </c>
      <c r="AP892" s="9">
        <f t="shared" si="299"/>
        <v>0.83940000000000003</v>
      </c>
      <c r="AQ892" s="9">
        <f t="shared" si="300"/>
        <v>8.3940000000000001</v>
      </c>
      <c r="AR892" s="9">
        <f t="shared" si="301"/>
        <v>10.4925</v>
      </c>
      <c r="AS892" s="11">
        <f t="shared" si="302"/>
        <v>4.1719999999999997</v>
      </c>
      <c r="AT892" s="12">
        <f t="shared" si="303"/>
        <v>2.7729999999999997</v>
      </c>
    </row>
    <row r="893" spans="1:46" ht="16.5" x14ac:dyDescent="0.4">
      <c r="A893" s="4" t="s">
        <v>4025</v>
      </c>
      <c r="B893" s="4" t="s">
        <v>4037</v>
      </c>
      <c r="C893" s="4" t="s">
        <v>4037</v>
      </c>
      <c r="D893" s="4" t="s">
        <v>4045</v>
      </c>
      <c r="E893" s="4" t="s">
        <v>4064</v>
      </c>
      <c r="F893" s="4" t="s">
        <v>4083</v>
      </c>
      <c r="G893" s="7" t="str">
        <f>VLOOKUP(A893,[1]done!$A:$I,9,0)</f>
        <v>Deer &amp; Rabbit control</v>
      </c>
      <c r="H893" s="7" t="str" cm="1">
        <f t="array" ref="H893">_xlfn.IFS(
OR(ISNUMBER(SEARCH("mouse",E893)),ISNUMBER(SEARCH("rat",E893)),ISNUMBER(SEARCH("mice",E893)),ISNUMBER(SEARCH("rodent",E893))),"Rodent Control",
OR(ISNUMBER(SEARCH("fly",E893)),ISNUMBER(SEARCH("gnat",E893)),ISNUMBER(SEARCH("insect",E893)),ISNUMBER(SEARCH("mosquito",E893))),"Flying Insect Control",
OR(ISNUMBER(SEARCH("roach",E893)),ISNUMBER(SEARCH("ant",E893)),ISNUMBER(SEARCH("spider",E893)),ISNUMBER(SEARCH("cricket",E893)),ISNUMBER(SEARCH("scorpion",E893)),ISNUMBER(SEARCH("centipede",E893)),ISNUMBER(SEARCH("beetle",E893))),"Crawling Insect Control",
OR(ISNUMBER(SEARCH("tree",E893)),ISNUMBER(SEARCH("lantern",E893)),ISNUMBER(SEARCH("garden",E893)),ISNUMBER(SEARCH("plant",E893))),"Garden Pest Control",
OR(ISNUMBER(SEARCH("grass seed",E893)),ISNUMBER(SEARCH("seed mix",E893))),"Grass Seed",
OR(ISNUMBER(SEARCH("lawn food",E893)),ISNUMBER(SEARCH("fertilizer",E893))),"Lawn Fertilizer",
OR(ISNUMBER(SEARCH("patch",E893)),ISNUMBER(SEARCH("repair",E893)),ISNUMBER(SEARCH("thick'r",E893)),ISNUMBER(SEARCH("thick'r lawn",E893)),ISNUMBER(SEARCH("rapid grass",E893))),"Lawn Repair",
OR(ISNUMBER(SEARCH("weed",E893)),ISNUMBER(SEARCH("crabgrass",E893))),"Weed Control",
OR(ISNUMBER(SEARCH("fungicide",E893)),ISNUMBER(SEARCH("moss",E893))),"Disease &amp; Moss Control",
OR(ISNUMBER(SEARCH("plant food",E893)),ISNUMBER(SEARCH("miracid",E893))),"Plant Nutrition",
OR(ISNUMBER(SEARCH("perlite",E893))),"Soil Amendment",
OR(ISNUMBER(SEARCH("spreader",E893)),ISNUMBER(SEARCH("sprayer",E893)),ISNUMBER(SEARCH("mower",E893)),ISNUMBER(SEARCH("sweeper",E893)),ISNUMBER(SEARCH("pruner",E893)),ISNUMBER(SEARCH("trimmer",E893)),ISNUMBER(SEARCH("pole saw",E893))),"Garden Equipment",
TRUE,"Other"
)</f>
        <v>Other</v>
      </c>
      <c r="I893" s="7" t="str" cm="1">
        <f t="array" ref="I893">_xlfn.IFS(
OR(ISNUMBER(SEARCH("glue trap",E893)),ISNUMBER(SEARCH("glue board",E893))),"Glue Traps",
OR(ISNUMBER(SEARCH("snap trap",E893)),ISNUMBER(SEARCH("power-kill",E893)),ISNUMBER(SEARCH("wide pedal",E893)),ISNUMBER(SEARCH("metal pedal",E893))),"Snap Traps",
OR(ISNUMBER(SEARCH("electronic",E893)),ISNUMBER(SEARCH("zapper",E893))),"Electronic Traps",
OR(ISNUMBER(SEARCH("live catch",E893)),ISNUMBER(SEARCH("multi-catch",E893)),ISNUMBER(SEARCH("catch &amp; hold",E893)),ISNUMBER(SEARCH("tin cat",E893))),"Live Catch Traps",
OR(ISNUMBER(SEARCH("bait",E893)),ISNUMBER(SEARCH("poison",E893))),"Bait &amp; Poison",
ISNUMBER(SEARCH("repellent",E893)),"Repellents",
OR(ISNUMBER(SEARCH("fly trap",E893)),ISNUMBER(SEARCH("fly ribbon",E893)),ISNUMBER(SEARCH("fly stick",E893)),ISNUMBER(SEARCH("window fly",E893)),ISNUMBER(SEARCH("fly magnet",E893))),"Fly Traps",
OR(ISNUMBER(SEARCH("uv",E893)),ISNUMBER(SEARCH("fly light",E893)),ISNUMBER(SEARCH("plug-in",E893))),"UV Fly Traps",
ISNUMBER(SEARCH("roach",E893)),"Roach Traps",
ISNUMBER(SEARCH("ant",E893)),"Ant Traps",
ISNUMBER(SEARCH("spider",E893)),"Spider Traps",
ISNUMBER(SEARCH("mosquito",E893)),"Mosquito Traps",
ISNUMBER(SEARCH("beetle",E893)),"Beetle Traps",
ISNUMBER(SEARCH("lantern",E893)),"Lanternfly Control",
OR(ISNUMBER(SEARCH("tree shield",E893)),ISNUMBER(SEARCH("tree banding",E893)),ISNUMBER(SEARCH("insect barrier",E893))),"Tree Barriers",
OR(ISNUMBER(SEARCH("sun &amp; shade",E893)),ISNUMBER(SEARCH("sun and shade",E893))),"Sun &amp; Shade Mix",
ISNUMBER(SEARCH("tall fescue",E893)),"Tall Fescue",
ISNUMBER(SEARCH("bermudagrass",E893)),"Bermudagrass",
ISNUMBER(SEARCH("kentucky",E893)),"Kentucky Bluegrass",
ISNUMBER(SEARCH("zoysia",E893)),"Zoysia",
ISNUMBER(SEARCH("ryegrass",E893)),"Perennial Ryegrass",
ISNUMBER(SEARCH("centipede",E893)),"Centipede Grass",
ISNUMBER(SEARCH("dense shade",E893)),"Dense Shade Mix",
ISNUMBER(SEARCH("southern gold",E893)),"Southern Gold Mix",
ISNUMBER(SEARCH("heat-tolerant blue",E893)),"Heat-Tolerant Blue Mix",
ISNUMBER(SEARCH("high traffic",E893)),"High Traffic Mix",
ISNUMBER(SEARCH("quick fix",E893)),"Quick Fix Mix",
ISNUMBER(SEARCH("starter",E893)),"Starter Fertilizer",
ISNUMBER(SEARCH("weed &amp; feed",E893)),"Weed &amp; Feed",
ISNUMBER(SEARCH("lawn food",E893)),"Lawn Food",
ISNUMBER(SEARCH("triple action",E893)),"Triple Action Fertilizer",
ISNUMBER(SEARCH("green max",E893)),"Green Max Lawn Food",
ISNUMBER(SEARCH("patchmaster",E893)),"PatchMaster Repair",
ISNUMBER(SEARCH("ez seed",E893)),"EZ Seed Repair",
ISNUMBER(SEARCH("rapid grass",E893)),"Rapid Grass",
ISNUMBER(SEARCH("thick'r lawn",E893)),"Thick'R Lawn",
ISNUMBER(SEARCH("fungicide",E893)),"Fungicide",
ISNUMBER(SEARCH("moss",E893)),"Moss Control",
ISNUMBER(SEARCH("perlite",E893)),"Perlite",
ISNUMBER(SEARCH("plant food",E893)),"Plant Food",
ISNUMBER(SEARCH("spreader",E893)),"Spreader",
ISNUMBER(SEARCH("sprayer",E893)),"Sprayer",
ISNUMBER(SEARCH("mower",E893)),"Lawn Mower",
ISNUMBER(SEARCH("sweeper",E893)),"Lawn Sweeper",
OR(ISNUMBER(SEARCH("pruner",E893)),ISNUMBER(SEARCH("trimmer",E893)),ISNUMBER(SEARCH("pole saw",E893))),"Pruning Tools",
TRUE,"Other"
)</f>
        <v>Repellents</v>
      </c>
      <c r="J893" s="7" t="str">
        <f t="shared" si="288"/>
        <v>Other - Repellents</v>
      </c>
      <c r="K893" s="4">
        <v>200</v>
      </c>
      <c r="L893" s="4">
        <v>3.6</v>
      </c>
      <c r="M893" s="4">
        <v>1028</v>
      </c>
      <c r="N893" s="4" t="s">
        <v>3213</v>
      </c>
      <c r="O893" s="4">
        <f>VLOOKUP(A893,[19]Sheet1!$A:$M,2,0)</f>
        <v>100</v>
      </c>
      <c r="P893" s="4">
        <f>VLOOKUP(A893,[19]Sheet1!$A:$M,3,0)</f>
        <v>100</v>
      </c>
      <c r="Q893" s="4">
        <f>VLOOKUP(A893,[19]Sheet1!$A:$M,4,0)</f>
        <v>200</v>
      </c>
      <c r="R893" s="4">
        <f>VLOOKUP(A893,[19]Sheet1!$A:$M,5,0)</f>
        <v>400</v>
      </c>
      <c r="S893" s="4">
        <f>VLOOKUP(A893,[19]Sheet1!$A:$M,6,0)</f>
        <v>600</v>
      </c>
      <c r="T893" s="4">
        <f>VLOOKUP(A893,[19]Sheet1!$A:$M,7,0)</f>
        <v>500</v>
      </c>
      <c r="U893" s="4">
        <f>VLOOKUP(A893,[19]Sheet1!$A:$M,8,0)</f>
        <v>600</v>
      </c>
      <c r="V893" s="4">
        <f>VLOOKUP(A893,[19]Sheet1!$A:$M,9,0)</f>
        <v>600</v>
      </c>
      <c r="W893" s="4">
        <f>VLOOKUP(A893,[19]Sheet1!$A:$M,10,0)</f>
        <v>100</v>
      </c>
      <c r="X893" s="4">
        <f>VLOOKUP(A893,[19]Sheet1!$A:$M,11,0)</f>
        <v>100</v>
      </c>
      <c r="Y893" s="4">
        <f>VLOOKUP(A893,[19]Sheet1!$A:$M,12,0)</f>
        <v>100</v>
      </c>
      <c r="Z893" s="4">
        <f>VLOOKUP(A893,[19]Sheet1!$A:$M,13,0)</f>
        <v>100</v>
      </c>
      <c r="AA893" s="4">
        <f t="shared" si="289"/>
        <v>3500</v>
      </c>
      <c r="AB893" s="7">
        <f t="shared" si="290"/>
        <v>292</v>
      </c>
      <c r="AC893" s="15">
        <f t="shared" si="291"/>
        <v>291.66666666666669</v>
      </c>
      <c r="AD893" s="16">
        <f t="shared" si="292"/>
        <v>83895</v>
      </c>
      <c r="AE893" s="16">
        <f t="shared" si="293"/>
        <v>6991.25</v>
      </c>
      <c r="AF893" s="21">
        <v>7.55</v>
      </c>
      <c r="AG893" s="21">
        <v>23.97</v>
      </c>
      <c r="AH893" s="15">
        <f t="shared" si="294"/>
        <v>6.9200000000000025E-2</v>
      </c>
      <c r="AI893" s="15">
        <f t="shared" si="295"/>
        <v>0.24220000000000005</v>
      </c>
      <c r="AJ893" s="10">
        <v>0.5</v>
      </c>
      <c r="AK893" s="10">
        <v>0.5</v>
      </c>
      <c r="AL893" s="21">
        <v>7.55</v>
      </c>
      <c r="AM893" s="9">
        <f t="shared" si="296"/>
        <v>3.5954999999999999</v>
      </c>
      <c r="AN893" s="9">
        <f t="shared" si="297"/>
        <v>0.71909999999999996</v>
      </c>
      <c r="AO893" s="9">
        <f t="shared" si="298"/>
        <v>4.7939999999999996</v>
      </c>
      <c r="AP893" s="9">
        <f t="shared" si="299"/>
        <v>0.47939999999999999</v>
      </c>
      <c r="AQ893" s="9">
        <f t="shared" si="300"/>
        <v>4.7939999999999996</v>
      </c>
      <c r="AR893" s="9">
        <f t="shared" si="301"/>
        <v>5.9924999999999997</v>
      </c>
      <c r="AS893" s="11">
        <f t="shared" si="302"/>
        <v>0.69200000000000017</v>
      </c>
      <c r="AT893" s="12">
        <f t="shared" si="303"/>
        <v>-0.10699999999999991</v>
      </c>
    </row>
    <row r="894" spans="1:46" ht="16.5" x14ac:dyDescent="0.4">
      <c r="A894" s="4" t="s">
        <v>4026</v>
      </c>
      <c r="B894" s="4" t="s">
        <v>4037</v>
      </c>
      <c r="C894" s="4" t="s">
        <v>4037</v>
      </c>
      <c r="D894" s="4" t="s">
        <v>4046</v>
      </c>
      <c r="E894" s="4" t="s">
        <v>4065</v>
      </c>
      <c r="F894" s="4" t="s">
        <v>4084</v>
      </c>
      <c r="G894" s="7" t="str">
        <f>VLOOKUP(A894,[1]done!$A:$I,9,0)</f>
        <v>Snake control</v>
      </c>
      <c r="H894" s="7" t="str" cm="1">
        <f t="array" ref="H894">_xlfn.IFS(
OR(ISNUMBER(SEARCH("mouse",E894)),ISNUMBER(SEARCH("rat",E894)),ISNUMBER(SEARCH("mice",E894)),ISNUMBER(SEARCH("rodent",E894))),"Rodent Control",
OR(ISNUMBER(SEARCH("fly",E894)),ISNUMBER(SEARCH("gnat",E894)),ISNUMBER(SEARCH("insect",E894)),ISNUMBER(SEARCH("mosquito",E894))),"Flying Insect Control",
OR(ISNUMBER(SEARCH("roach",E894)),ISNUMBER(SEARCH("ant",E894)),ISNUMBER(SEARCH("spider",E894)),ISNUMBER(SEARCH("cricket",E894)),ISNUMBER(SEARCH("scorpion",E894)),ISNUMBER(SEARCH("centipede",E894)),ISNUMBER(SEARCH("beetle",E894))),"Crawling Insect Control",
OR(ISNUMBER(SEARCH("tree",E894)),ISNUMBER(SEARCH("lantern",E894)),ISNUMBER(SEARCH("garden",E894)),ISNUMBER(SEARCH("plant",E894))),"Garden Pest Control",
OR(ISNUMBER(SEARCH("grass seed",E894)),ISNUMBER(SEARCH("seed mix",E894))),"Grass Seed",
OR(ISNUMBER(SEARCH("lawn food",E894)),ISNUMBER(SEARCH("fertilizer",E894))),"Lawn Fertilizer",
OR(ISNUMBER(SEARCH("patch",E894)),ISNUMBER(SEARCH("repair",E894)),ISNUMBER(SEARCH("thick'r",E894)),ISNUMBER(SEARCH("thick'r lawn",E894)),ISNUMBER(SEARCH("rapid grass",E894))),"Lawn Repair",
OR(ISNUMBER(SEARCH("weed",E894)),ISNUMBER(SEARCH("crabgrass",E894))),"Weed Control",
OR(ISNUMBER(SEARCH("fungicide",E894)),ISNUMBER(SEARCH("moss",E894))),"Disease &amp; Moss Control",
OR(ISNUMBER(SEARCH("plant food",E894)),ISNUMBER(SEARCH("miracid",E894))),"Plant Nutrition",
OR(ISNUMBER(SEARCH("perlite",E894))),"Soil Amendment",
OR(ISNUMBER(SEARCH("spreader",E894)),ISNUMBER(SEARCH("sprayer",E894)),ISNUMBER(SEARCH("mower",E894)),ISNUMBER(SEARCH("sweeper",E894)),ISNUMBER(SEARCH("pruner",E894)),ISNUMBER(SEARCH("trimmer",E894)),ISNUMBER(SEARCH("pole saw",E894))),"Garden Equipment",
TRUE,"Other"
)</f>
        <v>Other</v>
      </c>
      <c r="I894" s="7" t="str" cm="1">
        <f t="array" ref="I894">_xlfn.IFS(
OR(ISNUMBER(SEARCH("glue trap",E894)),ISNUMBER(SEARCH("glue board",E894))),"Glue Traps",
OR(ISNUMBER(SEARCH("snap trap",E894)),ISNUMBER(SEARCH("power-kill",E894)),ISNUMBER(SEARCH("wide pedal",E894)),ISNUMBER(SEARCH("metal pedal",E894))),"Snap Traps",
OR(ISNUMBER(SEARCH("electronic",E894)),ISNUMBER(SEARCH("zapper",E894))),"Electronic Traps",
OR(ISNUMBER(SEARCH("live catch",E894)),ISNUMBER(SEARCH("multi-catch",E894)),ISNUMBER(SEARCH("catch &amp; hold",E894)),ISNUMBER(SEARCH("tin cat",E894))),"Live Catch Traps",
OR(ISNUMBER(SEARCH("bait",E894)),ISNUMBER(SEARCH("poison",E894))),"Bait &amp; Poison",
ISNUMBER(SEARCH("repellent",E894)),"Repellents",
OR(ISNUMBER(SEARCH("fly trap",E894)),ISNUMBER(SEARCH("fly ribbon",E894)),ISNUMBER(SEARCH("fly stick",E894)),ISNUMBER(SEARCH("window fly",E894)),ISNUMBER(SEARCH("fly magnet",E894))),"Fly Traps",
OR(ISNUMBER(SEARCH("uv",E894)),ISNUMBER(SEARCH("fly light",E894)),ISNUMBER(SEARCH("plug-in",E894))),"UV Fly Traps",
ISNUMBER(SEARCH("roach",E894)),"Roach Traps",
ISNUMBER(SEARCH("ant",E894)),"Ant Traps",
ISNUMBER(SEARCH("spider",E894)),"Spider Traps",
ISNUMBER(SEARCH("mosquito",E894)),"Mosquito Traps",
ISNUMBER(SEARCH("beetle",E894)),"Beetle Traps",
ISNUMBER(SEARCH("lantern",E894)),"Lanternfly Control",
OR(ISNUMBER(SEARCH("tree shield",E894)),ISNUMBER(SEARCH("tree banding",E894)),ISNUMBER(SEARCH("insect barrier",E894))),"Tree Barriers",
OR(ISNUMBER(SEARCH("sun &amp; shade",E894)),ISNUMBER(SEARCH("sun and shade",E894))),"Sun &amp; Shade Mix",
ISNUMBER(SEARCH("tall fescue",E894)),"Tall Fescue",
ISNUMBER(SEARCH("bermudagrass",E894)),"Bermudagrass",
ISNUMBER(SEARCH("kentucky",E894)),"Kentucky Bluegrass",
ISNUMBER(SEARCH("zoysia",E894)),"Zoysia",
ISNUMBER(SEARCH("ryegrass",E894)),"Perennial Ryegrass",
ISNUMBER(SEARCH("centipede",E894)),"Centipede Grass",
ISNUMBER(SEARCH("dense shade",E894)),"Dense Shade Mix",
ISNUMBER(SEARCH("southern gold",E894)),"Southern Gold Mix",
ISNUMBER(SEARCH("heat-tolerant blue",E894)),"Heat-Tolerant Blue Mix",
ISNUMBER(SEARCH("high traffic",E894)),"High Traffic Mix",
ISNUMBER(SEARCH("quick fix",E894)),"Quick Fix Mix",
ISNUMBER(SEARCH("starter",E894)),"Starter Fertilizer",
ISNUMBER(SEARCH("weed &amp; feed",E894)),"Weed &amp; Feed",
ISNUMBER(SEARCH("lawn food",E894)),"Lawn Food",
ISNUMBER(SEARCH("triple action",E894)),"Triple Action Fertilizer",
ISNUMBER(SEARCH("green max",E894)),"Green Max Lawn Food",
ISNUMBER(SEARCH("patchmaster",E894)),"PatchMaster Repair",
ISNUMBER(SEARCH("ez seed",E894)),"EZ Seed Repair",
ISNUMBER(SEARCH("rapid grass",E894)),"Rapid Grass",
ISNUMBER(SEARCH("thick'r lawn",E894)),"Thick'R Lawn",
ISNUMBER(SEARCH("fungicide",E894)),"Fungicide",
ISNUMBER(SEARCH("moss",E894)),"Moss Control",
ISNUMBER(SEARCH("perlite",E894)),"Perlite",
ISNUMBER(SEARCH("plant food",E894)),"Plant Food",
ISNUMBER(SEARCH("spreader",E894)),"Spreader",
ISNUMBER(SEARCH("sprayer",E894)),"Sprayer",
ISNUMBER(SEARCH("mower",E894)),"Lawn Mower",
ISNUMBER(SEARCH("sweeper",E894)),"Lawn Sweeper",
OR(ISNUMBER(SEARCH("pruner",E894)),ISNUMBER(SEARCH("trimmer",E894)),ISNUMBER(SEARCH("pole saw",E894))),"Pruning Tools",
TRUE,"Other"
)</f>
        <v>Repellents</v>
      </c>
      <c r="J894" s="7" t="str">
        <f t="shared" si="288"/>
        <v>Other - Repellents</v>
      </c>
      <c r="K894" s="4">
        <v>200</v>
      </c>
      <c r="L894" s="4">
        <v>4.4000000000000004</v>
      </c>
      <c r="M894" s="4">
        <v>1037</v>
      </c>
      <c r="N894" s="4" t="s">
        <v>4100</v>
      </c>
      <c r="O894" s="4">
        <f>VLOOKUP(A894,[19]Sheet1!$A:$M,2,0)</f>
        <v>0</v>
      </c>
      <c r="P894" s="4">
        <f>VLOOKUP(A894,[19]Sheet1!$A:$M,3,0)</f>
        <v>0</v>
      </c>
      <c r="Q894" s="4">
        <f>VLOOKUP(A894,[19]Sheet1!$A:$M,4,0)</f>
        <v>100</v>
      </c>
      <c r="R894" s="4">
        <f>VLOOKUP(A894,[19]Sheet1!$A:$M,5,0)</f>
        <v>300</v>
      </c>
      <c r="S894" s="4">
        <f>VLOOKUP(A894,[19]Sheet1!$A:$M,6,0)</f>
        <v>100</v>
      </c>
      <c r="T894" s="4">
        <f>VLOOKUP(A894,[19]Sheet1!$A:$M,7,0)</f>
        <v>100</v>
      </c>
      <c r="U894" s="4">
        <f>VLOOKUP(A894,[19]Sheet1!$A:$M,8,0)</f>
        <v>200</v>
      </c>
      <c r="V894" s="4">
        <f>VLOOKUP(A894,[19]Sheet1!$A:$M,9,0)</f>
        <v>200</v>
      </c>
      <c r="W894" s="4">
        <f>VLOOKUP(A894,[19]Sheet1!$A:$M,10,0)</f>
        <v>100</v>
      </c>
      <c r="X894" s="4">
        <f>VLOOKUP(A894,[19]Sheet1!$A:$M,11,0)</f>
        <v>200</v>
      </c>
      <c r="Y894" s="4">
        <f>VLOOKUP(A894,[19]Sheet1!$A:$M,12,0)</f>
        <v>100</v>
      </c>
      <c r="Z894" s="4">
        <f>VLOOKUP(A894,[19]Sheet1!$A:$M,13,0)</f>
        <v>50</v>
      </c>
      <c r="AA894" s="4">
        <f t="shared" si="289"/>
        <v>1450</v>
      </c>
      <c r="AB894" s="7">
        <f t="shared" si="290"/>
        <v>121</v>
      </c>
      <c r="AC894" s="15">
        <f t="shared" si="291"/>
        <v>120.83333333333333</v>
      </c>
      <c r="AD894" s="16">
        <f t="shared" si="292"/>
        <v>57956.5</v>
      </c>
      <c r="AE894" s="16">
        <f t="shared" si="293"/>
        <v>4829.708333333333</v>
      </c>
      <c r="AF894" s="21">
        <v>8.8699999999999992</v>
      </c>
      <c r="AG894" s="21">
        <v>39.97</v>
      </c>
      <c r="AH894" s="15">
        <f t="shared" si="294"/>
        <v>0.40786666666666671</v>
      </c>
      <c r="AI894" s="15">
        <f t="shared" si="295"/>
        <v>1.4275333333333333</v>
      </c>
      <c r="AJ894" s="10">
        <v>0.5</v>
      </c>
      <c r="AK894" s="10">
        <v>0.5</v>
      </c>
      <c r="AL894" s="21">
        <v>8.8699999999999992</v>
      </c>
      <c r="AM894" s="9">
        <f t="shared" si="296"/>
        <v>5.9954999999999998</v>
      </c>
      <c r="AN894" s="9">
        <f t="shared" si="297"/>
        <v>1.1990999999999998</v>
      </c>
      <c r="AO894" s="9">
        <f t="shared" si="298"/>
        <v>7.9939999999999998</v>
      </c>
      <c r="AP894" s="9">
        <f t="shared" si="299"/>
        <v>0.7994</v>
      </c>
      <c r="AQ894" s="9">
        <f t="shared" si="300"/>
        <v>7.9939999999999998</v>
      </c>
      <c r="AR894" s="9">
        <f t="shared" si="301"/>
        <v>9.9924999999999997</v>
      </c>
      <c r="AS894" s="11">
        <f t="shared" si="302"/>
        <v>4.0786666666666669</v>
      </c>
      <c r="AT894" s="12">
        <f t="shared" si="303"/>
        <v>2.7463333333333337</v>
      </c>
    </row>
    <row r="895" spans="1:46" ht="16.5" x14ac:dyDescent="0.4">
      <c r="A895" s="4" t="s">
        <v>4027</v>
      </c>
      <c r="B895" s="4" t="s">
        <v>4037</v>
      </c>
      <c r="C895" s="4" t="s">
        <v>4037</v>
      </c>
      <c r="D895" s="4" t="s">
        <v>4047</v>
      </c>
      <c r="E895" s="4" t="s">
        <v>4066</v>
      </c>
      <c r="F895" s="4" t="s">
        <v>4085</v>
      </c>
      <c r="G895" s="7" t="str">
        <f>VLOOKUP(A895,[1]done!$A:$I,9,0)</f>
        <v>Deer &amp; Rabbit control</v>
      </c>
      <c r="H895" s="7" t="str" cm="1">
        <f t="array" ref="H895">_xlfn.IFS(
OR(ISNUMBER(SEARCH("mouse",E895)),ISNUMBER(SEARCH("rat",E895)),ISNUMBER(SEARCH("mice",E895)),ISNUMBER(SEARCH("rodent",E895))),"Rodent Control",
OR(ISNUMBER(SEARCH("fly",E895)),ISNUMBER(SEARCH("gnat",E895)),ISNUMBER(SEARCH("insect",E895)),ISNUMBER(SEARCH("mosquito",E895))),"Flying Insect Control",
OR(ISNUMBER(SEARCH("roach",E895)),ISNUMBER(SEARCH("ant",E895)),ISNUMBER(SEARCH("spider",E895)),ISNUMBER(SEARCH("cricket",E895)),ISNUMBER(SEARCH("scorpion",E895)),ISNUMBER(SEARCH("centipede",E895)),ISNUMBER(SEARCH("beetle",E895))),"Crawling Insect Control",
OR(ISNUMBER(SEARCH("tree",E895)),ISNUMBER(SEARCH("lantern",E895)),ISNUMBER(SEARCH("garden",E895)),ISNUMBER(SEARCH("plant",E895))),"Garden Pest Control",
OR(ISNUMBER(SEARCH("grass seed",E895)),ISNUMBER(SEARCH("seed mix",E895))),"Grass Seed",
OR(ISNUMBER(SEARCH("lawn food",E895)),ISNUMBER(SEARCH("fertilizer",E895))),"Lawn Fertilizer",
OR(ISNUMBER(SEARCH("patch",E895)),ISNUMBER(SEARCH("repair",E895)),ISNUMBER(SEARCH("thick'r",E895)),ISNUMBER(SEARCH("thick'r lawn",E895)),ISNUMBER(SEARCH("rapid grass",E895))),"Lawn Repair",
OR(ISNUMBER(SEARCH("weed",E895)),ISNUMBER(SEARCH("crabgrass",E895))),"Weed Control",
OR(ISNUMBER(SEARCH("fungicide",E895)),ISNUMBER(SEARCH("moss",E895))),"Disease &amp; Moss Control",
OR(ISNUMBER(SEARCH("plant food",E895)),ISNUMBER(SEARCH("miracid",E895))),"Plant Nutrition",
OR(ISNUMBER(SEARCH("perlite",E895))),"Soil Amendment",
OR(ISNUMBER(SEARCH("spreader",E895)),ISNUMBER(SEARCH("sprayer",E895)),ISNUMBER(SEARCH("mower",E895)),ISNUMBER(SEARCH("sweeper",E895)),ISNUMBER(SEARCH("pruner",E895)),ISNUMBER(SEARCH("trimmer",E895)),ISNUMBER(SEARCH("pole saw",E895))),"Garden Equipment",
TRUE,"Other"
)</f>
        <v>Other</v>
      </c>
      <c r="I895" s="7" t="str" cm="1">
        <f t="array" ref="I895">_xlfn.IFS(
OR(ISNUMBER(SEARCH("glue trap",E895)),ISNUMBER(SEARCH("glue board",E895))),"Glue Traps",
OR(ISNUMBER(SEARCH("snap trap",E895)),ISNUMBER(SEARCH("power-kill",E895)),ISNUMBER(SEARCH("wide pedal",E895)),ISNUMBER(SEARCH("metal pedal",E895))),"Snap Traps",
OR(ISNUMBER(SEARCH("electronic",E895)),ISNUMBER(SEARCH("zapper",E895))),"Electronic Traps",
OR(ISNUMBER(SEARCH("live catch",E895)),ISNUMBER(SEARCH("multi-catch",E895)),ISNUMBER(SEARCH("catch &amp; hold",E895)),ISNUMBER(SEARCH("tin cat",E895))),"Live Catch Traps",
OR(ISNUMBER(SEARCH("bait",E895)),ISNUMBER(SEARCH("poison",E895))),"Bait &amp; Poison",
ISNUMBER(SEARCH("repellent",E895)),"Repellents",
OR(ISNUMBER(SEARCH("fly trap",E895)),ISNUMBER(SEARCH("fly ribbon",E895)),ISNUMBER(SEARCH("fly stick",E895)),ISNUMBER(SEARCH("window fly",E895)),ISNUMBER(SEARCH("fly magnet",E895))),"Fly Traps",
OR(ISNUMBER(SEARCH("uv",E895)),ISNUMBER(SEARCH("fly light",E895)),ISNUMBER(SEARCH("plug-in",E895))),"UV Fly Traps",
ISNUMBER(SEARCH("roach",E895)),"Roach Traps",
ISNUMBER(SEARCH("ant",E895)),"Ant Traps",
ISNUMBER(SEARCH("spider",E895)),"Spider Traps",
ISNUMBER(SEARCH("mosquito",E895)),"Mosquito Traps",
ISNUMBER(SEARCH("beetle",E895)),"Beetle Traps",
ISNUMBER(SEARCH("lantern",E895)),"Lanternfly Control",
OR(ISNUMBER(SEARCH("tree shield",E895)),ISNUMBER(SEARCH("tree banding",E895)),ISNUMBER(SEARCH("insect barrier",E895))),"Tree Barriers",
OR(ISNUMBER(SEARCH("sun &amp; shade",E895)),ISNUMBER(SEARCH("sun and shade",E895))),"Sun &amp; Shade Mix",
ISNUMBER(SEARCH("tall fescue",E895)),"Tall Fescue",
ISNUMBER(SEARCH("bermudagrass",E895)),"Bermudagrass",
ISNUMBER(SEARCH("kentucky",E895)),"Kentucky Bluegrass",
ISNUMBER(SEARCH("zoysia",E895)),"Zoysia",
ISNUMBER(SEARCH("ryegrass",E895)),"Perennial Ryegrass",
ISNUMBER(SEARCH("centipede",E895)),"Centipede Grass",
ISNUMBER(SEARCH("dense shade",E895)),"Dense Shade Mix",
ISNUMBER(SEARCH("southern gold",E895)),"Southern Gold Mix",
ISNUMBER(SEARCH("heat-tolerant blue",E895)),"Heat-Tolerant Blue Mix",
ISNUMBER(SEARCH("high traffic",E895)),"High Traffic Mix",
ISNUMBER(SEARCH("quick fix",E895)),"Quick Fix Mix",
ISNUMBER(SEARCH("starter",E895)),"Starter Fertilizer",
ISNUMBER(SEARCH("weed &amp; feed",E895)),"Weed &amp; Feed",
ISNUMBER(SEARCH("lawn food",E895)),"Lawn Food",
ISNUMBER(SEARCH("triple action",E895)),"Triple Action Fertilizer",
ISNUMBER(SEARCH("green max",E895)),"Green Max Lawn Food",
ISNUMBER(SEARCH("patchmaster",E895)),"PatchMaster Repair",
ISNUMBER(SEARCH("ez seed",E895)),"EZ Seed Repair",
ISNUMBER(SEARCH("rapid grass",E895)),"Rapid Grass",
ISNUMBER(SEARCH("thick'r lawn",E895)),"Thick'R Lawn",
ISNUMBER(SEARCH("fungicide",E895)),"Fungicide",
ISNUMBER(SEARCH("moss",E895)),"Moss Control",
ISNUMBER(SEARCH("perlite",E895)),"Perlite",
ISNUMBER(SEARCH("plant food",E895)),"Plant Food",
ISNUMBER(SEARCH("spreader",E895)),"Spreader",
ISNUMBER(SEARCH("sprayer",E895)),"Sprayer",
ISNUMBER(SEARCH("mower",E895)),"Lawn Mower",
ISNUMBER(SEARCH("sweeper",E895)),"Lawn Sweeper",
OR(ISNUMBER(SEARCH("pruner",E895)),ISNUMBER(SEARCH("trimmer",E895)),ISNUMBER(SEARCH("pole saw",E895))),"Pruning Tools",
TRUE,"Other"
)</f>
        <v>Repellents</v>
      </c>
      <c r="J895" s="7" t="str">
        <f t="shared" si="288"/>
        <v>Other - Repellents</v>
      </c>
      <c r="K895" s="4">
        <v>100</v>
      </c>
      <c r="L895" s="4">
        <v>4</v>
      </c>
      <c r="M895" s="4">
        <v>1110</v>
      </c>
      <c r="N895" s="4" t="s">
        <v>4101</v>
      </c>
      <c r="O895" s="4">
        <f>VLOOKUP(A895,[19]Sheet1!$A:$M,2,0)</f>
        <v>0</v>
      </c>
      <c r="P895" s="4">
        <f>VLOOKUP(A895,[19]Sheet1!$A:$M,3,0)</f>
        <v>0</v>
      </c>
      <c r="Q895" s="4">
        <f>VLOOKUP(A895,[19]Sheet1!$A:$M,4,0)</f>
        <v>50</v>
      </c>
      <c r="R895" s="4">
        <f>VLOOKUP(A895,[19]Sheet1!$A:$M,5,0)</f>
        <v>100</v>
      </c>
      <c r="S895" s="4">
        <f>VLOOKUP(A895,[19]Sheet1!$A:$M,6,0)</f>
        <v>400</v>
      </c>
      <c r="T895" s="4">
        <f>VLOOKUP(A895,[19]Sheet1!$A:$M,7,0)</f>
        <v>600</v>
      </c>
      <c r="U895" s="4">
        <f>VLOOKUP(A895,[19]Sheet1!$A:$M,8,0)</f>
        <v>100</v>
      </c>
      <c r="V895" s="4">
        <f>VLOOKUP(A895,[19]Sheet1!$A:$M,9,0)</f>
        <v>300</v>
      </c>
      <c r="W895" s="4">
        <f>VLOOKUP(A895,[19]Sheet1!$A:$M,10,0)</f>
        <v>100</v>
      </c>
      <c r="X895" s="4">
        <f>VLOOKUP(A895,[19]Sheet1!$A:$M,11,0)</f>
        <v>0</v>
      </c>
      <c r="Y895" s="4">
        <f>VLOOKUP(A895,[19]Sheet1!$A:$M,12,0)</f>
        <v>0</v>
      </c>
      <c r="Z895" s="4">
        <f>VLOOKUP(A895,[19]Sheet1!$A:$M,13,0)</f>
        <v>0</v>
      </c>
      <c r="AA895" s="4">
        <f t="shared" si="289"/>
        <v>1650</v>
      </c>
      <c r="AB895" s="7">
        <f t="shared" si="290"/>
        <v>138</v>
      </c>
      <c r="AC895" s="15">
        <f t="shared" si="291"/>
        <v>137.5</v>
      </c>
      <c r="AD895" s="16">
        <f t="shared" si="292"/>
        <v>39550.5</v>
      </c>
      <c r="AE895" s="16">
        <f t="shared" si="293"/>
        <v>3295.875</v>
      </c>
      <c r="AF895" s="21">
        <v>6.9</v>
      </c>
      <c r="AG895" s="21">
        <v>23.97</v>
      </c>
      <c r="AH895" s="15">
        <f t="shared" si="294"/>
        <v>0.11253333333333332</v>
      </c>
      <c r="AI895" s="15">
        <f t="shared" si="295"/>
        <v>0.39386666666666653</v>
      </c>
      <c r="AJ895" s="10">
        <v>0.5</v>
      </c>
      <c r="AK895" s="10">
        <v>0.5</v>
      </c>
      <c r="AL895" s="21">
        <v>6.9</v>
      </c>
      <c r="AM895" s="9">
        <f t="shared" si="296"/>
        <v>3.5954999999999999</v>
      </c>
      <c r="AN895" s="9">
        <f t="shared" si="297"/>
        <v>0.71909999999999996</v>
      </c>
      <c r="AO895" s="9">
        <f t="shared" si="298"/>
        <v>4.7939999999999996</v>
      </c>
      <c r="AP895" s="9">
        <f t="shared" si="299"/>
        <v>0.47939999999999999</v>
      </c>
      <c r="AQ895" s="9">
        <f t="shared" si="300"/>
        <v>4.7939999999999996</v>
      </c>
      <c r="AR895" s="9">
        <f t="shared" si="301"/>
        <v>5.9924999999999997</v>
      </c>
      <c r="AS895" s="11">
        <f t="shared" si="302"/>
        <v>1.1253333333333331</v>
      </c>
      <c r="AT895" s="12">
        <f t="shared" si="303"/>
        <v>0.32633333333333309</v>
      </c>
    </row>
    <row r="896" spans="1:46" ht="16.5" x14ac:dyDescent="0.4">
      <c r="A896" s="4" t="s">
        <v>4028</v>
      </c>
      <c r="B896" s="4" t="s">
        <v>4037</v>
      </c>
      <c r="C896" s="4" t="s">
        <v>4037</v>
      </c>
      <c r="D896" s="4" t="s">
        <v>4048</v>
      </c>
      <c r="E896" s="4" t="s">
        <v>4067</v>
      </c>
      <c r="F896" s="4" t="s">
        <v>4086</v>
      </c>
      <c r="G896" s="7" t="str">
        <f>VLOOKUP(A896,[1]done!$A:$I,9,0)</f>
        <v>Deer &amp; Rabbit control</v>
      </c>
      <c r="H896" s="7" t="str" cm="1">
        <f t="array" ref="H896">_xlfn.IFS(
OR(ISNUMBER(SEARCH("mouse",E896)),ISNUMBER(SEARCH("rat",E896)),ISNUMBER(SEARCH("mice",E896)),ISNUMBER(SEARCH("rodent",E896))),"Rodent Control",
OR(ISNUMBER(SEARCH("fly",E896)),ISNUMBER(SEARCH("gnat",E896)),ISNUMBER(SEARCH("insect",E896)),ISNUMBER(SEARCH("mosquito",E896))),"Flying Insect Control",
OR(ISNUMBER(SEARCH("roach",E896)),ISNUMBER(SEARCH("ant",E896)),ISNUMBER(SEARCH("spider",E896)),ISNUMBER(SEARCH("cricket",E896)),ISNUMBER(SEARCH("scorpion",E896)),ISNUMBER(SEARCH("centipede",E896)),ISNUMBER(SEARCH("beetle",E896))),"Crawling Insect Control",
OR(ISNUMBER(SEARCH("tree",E896)),ISNUMBER(SEARCH("lantern",E896)),ISNUMBER(SEARCH("garden",E896)),ISNUMBER(SEARCH("plant",E896))),"Garden Pest Control",
OR(ISNUMBER(SEARCH("grass seed",E896)),ISNUMBER(SEARCH("seed mix",E896))),"Grass Seed",
OR(ISNUMBER(SEARCH("lawn food",E896)),ISNUMBER(SEARCH("fertilizer",E896))),"Lawn Fertilizer",
OR(ISNUMBER(SEARCH("patch",E896)),ISNUMBER(SEARCH("repair",E896)),ISNUMBER(SEARCH("thick'r",E896)),ISNUMBER(SEARCH("thick'r lawn",E896)),ISNUMBER(SEARCH("rapid grass",E896))),"Lawn Repair",
OR(ISNUMBER(SEARCH("weed",E896)),ISNUMBER(SEARCH("crabgrass",E896))),"Weed Control",
OR(ISNUMBER(SEARCH("fungicide",E896)),ISNUMBER(SEARCH("moss",E896))),"Disease &amp; Moss Control",
OR(ISNUMBER(SEARCH("plant food",E896)),ISNUMBER(SEARCH("miracid",E896))),"Plant Nutrition",
OR(ISNUMBER(SEARCH("perlite",E896))),"Soil Amendment",
OR(ISNUMBER(SEARCH("spreader",E896)),ISNUMBER(SEARCH("sprayer",E896)),ISNUMBER(SEARCH("mower",E896)),ISNUMBER(SEARCH("sweeper",E896)),ISNUMBER(SEARCH("pruner",E896)),ISNUMBER(SEARCH("trimmer",E896)),ISNUMBER(SEARCH("pole saw",E896))),"Garden Equipment",
TRUE,"Other"
)</f>
        <v>Other</v>
      </c>
      <c r="I896" s="7" t="str" cm="1">
        <f t="array" ref="I896">_xlfn.IFS(
OR(ISNUMBER(SEARCH("glue trap",E896)),ISNUMBER(SEARCH("glue board",E896))),"Glue Traps",
OR(ISNUMBER(SEARCH("snap trap",E896)),ISNUMBER(SEARCH("power-kill",E896)),ISNUMBER(SEARCH("wide pedal",E896)),ISNUMBER(SEARCH("metal pedal",E896))),"Snap Traps",
OR(ISNUMBER(SEARCH("electronic",E896)),ISNUMBER(SEARCH("zapper",E896))),"Electronic Traps",
OR(ISNUMBER(SEARCH("live catch",E896)),ISNUMBER(SEARCH("multi-catch",E896)),ISNUMBER(SEARCH("catch &amp; hold",E896)),ISNUMBER(SEARCH("tin cat",E896))),"Live Catch Traps",
OR(ISNUMBER(SEARCH("bait",E896)),ISNUMBER(SEARCH("poison",E896))),"Bait &amp; Poison",
ISNUMBER(SEARCH("repellent",E896)),"Repellents",
OR(ISNUMBER(SEARCH("fly trap",E896)),ISNUMBER(SEARCH("fly ribbon",E896)),ISNUMBER(SEARCH("fly stick",E896)),ISNUMBER(SEARCH("window fly",E896)),ISNUMBER(SEARCH("fly magnet",E896))),"Fly Traps",
OR(ISNUMBER(SEARCH("uv",E896)),ISNUMBER(SEARCH("fly light",E896)),ISNUMBER(SEARCH("plug-in",E896))),"UV Fly Traps",
ISNUMBER(SEARCH("roach",E896)),"Roach Traps",
ISNUMBER(SEARCH("ant",E896)),"Ant Traps",
ISNUMBER(SEARCH("spider",E896)),"Spider Traps",
ISNUMBER(SEARCH("mosquito",E896)),"Mosquito Traps",
ISNUMBER(SEARCH("beetle",E896)),"Beetle Traps",
ISNUMBER(SEARCH("lantern",E896)),"Lanternfly Control",
OR(ISNUMBER(SEARCH("tree shield",E896)),ISNUMBER(SEARCH("tree banding",E896)),ISNUMBER(SEARCH("insect barrier",E896))),"Tree Barriers",
OR(ISNUMBER(SEARCH("sun &amp; shade",E896)),ISNUMBER(SEARCH("sun and shade",E896))),"Sun &amp; Shade Mix",
ISNUMBER(SEARCH("tall fescue",E896)),"Tall Fescue",
ISNUMBER(SEARCH("bermudagrass",E896)),"Bermudagrass",
ISNUMBER(SEARCH("kentucky",E896)),"Kentucky Bluegrass",
ISNUMBER(SEARCH("zoysia",E896)),"Zoysia",
ISNUMBER(SEARCH("ryegrass",E896)),"Perennial Ryegrass",
ISNUMBER(SEARCH("centipede",E896)),"Centipede Grass",
ISNUMBER(SEARCH("dense shade",E896)),"Dense Shade Mix",
ISNUMBER(SEARCH("southern gold",E896)),"Southern Gold Mix",
ISNUMBER(SEARCH("heat-tolerant blue",E896)),"Heat-Tolerant Blue Mix",
ISNUMBER(SEARCH("high traffic",E896)),"High Traffic Mix",
ISNUMBER(SEARCH("quick fix",E896)),"Quick Fix Mix",
ISNUMBER(SEARCH("starter",E896)),"Starter Fertilizer",
ISNUMBER(SEARCH("weed &amp; feed",E896)),"Weed &amp; Feed",
ISNUMBER(SEARCH("lawn food",E896)),"Lawn Food",
ISNUMBER(SEARCH("triple action",E896)),"Triple Action Fertilizer",
ISNUMBER(SEARCH("green max",E896)),"Green Max Lawn Food",
ISNUMBER(SEARCH("patchmaster",E896)),"PatchMaster Repair",
ISNUMBER(SEARCH("ez seed",E896)),"EZ Seed Repair",
ISNUMBER(SEARCH("rapid grass",E896)),"Rapid Grass",
ISNUMBER(SEARCH("thick'r lawn",E896)),"Thick'R Lawn",
ISNUMBER(SEARCH("fungicide",E896)),"Fungicide",
ISNUMBER(SEARCH("moss",E896)),"Moss Control",
ISNUMBER(SEARCH("perlite",E896)),"Perlite",
ISNUMBER(SEARCH("plant food",E896)),"Plant Food",
ISNUMBER(SEARCH("spreader",E896)),"Spreader",
ISNUMBER(SEARCH("sprayer",E896)),"Sprayer",
ISNUMBER(SEARCH("mower",E896)),"Lawn Mower",
ISNUMBER(SEARCH("sweeper",E896)),"Lawn Sweeper",
OR(ISNUMBER(SEARCH("pruner",E896)),ISNUMBER(SEARCH("trimmer",E896)),ISNUMBER(SEARCH("pole saw",E896))),"Pruning Tools",
TRUE,"Other"
)</f>
        <v>Repellents</v>
      </c>
      <c r="J896" s="7" t="str">
        <f t="shared" si="288"/>
        <v>Other - Repellents</v>
      </c>
      <c r="K896" s="4">
        <v>100</v>
      </c>
      <c r="L896" s="4">
        <v>4</v>
      </c>
      <c r="M896" s="4">
        <v>1110</v>
      </c>
      <c r="N896" s="4" t="s">
        <v>4098</v>
      </c>
      <c r="O896" s="4">
        <f>VLOOKUP(A896,[19]Sheet1!$A:$M,2,0)</f>
        <v>0</v>
      </c>
      <c r="P896" s="4">
        <f>VLOOKUP(A896,[19]Sheet1!$A:$M,3,0)</f>
        <v>50</v>
      </c>
      <c r="Q896" s="4">
        <f>VLOOKUP(A896,[19]Sheet1!$A:$M,4,0)</f>
        <v>100</v>
      </c>
      <c r="R896" s="4">
        <f>VLOOKUP(A896,[19]Sheet1!$A:$M,5,0)</f>
        <v>200</v>
      </c>
      <c r="S896" s="4">
        <f>VLOOKUP(A896,[19]Sheet1!$A:$M,6,0)</f>
        <v>100</v>
      </c>
      <c r="T896" s="4">
        <f>VLOOKUP(A896,[19]Sheet1!$A:$M,7,0)</f>
        <v>300</v>
      </c>
      <c r="U896" s="4">
        <f>VLOOKUP(A896,[19]Sheet1!$A:$M,8,0)</f>
        <v>400</v>
      </c>
      <c r="V896" s="4">
        <f>VLOOKUP(A896,[19]Sheet1!$A:$M,9,0)</f>
        <v>100</v>
      </c>
      <c r="W896" s="4">
        <f>VLOOKUP(A896,[19]Sheet1!$A:$M,10,0)</f>
        <v>100</v>
      </c>
      <c r="X896" s="4">
        <f>VLOOKUP(A896,[19]Sheet1!$A:$M,11,0)</f>
        <v>100</v>
      </c>
      <c r="Y896" s="4">
        <f>VLOOKUP(A896,[19]Sheet1!$A:$M,12,0)</f>
        <v>50</v>
      </c>
      <c r="Z896" s="4">
        <f>VLOOKUP(A896,[19]Sheet1!$A:$M,13,0)</f>
        <v>50</v>
      </c>
      <c r="AA896" s="4">
        <f t="shared" si="289"/>
        <v>1550</v>
      </c>
      <c r="AB896" s="7">
        <f t="shared" si="290"/>
        <v>129</v>
      </c>
      <c r="AC896" s="15">
        <f t="shared" si="291"/>
        <v>129.16666666666666</v>
      </c>
      <c r="AD896" s="16">
        <f t="shared" si="292"/>
        <v>61953.5</v>
      </c>
      <c r="AE896" s="16">
        <f t="shared" si="293"/>
        <v>5162.7916666666661</v>
      </c>
      <c r="AF896" s="21">
        <v>8.2899999999999991</v>
      </c>
      <c r="AG896" s="21">
        <v>39.97</v>
      </c>
      <c r="AH896" s="15">
        <f t="shared" si="294"/>
        <v>0.44653333333333339</v>
      </c>
      <c r="AI896" s="15">
        <f t="shared" si="295"/>
        <v>1.5628666666666666</v>
      </c>
      <c r="AJ896" s="10">
        <v>0.5</v>
      </c>
      <c r="AK896" s="10">
        <v>0.5</v>
      </c>
      <c r="AL896" s="21">
        <v>8.2899999999999991</v>
      </c>
      <c r="AM896" s="9">
        <f t="shared" si="296"/>
        <v>5.9954999999999998</v>
      </c>
      <c r="AN896" s="9">
        <f t="shared" si="297"/>
        <v>1.1990999999999998</v>
      </c>
      <c r="AO896" s="9">
        <f t="shared" si="298"/>
        <v>7.9939999999999998</v>
      </c>
      <c r="AP896" s="9">
        <f t="shared" si="299"/>
        <v>0.7994</v>
      </c>
      <c r="AQ896" s="9">
        <f t="shared" si="300"/>
        <v>7.9939999999999998</v>
      </c>
      <c r="AR896" s="9">
        <f t="shared" si="301"/>
        <v>9.9924999999999997</v>
      </c>
      <c r="AS896" s="11">
        <f t="shared" si="302"/>
        <v>4.4653333333333336</v>
      </c>
      <c r="AT896" s="12">
        <f t="shared" si="303"/>
        <v>3.1330000000000005</v>
      </c>
    </row>
    <row r="897" spans="1:46" ht="16.5" x14ac:dyDescent="0.4">
      <c r="A897" s="4" t="s">
        <v>4029</v>
      </c>
      <c r="B897" s="4" t="s">
        <v>4037</v>
      </c>
      <c r="C897" s="4" t="s">
        <v>4037</v>
      </c>
      <c r="D897" s="4" t="s">
        <v>4049</v>
      </c>
      <c r="E897" s="4" t="s">
        <v>4068</v>
      </c>
      <c r="F897" s="4" t="s">
        <v>4087</v>
      </c>
      <c r="G897" s="7" t="str">
        <f>VLOOKUP(A897,[1]done!$A:$I,9,0)</f>
        <v>Mole Repellent</v>
      </c>
      <c r="H897" s="7" t="str" cm="1">
        <f t="array" ref="H897">_xlfn.IFS(
OR(ISNUMBER(SEARCH("mouse",E897)),ISNUMBER(SEARCH("rat",E897)),ISNUMBER(SEARCH("mice",E897)),ISNUMBER(SEARCH("rodent",E897))),"Rodent Control",
OR(ISNUMBER(SEARCH("fly",E897)),ISNUMBER(SEARCH("gnat",E897)),ISNUMBER(SEARCH("insect",E897)),ISNUMBER(SEARCH("mosquito",E897))),"Flying Insect Control",
OR(ISNUMBER(SEARCH("roach",E897)),ISNUMBER(SEARCH("ant",E897)),ISNUMBER(SEARCH("spider",E897)),ISNUMBER(SEARCH("cricket",E897)),ISNUMBER(SEARCH("scorpion",E897)),ISNUMBER(SEARCH("centipede",E897)),ISNUMBER(SEARCH("beetle",E897))),"Crawling Insect Control",
OR(ISNUMBER(SEARCH("tree",E897)),ISNUMBER(SEARCH("lantern",E897)),ISNUMBER(SEARCH("garden",E897)),ISNUMBER(SEARCH("plant",E897))),"Garden Pest Control",
OR(ISNUMBER(SEARCH("grass seed",E897)),ISNUMBER(SEARCH("seed mix",E897))),"Grass Seed",
OR(ISNUMBER(SEARCH("lawn food",E897)),ISNUMBER(SEARCH("fertilizer",E897))),"Lawn Fertilizer",
OR(ISNUMBER(SEARCH("patch",E897)),ISNUMBER(SEARCH("repair",E897)),ISNUMBER(SEARCH("thick'r",E897)),ISNUMBER(SEARCH("thick'r lawn",E897)),ISNUMBER(SEARCH("rapid grass",E897))),"Lawn Repair",
OR(ISNUMBER(SEARCH("weed",E897)),ISNUMBER(SEARCH("crabgrass",E897))),"Weed Control",
OR(ISNUMBER(SEARCH("fungicide",E897)),ISNUMBER(SEARCH("moss",E897))),"Disease &amp; Moss Control",
OR(ISNUMBER(SEARCH("plant food",E897)),ISNUMBER(SEARCH("miracid",E897))),"Plant Nutrition",
OR(ISNUMBER(SEARCH("perlite",E897))),"Soil Amendment",
OR(ISNUMBER(SEARCH("spreader",E897)),ISNUMBER(SEARCH("sprayer",E897)),ISNUMBER(SEARCH("mower",E897)),ISNUMBER(SEARCH("sweeper",E897)),ISNUMBER(SEARCH("pruner",E897)),ISNUMBER(SEARCH("trimmer",E897)),ISNUMBER(SEARCH("pole saw",E897))),"Garden Equipment",
TRUE,"Other"
)</f>
        <v>Other</v>
      </c>
      <c r="I897" s="7" t="str" cm="1">
        <f t="array" ref="I897">_xlfn.IFS(
OR(ISNUMBER(SEARCH("glue trap",E897)),ISNUMBER(SEARCH("glue board",E897))),"Glue Traps",
OR(ISNUMBER(SEARCH("snap trap",E897)),ISNUMBER(SEARCH("power-kill",E897)),ISNUMBER(SEARCH("wide pedal",E897)),ISNUMBER(SEARCH("metal pedal",E897))),"Snap Traps",
OR(ISNUMBER(SEARCH("electronic",E897)),ISNUMBER(SEARCH("zapper",E897))),"Electronic Traps",
OR(ISNUMBER(SEARCH("live catch",E897)),ISNUMBER(SEARCH("multi-catch",E897)),ISNUMBER(SEARCH("catch &amp; hold",E897)),ISNUMBER(SEARCH("tin cat",E897))),"Live Catch Traps",
OR(ISNUMBER(SEARCH("bait",E897)),ISNUMBER(SEARCH("poison",E897))),"Bait &amp; Poison",
ISNUMBER(SEARCH("repellent",E897)),"Repellents",
OR(ISNUMBER(SEARCH("fly trap",E897)),ISNUMBER(SEARCH("fly ribbon",E897)),ISNUMBER(SEARCH("fly stick",E897)),ISNUMBER(SEARCH("window fly",E897)),ISNUMBER(SEARCH("fly magnet",E897))),"Fly Traps",
OR(ISNUMBER(SEARCH("uv",E897)),ISNUMBER(SEARCH("fly light",E897)),ISNUMBER(SEARCH("plug-in",E897))),"UV Fly Traps",
ISNUMBER(SEARCH("roach",E897)),"Roach Traps",
ISNUMBER(SEARCH("ant",E897)),"Ant Traps",
ISNUMBER(SEARCH("spider",E897)),"Spider Traps",
ISNUMBER(SEARCH("mosquito",E897)),"Mosquito Traps",
ISNUMBER(SEARCH("beetle",E897)),"Beetle Traps",
ISNUMBER(SEARCH("lantern",E897)),"Lanternfly Control",
OR(ISNUMBER(SEARCH("tree shield",E897)),ISNUMBER(SEARCH("tree banding",E897)),ISNUMBER(SEARCH("insect barrier",E897))),"Tree Barriers",
OR(ISNUMBER(SEARCH("sun &amp; shade",E897)),ISNUMBER(SEARCH("sun and shade",E897))),"Sun &amp; Shade Mix",
ISNUMBER(SEARCH("tall fescue",E897)),"Tall Fescue",
ISNUMBER(SEARCH("bermudagrass",E897)),"Bermudagrass",
ISNUMBER(SEARCH("kentucky",E897)),"Kentucky Bluegrass",
ISNUMBER(SEARCH("zoysia",E897)),"Zoysia",
ISNUMBER(SEARCH("ryegrass",E897)),"Perennial Ryegrass",
ISNUMBER(SEARCH("centipede",E897)),"Centipede Grass",
ISNUMBER(SEARCH("dense shade",E897)),"Dense Shade Mix",
ISNUMBER(SEARCH("southern gold",E897)),"Southern Gold Mix",
ISNUMBER(SEARCH("heat-tolerant blue",E897)),"Heat-Tolerant Blue Mix",
ISNUMBER(SEARCH("high traffic",E897)),"High Traffic Mix",
ISNUMBER(SEARCH("quick fix",E897)),"Quick Fix Mix",
ISNUMBER(SEARCH("starter",E897)),"Starter Fertilizer",
ISNUMBER(SEARCH("weed &amp; feed",E897)),"Weed &amp; Feed",
ISNUMBER(SEARCH("lawn food",E897)),"Lawn Food",
ISNUMBER(SEARCH("triple action",E897)),"Triple Action Fertilizer",
ISNUMBER(SEARCH("green max",E897)),"Green Max Lawn Food",
ISNUMBER(SEARCH("patchmaster",E897)),"PatchMaster Repair",
ISNUMBER(SEARCH("ez seed",E897)),"EZ Seed Repair",
ISNUMBER(SEARCH("rapid grass",E897)),"Rapid Grass",
ISNUMBER(SEARCH("thick'r lawn",E897)),"Thick'R Lawn",
ISNUMBER(SEARCH("fungicide",E897)),"Fungicide",
ISNUMBER(SEARCH("moss",E897)),"Moss Control",
ISNUMBER(SEARCH("perlite",E897)),"Perlite",
ISNUMBER(SEARCH("plant food",E897)),"Plant Food",
ISNUMBER(SEARCH("spreader",E897)),"Spreader",
ISNUMBER(SEARCH("sprayer",E897)),"Sprayer",
ISNUMBER(SEARCH("mower",E897)),"Lawn Mower",
ISNUMBER(SEARCH("sweeper",E897)),"Lawn Sweeper",
OR(ISNUMBER(SEARCH("pruner",E897)),ISNUMBER(SEARCH("trimmer",E897)),ISNUMBER(SEARCH("pole saw",E897))),"Pruning Tools",
TRUE,"Other"
)</f>
        <v>Repellents</v>
      </c>
      <c r="J897" s="7" t="str">
        <f t="shared" si="288"/>
        <v>Other - Repellents</v>
      </c>
      <c r="K897" s="4">
        <v>100</v>
      </c>
      <c r="L897" s="4">
        <v>3.9</v>
      </c>
      <c r="M897" s="4">
        <v>3170</v>
      </c>
      <c r="N897" s="4" t="s">
        <v>1550</v>
      </c>
      <c r="O897" s="4">
        <f>VLOOKUP(A897,[19]Sheet1!$A:$M,2,0)</f>
        <v>0</v>
      </c>
      <c r="P897" s="4">
        <f>VLOOKUP(A897,[19]Sheet1!$A:$M,3,0)</f>
        <v>0</v>
      </c>
      <c r="Q897" s="4">
        <f>VLOOKUP(A897,[19]Sheet1!$A:$M,4,0)</f>
        <v>50</v>
      </c>
      <c r="R897" s="4">
        <f>VLOOKUP(A897,[19]Sheet1!$A:$M,5,0)</f>
        <v>100</v>
      </c>
      <c r="S897" s="4">
        <f>VLOOKUP(A897,[19]Sheet1!$A:$M,6,0)</f>
        <v>100</v>
      </c>
      <c r="T897" s="4">
        <f>VLOOKUP(A897,[19]Sheet1!$A:$M,7,0)</f>
        <v>100</v>
      </c>
      <c r="U897" s="4">
        <f>VLOOKUP(A897,[19]Sheet1!$A:$M,8,0)</f>
        <v>100</v>
      </c>
      <c r="V897" s="4">
        <f>VLOOKUP(A897,[19]Sheet1!$A:$M,9,0)</f>
        <v>100</v>
      </c>
      <c r="W897" s="4">
        <f>VLOOKUP(A897,[19]Sheet1!$A:$M,10,0)</f>
        <v>100</v>
      </c>
      <c r="X897" s="4">
        <f>VLOOKUP(A897,[19]Sheet1!$A:$M,11,0)</f>
        <v>100</v>
      </c>
      <c r="Y897" s="4">
        <f>VLOOKUP(A897,[19]Sheet1!$A:$M,12,0)</f>
        <v>50</v>
      </c>
      <c r="Z897" s="4">
        <f>VLOOKUP(A897,[19]Sheet1!$A:$M,13,0)</f>
        <v>50</v>
      </c>
      <c r="AA897" s="4">
        <f t="shared" si="289"/>
        <v>850</v>
      </c>
      <c r="AB897" s="7">
        <f t="shared" si="290"/>
        <v>71</v>
      </c>
      <c r="AC897" s="15">
        <f t="shared" si="291"/>
        <v>70.833333333333329</v>
      </c>
      <c r="AD897" s="16">
        <f t="shared" si="292"/>
        <v>19524.5</v>
      </c>
      <c r="AE897" s="16">
        <f t="shared" si="293"/>
        <v>1627.0416666666665</v>
      </c>
      <c r="AF897" s="21">
        <v>6.31</v>
      </c>
      <c r="AG897" s="21">
        <v>22.97</v>
      </c>
      <c r="AH897" s="15">
        <f t="shared" si="294"/>
        <v>0.12519999999999989</v>
      </c>
      <c r="AI897" s="15">
        <f t="shared" si="295"/>
        <v>0.43819999999999959</v>
      </c>
      <c r="AJ897" s="10">
        <v>0.5</v>
      </c>
      <c r="AK897" s="10">
        <v>0.5</v>
      </c>
      <c r="AL897" s="21">
        <v>6.31</v>
      </c>
      <c r="AM897" s="9">
        <f t="shared" si="296"/>
        <v>3.4454999999999996</v>
      </c>
      <c r="AN897" s="9">
        <f t="shared" si="297"/>
        <v>0.68909999999999993</v>
      </c>
      <c r="AO897" s="9">
        <f t="shared" si="298"/>
        <v>4.5940000000000003</v>
      </c>
      <c r="AP897" s="9">
        <f t="shared" si="299"/>
        <v>0.45939999999999998</v>
      </c>
      <c r="AQ897" s="9">
        <f t="shared" si="300"/>
        <v>4.5940000000000003</v>
      </c>
      <c r="AR897" s="9">
        <f t="shared" si="301"/>
        <v>5.7424999999999997</v>
      </c>
      <c r="AS897" s="11">
        <f t="shared" si="302"/>
        <v>1.2519999999999989</v>
      </c>
      <c r="AT897" s="12">
        <f t="shared" si="303"/>
        <v>0.48633333333333262</v>
      </c>
    </row>
    <row r="898" spans="1:46" ht="16.5" x14ac:dyDescent="0.4">
      <c r="A898" s="4" t="s">
        <v>4030</v>
      </c>
      <c r="B898" s="4" t="s">
        <v>4037</v>
      </c>
      <c r="C898" s="4" t="s">
        <v>4037</v>
      </c>
      <c r="D898" s="4" t="s">
        <v>4050</v>
      </c>
      <c r="E898" s="4" t="s">
        <v>4069</v>
      </c>
      <c r="F898" s="4" t="s">
        <v>4088</v>
      </c>
      <c r="G898" s="7" t="str">
        <f>VLOOKUP(A898,[1]done!$A:$I,9,0)</f>
        <v>Other crawling insects</v>
      </c>
      <c r="H898" s="7" t="str" cm="1">
        <f t="array" ref="H898">_xlfn.IFS(
OR(ISNUMBER(SEARCH("mouse",E898)),ISNUMBER(SEARCH("rat",E898)),ISNUMBER(SEARCH("mice",E898)),ISNUMBER(SEARCH("rodent",E898))),"Rodent Control",
OR(ISNUMBER(SEARCH("fly",E898)),ISNUMBER(SEARCH("gnat",E898)),ISNUMBER(SEARCH("insect",E898)),ISNUMBER(SEARCH("mosquito",E898))),"Flying Insect Control",
OR(ISNUMBER(SEARCH("roach",E898)),ISNUMBER(SEARCH("ant",E898)),ISNUMBER(SEARCH("spider",E898)),ISNUMBER(SEARCH("cricket",E898)),ISNUMBER(SEARCH("scorpion",E898)),ISNUMBER(SEARCH("centipede",E898)),ISNUMBER(SEARCH("beetle",E898))),"Crawling Insect Control",
OR(ISNUMBER(SEARCH("tree",E898)),ISNUMBER(SEARCH("lantern",E898)),ISNUMBER(SEARCH("garden",E898)),ISNUMBER(SEARCH("plant",E898))),"Garden Pest Control",
OR(ISNUMBER(SEARCH("grass seed",E898)),ISNUMBER(SEARCH("seed mix",E898))),"Grass Seed",
OR(ISNUMBER(SEARCH("lawn food",E898)),ISNUMBER(SEARCH("fertilizer",E898))),"Lawn Fertilizer",
OR(ISNUMBER(SEARCH("patch",E898)),ISNUMBER(SEARCH("repair",E898)),ISNUMBER(SEARCH("thick'r",E898)),ISNUMBER(SEARCH("thick'r lawn",E898)),ISNUMBER(SEARCH("rapid grass",E898))),"Lawn Repair",
OR(ISNUMBER(SEARCH("weed",E898)),ISNUMBER(SEARCH("crabgrass",E898))),"Weed Control",
OR(ISNUMBER(SEARCH("fungicide",E898)),ISNUMBER(SEARCH("moss",E898))),"Disease &amp; Moss Control",
OR(ISNUMBER(SEARCH("plant food",E898)),ISNUMBER(SEARCH("miracid",E898))),"Plant Nutrition",
OR(ISNUMBER(SEARCH("perlite",E898))),"Soil Amendment",
OR(ISNUMBER(SEARCH("spreader",E898)),ISNUMBER(SEARCH("sprayer",E898)),ISNUMBER(SEARCH("mower",E898)),ISNUMBER(SEARCH("sweeper",E898)),ISNUMBER(SEARCH("pruner",E898)),ISNUMBER(SEARCH("trimmer",E898)),ISNUMBER(SEARCH("pole saw",E898))),"Garden Equipment",
TRUE,"Other"
)</f>
        <v>Crawling Insect Control</v>
      </c>
      <c r="I898" s="7" t="str" cm="1">
        <f t="array" ref="I898">_xlfn.IFS(
OR(ISNUMBER(SEARCH("glue trap",E898)),ISNUMBER(SEARCH("glue board",E898))),"Glue Traps",
OR(ISNUMBER(SEARCH("snap trap",E898)),ISNUMBER(SEARCH("power-kill",E898)),ISNUMBER(SEARCH("wide pedal",E898)),ISNUMBER(SEARCH("metal pedal",E898))),"Snap Traps",
OR(ISNUMBER(SEARCH("electronic",E898)),ISNUMBER(SEARCH("zapper",E898))),"Electronic Traps",
OR(ISNUMBER(SEARCH("live catch",E898)),ISNUMBER(SEARCH("multi-catch",E898)),ISNUMBER(SEARCH("catch &amp; hold",E898)),ISNUMBER(SEARCH("tin cat",E898))),"Live Catch Traps",
OR(ISNUMBER(SEARCH("bait",E898)),ISNUMBER(SEARCH("poison",E898))),"Bait &amp; Poison",
ISNUMBER(SEARCH("repellent",E898)),"Repellents",
OR(ISNUMBER(SEARCH("fly trap",E898)),ISNUMBER(SEARCH("fly ribbon",E898)),ISNUMBER(SEARCH("fly stick",E898)),ISNUMBER(SEARCH("window fly",E898)),ISNUMBER(SEARCH("fly magnet",E898))),"Fly Traps",
OR(ISNUMBER(SEARCH("uv",E898)),ISNUMBER(SEARCH("fly light",E898)),ISNUMBER(SEARCH("plug-in",E898))),"UV Fly Traps",
ISNUMBER(SEARCH("roach",E898)),"Roach Traps",
ISNUMBER(SEARCH("ant",E898)),"Ant Traps",
ISNUMBER(SEARCH("spider",E898)),"Spider Traps",
ISNUMBER(SEARCH("mosquito",E898)),"Mosquito Traps",
ISNUMBER(SEARCH("beetle",E898)),"Beetle Traps",
ISNUMBER(SEARCH("lantern",E898)),"Lanternfly Control",
OR(ISNUMBER(SEARCH("tree shield",E898)),ISNUMBER(SEARCH("tree banding",E898)),ISNUMBER(SEARCH("insect barrier",E898))),"Tree Barriers",
OR(ISNUMBER(SEARCH("sun &amp; shade",E898)),ISNUMBER(SEARCH("sun and shade",E898))),"Sun &amp; Shade Mix",
ISNUMBER(SEARCH("tall fescue",E898)),"Tall Fescue",
ISNUMBER(SEARCH("bermudagrass",E898)),"Bermudagrass",
ISNUMBER(SEARCH("kentucky",E898)),"Kentucky Bluegrass",
ISNUMBER(SEARCH("zoysia",E898)),"Zoysia",
ISNUMBER(SEARCH("ryegrass",E898)),"Perennial Ryegrass",
ISNUMBER(SEARCH("centipede",E898)),"Centipede Grass",
ISNUMBER(SEARCH("dense shade",E898)),"Dense Shade Mix",
ISNUMBER(SEARCH("southern gold",E898)),"Southern Gold Mix",
ISNUMBER(SEARCH("heat-tolerant blue",E898)),"Heat-Tolerant Blue Mix",
ISNUMBER(SEARCH("high traffic",E898)),"High Traffic Mix",
ISNUMBER(SEARCH("quick fix",E898)),"Quick Fix Mix",
ISNUMBER(SEARCH("starter",E898)),"Starter Fertilizer",
ISNUMBER(SEARCH("weed &amp; feed",E898)),"Weed &amp; Feed",
ISNUMBER(SEARCH("lawn food",E898)),"Lawn Food",
ISNUMBER(SEARCH("triple action",E898)),"Triple Action Fertilizer",
ISNUMBER(SEARCH("green max",E898)),"Green Max Lawn Food",
ISNUMBER(SEARCH("patchmaster",E898)),"PatchMaster Repair",
ISNUMBER(SEARCH("ez seed",E898)),"EZ Seed Repair",
ISNUMBER(SEARCH("rapid grass",E898)),"Rapid Grass",
ISNUMBER(SEARCH("thick'r lawn",E898)),"Thick'R Lawn",
ISNUMBER(SEARCH("fungicide",E898)),"Fungicide",
ISNUMBER(SEARCH("moss",E898)),"Moss Control",
ISNUMBER(SEARCH("perlite",E898)),"Perlite",
ISNUMBER(SEARCH("plant food",E898)),"Plant Food",
ISNUMBER(SEARCH("spreader",E898)),"Spreader",
ISNUMBER(SEARCH("sprayer",E898)),"Sprayer",
ISNUMBER(SEARCH("mower",E898)),"Lawn Mower",
ISNUMBER(SEARCH("sweeper",E898)),"Lawn Sweeper",
OR(ISNUMBER(SEARCH("pruner",E898)),ISNUMBER(SEARCH("trimmer",E898)),ISNUMBER(SEARCH("pole saw",E898))),"Pruning Tools",
TRUE,"Other"
)</f>
        <v>Repellents</v>
      </c>
      <c r="J898" s="7" t="str">
        <f t="shared" si="288"/>
        <v>Crawling Insect Control - Repellents</v>
      </c>
      <c r="K898" s="4">
        <v>100</v>
      </c>
      <c r="L898" s="4">
        <v>3.9</v>
      </c>
      <c r="M898" s="4">
        <v>3170</v>
      </c>
      <c r="N898" s="4" t="s">
        <v>2136</v>
      </c>
      <c r="O898" s="4">
        <f>VLOOKUP(A898,[19]Sheet1!$A:$M,2,0)</f>
        <v>50</v>
      </c>
      <c r="P898" s="4">
        <f>VLOOKUP(A898,[19]Sheet1!$A:$M,3,0)</f>
        <v>50</v>
      </c>
      <c r="Q898" s="4">
        <f>VLOOKUP(A898,[19]Sheet1!$A:$M,4,0)</f>
        <v>100</v>
      </c>
      <c r="R898" s="4">
        <f>VLOOKUP(A898,[19]Sheet1!$A:$M,5,0)</f>
        <v>100</v>
      </c>
      <c r="S898" s="4">
        <f>VLOOKUP(A898,[19]Sheet1!$A:$M,6,0)</f>
        <v>100</v>
      </c>
      <c r="T898" s="4">
        <f>VLOOKUP(A898,[19]Sheet1!$A:$M,7,0)</f>
        <v>200</v>
      </c>
      <c r="U898" s="4">
        <f>VLOOKUP(A898,[19]Sheet1!$A:$M,8,0)</f>
        <v>200</v>
      </c>
      <c r="V898" s="4">
        <f>VLOOKUP(A898,[19]Sheet1!$A:$M,9,0)</f>
        <v>100</v>
      </c>
      <c r="W898" s="4">
        <f>VLOOKUP(A898,[19]Sheet1!$A:$M,10,0)</f>
        <v>100</v>
      </c>
      <c r="X898" s="4">
        <f>VLOOKUP(A898,[19]Sheet1!$A:$M,11,0)</f>
        <v>50</v>
      </c>
      <c r="Y898" s="4">
        <f>VLOOKUP(A898,[19]Sheet1!$A:$M,12,0)</f>
        <v>50</v>
      </c>
      <c r="Z898" s="4">
        <f>VLOOKUP(A898,[19]Sheet1!$A:$M,13,0)</f>
        <v>50</v>
      </c>
      <c r="AA898" s="4">
        <f t="shared" si="289"/>
        <v>1150</v>
      </c>
      <c r="AB898" s="7">
        <f t="shared" si="290"/>
        <v>96</v>
      </c>
      <c r="AC898" s="15">
        <f t="shared" si="291"/>
        <v>95.833333333333329</v>
      </c>
      <c r="AD898" s="16">
        <f t="shared" si="292"/>
        <v>51715.5</v>
      </c>
      <c r="AE898" s="16">
        <f t="shared" si="293"/>
        <v>4309.625</v>
      </c>
      <c r="AF898" s="21">
        <v>9.0399999999999991</v>
      </c>
      <c r="AG898" s="21">
        <v>44.97</v>
      </c>
      <c r="AH898" s="15">
        <f t="shared" si="294"/>
        <v>0.52986666666666671</v>
      </c>
      <c r="AI898" s="15">
        <f t="shared" si="295"/>
        <v>1.8545333333333331</v>
      </c>
      <c r="AJ898" s="10">
        <v>0.5</v>
      </c>
      <c r="AK898" s="10">
        <v>0.5</v>
      </c>
      <c r="AL898" s="21">
        <v>9.0399999999999991</v>
      </c>
      <c r="AM898" s="9">
        <f t="shared" si="296"/>
        <v>6.7454999999999998</v>
      </c>
      <c r="AN898" s="9">
        <f t="shared" si="297"/>
        <v>1.3491</v>
      </c>
      <c r="AO898" s="9">
        <f t="shared" si="298"/>
        <v>8.9939999999999998</v>
      </c>
      <c r="AP898" s="9">
        <f t="shared" si="299"/>
        <v>0.89939999999999998</v>
      </c>
      <c r="AQ898" s="9">
        <f t="shared" si="300"/>
        <v>8.9939999999999998</v>
      </c>
      <c r="AR898" s="9">
        <f t="shared" si="301"/>
        <v>11.2425</v>
      </c>
      <c r="AS898" s="11">
        <f t="shared" si="302"/>
        <v>5.2986666666666666</v>
      </c>
      <c r="AT898" s="12">
        <f t="shared" si="303"/>
        <v>3.799666666666667</v>
      </c>
    </row>
    <row r="899" spans="1:46" ht="16.5" x14ac:dyDescent="0.4">
      <c r="A899" s="4" t="s">
        <v>4031</v>
      </c>
      <c r="B899" s="4" t="s">
        <v>4037</v>
      </c>
      <c r="C899" s="4" t="s">
        <v>4037</v>
      </c>
      <c r="D899" s="4" t="s">
        <v>4051</v>
      </c>
      <c r="E899" s="4" t="s">
        <v>4070</v>
      </c>
      <c r="F899" s="4" t="s">
        <v>4089</v>
      </c>
      <c r="G899" s="7" t="str">
        <f>VLOOKUP(A899,[1]done!$A:$I,9,0)</f>
        <v>Snake control</v>
      </c>
      <c r="H899" s="7" t="str" cm="1">
        <f t="array" ref="H899">_xlfn.IFS(
OR(ISNUMBER(SEARCH("mouse",E899)),ISNUMBER(SEARCH("rat",E899)),ISNUMBER(SEARCH("mice",E899)),ISNUMBER(SEARCH("rodent",E899))),"Rodent Control",
OR(ISNUMBER(SEARCH("fly",E899)),ISNUMBER(SEARCH("gnat",E899)),ISNUMBER(SEARCH("insect",E899)),ISNUMBER(SEARCH("mosquito",E899))),"Flying Insect Control",
OR(ISNUMBER(SEARCH("roach",E899)),ISNUMBER(SEARCH("ant",E899)),ISNUMBER(SEARCH("spider",E899)),ISNUMBER(SEARCH("cricket",E899)),ISNUMBER(SEARCH("scorpion",E899)),ISNUMBER(SEARCH("centipede",E899)),ISNUMBER(SEARCH("beetle",E899))),"Crawling Insect Control",
OR(ISNUMBER(SEARCH("tree",E899)),ISNUMBER(SEARCH("lantern",E899)),ISNUMBER(SEARCH("garden",E899)),ISNUMBER(SEARCH("plant",E899))),"Garden Pest Control",
OR(ISNUMBER(SEARCH("grass seed",E899)),ISNUMBER(SEARCH("seed mix",E899))),"Grass Seed",
OR(ISNUMBER(SEARCH("lawn food",E899)),ISNUMBER(SEARCH("fertilizer",E899))),"Lawn Fertilizer",
OR(ISNUMBER(SEARCH("patch",E899)),ISNUMBER(SEARCH("repair",E899)),ISNUMBER(SEARCH("thick'r",E899)),ISNUMBER(SEARCH("thick'r lawn",E899)),ISNUMBER(SEARCH("rapid grass",E899))),"Lawn Repair",
OR(ISNUMBER(SEARCH("weed",E899)),ISNUMBER(SEARCH("crabgrass",E899))),"Weed Control",
OR(ISNUMBER(SEARCH("fungicide",E899)),ISNUMBER(SEARCH("moss",E899))),"Disease &amp; Moss Control",
OR(ISNUMBER(SEARCH("plant food",E899)),ISNUMBER(SEARCH("miracid",E899))),"Plant Nutrition",
OR(ISNUMBER(SEARCH("perlite",E899))),"Soil Amendment",
OR(ISNUMBER(SEARCH("spreader",E899)),ISNUMBER(SEARCH("sprayer",E899)),ISNUMBER(SEARCH("mower",E899)),ISNUMBER(SEARCH("sweeper",E899)),ISNUMBER(SEARCH("pruner",E899)),ISNUMBER(SEARCH("trimmer",E899)),ISNUMBER(SEARCH("pole saw",E899))),"Garden Equipment",
TRUE,"Other"
)</f>
        <v>Other</v>
      </c>
      <c r="I899" s="7" t="str" cm="1">
        <f t="array" ref="I899">_xlfn.IFS(
OR(ISNUMBER(SEARCH("glue trap",E899)),ISNUMBER(SEARCH("glue board",E899))),"Glue Traps",
OR(ISNUMBER(SEARCH("snap trap",E899)),ISNUMBER(SEARCH("power-kill",E899)),ISNUMBER(SEARCH("wide pedal",E899)),ISNUMBER(SEARCH("metal pedal",E899))),"Snap Traps",
OR(ISNUMBER(SEARCH("electronic",E899)),ISNUMBER(SEARCH("zapper",E899))),"Electronic Traps",
OR(ISNUMBER(SEARCH("live catch",E899)),ISNUMBER(SEARCH("multi-catch",E899)),ISNUMBER(SEARCH("catch &amp; hold",E899)),ISNUMBER(SEARCH("tin cat",E899))),"Live Catch Traps",
OR(ISNUMBER(SEARCH("bait",E899)),ISNUMBER(SEARCH("poison",E899))),"Bait &amp; Poison",
ISNUMBER(SEARCH("repellent",E899)),"Repellents",
OR(ISNUMBER(SEARCH("fly trap",E899)),ISNUMBER(SEARCH("fly ribbon",E899)),ISNUMBER(SEARCH("fly stick",E899)),ISNUMBER(SEARCH("window fly",E899)),ISNUMBER(SEARCH("fly magnet",E899))),"Fly Traps",
OR(ISNUMBER(SEARCH("uv",E899)),ISNUMBER(SEARCH("fly light",E899)),ISNUMBER(SEARCH("plug-in",E899))),"UV Fly Traps",
ISNUMBER(SEARCH("roach",E899)),"Roach Traps",
ISNUMBER(SEARCH("ant",E899)),"Ant Traps",
ISNUMBER(SEARCH("spider",E899)),"Spider Traps",
ISNUMBER(SEARCH("mosquito",E899)),"Mosquito Traps",
ISNUMBER(SEARCH("beetle",E899)),"Beetle Traps",
ISNUMBER(SEARCH("lantern",E899)),"Lanternfly Control",
OR(ISNUMBER(SEARCH("tree shield",E899)),ISNUMBER(SEARCH("tree banding",E899)),ISNUMBER(SEARCH("insect barrier",E899))),"Tree Barriers",
OR(ISNUMBER(SEARCH("sun &amp; shade",E899)),ISNUMBER(SEARCH("sun and shade",E899))),"Sun &amp; Shade Mix",
ISNUMBER(SEARCH("tall fescue",E899)),"Tall Fescue",
ISNUMBER(SEARCH("bermudagrass",E899)),"Bermudagrass",
ISNUMBER(SEARCH("kentucky",E899)),"Kentucky Bluegrass",
ISNUMBER(SEARCH("zoysia",E899)),"Zoysia",
ISNUMBER(SEARCH("ryegrass",E899)),"Perennial Ryegrass",
ISNUMBER(SEARCH("centipede",E899)),"Centipede Grass",
ISNUMBER(SEARCH("dense shade",E899)),"Dense Shade Mix",
ISNUMBER(SEARCH("southern gold",E899)),"Southern Gold Mix",
ISNUMBER(SEARCH("heat-tolerant blue",E899)),"Heat-Tolerant Blue Mix",
ISNUMBER(SEARCH("high traffic",E899)),"High Traffic Mix",
ISNUMBER(SEARCH("quick fix",E899)),"Quick Fix Mix",
ISNUMBER(SEARCH("starter",E899)),"Starter Fertilizer",
ISNUMBER(SEARCH("weed &amp; feed",E899)),"Weed &amp; Feed",
ISNUMBER(SEARCH("lawn food",E899)),"Lawn Food",
ISNUMBER(SEARCH("triple action",E899)),"Triple Action Fertilizer",
ISNUMBER(SEARCH("green max",E899)),"Green Max Lawn Food",
ISNUMBER(SEARCH("patchmaster",E899)),"PatchMaster Repair",
ISNUMBER(SEARCH("ez seed",E899)),"EZ Seed Repair",
ISNUMBER(SEARCH("rapid grass",E899)),"Rapid Grass",
ISNUMBER(SEARCH("thick'r lawn",E899)),"Thick'R Lawn",
ISNUMBER(SEARCH("fungicide",E899)),"Fungicide",
ISNUMBER(SEARCH("moss",E899)),"Moss Control",
ISNUMBER(SEARCH("perlite",E899)),"Perlite",
ISNUMBER(SEARCH("plant food",E899)),"Plant Food",
ISNUMBER(SEARCH("spreader",E899)),"Spreader",
ISNUMBER(SEARCH("sprayer",E899)),"Sprayer",
ISNUMBER(SEARCH("mower",E899)),"Lawn Mower",
ISNUMBER(SEARCH("sweeper",E899)),"Lawn Sweeper",
OR(ISNUMBER(SEARCH("pruner",E899)),ISNUMBER(SEARCH("trimmer",E899)),ISNUMBER(SEARCH("pole saw",E899))),"Pruning Tools",
TRUE,"Other"
)</f>
        <v>Repellents</v>
      </c>
      <c r="J899" s="7" t="str">
        <f t="shared" si="288"/>
        <v>Other - Repellents</v>
      </c>
      <c r="K899" s="4">
        <v>100</v>
      </c>
      <c r="L899" s="4">
        <v>4.3</v>
      </c>
      <c r="M899" s="4">
        <v>1045</v>
      </c>
      <c r="N899" s="4" t="s">
        <v>3213</v>
      </c>
      <c r="O899" s="4">
        <f>VLOOKUP(A899,[19]Sheet1!$A:$M,2,0)</f>
        <v>0</v>
      </c>
      <c r="P899" s="4">
        <f>VLOOKUP(A899,[19]Sheet1!$A:$M,3,0)</f>
        <v>0</v>
      </c>
      <c r="Q899" s="4">
        <f>VLOOKUP(A899,[19]Sheet1!$A:$M,4,0)</f>
        <v>100</v>
      </c>
      <c r="R899" s="4">
        <f>VLOOKUP(A899,[19]Sheet1!$A:$M,5,0)</f>
        <v>200</v>
      </c>
      <c r="S899" s="4">
        <f>VLOOKUP(A899,[19]Sheet1!$A:$M,6,0)</f>
        <v>400</v>
      </c>
      <c r="T899" s="4">
        <f>VLOOKUP(A899,[19]Sheet1!$A:$M,7,0)</f>
        <v>400</v>
      </c>
      <c r="U899" s="4">
        <f>VLOOKUP(A899,[19]Sheet1!$A:$M,8,0)</f>
        <v>100</v>
      </c>
      <c r="V899" s="4">
        <f>VLOOKUP(A899,[19]Sheet1!$A:$M,9,0)</f>
        <v>200</v>
      </c>
      <c r="W899" s="4">
        <f>VLOOKUP(A899,[19]Sheet1!$A:$M,10,0)</f>
        <v>100</v>
      </c>
      <c r="X899" s="4">
        <f>VLOOKUP(A899,[19]Sheet1!$A:$M,11,0)</f>
        <v>200</v>
      </c>
      <c r="Y899" s="4">
        <f>VLOOKUP(A899,[19]Sheet1!$A:$M,12,0)</f>
        <v>100</v>
      </c>
      <c r="Z899" s="4">
        <f>VLOOKUP(A899,[19]Sheet1!$A:$M,13,0)</f>
        <v>50</v>
      </c>
      <c r="AA899" s="4">
        <f t="shared" si="289"/>
        <v>1850</v>
      </c>
      <c r="AB899" s="7">
        <f t="shared" si="290"/>
        <v>154</v>
      </c>
      <c r="AC899" s="15">
        <f t="shared" si="291"/>
        <v>154.16666666666666</v>
      </c>
      <c r="AD899" s="16">
        <f t="shared" si="292"/>
        <v>44344.5</v>
      </c>
      <c r="AE899" s="16">
        <f t="shared" si="293"/>
        <v>3695.3749999999995</v>
      </c>
      <c r="AF899" s="21">
        <v>7.3</v>
      </c>
      <c r="AG899" s="21">
        <v>23.97</v>
      </c>
      <c r="AH899" s="15">
        <f t="shared" si="294"/>
        <v>8.5866666666666688E-2</v>
      </c>
      <c r="AI899" s="15">
        <f t="shared" si="295"/>
        <v>0.30053333333333337</v>
      </c>
      <c r="AJ899" s="10">
        <v>0.5</v>
      </c>
      <c r="AK899" s="10">
        <v>0.5</v>
      </c>
      <c r="AL899" s="21">
        <v>7.3</v>
      </c>
      <c r="AM899" s="9">
        <f t="shared" si="296"/>
        <v>3.5954999999999999</v>
      </c>
      <c r="AN899" s="9">
        <f t="shared" si="297"/>
        <v>0.71909999999999996</v>
      </c>
      <c r="AO899" s="9">
        <f t="shared" si="298"/>
        <v>4.7939999999999996</v>
      </c>
      <c r="AP899" s="9">
        <f t="shared" si="299"/>
        <v>0.47939999999999999</v>
      </c>
      <c r="AQ899" s="9">
        <f t="shared" si="300"/>
        <v>4.7939999999999996</v>
      </c>
      <c r="AR899" s="9">
        <f t="shared" si="301"/>
        <v>5.9924999999999997</v>
      </c>
      <c r="AS899" s="11">
        <f t="shared" si="302"/>
        <v>0.8586666666666668</v>
      </c>
      <c r="AT899" s="12">
        <f t="shared" si="303"/>
        <v>5.9666666666666757E-2</v>
      </c>
    </row>
    <row r="900" spans="1:46" ht="16.5" x14ac:dyDescent="0.4">
      <c r="A900" s="4" t="s">
        <v>4032</v>
      </c>
      <c r="B900" s="4" t="s">
        <v>4037</v>
      </c>
      <c r="C900" s="4" t="s">
        <v>4037</v>
      </c>
      <c r="D900" s="4" t="s">
        <v>4052</v>
      </c>
      <c r="E900" s="4" t="s">
        <v>4071</v>
      </c>
      <c r="F900" s="4" t="s">
        <v>4090</v>
      </c>
      <c r="G900" s="7" t="str">
        <f>VLOOKUP(A900,[1]done!$A:$I,9,0)</f>
        <v>Other Glue boards for insects or rodents</v>
      </c>
      <c r="H900" s="7" t="str" cm="1">
        <f t="array" ref="H900">_xlfn.IFS(
OR(ISNUMBER(SEARCH("mouse",E900)),ISNUMBER(SEARCH("rat",E900)),ISNUMBER(SEARCH("mice",E900)),ISNUMBER(SEARCH("rodent",E900))),"Rodent Control",
OR(ISNUMBER(SEARCH("fly",E900)),ISNUMBER(SEARCH("gnat",E900)),ISNUMBER(SEARCH("insect",E900)),ISNUMBER(SEARCH("mosquito",E900))),"Flying Insect Control",
OR(ISNUMBER(SEARCH("roach",E900)),ISNUMBER(SEARCH("ant",E900)),ISNUMBER(SEARCH("spider",E900)),ISNUMBER(SEARCH("cricket",E900)),ISNUMBER(SEARCH("scorpion",E900)),ISNUMBER(SEARCH("centipede",E900)),ISNUMBER(SEARCH("beetle",E900))),"Crawling Insect Control",
OR(ISNUMBER(SEARCH("tree",E900)),ISNUMBER(SEARCH("lantern",E900)),ISNUMBER(SEARCH("garden",E900)),ISNUMBER(SEARCH("plant",E900))),"Garden Pest Control",
OR(ISNUMBER(SEARCH("grass seed",E900)),ISNUMBER(SEARCH("seed mix",E900))),"Grass Seed",
OR(ISNUMBER(SEARCH("lawn food",E900)),ISNUMBER(SEARCH("fertilizer",E900))),"Lawn Fertilizer",
OR(ISNUMBER(SEARCH("patch",E900)),ISNUMBER(SEARCH("repair",E900)),ISNUMBER(SEARCH("thick'r",E900)),ISNUMBER(SEARCH("thick'r lawn",E900)),ISNUMBER(SEARCH("rapid grass",E900))),"Lawn Repair",
OR(ISNUMBER(SEARCH("weed",E900)),ISNUMBER(SEARCH("crabgrass",E900))),"Weed Control",
OR(ISNUMBER(SEARCH("fungicide",E900)),ISNUMBER(SEARCH("moss",E900))),"Disease &amp; Moss Control",
OR(ISNUMBER(SEARCH("plant food",E900)),ISNUMBER(SEARCH("miracid",E900))),"Plant Nutrition",
OR(ISNUMBER(SEARCH("perlite",E900))),"Soil Amendment",
OR(ISNUMBER(SEARCH("spreader",E900)),ISNUMBER(SEARCH("sprayer",E900)),ISNUMBER(SEARCH("mower",E900)),ISNUMBER(SEARCH("sweeper",E900)),ISNUMBER(SEARCH("pruner",E900)),ISNUMBER(SEARCH("trimmer",E900)),ISNUMBER(SEARCH("pole saw",E900))),"Garden Equipment",
TRUE,"Other"
)</f>
        <v>Other</v>
      </c>
      <c r="I900" s="7" t="str" cm="1">
        <f t="array" ref="I900">_xlfn.IFS(
OR(ISNUMBER(SEARCH("glue trap",E900)),ISNUMBER(SEARCH("glue board",E900))),"Glue Traps",
OR(ISNUMBER(SEARCH("snap trap",E900)),ISNUMBER(SEARCH("power-kill",E900)),ISNUMBER(SEARCH("wide pedal",E900)),ISNUMBER(SEARCH("metal pedal",E900))),"Snap Traps",
OR(ISNUMBER(SEARCH("electronic",E900)),ISNUMBER(SEARCH("zapper",E900))),"Electronic Traps",
OR(ISNUMBER(SEARCH("live catch",E900)),ISNUMBER(SEARCH("multi-catch",E900)),ISNUMBER(SEARCH("catch &amp; hold",E900)),ISNUMBER(SEARCH("tin cat",E900))),"Live Catch Traps",
OR(ISNUMBER(SEARCH("bait",E900)),ISNUMBER(SEARCH("poison",E900))),"Bait &amp; Poison",
ISNUMBER(SEARCH("repellent",E900)),"Repellents",
OR(ISNUMBER(SEARCH("fly trap",E900)),ISNUMBER(SEARCH("fly ribbon",E900)),ISNUMBER(SEARCH("fly stick",E900)),ISNUMBER(SEARCH("window fly",E900)),ISNUMBER(SEARCH("fly magnet",E900))),"Fly Traps",
OR(ISNUMBER(SEARCH("uv",E900)),ISNUMBER(SEARCH("fly light",E900)),ISNUMBER(SEARCH("plug-in",E900))),"UV Fly Traps",
ISNUMBER(SEARCH("roach",E900)),"Roach Traps",
ISNUMBER(SEARCH("ant",E900)),"Ant Traps",
ISNUMBER(SEARCH("spider",E900)),"Spider Traps",
ISNUMBER(SEARCH("mosquito",E900)),"Mosquito Traps",
ISNUMBER(SEARCH("beetle",E900)),"Beetle Traps",
ISNUMBER(SEARCH("lantern",E900)),"Lanternfly Control",
OR(ISNUMBER(SEARCH("tree shield",E900)),ISNUMBER(SEARCH("tree banding",E900)),ISNUMBER(SEARCH("insect barrier",E900))),"Tree Barriers",
OR(ISNUMBER(SEARCH("sun &amp; shade",E900)),ISNUMBER(SEARCH("sun and shade",E900))),"Sun &amp; Shade Mix",
ISNUMBER(SEARCH("tall fescue",E900)),"Tall Fescue",
ISNUMBER(SEARCH("bermudagrass",E900)),"Bermudagrass",
ISNUMBER(SEARCH("kentucky",E900)),"Kentucky Bluegrass",
ISNUMBER(SEARCH("zoysia",E900)),"Zoysia",
ISNUMBER(SEARCH("ryegrass",E900)),"Perennial Ryegrass",
ISNUMBER(SEARCH("centipede",E900)),"Centipede Grass",
ISNUMBER(SEARCH("dense shade",E900)),"Dense Shade Mix",
ISNUMBER(SEARCH("southern gold",E900)),"Southern Gold Mix",
ISNUMBER(SEARCH("heat-tolerant blue",E900)),"Heat-Tolerant Blue Mix",
ISNUMBER(SEARCH("high traffic",E900)),"High Traffic Mix",
ISNUMBER(SEARCH("quick fix",E900)),"Quick Fix Mix",
ISNUMBER(SEARCH("starter",E900)),"Starter Fertilizer",
ISNUMBER(SEARCH("weed &amp; feed",E900)),"Weed &amp; Feed",
ISNUMBER(SEARCH("lawn food",E900)),"Lawn Food",
ISNUMBER(SEARCH("triple action",E900)),"Triple Action Fertilizer",
ISNUMBER(SEARCH("green max",E900)),"Green Max Lawn Food",
ISNUMBER(SEARCH("patchmaster",E900)),"PatchMaster Repair",
ISNUMBER(SEARCH("ez seed",E900)),"EZ Seed Repair",
ISNUMBER(SEARCH("rapid grass",E900)),"Rapid Grass",
ISNUMBER(SEARCH("thick'r lawn",E900)),"Thick'R Lawn",
ISNUMBER(SEARCH("fungicide",E900)),"Fungicide",
ISNUMBER(SEARCH("moss",E900)),"Moss Control",
ISNUMBER(SEARCH("perlite",E900)),"Perlite",
ISNUMBER(SEARCH("plant food",E900)),"Plant Food",
ISNUMBER(SEARCH("spreader",E900)),"Spreader",
ISNUMBER(SEARCH("sprayer",E900)),"Sprayer",
ISNUMBER(SEARCH("mower",E900)),"Lawn Mower",
ISNUMBER(SEARCH("sweeper",E900)),"Lawn Sweeper",
OR(ISNUMBER(SEARCH("pruner",E900)),ISNUMBER(SEARCH("trimmer",E900)),ISNUMBER(SEARCH("pole saw",E900))),"Pruning Tools",
TRUE,"Other"
)</f>
        <v>Repellents</v>
      </c>
      <c r="J900" s="7" t="str">
        <f t="shared" si="288"/>
        <v>Other - Repellents</v>
      </c>
      <c r="K900" s="4">
        <v>50</v>
      </c>
      <c r="L900" s="4">
        <v>3.2</v>
      </c>
      <c r="M900" s="4">
        <v>4534</v>
      </c>
      <c r="N900" s="4" t="s">
        <v>2136</v>
      </c>
      <c r="O900" s="4">
        <f>VLOOKUP(A900,[19]Sheet1!$A:$M,2,0)</f>
        <v>50</v>
      </c>
      <c r="P900" s="4">
        <f>VLOOKUP(A900,[19]Sheet1!$A:$M,3,0)</f>
        <v>50</v>
      </c>
      <c r="Q900" s="4">
        <f>VLOOKUP(A900,[19]Sheet1!$A:$M,4,0)</f>
        <v>50</v>
      </c>
      <c r="R900" s="4">
        <f>VLOOKUP(A900,[19]Sheet1!$A:$M,5,0)</f>
        <v>50</v>
      </c>
      <c r="S900" s="4">
        <f>VLOOKUP(A900,[19]Sheet1!$A:$M,6,0)</f>
        <v>100</v>
      </c>
      <c r="T900" s="4">
        <f>VLOOKUP(A900,[19]Sheet1!$A:$M,7,0)</f>
        <v>100</v>
      </c>
      <c r="U900" s="4">
        <f>VLOOKUP(A900,[19]Sheet1!$A:$M,8,0)</f>
        <v>100</v>
      </c>
      <c r="V900" s="4">
        <f>VLOOKUP(A900,[19]Sheet1!$A:$M,9,0)</f>
        <v>50</v>
      </c>
      <c r="W900" s="4">
        <f>VLOOKUP(A900,[19]Sheet1!$A:$M,10,0)</f>
        <v>50</v>
      </c>
      <c r="X900" s="4">
        <f>VLOOKUP(A900,[19]Sheet1!$A:$M,11,0)</f>
        <v>100</v>
      </c>
      <c r="Y900" s="4">
        <f>VLOOKUP(A900,[19]Sheet1!$A:$M,12,0)</f>
        <v>50</v>
      </c>
      <c r="Z900" s="4">
        <f>VLOOKUP(A900,[19]Sheet1!$A:$M,13,0)</f>
        <v>50</v>
      </c>
      <c r="AA900" s="4">
        <f t="shared" si="289"/>
        <v>800</v>
      </c>
      <c r="AB900" s="7">
        <f t="shared" si="290"/>
        <v>67</v>
      </c>
      <c r="AC900" s="15">
        <f t="shared" si="291"/>
        <v>66.666666666666671</v>
      </c>
      <c r="AD900" s="16">
        <f t="shared" si="292"/>
        <v>31976</v>
      </c>
      <c r="AE900" s="16">
        <f t="shared" si="293"/>
        <v>2664.666666666667</v>
      </c>
      <c r="AF900" s="21">
        <v>9.3699999999999992</v>
      </c>
      <c r="AG900" s="21">
        <v>39.97</v>
      </c>
      <c r="AH900" s="15">
        <f t="shared" si="294"/>
        <v>0.37453333333333338</v>
      </c>
      <c r="AI900" s="15">
        <f t="shared" si="295"/>
        <v>1.3108666666666666</v>
      </c>
      <c r="AJ900" s="10">
        <v>0.5</v>
      </c>
      <c r="AK900" s="10">
        <v>0.5</v>
      </c>
      <c r="AL900" s="21">
        <v>9.3699999999999992</v>
      </c>
      <c r="AM900" s="9">
        <f t="shared" si="296"/>
        <v>5.9954999999999998</v>
      </c>
      <c r="AN900" s="9">
        <f t="shared" si="297"/>
        <v>1.1990999999999998</v>
      </c>
      <c r="AO900" s="9">
        <f t="shared" si="298"/>
        <v>7.9939999999999998</v>
      </c>
      <c r="AP900" s="9">
        <f t="shared" si="299"/>
        <v>0.7994</v>
      </c>
      <c r="AQ900" s="9">
        <f t="shared" si="300"/>
        <v>7.9939999999999998</v>
      </c>
      <c r="AR900" s="9">
        <f t="shared" si="301"/>
        <v>9.9924999999999997</v>
      </c>
      <c r="AS900" s="11">
        <f t="shared" si="302"/>
        <v>3.7453333333333334</v>
      </c>
      <c r="AT900" s="12">
        <f t="shared" si="303"/>
        <v>2.4130000000000003</v>
      </c>
    </row>
    <row r="901" spans="1:46" ht="16.5" x14ac:dyDescent="0.4">
      <c r="A901" s="4" t="s">
        <v>4033</v>
      </c>
      <c r="B901" s="4" t="s">
        <v>4037</v>
      </c>
      <c r="C901" s="4" t="s">
        <v>4037</v>
      </c>
      <c r="D901" s="4" t="s">
        <v>4053</v>
      </c>
      <c r="E901" s="4" t="s">
        <v>4072</v>
      </c>
      <c r="F901" s="4" t="s">
        <v>4091</v>
      </c>
      <c r="G901" s="7" t="str">
        <f>VLOOKUP(A901,[1]done!$A:$I,9,0)</f>
        <v>Deer &amp; Rabbit control</v>
      </c>
      <c r="H901" s="7" t="str" cm="1">
        <f t="array" ref="H901">_xlfn.IFS(
OR(ISNUMBER(SEARCH("mouse",E901)),ISNUMBER(SEARCH("rat",E901)),ISNUMBER(SEARCH("mice",E901)),ISNUMBER(SEARCH("rodent",E901))),"Rodent Control",
OR(ISNUMBER(SEARCH("fly",E901)),ISNUMBER(SEARCH("gnat",E901)),ISNUMBER(SEARCH("insect",E901)),ISNUMBER(SEARCH("mosquito",E901))),"Flying Insect Control",
OR(ISNUMBER(SEARCH("roach",E901)),ISNUMBER(SEARCH("ant",E901)),ISNUMBER(SEARCH("spider",E901)),ISNUMBER(SEARCH("cricket",E901)),ISNUMBER(SEARCH("scorpion",E901)),ISNUMBER(SEARCH("centipede",E901)),ISNUMBER(SEARCH("beetle",E901))),"Crawling Insect Control",
OR(ISNUMBER(SEARCH("tree",E901)),ISNUMBER(SEARCH("lantern",E901)),ISNUMBER(SEARCH("garden",E901)),ISNUMBER(SEARCH("plant",E901))),"Garden Pest Control",
OR(ISNUMBER(SEARCH("grass seed",E901)),ISNUMBER(SEARCH("seed mix",E901))),"Grass Seed",
OR(ISNUMBER(SEARCH("lawn food",E901)),ISNUMBER(SEARCH("fertilizer",E901))),"Lawn Fertilizer",
OR(ISNUMBER(SEARCH("patch",E901)),ISNUMBER(SEARCH("repair",E901)),ISNUMBER(SEARCH("thick'r",E901)),ISNUMBER(SEARCH("thick'r lawn",E901)),ISNUMBER(SEARCH("rapid grass",E901))),"Lawn Repair",
OR(ISNUMBER(SEARCH("weed",E901)),ISNUMBER(SEARCH("crabgrass",E901))),"Weed Control",
OR(ISNUMBER(SEARCH("fungicide",E901)),ISNUMBER(SEARCH("moss",E901))),"Disease &amp; Moss Control",
OR(ISNUMBER(SEARCH("plant food",E901)),ISNUMBER(SEARCH("miracid",E901))),"Plant Nutrition",
OR(ISNUMBER(SEARCH("perlite",E901))),"Soil Amendment",
OR(ISNUMBER(SEARCH("spreader",E901)),ISNUMBER(SEARCH("sprayer",E901)),ISNUMBER(SEARCH("mower",E901)),ISNUMBER(SEARCH("sweeper",E901)),ISNUMBER(SEARCH("pruner",E901)),ISNUMBER(SEARCH("trimmer",E901)),ISNUMBER(SEARCH("pole saw",E901))),"Garden Equipment",
TRUE,"Other"
)</f>
        <v>Rodent Control</v>
      </c>
      <c r="I901" s="7" t="str" cm="1">
        <f t="array" ref="I901">_xlfn.IFS(
OR(ISNUMBER(SEARCH("glue trap",E901)),ISNUMBER(SEARCH("glue board",E901))),"Glue Traps",
OR(ISNUMBER(SEARCH("snap trap",E901)),ISNUMBER(SEARCH("power-kill",E901)),ISNUMBER(SEARCH("wide pedal",E901)),ISNUMBER(SEARCH("metal pedal",E901))),"Snap Traps",
OR(ISNUMBER(SEARCH("electronic",E901)),ISNUMBER(SEARCH("zapper",E901))),"Electronic Traps",
OR(ISNUMBER(SEARCH("live catch",E901)),ISNUMBER(SEARCH("multi-catch",E901)),ISNUMBER(SEARCH("catch &amp; hold",E901)),ISNUMBER(SEARCH("tin cat",E901))),"Live Catch Traps",
OR(ISNUMBER(SEARCH("bait",E901)),ISNUMBER(SEARCH("poison",E901))),"Bait &amp; Poison",
ISNUMBER(SEARCH("repellent",E901)),"Repellents",
OR(ISNUMBER(SEARCH("fly trap",E901)),ISNUMBER(SEARCH("fly ribbon",E901)),ISNUMBER(SEARCH("fly stick",E901)),ISNUMBER(SEARCH("window fly",E901)),ISNUMBER(SEARCH("fly magnet",E901))),"Fly Traps",
OR(ISNUMBER(SEARCH("uv",E901)),ISNUMBER(SEARCH("fly light",E901)),ISNUMBER(SEARCH("plug-in",E901))),"UV Fly Traps",
ISNUMBER(SEARCH("roach",E901)),"Roach Traps",
ISNUMBER(SEARCH("ant",E901)),"Ant Traps",
ISNUMBER(SEARCH("spider",E901)),"Spider Traps",
ISNUMBER(SEARCH("mosquito",E901)),"Mosquito Traps",
ISNUMBER(SEARCH("beetle",E901)),"Beetle Traps",
ISNUMBER(SEARCH("lantern",E901)),"Lanternfly Control",
OR(ISNUMBER(SEARCH("tree shield",E901)),ISNUMBER(SEARCH("tree banding",E901)),ISNUMBER(SEARCH("insect barrier",E901))),"Tree Barriers",
OR(ISNUMBER(SEARCH("sun &amp; shade",E901)),ISNUMBER(SEARCH("sun and shade",E901))),"Sun &amp; Shade Mix",
ISNUMBER(SEARCH("tall fescue",E901)),"Tall Fescue",
ISNUMBER(SEARCH("bermudagrass",E901)),"Bermudagrass",
ISNUMBER(SEARCH("kentucky",E901)),"Kentucky Bluegrass",
ISNUMBER(SEARCH("zoysia",E901)),"Zoysia",
ISNUMBER(SEARCH("ryegrass",E901)),"Perennial Ryegrass",
ISNUMBER(SEARCH("centipede",E901)),"Centipede Grass",
ISNUMBER(SEARCH("dense shade",E901)),"Dense Shade Mix",
ISNUMBER(SEARCH("southern gold",E901)),"Southern Gold Mix",
ISNUMBER(SEARCH("heat-tolerant blue",E901)),"Heat-Tolerant Blue Mix",
ISNUMBER(SEARCH("high traffic",E901)),"High Traffic Mix",
ISNUMBER(SEARCH("quick fix",E901)),"Quick Fix Mix",
ISNUMBER(SEARCH("starter",E901)),"Starter Fertilizer",
ISNUMBER(SEARCH("weed &amp; feed",E901)),"Weed &amp; Feed",
ISNUMBER(SEARCH("lawn food",E901)),"Lawn Food",
ISNUMBER(SEARCH("triple action",E901)),"Triple Action Fertilizer",
ISNUMBER(SEARCH("green max",E901)),"Green Max Lawn Food",
ISNUMBER(SEARCH("patchmaster",E901)),"PatchMaster Repair",
ISNUMBER(SEARCH("ez seed",E901)),"EZ Seed Repair",
ISNUMBER(SEARCH("rapid grass",E901)),"Rapid Grass",
ISNUMBER(SEARCH("thick'r lawn",E901)),"Thick'R Lawn",
ISNUMBER(SEARCH("fungicide",E901)),"Fungicide",
ISNUMBER(SEARCH("moss",E901)),"Moss Control",
ISNUMBER(SEARCH("perlite",E901)),"Perlite",
ISNUMBER(SEARCH("plant food",E901)),"Plant Food",
ISNUMBER(SEARCH("spreader",E901)),"Spreader",
ISNUMBER(SEARCH("sprayer",E901)),"Sprayer",
ISNUMBER(SEARCH("mower",E901)),"Lawn Mower",
ISNUMBER(SEARCH("sweeper",E901)),"Lawn Sweeper",
OR(ISNUMBER(SEARCH("pruner",E901)),ISNUMBER(SEARCH("trimmer",E901)),ISNUMBER(SEARCH("pole saw",E901))),"Pruning Tools",
TRUE,"Other"
)</f>
        <v>Repellents</v>
      </c>
      <c r="J901" s="7" t="str">
        <f t="shared" si="288"/>
        <v>Rodent Control - Repellents</v>
      </c>
      <c r="K901" s="4">
        <v>50</v>
      </c>
      <c r="L901" s="4">
        <v>4.0999999999999996</v>
      </c>
      <c r="M901" s="4">
        <v>1313</v>
      </c>
      <c r="N901" s="4" t="s">
        <v>4096</v>
      </c>
      <c r="O901" s="4">
        <f>VLOOKUP(A901,[19]Sheet1!$A:$M,2,0)</f>
        <v>0</v>
      </c>
      <c r="P901" s="4">
        <f>VLOOKUP(A901,[19]Sheet1!$A:$M,3,0)</f>
        <v>0</v>
      </c>
      <c r="Q901" s="4">
        <f>VLOOKUP(A901,[19]Sheet1!$A:$M,4,0)</f>
        <v>0</v>
      </c>
      <c r="R901" s="4">
        <f>VLOOKUP(A901,[19]Sheet1!$A:$M,5,0)</f>
        <v>100</v>
      </c>
      <c r="S901" s="4">
        <f>VLOOKUP(A901,[19]Sheet1!$A:$M,6,0)</f>
        <v>200</v>
      </c>
      <c r="T901" s="4">
        <f>VLOOKUP(A901,[19]Sheet1!$A:$M,7,0)</f>
        <v>300</v>
      </c>
      <c r="U901" s="4">
        <f>VLOOKUP(A901,[19]Sheet1!$A:$M,8,0)</f>
        <v>100</v>
      </c>
      <c r="V901" s="4">
        <f>VLOOKUP(A901,[19]Sheet1!$A:$M,9,0)</f>
        <v>100</v>
      </c>
      <c r="W901" s="4">
        <f>VLOOKUP(A901,[19]Sheet1!$A:$M,10,0)</f>
        <v>50</v>
      </c>
      <c r="X901" s="4">
        <f>VLOOKUP(A901,[19]Sheet1!$A:$M,11,0)</f>
        <v>50</v>
      </c>
      <c r="Y901" s="4">
        <f>VLOOKUP(A901,[19]Sheet1!$A:$M,12,0)</f>
        <v>50</v>
      </c>
      <c r="Z901" s="4">
        <f>VLOOKUP(A901,[19]Sheet1!$A:$M,13,0)</f>
        <v>0</v>
      </c>
      <c r="AA901" s="4">
        <f t="shared" si="289"/>
        <v>950</v>
      </c>
      <c r="AB901" s="7">
        <f t="shared" si="290"/>
        <v>79</v>
      </c>
      <c r="AC901" s="15">
        <f t="shared" si="291"/>
        <v>79.166666666666671</v>
      </c>
      <c r="AD901" s="16">
        <f t="shared" si="292"/>
        <v>37971.5</v>
      </c>
      <c r="AE901" s="16">
        <f t="shared" si="293"/>
        <v>3164.291666666667</v>
      </c>
      <c r="AF901" s="21">
        <v>7.3</v>
      </c>
      <c r="AG901" s="21">
        <v>39.97</v>
      </c>
      <c r="AH901" s="15">
        <f t="shared" si="294"/>
        <v>0.51253333333333329</v>
      </c>
      <c r="AI901" s="15">
        <f t="shared" si="295"/>
        <v>1.7938666666666663</v>
      </c>
      <c r="AJ901" s="10">
        <v>0.5</v>
      </c>
      <c r="AK901" s="10">
        <v>0.5</v>
      </c>
      <c r="AL901" s="21">
        <v>7.3</v>
      </c>
      <c r="AM901" s="9">
        <f t="shared" si="296"/>
        <v>5.9954999999999998</v>
      </c>
      <c r="AN901" s="9">
        <f t="shared" si="297"/>
        <v>1.1990999999999998</v>
      </c>
      <c r="AO901" s="9">
        <f t="shared" si="298"/>
        <v>7.9939999999999998</v>
      </c>
      <c r="AP901" s="9">
        <f t="shared" si="299"/>
        <v>0.7994</v>
      </c>
      <c r="AQ901" s="9">
        <f t="shared" si="300"/>
        <v>7.9939999999999998</v>
      </c>
      <c r="AR901" s="9">
        <f t="shared" si="301"/>
        <v>9.9924999999999997</v>
      </c>
      <c r="AS901" s="11">
        <f t="shared" si="302"/>
        <v>5.1253333333333329</v>
      </c>
      <c r="AT901" s="12">
        <f t="shared" si="303"/>
        <v>3.7929999999999993</v>
      </c>
    </row>
    <row r="902" spans="1:46" ht="16.5" x14ac:dyDescent="0.4">
      <c r="A902" s="4" t="s">
        <v>4034</v>
      </c>
      <c r="B902" s="4" t="s">
        <v>4037</v>
      </c>
      <c r="C902" s="4" t="s">
        <v>4037</v>
      </c>
      <c r="D902" s="4" t="s">
        <v>4054</v>
      </c>
      <c r="E902" s="4" t="s">
        <v>4073</v>
      </c>
      <c r="F902" s="4" t="s">
        <v>4092</v>
      </c>
      <c r="G902" s="7" t="str">
        <f>VLOOKUP(A902,[1]done!$A:$I,9,0)</f>
        <v>Deer &amp; Rabbit control</v>
      </c>
      <c r="H902" s="7" t="str" cm="1">
        <f t="array" ref="H902">_xlfn.IFS(
OR(ISNUMBER(SEARCH("mouse",E902)),ISNUMBER(SEARCH("rat",E902)),ISNUMBER(SEARCH("mice",E902)),ISNUMBER(SEARCH("rodent",E902))),"Rodent Control",
OR(ISNUMBER(SEARCH("fly",E902)),ISNUMBER(SEARCH("gnat",E902)),ISNUMBER(SEARCH("insect",E902)),ISNUMBER(SEARCH("mosquito",E902))),"Flying Insect Control",
OR(ISNUMBER(SEARCH("roach",E902)),ISNUMBER(SEARCH("ant",E902)),ISNUMBER(SEARCH("spider",E902)),ISNUMBER(SEARCH("cricket",E902)),ISNUMBER(SEARCH("scorpion",E902)),ISNUMBER(SEARCH("centipede",E902)),ISNUMBER(SEARCH("beetle",E902))),"Crawling Insect Control",
OR(ISNUMBER(SEARCH("tree",E902)),ISNUMBER(SEARCH("lantern",E902)),ISNUMBER(SEARCH("garden",E902)),ISNUMBER(SEARCH("plant",E902))),"Garden Pest Control",
OR(ISNUMBER(SEARCH("grass seed",E902)),ISNUMBER(SEARCH("seed mix",E902))),"Grass Seed",
OR(ISNUMBER(SEARCH("lawn food",E902)),ISNUMBER(SEARCH("fertilizer",E902))),"Lawn Fertilizer",
OR(ISNUMBER(SEARCH("patch",E902)),ISNUMBER(SEARCH("repair",E902)),ISNUMBER(SEARCH("thick'r",E902)),ISNUMBER(SEARCH("thick'r lawn",E902)),ISNUMBER(SEARCH("rapid grass",E902))),"Lawn Repair",
OR(ISNUMBER(SEARCH("weed",E902)),ISNUMBER(SEARCH("crabgrass",E902))),"Weed Control",
OR(ISNUMBER(SEARCH("fungicide",E902)),ISNUMBER(SEARCH("moss",E902))),"Disease &amp; Moss Control",
OR(ISNUMBER(SEARCH("plant food",E902)),ISNUMBER(SEARCH("miracid",E902))),"Plant Nutrition",
OR(ISNUMBER(SEARCH("perlite",E902))),"Soil Amendment",
OR(ISNUMBER(SEARCH("spreader",E902)),ISNUMBER(SEARCH("sprayer",E902)),ISNUMBER(SEARCH("mower",E902)),ISNUMBER(SEARCH("sweeper",E902)),ISNUMBER(SEARCH("pruner",E902)),ISNUMBER(SEARCH("trimmer",E902)),ISNUMBER(SEARCH("pole saw",E902))),"Garden Equipment",
TRUE,"Other"
)</f>
        <v>Other</v>
      </c>
      <c r="I902" s="7" t="str" cm="1">
        <f t="array" ref="I902">_xlfn.IFS(
OR(ISNUMBER(SEARCH("glue trap",E902)),ISNUMBER(SEARCH("glue board",E902))),"Glue Traps",
OR(ISNUMBER(SEARCH("snap trap",E902)),ISNUMBER(SEARCH("power-kill",E902)),ISNUMBER(SEARCH("wide pedal",E902)),ISNUMBER(SEARCH("metal pedal",E902))),"Snap Traps",
OR(ISNUMBER(SEARCH("electronic",E902)),ISNUMBER(SEARCH("zapper",E902))),"Electronic Traps",
OR(ISNUMBER(SEARCH("live catch",E902)),ISNUMBER(SEARCH("multi-catch",E902)),ISNUMBER(SEARCH("catch &amp; hold",E902)),ISNUMBER(SEARCH("tin cat",E902))),"Live Catch Traps",
OR(ISNUMBER(SEARCH("bait",E902)),ISNUMBER(SEARCH("poison",E902))),"Bait &amp; Poison",
ISNUMBER(SEARCH("repellent",E902)),"Repellents",
OR(ISNUMBER(SEARCH("fly trap",E902)),ISNUMBER(SEARCH("fly ribbon",E902)),ISNUMBER(SEARCH("fly stick",E902)),ISNUMBER(SEARCH("window fly",E902)),ISNUMBER(SEARCH("fly magnet",E902))),"Fly Traps",
OR(ISNUMBER(SEARCH("uv",E902)),ISNUMBER(SEARCH("fly light",E902)),ISNUMBER(SEARCH("plug-in",E902))),"UV Fly Traps",
ISNUMBER(SEARCH("roach",E902)),"Roach Traps",
ISNUMBER(SEARCH("ant",E902)),"Ant Traps",
ISNUMBER(SEARCH("spider",E902)),"Spider Traps",
ISNUMBER(SEARCH("mosquito",E902)),"Mosquito Traps",
ISNUMBER(SEARCH("beetle",E902)),"Beetle Traps",
ISNUMBER(SEARCH("lantern",E902)),"Lanternfly Control",
OR(ISNUMBER(SEARCH("tree shield",E902)),ISNUMBER(SEARCH("tree banding",E902)),ISNUMBER(SEARCH("insect barrier",E902))),"Tree Barriers",
OR(ISNUMBER(SEARCH("sun &amp; shade",E902)),ISNUMBER(SEARCH("sun and shade",E902))),"Sun &amp; Shade Mix",
ISNUMBER(SEARCH("tall fescue",E902)),"Tall Fescue",
ISNUMBER(SEARCH("bermudagrass",E902)),"Bermudagrass",
ISNUMBER(SEARCH("kentucky",E902)),"Kentucky Bluegrass",
ISNUMBER(SEARCH("zoysia",E902)),"Zoysia",
ISNUMBER(SEARCH("ryegrass",E902)),"Perennial Ryegrass",
ISNUMBER(SEARCH("centipede",E902)),"Centipede Grass",
ISNUMBER(SEARCH("dense shade",E902)),"Dense Shade Mix",
ISNUMBER(SEARCH("southern gold",E902)),"Southern Gold Mix",
ISNUMBER(SEARCH("heat-tolerant blue",E902)),"Heat-Tolerant Blue Mix",
ISNUMBER(SEARCH("high traffic",E902)),"High Traffic Mix",
ISNUMBER(SEARCH("quick fix",E902)),"Quick Fix Mix",
ISNUMBER(SEARCH("starter",E902)),"Starter Fertilizer",
ISNUMBER(SEARCH("weed &amp; feed",E902)),"Weed &amp; Feed",
ISNUMBER(SEARCH("lawn food",E902)),"Lawn Food",
ISNUMBER(SEARCH("triple action",E902)),"Triple Action Fertilizer",
ISNUMBER(SEARCH("green max",E902)),"Green Max Lawn Food",
ISNUMBER(SEARCH("patchmaster",E902)),"PatchMaster Repair",
ISNUMBER(SEARCH("ez seed",E902)),"EZ Seed Repair",
ISNUMBER(SEARCH("rapid grass",E902)),"Rapid Grass",
ISNUMBER(SEARCH("thick'r lawn",E902)),"Thick'R Lawn",
ISNUMBER(SEARCH("fungicide",E902)),"Fungicide",
ISNUMBER(SEARCH("moss",E902)),"Moss Control",
ISNUMBER(SEARCH("perlite",E902)),"Perlite",
ISNUMBER(SEARCH("plant food",E902)),"Plant Food",
ISNUMBER(SEARCH("spreader",E902)),"Spreader",
ISNUMBER(SEARCH("sprayer",E902)),"Sprayer",
ISNUMBER(SEARCH("mower",E902)),"Lawn Mower",
ISNUMBER(SEARCH("sweeper",E902)),"Lawn Sweeper",
OR(ISNUMBER(SEARCH("pruner",E902)),ISNUMBER(SEARCH("trimmer",E902)),ISNUMBER(SEARCH("pole saw",E902))),"Pruning Tools",
TRUE,"Other"
)</f>
        <v>Repellents</v>
      </c>
      <c r="J902" s="7" t="str">
        <f t="shared" si="288"/>
        <v>Other - Repellents</v>
      </c>
      <c r="K902" s="4">
        <v>50</v>
      </c>
      <c r="L902" s="4">
        <v>3.9</v>
      </c>
      <c r="M902" s="4">
        <v>2300</v>
      </c>
      <c r="N902" s="4" t="s">
        <v>2136</v>
      </c>
      <c r="O902" s="4">
        <f>VLOOKUP(A902,[19]Sheet1!$A:$M,2,0)</f>
        <v>0</v>
      </c>
      <c r="P902" s="4">
        <f>VLOOKUP(A902,[19]Sheet1!$A:$M,3,0)</f>
        <v>0</v>
      </c>
      <c r="Q902" s="4">
        <f>VLOOKUP(A902,[19]Sheet1!$A:$M,4,0)</f>
        <v>50</v>
      </c>
      <c r="R902" s="4">
        <f>VLOOKUP(A902,[19]Sheet1!$A:$M,5,0)</f>
        <v>100</v>
      </c>
      <c r="S902" s="4">
        <f>VLOOKUP(A902,[19]Sheet1!$A:$M,6,0)</f>
        <v>200</v>
      </c>
      <c r="T902" s="4">
        <f>VLOOKUP(A902,[19]Sheet1!$A:$M,7,0)</f>
        <v>200</v>
      </c>
      <c r="U902" s="4">
        <f>VLOOKUP(A902,[19]Sheet1!$A:$M,8,0)</f>
        <v>300</v>
      </c>
      <c r="V902" s="4">
        <f>VLOOKUP(A902,[19]Sheet1!$A:$M,9,0)</f>
        <v>200</v>
      </c>
      <c r="W902" s="4">
        <f>VLOOKUP(A902,[19]Sheet1!$A:$M,10,0)</f>
        <v>50</v>
      </c>
      <c r="X902" s="4">
        <f>VLOOKUP(A902,[19]Sheet1!$A:$M,11,0)</f>
        <v>50</v>
      </c>
      <c r="Y902" s="4">
        <f>VLOOKUP(A902,[19]Sheet1!$A:$M,12,0)</f>
        <v>50</v>
      </c>
      <c r="Z902" s="4">
        <f>VLOOKUP(A902,[19]Sheet1!$A:$M,13,0)</f>
        <v>50</v>
      </c>
      <c r="AA902" s="4">
        <f t="shared" si="289"/>
        <v>1250</v>
      </c>
      <c r="AB902" s="7">
        <f t="shared" si="290"/>
        <v>104</v>
      </c>
      <c r="AC902" s="15">
        <f t="shared" si="291"/>
        <v>104.16666666666667</v>
      </c>
      <c r="AD902" s="16">
        <f t="shared" si="292"/>
        <v>49962.5</v>
      </c>
      <c r="AE902" s="16">
        <f t="shared" si="293"/>
        <v>4163.541666666667</v>
      </c>
      <c r="AF902" s="21">
        <v>9.2799999999999994</v>
      </c>
      <c r="AG902" s="21">
        <v>39.97</v>
      </c>
      <c r="AH902" s="15">
        <f t="shared" si="294"/>
        <v>0.38053333333333339</v>
      </c>
      <c r="AI902" s="15">
        <f t="shared" si="295"/>
        <v>1.3318666666666665</v>
      </c>
      <c r="AJ902" s="10">
        <v>0.5</v>
      </c>
      <c r="AK902" s="10">
        <v>0.5</v>
      </c>
      <c r="AL902" s="21">
        <v>9.2799999999999994</v>
      </c>
      <c r="AM902" s="9">
        <f t="shared" si="296"/>
        <v>5.9954999999999998</v>
      </c>
      <c r="AN902" s="9">
        <f t="shared" si="297"/>
        <v>1.1990999999999998</v>
      </c>
      <c r="AO902" s="9">
        <f t="shared" si="298"/>
        <v>7.9939999999999998</v>
      </c>
      <c r="AP902" s="9">
        <f t="shared" si="299"/>
        <v>0.7994</v>
      </c>
      <c r="AQ902" s="9">
        <f t="shared" si="300"/>
        <v>7.9939999999999998</v>
      </c>
      <c r="AR902" s="9">
        <f t="shared" si="301"/>
        <v>9.9924999999999997</v>
      </c>
      <c r="AS902" s="11">
        <f t="shared" si="302"/>
        <v>3.8053333333333335</v>
      </c>
      <c r="AT902" s="12">
        <f t="shared" si="303"/>
        <v>2.4730000000000003</v>
      </c>
    </row>
    <row r="903" spans="1:46" ht="16.5" x14ac:dyDescent="0.4">
      <c r="A903" s="4" t="s">
        <v>4035</v>
      </c>
      <c r="B903" s="4" t="s">
        <v>4037</v>
      </c>
      <c r="C903" s="4" t="s">
        <v>4037</v>
      </c>
      <c r="D903" s="4" t="s">
        <v>4055</v>
      </c>
      <c r="E903" s="4" t="s">
        <v>4074</v>
      </c>
      <c r="F903" s="4" t="s">
        <v>4093</v>
      </c>
      <c r="G903" s="7" t="str">
        <f>VLOOKUP(A903,[1]done!$A:$I,9,0)</f>
        <v>Deer &amp; Rabbit control</v>
      </c>
      <c r="H903" s="7" t="str" cm="1">
        <f t="array" ref="H903">_xlfn.IFS(
OR(ISNUMBER(SEARCH("mouse",E903)),ISNUMBER(SEARCH("rat",E903)),ISNUMBER(SEARCH("mice",E903)),ISNUMBER(SEARCH("rodent",E903))),"Rodent Control",
OR(ISNUMBER(SEARCH("fly",E903)),ISNUMBER(SEARCH("gnat",E903)),ISNUMBER(SEARCH("insect",E903)),ISNUMBER(SEARCH("mosquito",E903))),"Flying Insect Control",
OR(ISNUMBER(SEARCH("roach",E903)),ISNUMBER(SEARCH("ant",E903)),ISNUMBER(SEARCH("spider",E903)),ISNUMBER(SEARCH("cricket",E903)),ISNUMBER(SEARCH("scorpion",E903)),ISNUMBER(SEARCH("centipede",E903)),ISNUMBER(SEARCH("beetle",E903))),"Crawling Insect Control",
OR(ISNUMBER(SEARCH("tree",E903)),ISNUMBER(SEARCH("lantern",E903)),ISNUMBER(SEARCH("garden",E903)),ISNUMBER(SEARCH("plant",E903))),"Garden Pest Control",
OR(ISNUMBER(SEARCH("grass seed",E903)),ISNUMBER(SEARCH("seed mix",E903))),"Grass Seed",
OR(ISNUMBER(SEARCH("lawn food",E903)),ISNUMBER(SEARCH("fertilizer",E903))),"Lawn Fertilizer",
OR(ISNUMBER(SEARCH("patch",E903)),ISNUMBER(SEARCH("repair",E903)),ISNUMBER(SEARCH("thick'r",E903)),ISNUMBER(SEARCH("thick'r lawn",E903)),ISNUMBER(SEARCH("rapid grass",E903))),"Lawn Repair",
OR(ISNUMBER(SEARCH("weed",E903)),ISNUMBER(SEARCH("crabgrass",E903))),"Weed Control",
OR(ISNUMBER(SEARCH("fungicide",E903)),ISNUMBER(SEARCH("moss",E903))),"Disease &amp; Moss Control",
OR(ISNUMBER(SEARCH("plant food",E903)),ISNUMBER(SEARCH("miracid",E903))),"Plant Nutrition",
OR(ISNUMBER(SEARCH("perlite",E903))),"Soil Amendment",
OR(ISNUMBER(SEARCH("spreader",E903)),ISNUMBER(SEARCH("sprayer",E903)),ISNUMBER(SEARCH("mower",E903)),ISNUMBER(SEARCH("sweeper",E903)),ISNUMBER(SEARCH("pruner",E903)),ISNUMBER(SEARCH("trimmer",E903)),ISNUMBER(SEARCH("pole saw",E903))),"Garden Equipment",
TRUE,"Other"
)</f>
        <v>Other</v>
      </c>
      <c r="I903" s="7" t="str" cm="1">
        <f t="array" ref="I903">_xlfn.IFS(
OR(ISNUMBER(SEARCH("glue trap",E903)),ISNUMBER(SEARCH("glue board",E903))),"Glue Traps",
OR(ISNUMBER(SEARCH("snap trap",E903)),ISNUMBER(SEARCH("power-kill",E903)),ISNUMBER(SEARCH("wide pedal",E903)),ISNUMBER(SEARCH("metal pedal",E903))),"Snap Traps",
OR(ISNUMBER(SEARCH("electronic",E903)),ISNUMBER(SEARCH("zapper",E903))),"Electronic Traps",
OR(ISNUMBER(SEARCH("live catch",E903)),ISNUMBER(SEARCH("multi-catch",E903)),ISNUMBER(SEARCH("catch &amp; hold",E903)),ISNUMBER(SEARCH("tin cat",E903))),"Live Catch Traps",
OR(ISNUMBER(SEARCH("bait",E903)),ISNUMBER(SEARCH("poison",E903))),"Bait &amp; Poison",
ISNUMBER(SEARCH("repellent",E903)),"Repellents",
OR(ISNUMBER(SEARCH("fly trap",E903)),ISNUMBER(SEARCH("fly ribbon",E903)),ISNUMBER(SEARCH("fly stick",E903)),ISNUMBER(SEARCH("window fly",E903)),ISNUMBER(SEARCH("fly magnet",E903))),"Fly Traps",
OR(ISNUMBER(SEARCH("uv",E903)),ISNUMBER(SEARCH("fly light",E903)),ISNUMBER(SEARCH("plug-in",E903))),"UV Fly Traps",
ISNUMBER(SEARCH("roach",E903)),"Roach Traps",
ISNUMBER(SEARCH("ant",E903)),"Ant Traps",
ISNUMBER(SEARCH("spider",E903)),"Spider Traps",
ISNUMBER(SEARCH("mosquito",E903)),"Mosquito Traps",
ISNUMBER(SEARCH("beetle",E903)),"Beetle Traps",
ISNUMBER(SEARCH("lantern",E903)),"Lanternfly Control",
OR(ISNUMBER(SEARCH("tree shield",E903)),ISNUMBER(SEARCH("tree banding",E903)),ISNUMBER(SEARCH("insect barrier",E903))),"Tree Barriers",
OR(ISNUMBER(SEARCH("sun &amp; shade",E903)),ISNUMBER(SEARCH("sun and shade",E903))),"Sun &amp; Shade Mix",
ISNUMBER(SEARCH("tall fescue",E903)),"Tall Fescue",
ISNUMBER(SEARCH("bermudagrass",E903)),"Bermudagrass",
ISNUMBER(SEARCH("kentucky",E903)),"Kentucky Bluegrass",
ISNUMBER(SEARCH("zoysia",E903)),"Zoysia",
ISNUMBER(SEARCH("ryegrass",E903)),"Perennial Ryegrass",
ISNUMBER(SEARCH("centipede",E903)),"Centipede Grass",
ISNUMBER(SEARCH("dense shade",E903)),"Dense Shade Mix",
ISNUMBER(SEARCH("southern gold",E903)),"Southern Gold Mix",
ISNUMBER(SEARCH("heat-tolerant blue",E903)),"Heat-Tolerant Blue Mix",
ISNUMBER(SEARCH("high traffic",E903)),"High Traffic Mix",
ISNUMBER(SEARCH("quick fix",E903)),"Quick Fix Mix",
ISNUMBER(SEARCH("starter",E903)),"Starter Fertilizer",
ISNUMBER(SEARCH("weed &amp; feed",E903)),"Weed &amp; Feed",
ISNUMBER(SEARCH("lawn food",E903)),"Lawn Food",
ISNUMBER(SEARCH("triple action",E903)),"Triple Action Fertilizer",
ISNUMBER(SEARCH("green max",E903)),"Green Max Lawn Food",
ISNUMBER(SEARCH("patchmaster",E903)),"PatchMaster Repair",
ISNUMBER(SEARCH("ez seed",E903)),"EZ Seed Repair",
ISNUMBER(SEARCH("rapid grass",E903)),"Rapid Grass",
ISNUMBER(SEARCH("thick'r lawn",E903)),"Thick'R Lawn",
ISNUMBER(SEARCH("fungicide",E903)),"Fungicide",
ISNUMBER(SEARCH("moss",E903)),"Moss Control",
ISNUMBER(SEARCH("perlite",E903)),"Perlite",
ISNUMBER(SEARCH("plant food",E903)),"Plant Food",
ISNUMBER(SEARCH("spreader",E903)),"Spreader",
ISNUMBER(SEARCH("sprayer",E903)),"Sprayer",
ISNUMBER(SEARCH("mower",E903)),"Lawn Mower",
ISNUMBER(SEARCH("sweeper",E903)),"Lawn Sweeper",
OR(ISNUMBER(SEARCH("pruner",E903)),ISNUMBER(SEARCH("trimmer",E903)),ISNUMBER(SEARCH("pole saw",E903))),"Pruning Tools",
TRUE,"Other"
)</f>
        <v>Repellents</v>
      </c>
      <c r="J903" s="7" t="str">
        <f t="shared" si="288"/>
        <v>Other - Repellents</v>
      </c>
      <c r="K903" s="4">
        <v>50</v>
      </c>
      <c r="L903" s="4">
        <v>3.6</v>
      </c>
      <c r="M903" s="4">
        <v>1029</v>
      </c>
      <c r="N903" s="4" t="s">
        <v>4100</v>
      </c>
      <c r="O903" s="4">
        <f>VLOOKUP(A903,[19]Sheet1!$A:$M,2,0)</f>
        <v>50</v>
      </c>
      <c r="P903" s="4">
        <f>VLOOKUP(A903,[19]Sheet1!$A:$M,3,0)</f>
        <v>50</v>
      </c>
      <c r="Q903" s="4">
        <f>VLOOKUP(A903,[19]Sheet1!$A:$M,4,0)</f>
        <v>100</v>
      </c>
      <c r="R903" s="4">
        <f>VLOOKUP(A903,[19]Sheet1!$A:$M,5,0)</f>
        <v>100</v>
      </c>
      <c r="S903" s="4">
        <f>VLOOKUP(A903,[19]Sheet1!$A:$M,6,0)</f>
        <v>100</v>
      </c>
      <c r="T903" s="4">
        <f>VLOOKUP(A903,[19]Sheet1!$A:$M,7,0)</f>
        <v>200</v>
      </c>
      <c r="U903" s="4">
        <f>VLOOKUP(A903,[19]Sheet1!$A:$M,8,0)</f>
        <v>100</v>
      </c>
      <c r="V903" s="4">
        <f>VLOOKUP(A903,[19]Sheet1!$A:$M,9,0)</f>
        <v>100</v>
      </c>
      <c r="W903" s="4">
        <f>VLOOKUP(A903,[19]Sheet1!$A:$M,10,0)</f>
        <v>50</v>
      </c>
      <c r="X903" s="4">
        <f>VLOOKUP(A903,[19]Sheet1!$A:$M,11,0)</f>
        <v>50</v>
      </c>
      <c r="Y903" s="4">
        <f>VLOOKUP(A903,[19]Sheet1!$A:$M,12,0)</f>
        <v>50</v>
      </c>
      <c r="Z903" s="4">
        <f>VLOOKUP(A903,[19]Sheet1!$A:$M,13,0)</f>
        <v>50</v>
      </c>
      <c r="AA903" s="4">
        <f t="shared" si="289"/>
        <v>1000</v>
      </c>
      <c r="AB903" s="7">
        <f t="shared" si="290"/>
        <v>83</v>
      </c>
      <c r="AC903" s="15">
        <f t="shared" si="291"/>
        <v>83.333333333333329</v>
      </c>
      <c r="AD903" s="16">
        <f t="shared" si="292"/>
        <v>39970</v>
      </c>
      <c r="AE903" s="16">
        <f t="shared" si="293"/>
        <v>3330.833333333333</v>
      </c>
      <c r="AF903" s="21">
        <v>8.5399999999999991</v>
      </c>
      <c r="AG903" s="21">
        <v>39.97</v>
      </c>
      <c r="AH903" s="15">
        <f t="shared" si="294"/>
        <v>0.42986666666666667</v>
      </c>
      <c r="AI903" s="15">
        <f t="shared" si="295"/>
        <v>1.5045333333333333</v>
      </c>
      <c r="AJ903" s="10">
        <v>0.5</v>
      </c>
      <c r="AK903" s="10">
        <v>0.5</v>
      </c>
      <c r="AL903" s="21">
        <v>8.5399999999999991</v>
      </c>
      <c r="AM903" s="9">
        <f t="shared" si="296"/>
        <v>5.9954999999999998</v>
      </c>
      <c r="AN903" s="9">
        <f t="shared" si="297"/>
        <v>1.1990999999999998</v>
      </c>
      <c r="AO903" s="9">
        <f t="shared" si="298"/>
        <v>7.9939999999999998</v>
      </c>
      <c r="AP903" s="9">
        <f t="shared" si="299"/>
        <v>0.7994</v>
      </c>
      <c r="AQ903" s="9">
        <f t="shared" si="300"/>
        <v>7.9939999999999998</v>
      </c>
      <c r="AR903" s="9">
        <f t="shared" si="301"/>
        <v>9.9924999999999997</v>
      </c>
      <c r="AS903" s="11">
        <f t="shared" si="302"/>
        <v>4.2986666666666666</v>
      </c>
      <c r="AT903" s="12">
        <f t="shared" si="303"/>
        <v>2.9663333333333335</v>
      </c>
    </row>
    <row r="904" spans="1:46" ht="16.5" x14ac:dyDescent="0.4">
      <c r="A904" s="4" t="s">
        <v>4036</v>
      </c>
      <c r="B904" s="4" t="s">
        <v>4037</v>
      </c>
      <c r="C904" s="4" t="s">
        <v>4037</v>
      </c>
      <c r="D904" s="4" t="s">
        <v>4056</v>
      </c>
      <c r="E904" s="4" t="s">
        <v>4075</v>
      </c>
      <c r="F904" s="4" t="s">
        <v>4094</v>
      </c>
      <c r="G904" s="7" t="str">
        <f>VLOOKUP(A904,[1]done!$A:$I,9,0)</f>
        <v>Deer &amp; Rabbit control</v>
      </c>
      <c r="H904" s="7" t="str" cm="1">
        <f t="array" ref="H904">_xlfn.IFS(
OR(ISNUMBER(SEARCH("mouse",E904)),ISNUMBER(SEARCH("rat",E904)),ISNUMBER(SEARCH("mice",E904)),ISNUMBER(SEARCH("rodent",E904))),"Rodent Control",
OR(ISNUMBER(SEARCH("fly",E904)),ISNUMBER(SEARCH("gnat",E904)),ISNUMBER(SEARCH("insect",E904)),ISNUMBER(SEARCH("mosquito",E904))),"Flying Insect Control",
OR(ISNUMBER(SEARCH("roach",E904)),ISNUMBER(SEARCH("ant",E904)),ISNUMBER(SEARCH("spider",E904)),ISNUMBER(SEARCH("cricket",E904)),ISNUMBER(SEARCH("scorpion",E904)),ISNUMBER(SEARCH("centipede",E904)),ISNUMBER(SEARCH("beetle",E904))),"Crawling Insect Control",
OR(ISNUMBER(SEARCH("tree",E904)),ISNUMBER(SEARCH("lantern",E904)),ISNUMBER(SEARCH("garden",E904)),ISNUMBER(SEARCH("plant",E904))),"Garden Pest Control",
OR(ISNUMBER(SEARCH("grass seed",E904)),ISNUMBER(SEARCH("seed mix",E904))),"Grass Seed",
OR(ISNUMBER(SEARCH("lawn food",E904)),ISNUMBER(SEARCH("fertilizer",E904))),"Lawn Fertilizer",
OR(ISNUMBER(SEARCH("patch",E904)),ISNUMBER(SEARCH("repair",E904)),ISNUMBER(SEARCH("thick'r",E904)),ISNUMBER(SEARCH("thick'r lawn",E904)),ISNUMBER(SEARCH("rapid grass",E904))),"Lawn Repair",
OR(ISNUMBER(SEARCH("weed",E904)),ISNUMBER(SEARCH("crabgrass",E904))),"Weed Control",
OR(ISNUMBER(SEARCH("fungicide",E904)),ISNUMBER(SEARCH("moss",E904))),"Disease &amp; Moss Control",
OR(ISNUMBER(SEARCH("plant food",E904)),ISNUMBER(SEARCH("miracid",E904))),"Plant Nutrition",
OR(ISNUMBER(SEARCH("perlite",E904))),"Soil Amendment",
OR(ISNUMBER(SEARCH("spreader",E904)),ISNUMBER(SEARCH("sprayer",E904)),ISNUMBER(SEARCH("mower",E904)),ISNUMBER(SEARCH("sweeper",E904)),ISNUMBER(SEARCH("pruner",E904)),ISNUMBER(SEARCH("trimmer",E904)),ISNUMBER(SEARCH("pole saw",E904))),"Garden Equipment",
TRUE,"Other"
)</f>
        <v>Other</v>
      </c>
      <c r="I904" s="7" t="str" cm="1">
        <f t="array" ref="I904">_xlfn.IFS(
OR(ISNUMBER(SEARCH("glue trap",E904)),ISNUMBER(SEARCH("glue board",E904))),"Glue Traps",
OR(ISNUMBER(SEARCH("snap trap",E904)),ISNUMBER(SEARCH("power-kill",E904)),ISNUMBER(SEARCH("wide pedal",E904)),ISNUMBER(SEARCH("metal pedal",E904))),"Snap Traps",
OR(ISNUMBER(SEARCH("electronic",E904)),ISNUMBER(SEARCH("zapper",E904))),"Electronic Traps",
OR(ISNUMBER(SEARCH("live catch",E904)),ISNUMBER(SEARCH("multi-catch",E904)),ISNUMBER(SEARCH("catch &amp; hold",E904)),ISNUMBER(SEARCH("tin cat",E904))),"Live Catch Traps",
OR(ISNUMBER(SEARCH("bait",E904)),ISNUMBER(SEARCH("poison",E904))),"Bait &amp; Poison",
ISNUMBER(SEARCH("repellent",E904)),"Repellents",
OR(ISNUMBER(SEARCH("fly trap",E904)),ISNUMBER(SEARCH("fly ribbon",E904)),ISNUMBER(SEARCH("fly stick",E904)),ISNUMBER(SEARCH("window fly",E904)),ISNUMBER(SEARCH("fly magnet",E904))),"Fly Traps",
OR(ISNUMBER(SEARCH("uv",E904)),ISNUMBER(SEARCH("fly light",E904)),ISNUMBER(SEARCH("plug-in",E904))),"UV Fly Traps",
ISNUMBER(SEARCH("roach",E904)),"Roach Traps",
ISNUMBER(SEARCH("ant",E904)),"Ant Traps",
ISNUMBER(SEARCH("spider",E904)),"Spider Traps",
ISNUMBER(SEARCH("mosquito",E904)),"Mosquito Traps",
ISNUMBER(SEARCH("beetle",E904)),"Beetle Traps",
ISNUMBER(SEARCH("lantern",E904)),"Lanternfly Control",
OR(ISNUMBER(SEARCH("tree shield",E904)),ISNUMBER(SEARCH("tree banding",E904)),ISNUMBER(SEARCH("insect barrier",E904))),"Tree Barriers",
OR(ISNUMBER(SEARCH("sun &amp; shade",E904)),ISNUMBER(SEARCH("sun and shade",E904))),"Sun &amp; Shade Mix",
ISNUMBER(SEARCH("tall fescue",E904)),"Tall Fescue",
ISNUMBER(SEARCH("bermudagrass",E904)),"Bermudagrass",
ISNUMBER(SEARCH("kentucky",E904)),"Kentucky Bluegrass",
ISNUMBER(SEARCH("zoysia",E904)),"Zoysia",
ISNUMBER(SEARCH("ryegrass",E904)),"Perennial Ryegrass",
ISNUMBER(SEARCH("centipede",E904)),"Centipede Grass",
ISNUMBER(SEARCH("dense shade",E904)),"Dense Shade Mix",
ISNUMBER(SEARCH("southern gold",E904)),"Southern Gold Mix",
ISNUMBER(SEARCH("heat-tolerant blue",E904)),"Heat-Tolerant Blue Mix",
ISNUMBER(SEARCH("high traffic",E904)),"High Traffic Mix",
ISNUMBER(SEARCH("quick fix",E904)),"Quick Fix Mix",
ISNUMBER(SEARCH("starter",E904)),"Starter Fertilizer",
ISNUMBER(SEARCH("weed &amp; feed",E904)),"Weed &amp; Feed",
ISNUMBER(SEARCH("lawn food",E904)),"Lawn Food",
ISNUMBER(SEARCH("triple action",E904)),"Triple Action Fertilizer",
ISNUMBER(SEARCH("green max",E904)),"Green Max Lawn Food",
ISNUMBER(SEARCH("patchmaster",E904)),"PatchMaster Repair",
ISNUMBER(SEARCH("ez seed",E904)),"EZ Seed Repair",
ISNUMBER(SEARCH("rapid grass",E904)),"Rapid Grass",
ISNUMBER(SEARCH("thick'r lawn",E904)),"Thick'R Lawn",
ISNUMBER(SEARCH("fungicide",E904)),"Fungicide",
ISNUMBER(SEARCH("moss",E904)),"Moss Control",
ISNUMBER(SEARCH("perlite",E904)),"Perlite",
ISNUMBER(SEARCH("plant food",E904)),"Plant Food",
ISNUMBER(SEARCH("spreader",E904)),"Spreader",
ISNUMBER(SEARCH("sprayer",E904)),"Sprayer",
ISNUMBER(SEARCH("mower",E904)),"Lawn Mower",
ISNUMBER(SEARCH("sweeper",E904)),"Lawn Sweeper",
OR(ISNUMBER(SEARCH("pruner",E904)),ISNUMBER(SEARCH("trimmer",E904)),ISNUMBER(SEARCH("pole saw",E904))),"Pruning Tools",
TRUE,"Other"
)</f>
        <v>Repellents</v>
      </c>
      <c r="J904" s="7" t="str">
        <f t="shared" si="288"/>
        <v>Other - Repellents</v>
      </c>
      <c r="K904" s="4">
        <v>50</v>
      </c>
      <c r="L904" s="4">
        <v>3.6</v>
      </c>
      <c r="M904" s="4">
        <v>514</v>
      </c>
      <c r="N904" s="4" t="s">
        <v>4102</v>
      </c>
      <c r="O904" s="4">
        <f>VLOOKUP(A904,[19]Sheet1!$A:$M,2,0)</f>
        <v>0</v>
      </c>
      <c r="P904" s="4">
        <f>VLOOKUP(A904,[19]Sheet1!$A:$M,3,0)</f>
        <v>0</v>
      </c>
      <c r="Q904" s="4">
        <f>VLOOKUP(A904,[19]Sheet1!$A:$M,4,0)</f>
        <v>0</v>
      </c>
      <c r="R904" s="4">
        <f>VLOOKUP(A904,[19]Sheet1!$A:$M,5,0)</f>
        <v>50</v>
      </c>
      <c r="S904" s="4">
        <f>VLOOKUP(A904,[19]Sheet1!$A:$M,6,0)</f>
        <v>100</v>
      </c>
      <c r="T904" s="4">
        <f>VLOOKUP(A904,[19]Sheet1!$A:$M,7,0)</f>
        <v>300</v>
      </c>
      <c r="U904" s="4">
        <f>VLOOKUP(A904,[19]Sheet1!$A:$M,8,0)</f>
        <v>300</v>
      </c>
      <c r="V904" s="4">
        <f>VLOOKUP(A904,[19]Sheet1!$A:$M,9,0)</f>
        <v>200</v>
      </c>
      <c r="W904" s="4">
        <f>VLOOKUP(A904,[19]Sheet1!$A:$M,10,0)</f>
        <v>50</v>
      </c>
      <c r="X904" s="4">
        <f>VLOOKUP(A904,[19]Sheet1!$A:$M,11,0)</f>
        <v>0</v>
      </c>
      <c r="Y904" s="4">
        <f>VLOOKUP(A904,[19]Sheet1!$A:$M,12,0)</f>
        <v>0</v>
      </c>
      <c r="Z904" s="4">
        <f>VLOOKUP(A904,[19]Sheet1!$A:$M,13,0)</f>
        <v>0</v>
      </c>
      <c r="AA904" s="4">
        <f t="shared" si="289"/>
        <v>1000</v>
      </c>
      <c r="AB904" s="7">
        <f t="shared" si="290"/>
        <v>83</v>
      </c>
      <c r="AC904" s="15">
        <f t="shared" si="291"/>
        <v>83.333333333333329</v>
      </c>
      <c r="AD904" s="16">
        <f t="shared" si="292"/>
        <v>19970</v>
      </c>
      <c r="AE904" s="16">
        <f t="shared" si="293"/>
        <v>1664.1666666666665</v>
      </c>
      <c r="AF904" s="21">
        <v>6.9</v>
      </c>
      <c r="AG904" s="21">
        <v>19.97</v>
      </c>
      <c r="AH904" s="15">
        <f t="shared" si="294"/>
        <v>5.866666666666613E-3</v>
      </c>
      <c r="AI904" s="15">
        <f t="shared" si="295"/>
        <v>2.0533333333333143E-2</v>
      </c>
      <c r="AJ904" s="10">
        <v>0.5</v>
      </c>
      <c r="AK904" s="10">
        <v>0.5</v>
      </c>
      <c r="AL904" s="21">
        <v>6.9</v>
      </c>
      <c r="AM904" s="9">
        <f t="shared" si="296"/>
        <v>2.9954999999999998</v>
      </c>
      <c r="AN904" s="9">
        <f t="shared" si="297"/>
        <v>0.59909999999999997</v>
      </c>
      <c r="AO904" s="9">
        <f t="shared" si="298"/>
        <v>3.9939999999999998</v>
      </c>
      <c r="AP904" s="9">
        <f t="shared" si="299"/>
        <v>0.39939999999999998</v>
      </c>
      <c r="AQ904" s="9">
        <f t="shared" si="300"/>
        <v>3.9939999999999998</v>
      </c>
      <c r="AR904" s="9">
        <f t="shared" si="301"/>
        <v>4.9924999999999997</v>
      </c>
      <c r="AS904" s="11">
        <f t="shared" si="302"/>
        <v>5.8666666666666124E-2</v>
      </c>
      <c r="AT904" s="12">
        <f t="shared" si="303"/>
        <v>-0.60700000000000054</v>
      </c>
    </row>
    <row r="905" spans="1:46" ht="16.5" x14ac:dyDescent="0.4">
      <c r="A905" s="4" t="s">
        <v>4103</v>
      </c>
      <c r="B905" s="4" t="s">
        <v>4118</v>
      </c>
      <c r="C905" s="4" t="s">
        <v>4119</v>
      </c>
      <c r="D905" s="4" t="s">
        <v>4121</v>
      </c>
      <c r="E905" s="4" t="s">
        <v>4136</v>
      </c>
      <c r="F905" s="4" t="s">
        <v>4151</v>
      </c>
      <c r="G905" s="7" t="str">
        <f>VLOOKUP(A905,[1]done!$A:$I,9,0)</f>
        <v>Oil based pest repellent</v>
      </c>
      <c r="H905" s="7" t="str" cm="1">
        <f t="array" ref="H905">_xlfn.IFS(
OR(ISNUMBER(SEARCH("mouse",E905)),ISNUMBER(SEARCH("rat",E905)),ISNUMBER(SEARCH("mice",E905)),ISNUMBER(SEARCH("rodent",E905))),"Rodent Control",
OR(ISNUMBER(SEARCH("fly",E905)),ISNUMBER(SEARCH("gnat",E905)),ISNUMBER(SEARCH("insect",E905)),ISNUMBER(SEARCH("mosquito",E905))),"Flying Insect Control",
OR(ISNUMBER(SEARCH("roach",E905)),ISNUMBER(SEARCH("ant",E905)),ISNUMBER(SEARCH("spider",E905)),ISNUMBER(SEARCH("cricket",E905)),ISNUMBER(SEARCH("scorpion",E905)),ISNUMBER(SEARCH("centipede",E905)),ISNUMBER(SEARCH("beetle",E905))),"Crawling Insect Control",
OR(ISNUMBER(SEARCH("tree",E905)),ISNUMBER(SEARCH("lantern",E905)),ISNUMBER(SEARCH("garden",E905)),ISNUMBER(SEARCH("plant",E905))),"Garden Pest Control",
OR(ISNUMBER(SEARCH("grass seed",E905)),ISNUMBER(SEARCH("seed mix",E905))),"Grass Seed",
OR(ISNUMBER(SEARCH("lawn food",E905)),ISNUMBER(SEARCH("fertilizer",E905))),"Lawn Fertilizer",
OR(ISNUMBER(SEARCH("patch",E905)),ISNUMBER(SEARCH("repair",E905)),ISNUMBER(SEARCH("thick'r",E905)),ISNUMBER(SEARCH("thick'r lawn",E905)),ISNUMBER(SEARCH("rapid grass",E905))),"Lawn Repair",
OR(ISNUMBER(SEARCH("weed",E905)),ISNUMBER(SEARCH("crabgrass",E905))),"Weed Control",
OR(ISNUMBER(SEARCH("fungicide",E905)),ISNUMBER(SEARCH("moss",E905))),"Disease &amp; Moss Control",
OR(ISNUMBER(SEARCH("plant food",E905)),ISNUMBER(SEARCH("miracid",E905))),"Plant Nutrition",
OR(ISNUMBER(SEARCH("perlite",E905))),"Soil Amendment",
OR(ISNUMBER(SEARCH("spreader",E905)),ISNUMBER(SEARCH("sprayer",E905)),ISNUMBER(SEARCH("mower",E905)),ISNUMBER(SEARCH("sweeper",E905)),ISNUMBER(SEARCH("pruner",E905)),ISNUMBER(SEARCH("trimmer",E905)),ISNUMBER(SEARCH("pole saw",E905))),"Garden Equipment",
TRUE,"Other"
)</f>
        <v>Flying Insect Control</v>
      </c>
      <c r="I905" s="7" t="str" cm="1">
        <f t="array" ref="I905">_xlfn.IFS(
OR(ISNUMBER(SEARCH("glue trap",E905)),ISNUMBER(SEARCH("glue board",E905))),"Glue Traps",
OR(ISNUMBER(SEARCH("snap trap",E905)),ISNUMBER(SEARCH("power-kill",E905)),ISNUMBER(SEARCH("wide pedal",E905)),ISNUMBER(SEARCH("metal pedal",E905))),"Snap Traps",
OR(ISNUMBER(SEARCH("electronic",E905)),ISNUMBER(SEARCH("zapper",E905))),"Electronic Traps",
OR(ISNUMBER(SEARCH("live catch",E905)),ISNUMBER(SEARCH("multi-catch",E905)),ISNUMBER(SEARCH("catch &amp; hold",E905)),ISNUMBER(SEARCH("tin cat",E905))),"Live Catch Traps",
OR(ISNUMBER(SEARCH("bait",E905)),ISNUMBER(SEARCH("poison",E905))),"Bait &amp; Poison",
ISNUMBER(SEARCH("repellent",E905)),"Repellents",
OR(ISNUMBER(SEARCH("fly trap",E905)),ISNUMBER(SEARCH("fly ribbon",E905)),ISNUMBER(SEARCH("fly stick",E905)),ISNUMBER(SEARCH("window fly",E905)),ISNUMBER(SEARCH("fly magnet",E905))),"Fly Traps",
OR(ISNUMBER(SEARCH("uv",E905)),ISNUMBER(SEARCH("fly light",E905)),ISNUMBER(SEARCH("plug-in",E905))),"UV Fly Traps",
ISNUMBER(SEARCH("roach",E905)),"Roach Traps",
ISNUMBER(SEARCH("ant",E905)),"Ant Traps",
ISNUMBER(SEARCH("spider",E905)),"Spider Traps",
ISNUMBER(SEARCH("mosquito",E905)),"Mosquito Traps",
ISNUMBER(SEARCH("beetle",E905)),"Beetle Traps",
ISNUMBER(SEARCH("lantern",E905)),"Lanternfly Control",
OR(ISNUMBER(SEARCH("tree shield",E905)),ISNUMBER(SEARCH("tree banding",E905)),ISNUMBER(SEARCH("insect barrier",E905))),"Tree Barriers",
OR(ISNUMBER(SEARCH("sun &amp; shade",E905)),ISNUMBER(SEARCH("sun and shade",E905))),"Sun &amp; Shade Mix",
ISNUMBER(SEARCH("tall fescue",E905)),"Tall Fescue",
ISNUMBER(SEARCH("bermudagrass",E905)),"Bermudagrass",
ISNUMBER(SEARCH("kentucky",E905)),"Kentucky Bluegrass",
ISNUMBER(SEARCH("zoysia",E905)),"Zoysia",
ISNUMBER(SEARCH("ryegrass",E905)),"Perennial Ryegrass",
ISNUMBER(SEARCH("centipede",E905)),"Centipede Grass",
ISNUMBER(SEARCH("dense shade",E905)),"Dense Shade Mix",
ISNUMBER(SEARCH("southern gold",E905)),"Southern Gold Mix",
ISNUMBER(SEARCH("heat-tolerant blue",E905)),"Heat-Tolerant Blue Mix",
ISNUMBER(SEARCH("high traffic",E905)),"High Traffic Mix",
ISNUMBER(SEARCH("quick fix",E905)),"Quick Fix Mix",
ISNUMBER(SEARCH("starter",E905)),"Starter Fertilizer",
ISNUMBER(SEARCH("weed &amp; feed",E905)),"Weed &amp; Feed",
ISNUMBER(SEARCH("lawn food",E905)),"Lawn Food",
ISNUMBER(SEARCH("triple action",E905)),"Triple Action Fertilizer",
ISNUMBER(SEARCH("green max",E905)),"Green Max Lawn Food",
ISNUMBER(SEARCH("patchmaster",E905)),"PatchMaster Repair",
ISNUMBER(SEARCH("ez seed",E905)),"EZ Seed Repair",
ISNUMBER(SEARCH("rapid grass",E905)),"Rapid Grass",
ISNUMBER(SEARCH("thick'r lawn",E905)),"Thick'R Lawn",
ISNUMBER(SEARCH("fungicide",E905)),"Fungicide",
ISNUMBER(SEARCH("moss",E905)),"Moss Control",
ISNUMBER(SEARCH("perlite",E905)),"Perlite",
ISNUMBER(SEARCH("plant food",E905)),"Plant Food",
ISNUMBER(SEARCH("spreader",E905)),"Spreader",
ISNUMBER(SEARCH("sprayer",E905)),"Sprayer",
ISNUMBER(SEARCH("mower",E905)),"Lawn Mower",
ISNUMBER(SEARCH("sweeper",E905)),"Lawn Sweeper",
OR(ISNUMBER(SEARCH("pruner",E905)),ISNUMBER(SEARCH("trimmer",E905)),ISNUMBER(SEARCH("pole saw",E905))),"Pruning Tools",
TRUE,"Other"
)</f>
        <v>Repellents</v>
      </c>
      <c r="J905" s="7" t="str">
        <f t="shared" ref="J905:J919" si="304">H905&amp;" - "&amp;I905</f>
        <v>Flying Insect Control - Repellents</v>
      </c>
      <c r="K905" s="4">
        <v>30000</v>
      </c>
      <c r="L905" s="4">
        <v>4.2</v>
      </c>
      <c r="M905" s="4">
        <v>66536</v>
      </c>
      <c r="N905" s="4" t="s">
        <v>3670</v>
      </c>
      <c r="O905" s="4">
        <f>VLOOKUP(A905,[20]Sheet1!$A:$M,2,0)</f>
        <v>10000</v>
      </c>
      <c r="P905" s="4">
        <f>VLOOKUP(A905,[20]Sheet1!$A:$M,3,0)</f>
        <v>10000</v>
      </c>
      <c r="Q905" s="4">
        <f>VLOOKUP(A905,[20]Sheet1!$A:$M,4,0)</f>
        <v>10000</v>
      </c>
      <c r="R905" s="4">
        <f>VLOOKUP(A905,[20]Sheet1!$A:$M,5,0)</f>
        <v>20000</v>
      </c>
      <c r="S905" s="4">
        <f>VLOOKUP(A905,[20]Sheet1!$A:$M,6,0)</f>
        <v>40000</v>
      </c>
      <c r="T905" s="4">
        <f>VLOOKUP(A905,[20]Sheet1!$A:$M,7,0)</f>
        <v>50000</v>
      </c>
      <c r="U905" s="4">
        <f>VLOOKUP(A905,[20]Sheet1!$A:$M,8,0)</f>
        <v>61000</v>
      </c>
      <c r="V905" s="4">
        <f>VLOOKUP(A905,[20]Sheet1!$A:$M,9,0)</f>
        <v>80000</v>
      </c>
      <c r="W905" s="4">
        <f>VLOOKUP(A905,[20]Sheet1!$A:$M,10,0)</f>
        <v>30000</v>
      </c>
      <c r="X905" s="4">
        <f>VLOOKUP(A905,[20]Sheet1!$A:$M,11,0)</f>
        <v>50000</v>
      </c>
      <c r="Y905" s="4">
        <f>VLOOKUP(A905,[20]Sheet1!$A:$M,12,0)</f>
        <v>20000</v>
      </c>
      <c r="Z905" s="4">
        <f>VLOOKUP(A905,[20]Sheet1!$A:$M,13,0)</f>
        <v>7000</v>
      </c>
      <c r="AA905" s="4">
        <f t="shared" ref="AA905:AA919" si="305">SUM(O905:Z905)</f>
        <v>388000</v>
      </c>
      <c r="AB905" s="7">
        <f t="shared" ref="AB905:AB919" si="306">ROUND(AA905/12,0)</f>
        <v>32333</v>
      </c>
      <c r="AC905" s="15">
        <f t="shared" ref="AC905:AC919" si="307">AVERAGE(O905:Z905)</f>
        <v>32333.333333333332</v>
      </c>
      <c r="AD905" s="16">
        <f t="shared" ref="AD905:AD919" si="308">AG905*AA905</f>
        <v>6790000</v>
      </c>
      <c r="AE905" s="16">
        <f t="shared" ref="AE905:AE919" si="309">AG905*AC905</f>
        <v>565833.33333333326</v>
      </c>
      <c r="AF905" s="21">
        <v>5.22</v>
      </c>
      <c r="AG905" s="21">
        <v>17.5</v>
      </c>
      <c r="AH905" s="15">
        <f t="shared" ref="AH905:AH919" si="310">0.1*AS905</f>
        <v>5.2000000000000018E-2</v>
      </c>
      <c r="AI905" s="15">
        <f t="shared" ref="AI905:AI919" si="311">0.35*AS905</f>
        <v>0.18200000000000002</v>
      </c>
      <c r="AJ905" s="10">
        <v>0.5</v>
      </c>
      <c r="AK905" s="10">
        <v>0.5</v>
      </c>
      <c r="AL905" s="21">
        <v>5.22</v>
      </c>
      <c r="AM905" s="9">
        <f t="shared" ref="AM905:AM919" si="312">0.15*AG905</f>
        <v>2.625</v>
      </c>
      <c r="AN905" s="9">
        <f t="shared" ref="AN905:AN919" si="313">0.03*AG905</f>
        <v>0.52500000000000002</v>
      </c>
      <c r="AO905" s="9">
        <f t="shared" ref="AO905:AO919" si="314">0.2*AG905</f>
        <v>3.5</v>
      </c>
      <c r="AP905" s="9">
        <f t="shared" ref="AP905:AP919" si="315">0.02*AG905</f>
        <v>0.35000000000000003</v>
      </c>
      <c r="AQ905" s="9">
        <f t="shared" ref="AQ905:AQ919" si="316">0.2*AG905</f>
        <v>3.5</v>
      </c>
      <c r="AR905" s="9">
        <f t="shared" ref="AR905:AR919" si="317">0.25*AG905</f>
        <v>4.375</v>
      </c>
      <c r="AS905" s="11">
        <f t="shared" ref="AS905:AS919" si="318">(AG905*(1-(0.15+0.03+0.2+0.02))-AJ905-AK905-AL905-AQ905)/(1+0.1+0.4)</f>
        <v>0.52000000000000013</v>
      </c>
      <c r="AT905" s="12">
        <f t="shared" ref="AT905:AT919" si="319">(AG905*(1-(0.15+0.03+0.2+0.02))-AJ905-AK905-AL905-AR905)/(1+0.1+0.4)</f>
        <v>-6.3333333333333172E-2</v>
      </c>
    </row>
    <row r="906" spans="1:46" ht="16.5" x14ac:dyDescent="0.4">
      <c r="A906" s="4" t="s">
        <v>4104</v>
      </c>
      <c r="B906" s="4" t="s">
        <v>4118</v>
      </c>
      <c r="C906" s="4" t="s">
        <v>4120</v>
      </c>
      <c r="D906" s="4" t="s">
        <v>4122</v>
      </c>
      <c r="E906" s="4" t="s">
        <v>4137</v>
      </c>
      <c r="F906" s="4" t="s">
        <v>4152</v>
      </c>
      <c r="G906" s="7" t="str">
        <f>VLOOKUP(A906,[1]done!$A:$I,9,0)</f>
        <v>Other crawling insects</v>
      </c>
      <c r="H906" s="7" t="str" cm="1">
        <f t="array" ref="H906">_xlfn.IFS(
OR(ISNUMBER(SEARCH("mouse",E906)),ISNUMBER(SEARCH("rat",E906)),ISNUMBER(SEARCH("mice",E906)),ISNUMBER(SEARCH("rodent",E906))),"Rodent Control",
OR(ISNUMBER(SEARCH("fly",E906)),ISNUMBER(SEARCH("gnat",E906)),ISNUMBER(SEARCH("insect",E906)),ISNUMBER(SEARCH("mosquito",E906))),"Flying Insect Control",
OR(ISNUMBER(SEARCH("roach",E906)),ISNUMBER(SEARCH("ant",E906)),ISNUMBER(SEARCH("spider",E906)),ISNUMBER(SEARCH("cricket",E906)),ISNUMBER(SEARCH("scorpion",E906)),ISNUMBER(SEARCH("centipede",E906)),ISNUMBER(SEARCH("beetle",E906))),"Crawling Insect Control",
OR(ISNUMBER(SEARCH("tree",E906)),ISNUMBER(SEARCH("lantern",E906)),ISNUMBER(SEARCH("garden",E906)),ISNUMBER(SEARCH("plant",E906))),"Garden Pest Control",
OR(ISNUMBER(SEARCH("grass seed",E906)),ISNUMBER(SEARCH("seed mix",E906))),"Grass Seed",
OR(ISNUMBER(SEARCH("lawn food",E906)),ISNUMBER(SEARCH("fertilizer",E906))),"Lawn Fertilizer",
OR(ISNUMBER(SEARCH("patch",E906)),ISNUMBER(SEARCH("repair",E906)),ISNUMBER(SEARCH("thick'r",E906)),ISNUMBER(SEARCH("thick'r lawn",E906)),ISNUMBER(SEARCH("rapid grass",E906))),"Lawn Repair",
OR(ISNUMBER(SEARCH("weed",E906)),ISNUMBER(SEARCH("crabgrass",E906))),"Weed Control",
OR(ISNUMBER(SEARCH("fungicide",E906)),ISNUMBER(SEARCH("moss",E906))),"Disease &amp; Moss Control",
OR(ISNUMBER(SEARCH("plant food",E906)),ISNUMBER(SEARCH("miracid",E906))),"Plant Nutrition",
OR(ISNUMBER(SEARCH("perlite",E906))),"Soil Amendment",
OR(ISNUMBER(SEARCH("spreader",E906)),ISNUMBER(SEARCH("sprayer",E906)),ISNUMBER(SEARCH("mower",E906)),ISNUMBER(SEARCH("sweeper",E906)),ISNUMBER(SEARCH("pruner",E906)),ISNUMBER(SEARCH("trimmer",E906)),ISNUMBER(SEARCH("pole saw",E906))),"Garden Equipment",
TRUE,"Other"
)</f>
        <v>Crawling Insect Control</v>
      </c>
      <c r="I906" s="7" t="str" cm="1">
        <f t="array" ref="I906">_xlfn.IFS(
OR(ISNUMBER(SEARCH("glue trap",E906)),ISNUMBER(SEARCH("glue board",E906))),"Glue Traps",
OR(ISNUMBER(SEARCH("snap trap",E906)),ISNUMBER(SEARCH("power-kill",E906)),ISNUMBER(SEARCH("wide pedal",E906)),ISNUMBER(SEARCH("metal pedal",E906))),"Snap Traps",
OR(ISNUMBER(SEARCH("electronic",E906)),ISNUMBER(SEARCH("zapper",E906))),"Electronic Traps",
OR(ISNUMBER(SEARCH("live catch",E906)),ISNUMBER(SEARCH("multi-catch",E906)),ISNUMBER(SEARCH("catch &amp; hold",E906)),ISNUMBER(SEARCH("tin cat",E906))),"Live Catch Traps",
OR(ISNUMBER(SEARCH("bait",E906)),ISNUMBER(SEARCH("poison",E906))),"Bait &amp; Poison",
ISNUMBER(SEARCH("repellent",E906)),"Repellents",
OR(ISNUMBER(SEARCH("fly trap",E906)),ISNUMBER(SEARCH("fly ribbon",E906)),ISNUMBER(SEARCH("fly stick",E906)),ISNUMBER(SEARCH("window fly",E906)),ISNUMBER(SEARCH("fly magnet",E906))),"Fly Traps",
OR(ISNUMBER(SEARCH("uv",E906)),ISNUMBER(SEARCH("fly light",E906)),ISNUMBER(SEARCH("plug-in",E906))),"UV Fly Traps",
ISNUMBER(SEARCH("roach",E906)),"Roach Traps",
ISNUMBER(SEARCH("ant",E906)),"Ant Traps",
ISNUMBER(SEARCH("spider",E906)),"Spider Traps",
ISNUMBER(SEARCH("mosquito",E906)),"Mosquito Traps",
ISNUMBER(SEARCH("beetle",E906)),"Beetle Traps",
ISNUMBER(SEARCH("lantern",E906)),"Lanternfly Control",
OR(ISNUMBER(SEARCH("tree shield",E906)),ISNUMBER(SEARCH("tree banding",E906)),ISNUMBER(SEARCH("insect barrier",E906))),"Tree Barriers",
OR(ISNUMBER(SEARCH("sun &amp; shade",E906)),ISNUMBER(SEARCH("sun and shade",E906))),"Sun &amp; Shade Mix",
ISNUMBER(SEARCH("tall fescue",E906)),"Tall Fescue",
ISNUMBER(SEARCH("bermudagrass",E906)),"Bermudagrass",
ISNUMBER(SEARCH("kentucky",E906)),"Kentucky Bluegrass",
ISNUMBER(SEARCH("zoysia",E906)),"Zoysia",
ISNUMBER(SEARCH("ryegrass",E906)),"Perennial Ryegrass",
ISNUMBER(SEARCH("centipede",E906)),"Centipede Grass",
ISNUMBER(SEARCH("dense shade",E906)),"Dense Shade Mix",
ISNUMBER(SEARCH("southern gold",E906)),"Southern Gold Mix",
ISNUMBER(SEARCH("heat-tolerant blue",E906)),"Heat-Tolerant Blue Mix",
ISNUMBER(SEARCH("high traffic",E906)),"High Traffic Mix",
ISNUMBER(SEARCH("quick fix",E906)),"Quick Fix Mix",
ISNUMBER(SEARCH("starter",E906)),"Starter Fertilizer",
ISNUMBER(SEARCH("weed &amp; feed",E906)),"Weed &amp; Feed",
ISNUMBER(SEARCH("lawn food",E906)),"Lawn Food",
ISNUMBER(SEARCH("triple action",E906)),"Triple Action Fertilizer",
ISNUMBER(SEARCH("green max",E906)),"Green Max Lawn Food",
ISNUMBER(SEARCH("patchmaster",E906)),"PatchMaster Repair",
ISNUMBER(SEARCH("ez seed",E906)),"EZ Seed Repair",
ISNUMBER(SEARCH("rapid grass",E906)),"Rapid Grass",
ISNUMBER(SEARCH("thick'r lawn",E906)),"Thick'R Lawn",
ISNUMBER(SEARCH("fungicide",E906)),"Fungicide",
ISNUMBER(SEARCH("moss",E906)),"Moss Control",
ISNUMBER(SEARCH("perlite",E906)),"Perlite",
ISNUMBER(SEARCH("plant food",E906)),"Plant Food",
ISNUMBER(SEARCH("spreader",E906)),"Spreader",
ISNUMBER(SEARCH("sprayer",E906)),"Sprayer",
ISNUMBER(SEARCH("mower",E906)),"Lawn Mower",
ISNUMBER(SEARCH("sweeper",E906)),"Lawn Sweeper",
OR(ISNUMBER(SEARCH("pruner",E906)),ISNUMBER(SEARCH("trimmer",E906)),ISNUMBER(SEARCH("pole saw",E906))),"Pruning Tools",
TRUE,"Other"
)</f>
        <v>Repellents</v>
      </c>
      <c r="J906" s="7" t="str">
        <f t="shared" si="304"/>
        <v>Crawling Insect Control - Repellents</v>
      </c>
      <c r="K906" s="4">
        <v>5000</v>
      </c>
      <c r="L906" s="4">
        <v>4.2</v>
      </c>
      <c r="M906" s="4">
        <v>10701</v>
      </c>
      <c r="N906" s="4" t="s">
        <v>3670</v>
      </c>
      <c r="O906" s="4">
        <f>VLOOKUP(A906,[20]Sheet1!$A:$M,2,0)</f>
        <v>200</v>
      </c>
      <c r="P906" s="4">
        <f>VLOOKUP(A906,[20]Sheet1!$A:$M,3,0)</f>
        <v>1000</v>
      </c>
      <c r="Q906" s="4">
        <f>VLOOKUP(A906,[20]Sheet1!$A:$M,4,0)</f>
        <v>2000</v>
      </c>
      <c r="R906" s="4">
        <f>VLOOKUP(A906,[20]Sheet1!$A:$M,5,0)</f>
        <v>4000</v>
      </c>
      <c r="S906" s="4">
        <f>VLOOKUP(A906,[20]Sheet1!$A:$M,6,0)</f>
        <v>7000</v>
      </c>
      <c r="T906" s="4">
        <f>VLOOKUP(A906,[20]Sheet1!$A:$M,7,0)</f>
        <v>2600</v>
      </c>
      <c r="U906" s="4">
        <f>VLOOKUP(A906,[20]Sheet1!$A:$M,8,0)</f>
        <v>2000</v>
      </c>
      <c r="V906" s="4">
        <f>VLOOKUP(A906,[20]Sheet1!$A:$M,9,0)</f>
        <v>3000</v>
      </c>
      <c r="W906" s="4">
        <f>VLOOKUP(A906,[20]Sheet1!$A:$M,10,0)</f>
        <v>5000</v>
      </c>
      <c r="X906" s="4">
        <f>VLOOKUP(A906,[20]Sheet1!$A:$M,11,0)</f>
        <v>7000</v>
      </c>
      <c r="Y906" s="4">
        <f>VLOOKUP(A906,[20]Sheet1!$A:$M,12,0)</f>
        <v>3000</v>
      </c>
      <c r="Z906" s="4">
        <f>VLOOKUP(A906,[20]Sheet1!$A:$M,13,0)</f>
        <v>1000</v>
      </c>
      <c r="AA906" s="4">
        <f t="shared" si="305"/>
        <v>37800</v>
      </c>
      <c r="AB906" s="7">
        <f t="shared" si="306"/>
        <v>3150</v>
      </c>
      <c r="AC906" s="15">
        <f t="shared" si="307"/>
        <v>3150</v>
      </c>
      <c r="AD906" s="16">
        <f t="shared" si="308"/>
        <v>830844</v>
      </c>
      <c r="AE906" s="16">
        <f t="shared" si="309"/>
        <v>69237</v>
      </c>
      <c r="AF906" s="21">
        <v>5.22</v>
      </c>
      <c r="AG906" s="21">
        <v>21.98</v>
      </c>
      <c r="AH906" s="15">
        <f t="shared" si="310"/>
        <v>0.17146666666666674</v>
      </c>
      <c r="AI906" s="15">
        <f t="shared" si="311"/>
        <v>0.60013333333333352</v>
      </c>
      <c r="AJ906" s="10">
        <v>0.5</v>
      </c>
      <c r="AK906" s="10">
        <v>0.5</v>
      </c>
      <c r="AL906" s="21">
        <v>5.22</v>
      </c>
      <c r="AM906" s="9">
        <f t="shared" si="312"/>
        <v>3.2970000000000002</v>
      </c>
      <c r="AN906" s="9">
        <f t="shared" si="313"/>
        <v>0.65939999999999999</v>
      </c>
      <c r="AO906" s="9">
        <f t="shared" si="314"/>
        <v>4.3959999999999999</v>
      </c>
      <c r="AP906" s="9">
        <f t="shared" si="315"/>
        <v>0.43959999999999999</v>
      </c>
      <c r="AQ906" s="9">
        <f t="shared" si="316"/>
        <v>4.3959999999999999</v>
      </c>
      <c r="AR906" s="9">
        <f t="shared" si="317"/>
        <v>5.4950000000000001</v>
      </c>
      <c r="AS906" s="11">
        <f t="shared" si="318"/>
        <v>1.7146666666666672</v>
      </c>
      <c r="AT906" s="12">
        <f t="shared" si="319"/>
        <v>0.98200000000000054</v>
      </c>
    </row>
    <row r="907" spans="1:46" ht="16.5" x14ac:dyDescent="0.4">
      <c r="A907" s="4" t="s">
        <v>4105</v>
      </c>
      <c r="B907" s="4" t="s">
        <v>4118</v>
      </c>
      <c r="C907" s="4" t="s">
        <v>4120</v>
      </c>
      <c r="D907" s="4" t="s">
        <v>4123</v>
      </c>
      <c r="E907" s="4" t="s">
        <v>4138</v>
      </c>
      <c r="F907" s="4" t="s">
        <v>4153</v>
      </c>
      <c r="G907" s="7" t="str">
        <f>VLOOKUP(A907,[1]done!$A:$I,9,0)</f>
        <v>Oil based pest repellent</v>
      </c>
      <c r="H907" s="7" t="str" cm="1">
        <f t="array" ref="H907">_xlfn.IFS(
OR(ISNUMBER(SEARCH("mouse",E907)),ISNUMBER(SEARCH("rat",E907)),ISNUMBER(SEARCH("mice",E907)),ISNUMBER(SEARCH("rodent",E907))),"Rodent Control",
OR(ISNUMBER(SEARCH("fly",E907)),ISNUMBER(SEARCH("gnat",E907)),ISNUMBER(SEARCH("insect",E907)),ISNUMBER(SEARCH("mosquito",E907))),"Flying Insect Control",
OR(ISNUMBER(SEARCH("roach",E907)),ISNUMBER(SEARCH("ant",E907)),ISNUMBER(SEARCH("spider",E907)),ISNUMBER(SEARCH("cricket",E907)),ISNUMBER(SEARCH("scorpion",E907)),ISNUMBER(SEARCH("centipede",E907)),ISNUMBER(SEARCH("beetle",E907))),"Crawling Insect Control",
OR(ISNUMBER(SEARCH("tree",E907)),ISNUMBER(SEARCH("lantern",E907)),ISNUMBER(SEARCH("garden",E907)),ISNUMBER(SEARCH("plant",E907))),"Garden Pest Control",
OR(ISNUMBER(SEARCH("grass seed",E907)),ISNUMBER(SEARCH("seed mix",E907))),"Grass Seed",
OR(ISNUMBER(SEARCH("lawn food",E907)),ISNUMBER(SEARCH("fertilizer",E907))),"Lawn Fertilizer",
OR(ISNUMBER(SEARCH("patch",E907)),ISNUMBER(SEARCH("repair",E907)),ISNUMBER(SEARCH("thick'r",E907)),ISNUMBER(SEARCH("thick'r lawn",E907)),ISNUMBER(SEARCH("rapid grass",E907))),"Lawn Repair",
OR(ISNUMBER(SEARCH("weed",E907)),ISNUMBER(SEARCH("crabgrass",E907))),"Weed Control",
OR(ISNUMBER(SEARCH("fungicide",E907)),ISNUMBER(SEARCH("moss",E907))),"Disease &amp; Moss Control",
OR(ISNUMBER(SEARCH("plant food",E907)),ISNUMBER(SEARCH("miracid",E907))),"Plant Nutrition",
OR(ISNUMBER(SEARCH("perlite",E907))),"Soil Amendment",
OR(ISNUMBER(SEARCH("spreader",E907)),ISNUMBER(SEARCH("sprayer",E907)),ISNUMBER(SEARCH("mower",E907)),ISNUMBER(SEARCH("sweeper",E907)),ISNUMBER(SEARCH("pruner",E907)),ISNUMBER(SEARCH("trimmer",E907)),ISNUMBER(SEARCH("pole saw",E907))),"Garden Equipment",
TRUE,"Other"
)</f>
        <v>Flying Insect Control</v>
      </c>
      <c r="I907" s="7" t="str" cm="1">
        <f t="array" ref="I907">_xlfn.IFS(
OR(ISNUMBER(SEARCH("glue trap",E907)),ISNUMBER(SEARCH("glue board",E907))),"Glue Traps",
OR(ISNUMBER(SEARCH("snap trap",E907)),ISNUMBER(SEARCH("power-kill",E907)),ISNUMBER(SEARCH("wide pedal",E907)),ISNUMBER(SEARCH("metal pedal",E907))),"Snap Traps",
OR(ISNUMBER(SEARCH("electronic",E907)),ISNUMBER(SEARCH("zapper",E907))),"Electronic Traps",
OR(ISNUMBER(SEARCH("live catch",E907)),ISNUMBER(SEARCH("multi-catch",E907)),ISNUMBER(SEARCH("catch &amp; hold",E907)),ISNUMBER(SEARCH("tin cat",E907))),"Live Catch Traps",
OR(ISNUMBER(SEARCH("bait",E907)),ISNUMBER(SEARCH("poison",E907))),"Bait &amp; Poison",
ISNUMBER(SEARCH("repellent",E907)),"Repellents",
OR(ISNUMBER(SEARCH("fly trap",E907)),ISNUMBER(SEARCH("fly ribbon",E907)),ISNUMBER(SEARCH("fly stick",E907)),ISNUMBER(SEARCH("window fly",E907)),ISNUMBER(SEARCH("fly magnet",E907))),"Fly Traps",
OR(ISNUMBER(SEARCH("uv",E907)),ISNUMBER(SEARCH("fly light",E907)),ISNUMBER(SEARCH("plug-in",E907))),"UV Fly Traps",
ISNUMBER(SEARCH("roach",E907)),"Roach Traps",
ISNUMBER(SEARCH("ant",E907)),"Ant Traps",
ISNUMBER(SEARCH("spider",E907)),"Spider Traps",
ISNUMBER(SEARCH("mosquito",E907)),"Mosquito Traps",
ISNUMBER(SEARCH("beetle",E907)),"Beetle Traps",
ISNUMBER(SEARCH("lantern",E907)),"Lanternfly Control",
OR(ISNUMBER(SEARCH("tree shield",E907)),ISNUMBER(SEARCH("tree banding",E907)),ISNUMBER(SEARCH("insect barrier",E907))),"Tree Barriers",
OR(ISNUMBER(SEARCH("sun &amp; shade",E907)),ISNUMBER(SEARCH("sun and shade",E907))),"Sun &amp; Shade Mix",
ISNUMBER(SEARCH("tall fescue",E907)),"Tall Fescue",
ISNUMBER(SEARCH("bermudagrass",E907)),"Bermudagrass",
ISNUMBER(SEARCH("kentucky",E907)),"Kentucky Bluegrass",
ISNUMBER(SEARCH("zoysia",E907)),"Zoysia",
ISNUMBER(SEARCH("ryegrass",E907)),"Perennial Ryegrass",
ISNUMBER(SEARCH("centipede",E907)),"Centipede Grass",
ISNUMBER(SEARCH("dense shade",E907)),"Dense Shade Mix",
ISNUMBER(SEARCH("southern gold",E907)),"Southern Gold Mix",
ISNUMBER(SEARCH("heat-tolerant blue",E907)),"Heat-Tolerant Blue Mix",
ISNUMBER(SEARCH("high traffic",E907)),"High Traffic Mix",
ISNUMBER(SEARCH("quick fix",E907)),"Quick Fix Mix",
ISNUMBER(SEARCH("starter",E907)),"Starter Fertilizer",
ISNUMBER(SEARCH("weed &amp; feed",E907)),"Weed &amp; Feed",
ISNUMBER(SEARCH("lawn food",E907)),"Lawn Food",
ISNUMBER(SEARCH("triple action",E907)),"Triple Action Fertilizer",
ISNUMBER(SEARCH("green max",E907)),"Green Max Lawn Food",
ISNUMBER(SEARCH("patchmaster",E907)),"PatchMaster Repair",
ISNUMBER(SEARCH("ez seed",E907)),"EZ Seed Repair",
ISNUMBER(SEARCH("rapid grass",E907)),"Rapid Grass",
ISNUMBER(SEARCH("thick'r lawn",E907)),"Thick'R Lawn",
ISNUMBER(SEARCH("fungicide",E907)),"Fungicide",
ISNUMBER(SEARCH("moss",E907)),"Moss Control",
ISNUMBER(SEARCH("perlite",E907)),"Perlite",
ISNUMBER(SEARCH("plant food",E907)),"Plant Food",
ISNUMBER(SEARCH("spreader",E907)),"Spreader",
ISNUMBER(SEARCH("sprayer",E907)),"Sprayer",
ISNUMBER(SEARCH("mower",E907)),"Lawn Mower",
ISNUMBER(SEARCH("sweeper",E907)),"Lawn Sweeper",
OR(ISNUMBER(SEARCH("pruner",E907)),ISNUMBER(SEARCH("trimmer",E907)),ISNUMBER(SEARCH("pole saw",E907))),"Pruning Tools",
TRUE,"Other"
)</f>
        <v>Repellents</v>
      </c>
      <c r="J907" s="7" t="str">
        <f t="shared" si="304"/>
        <v>Flying Insect Control - Repellents</v>
      </c>
      <c r="K907" s="4">
        <v>4000</v>
      </c>
      <c r="L907" s="4">
        <v>4.2</v>
      </c>
      <c r="M907" s="4">
        <v>1849</v>
      </c>
      <c r="N907" s="4" t="s">
        <v>2136</v>
      </c>
      <c r="O907" s="4">
        <f>VLOOKUP(A907,[20]Sheet1!$A:$M,2,0)</f>
        <v>200</v>
      </c>
      <c r="P907" s="4">
        <f>VLOOKUP(A907,[20]Sheet1!$A:$M,3,0)</f>
        <v>700</v>
      </c>
      <c r="Q907" s="4">
        <f>VLOOKUP(A907,[20]Sheet1!$A:$M,4,0)</f>
        <v>1000</v>
      </c>
      <c r="R907" s="4">
        <f>VLOOKUP(A907,[20]Sheet1!$A:$M,5,0)</f>
        <v>5000</v>
      </c>
      <c r="S907" s="4">
        <f>VLOOKUP(A907,[20]Sheet1!$A:$M,6,0)</f>
        <v>5000</v>
      </c>
      <c r="T907" s="4">
        <f>VLOOKUP(A907,[20]Sheet1!$A:$M,7,0)</f>
        <v>3000</v>
      </c>
      <c r="U907" s="4">
        <f>VLOOKUP(A907,[20]Sheet1!$A:$M,8,0)</f>
        <v>5000</v>
      </c>
      <c r="V907" s="4">
        <f>VLOOKUP(A907,[20]Sheet1!$A:$M,9,0)</f>
        <v>4000</v>
      </c>
      <c r="W907" s="4">
        <f>VLOOKUP(A907,[20]Sheet1!$A:$M,10,0)</f>
        <v>4000</v>
      </c>
      <c r="X907" s="4">
        <f>VLOOKUP(A907,[20]Sheet1!$A:$M,11,0)</f>
        <v>2000</v>
      </c>
      <c r="Y907" s="4">
        <f>VLOOKUP(A907,[20]Sheet1!$A:$M,12,0)</f>
        <v>1000</v>
      </c>
      <c r="Z907" s="4">
        <f>VLOOKUP(A907,[20]Sheet1!$A:$M,13,0)</f>
        <v>400</v>
      </c>
      <c r="AA907" s="4">
        <f t="shared" si="305"/>
        <v>31300</v>
      </c>
      <c r="AB907" s="7">
        <f t="shared" si="306"/>
        <v>2608</v>
      </c>
      <c r="AC907" s="15">
        <f t="shared" si="307"/>
        <v>2608.3333333333335</v>
      </c>
      <c r="AD907" s="16">
        <f t="shared" si="308"/>
        <v>1157474</v>
      </c>
      <c r="AE907" s="16">
        <f t="shared" si="309"/>
        <v>96456.166666666657</v>
      </c>
      <c r="AF907" s="21">
        <v>9.1999999999999993</v>
      </c>
      <c r="AG907" s="21">
        <v>36.979999999999997</v>
      </c>
      <c r="AH907" s="15">
        <f t="shared" si="310"/>
        <v>0.30613333333333337</v>
      </c>
      <c r="AI907" s="15">
        <f t="shared" si="311"/>
        <v>1.0714666666666666</v>
      </c>
      <c r="AJ907" s="10">
        <v>0.5</v>
      </c>
      <c r="AK907" s="10">
        <v>0.5</v>
      </c>
      <c r="AL907" s="21">
        <v>9.1999999999999993</v>
      </c>
      <c r="AM907" s="9">
        <f t="shared" si="312"/>
        <v>5.5469999999999997</v>
      </c>
      <c r="AN907" s="9">
        <f t="shared" si="313"/>
        <v>1.1093999999999999</v>
      </c>
      <c r="AO907" s="9">
        <f t="shared" si="314"/>
        <v>7.3959999999999999</v>
      </c>
      <c r="AP907" s="9">
        <f t="shared" si="315"/>
        <v>0.73959999999999992</v>
      </c>
      <c r="AQ907" s="9">
        <f t="shared" si="316"/>
        <v>7.3959999999999999</v>
      </c>
      <c r="AR907" s="9">
        <f t="shared" si="317"/>
        <v>9.2449999999999992</v>
      </c>
      <c r="AS907" s="11">
        <f t="shared" si="318"/>
        <v>3.0613333333333332</v>
      </c>
      <c r="AT907" s="12">
        <f t="shared" si="319"/>
        <v>1.8286666666666669</v>
      </c>
    </row>
    <row r="908" spans="1:46" ht="16.5" x14ac:dyDescent="0.4">
      <c r="A908" s="4" t="s">
        <v>4106</v>
      </c>
      <c r="B908" s="4" t="s">
        <v>4118</v>
      </c>
      <c r="C908" s="4" t="s">
        <v>4120</v>
      </c>
      <c r="D908" s="4" t="s">
        <v>4124</v>
      </c>
      <c r="E908" s="4" t="s">
        <v>4139</v>
      </c>
      <c r="F908" s="4" t="s">
        <v>4154</v>
      </c>
      <c r="G908" s="7" t="str">
        <f>VLOOKUP(A908,[1]done!$A:$I,9,0)</f>
        <v>Rodent</v>
      </c>
      <c r="H908" s="7" t="str" cm="1">
        <f t="array" ref="H908">_xlfn.IFS(
OR(ISNUMBER(SEARCH("mouse",E908)),ISNUMBER(SEARCH("rat",E908)),ISNUMBER(SEARCH("mice",E908)),ISNUMBER(SEARCH("rodent",E908))),"Rodent Control",
OR(ISNUMBER(SEARCH("fly",E908)),ISNUMBER(SEARCH("gnat",E908)),ISNUMBER(SEARCH("insect",E908)),ISNUMBER(SEARCH("mosquito",E908))),"Flying Insect Control",
OR(ISNUMBER(SEARCH("roach",E908)),ISNUMBER(SEARCH("ant",E908)),ISNUMBER(SEARCH("spider",E908)),ISNUMBER(SEARCH("cricket",E908)),ISNUMBER(SEARCH("scorpion",E908)),ISNUMBER(SEARCH("centipede",E908)),ISNUMBER(SEARCH("beetle",E908))),"Crawling Insect Control",
OR(ISNUMBER(SEARCH("tree",E908)),ISNUMBER(SEARCH("lantern",E908)),ISNUMBER(SEARCH("garden",E908)),ISNUMBER(SEARCH("plant",E908))),"Garden Pest Control",
OR(ISNUMBER(SEARCH("grass seed",E908)),ISNUMBER(SEARCH("seed mix",E908))),"Grass Seed",
OR(ISNUMBER(SEARCH("lawn food",E908)),ISNUMBER(SEARCH("fertilizer",E908))),"Lawn Fertilizer",
OR(ISNUMBER(SEARCH("patch",E908)),ISNUMBER(SEARCH("repair",E908)),ISNUMBER(SEARCH("thick'r",E908)),ISNUMBER(SEARCH("thick'r lawn",E908)),ISNUMBER(SEARCH("rapid grass",E908))),"Lawn Repair",
OR(ISNUMBER(SEARCH("weed",E908)),ISNUMBER(SEARCH("crabgrass",E908))),"Weed Control",
OR(ISNUMBER(SEARCH("fungicide",E908)),ISNUMBER(SEARCH("moss",E908))),"Disease &amp; Moss Control",
OR(ISNUMBER(SEARCH("plant food",E908)),ISNUMBER(SEARCH("miracid",E908))),"Plant Nutrition",
OR(ISNUMBER(SEARCH("perlite",E908))),"Soil Amendment",
OR(ISNUMBER(SEARCH("spreader",E908)),ISNUMBER(SEARCH("sprayer",E908)),ISNUMBER(SEARCH("mower",E908)),ISNUMBER(SEARCH("sweeper",E908)),ISNUMBER(SEARCH("pruner",E908)),ISNUMBER(SEARCH("trimmer",E908)),ISNUMBER(SEARCH("pole saw",E908))),"Garden Equipment",
TRUE,"Other"
)</f>
        <v>Rodent Control</v>
      </c>
      <c r="I908" s="7" t="str" cm="1">
        <f t="array" ref="I908">_xlfn.IFS(
OR(ISNUMBER(SEARCH("glue trap",E908)),ISNUMBER(SEARCH("glue board",E908))),"Glue Traps",
OR(ISNUMBER(SEARCH("snap trap",E908)),ISNUMBER(SEARCH("power-kill",E908)),ISNUMBER(SEARCH("wide pedal",E908)),ISNUMBER(SEARCH("metal pedal",E908))),"Snap Traps",
OR(ISNUMBER(SEARCH("electronic",E908)),ISNUMBER(SEARCH("zapper",E908))),"Electronic Traps",
OR(ISNUMBER(SEARCH("live catch",E908)),ISNUMBER(SEARCH("multi-catch",E908)),ISNUMBER(SEARCH("catch &amp; hold",E908)),ISNUMBER(SEARCH("tin cat",E908))),"Live Catch Traps",
OR(ISNUMBER(SEARCH("bait",E908)),ISNUMBER(SEARCH("poison",E908))),"Bait &amp; Poison",
ISNUMBER(SEARCH("repellent",E908)),"Repellents",
OR(ISNUMBER(SEARCH("fly trap",E908)),ISNUMBER(SEARCH("fly ribbon",E908)),ISNUMBER(SEARCH("fly stick",E908)),ISNUMBER(SEARCH("window fly",E908)),ISNUMBER(SEARCH("fly magnet",E908))),"Fly Traps",
OR(ISNUMBER(SEARCH("uv",E908)),ISNUMBER(SEARCH("fly light",E908)),ISNUMBER(SEARCH("plug-in",E908))),"UV Fly Traps",
ISNUMBER(SEARCH("roach",E908)),"Roach Traps",
ISNUMBER(SEARCH("ant",E908)),"Ant Traps",
ISNUMBER(SEARCH("spider",E908)),"Spider Traps",
ISNUMBER(SEARCH("mosquito",E908)),"Mosquito Traps",
ISNUMBER(SEARCH("beetle",E908)),"Beetle Traps",
ISNUMBER(SEARCH("lantern",E908)),"Lanternfly Control",
OR(ISNUMBER(SEARCH("tree shield",E908)),ISNUMBER(SEARCH("tree banding",E908)),ISNUMBER(SEARCH("insect barrier",E908))),"Tree Barriers",
OR(ISNUMBER(SEARCH("sun &amp; shade",E908)),ISNUMBER(SEARCH("sun and shade",E908))),"Sun &amp; Shade Mix",
ISNUMBER(SEARCH("tall fescue",E908)),"Tall Fescue",
ISNUMBER(SEARCH("bermudagrass",E908)),"Bermudagrass",
ISNUMBER(SEARCH("kentucky",E908)),"Kentucky Bluegrass",
ISNUMBER(SEARCH("zoysia",E908)),"Zoysia",
ISNUMBER(SEARCH("ryegrass",E908)),"Perennial Ryegrass",
ISNUMBER(SEARCH("centipede",E908)),"Centipede Grass",
ISNUMBER(SEARCH("dense shade",E908)),"Dense Shade Mix",
ISNUMBER(SEARCH("southern gold",E908)),"Southern Gold Mix",
ISNUMBER(SEARCH("heat-tolerant blue",E908)),"Heat-Tolerant Blue Mix",
ISNUMBER(SEARCH("high traffic",E908)),"High Traffic Mix",
ISNUMBER(SEARCH("quick fix",E908)),"Quick Fix Mix",
ISNUMBER(SEARCH("starter",E908)),"Starter Fertilizer",
ISNUMBER(SEARCH("weed &amp; feed",E908)),"Weed &amp; Feed",
ISNUMBER(SEARCH("lawn food",E908)),"Lawn Food",
ISNUMBER(SEARCH("triple action",E908)),"Triple Action Fertilizer",
ISNUMBER(SEARCH("green max",E908)),"Green Max Lawn Food",
ISNUMBER(SEARCH("patchmaster",E908)),"PatchMaster Repair",
ISNUMBER(SEARCH("ez seed",E908)),"EZ Seed Repair",
ISNUMBER(SEARCH("rapid grass",E908)),"Rapid Grass",
ISNUMBER(SEARCH("thick'r lawn",E908)),"Thick'R Lawn",
ISNUMBER(SEARCH("fungicide",E908)),"Fungicide",
ISNUMBER(SEARCH("moss",E908)),"Moss Control",
ISNUMBER(SEARCH("perlite",E908)),"Perlite",
ISNUMBER(SEARCH("plant food",E908)),"Plant Food",
ISNUMBER(SEARCH("spreader",E908)),"Spreader",
ISNUMBER(SEARCH("sprayer",E908)),"Sprayer",
ISNUMBER(SEARCH("mower",E908)),"Lawn Mower",
ISNUMBER(SEARCH("sweeper",E908)),"Lawn Sweeper",
OR(ISNUMBER(SEARCH("pruner",E908)),ISNUMBER(SEARCH("trimmer",E908)),ISNUMBER(SEARCH("pole saw",E908))),"Pruning Tools",
TRUE,"Other"
)</f>
        <v>Repellents</v>
      </c>
      <c r="J908" s="7" t="str">
        <f t="shared" si="304"/>
        <v>Rodent Control - Repellents</v>
      </c>
      <c r="K908" s="4">
        <v>3000</v>
      </c>
      <c r="L908" s="4">
        <v>4</v>
      </c>
      <c r="M908" s="4">
        <v>4209</v>
      </c>
      <c r="N908" s="4" t="s">
        <v>4166</v>
      </c>
      <c r="O908" s="4">
        <f>VLOOKUP(A908,[20]Sheet1!$A:$M,2,0)</f>
        <v>2000</v>
      </c>
      <c r="P908" s="4">
        <f>VLOOKUP(A908,[20]Sheet1!$A:$M,3,0)</f>
        <v>4000</v>
      </c>
      <c r="Q908" s="4">
        <f>VLOOKUP(A908,[20]Sheet1!$A:$M,4,0)</f>
        <v>5000</v>
      </c>
      <c r="R908" s="4">
        <f>VLOOKUP(A908,[20]Sheet1!$A:$M,5,0)</f>
        <v>5000</v>
      </c>
      <c r="S908" s="4">
        <f>VLOOKUP(A908,[20]Sheet1!$A:$M,6,0)</f>
        <v>9000</v>
      </c>
      <c r="T908" s="4">
        <f>VLOOKUP(A908,[20]Sheet1!$A:$M,7,0)</f>
        <v>2000</v>
      </c>
      <c r="U908" s="4">
        <f>VLOOKUP(A908,[20]Sheet1!$A:$M,8,0)</f>
        <v>2000</v>
      </c>
      <c r="V908" s="4">
        <f>VLOOKUP(A908,[20]Sheet1!$A:$M,9,0)</f>
        <v>3000</v>
      </c>
      <c r="W908" s="4">
        <f>VLOOKUP(A908,[20]Sheet1!$A:$M,10,0)</f>
        <v>3000</v>
      </c>
      <c r="X908" s="4">
        <f>VLOOKUP(A908,[20]Sheet1!$A:$M,11,0)</f>
        <v>4000</v>
      </c>
      <c r="Y908" s="4">
        <f>VLOOKUP(A908,[20]Sheet1!$A:$M,12,0)</f>
        <v>6000</v>
      </c>
      <c r="Z908" s="4">
        <f>VLOOKUP(A908,[20]Sheet1!$A:$M,13,0)</f>
        <v>4000</v>
      </c>
      <c r="AA908" s="4">
        <f t="shared" si="305"/>
        <v>49000</v>
      </c>
      <c r="AB908" s="7">
        <f t="shared" si="306"/>
        <v>4083</v>
      </c>
      <c r="AC908" s="15">
        <f t="shared" si="307"/>
        <v>4083.3333333333335</v>
      </c>
      <c r="AD908" s="16">
        <f t="shared" si="308"/>
        <v>1469510</v>
      </c>
      <c r="AE908" s="16">
        <f t="shared" si="309"/>
        <v>122459.16666666667</v>
      </c>
      <c r="AF908" s="21">
        <v>5.52</v>
      </c>
      <c r="AG908" s="21">
        <v>29.99</v>
      </c>
      <c r="AH908" s="15">
        <f t="shared" si="310"/>
        <v>0.36506666666666665</v>
      </c>
      <c r="AI908" s="15">
        <f t="shared" si="311"/>
        <v>1.2777333333333332</v>
      </c>
      <c r="AJ908" s="10">
        <v>0.5</v>
      </c>
      <c r="AK908" s="10">
        <v>0.5</v>
      </c>
      <c r="AL908" s="21">
        <v>5.52</v>
      </c>
      <c r="AM908" s="9">
        <f t="shared" si="312"/>
        <v>4.4984999999999999</v>
      </c>
      <c r="AN908" s="9">
        <f t="shared" si="313"/>
        <v>0.89969999999999994</v>
      </c>
      <c r="AO908" s="9">
        <f t="shared" si="314"/>
        <v>5.9980000000000002</v>
      </c>
      <c r="AP908" s="9">
        <f t="shared" si="315"/>
        <v>0.5998</v>
      </c>
      <c r="AQ908" s="9">
        <f t="shared" si="316"/>
        <v>5.9980000000000002</v>
      </c>
      <c r="AR908" s="9">
        <f t="shared" si="317"/>
        <v>7.4974999999999996</v>
      </c>
      <c r="AS908" s="11">
        <f t="shared" si="318"/>
        <v>3.6506666666666665</v>
      </c>
      <c r="AT908" s="12">
        <f t="shared" si="319"/>
        <v>2.6510000000000002</v>
      </c>
    </row>
    <row r="909" spans="1:46" ht="16.5" x14ac:dyDescent="0.4">
      <c r="A909" s="4" t="s">
        <v>4107</v>
      </c>
      <c r="B909" s="4" t="s">
        <v>4118</v>
      </c>
      <c r="C909" s="4" t="s">
        <v>4120</v>
      </c>
      <c r="D909" s="4" t="s">
        <v>4125</v>
      </c>
      <c r="E909" s="4" t="s">
        <v>4140</v>
      </c>
      <c r="F909" s="4" t="s">
        <v>4155</v>
      </c>
      <c r="G909" s="7" t="str">
        <f>VLOOKUP(A909,[1]done!$A:$I,9,0)</f>
        <v>Oil based pest repellent</v>
      </c>
      <c r="H909" s="7" t="str" cm="1">
        <f t="array" ref="H909">_xlfn.IFS(
OR(ISNUMBER(SEARCH("mouse",E909)),ISNUMBER(SEARCH("rat",E909)),ISNUMBER(SEARCH("mice",E909)),ISNUMBER(SEARCH("rodent",E909))),"Rodent Control",
OR(ISNUMBER(SEARCH("fly",E909)),ISNUMBER(SEARCH("gnat",E909)),ISNUMBER(SEARCH("insect",E909)),ISNUMBER(SEARCH("mosquito",E909))),"Flying Insect Control",
OR(ISNUMBER(SEARCH("roach",E909)),ISNUMBER(SEARCH("ant",E909)),ISNUMBER(SEARCH("spider",E909)),ISNUMBER(SEARCH("cricket",E909)),ISNUMBER(SEARCH("scorpion",E909)),ISNUMBER(SEARCH("centipede",E909)),ISNUMBER(SEARCH("beetle",E909))),"Crawling Insect Control",
OR(ISNUMBER(SEARCH("tree",E909)),ISNUMBER(SEARCH("lantern",E909)),ISNUMBER(SEARCH("garden",E909)),ISNUMBER(SEARCH("plant",E909))),"Garden Pest Control",
OR(ISNUMBER(SEARCH("grass seed",E909)),ISNUMBER(SEARCH("seed mix",E909))),"Grass Seed",
OR(ISNUMBER(SEARCH("lawn food",E909)),ISNUMBER(SEARCH("fertilizer",E909))),"Lawn Fertilizer",
OR(ISNUMBER(SEARCH("patch",E909)),ISNUMBER(SEARCH("repair",E909)),ISNUMBER(SEARCH("thick'r",E909)),ISNUMBER(SEARCH("thick'r lawn",E909)),ISNUMBER(SEARCH("rapid grass",E909))),"Lawn Repair",
OR(ISNUMBER(SEARCH("weed",E909)),ISNUMBER(SEARCH("crabgrass",E909))),"Weed Control",
OR(ISNUMBER(SEARCH("fungicide",E909)),ISNUMBER(SEARCH("moss",E909))),"Disease &amp; Moss Control",
OR(ISNUMBER(SEARCH("plant food",E909)),ISNUMBER(SEARCH("miracid",E909))),"Plant Nutrition",
OR(ISNUMBER(SEARCH("perlite",E909))),"Soil Amendment",
OR(ISNUMBER(SEARCH("spreader",E909)),ISNUMBER(SEARCH("sprayer",E909)),ISNUMBER(SEARCH("mower",E909)),ISNUMBER(SEARCH("sweeper",E909)),ISNUMBER(SEARCH("pruner",E909)),ISNUMBER(SEARCH("trimmer",E909)),ISNUMBER(SEARCH("pole saw",E909))),"Garden Equipment",
TRUE,"Other"
)</f>
        <v>Flying Insect Control</v>
      </c>
      <c r="I909" s="7" t="str" cm="1">
        <f t="array" ref="I909">_xlfn.IFS(
OR(ISNUMBER(SEARCH("glue trap",E909)),ISNUMBER(SEARCH("glue board",E909))),"Glue Traps",
OR(ISNUMBER(SEARCH("snap trap",E909)),ISNUMBER(SEARCH("power-kill",E909)),ISNUMBER(SEARCH("wide pedal",E909)),ISNUMBER(SEARCH("metal pedal",E909))),"Snap Traps",
OR(ISNUMBER(SEARCH("electronic",E909)),ISNUMBER(SEARCH("zapper",E909))),"Electronic Traps",
OR(ISNUMBER(SEARCH("live catch",E909)),ISNUMBER(SEARCH("multi-catch",E909)),ISNUMBER(SEARCH("catch &amp; hold",E909)),ISNUMBER(SEARCH("tin cat",E909))),"Live Catch Traps",
OR(ISNUMBER(SEARCH("bait",E909)),ISNUMBER(SEARCH("poison",E909))),"Bait &amp; Poison",
ISNUMBER(SEARCH("repellent",E909)),"Repellents",
OR(ISNUMBER(SEARCH("fly trap",E909)),ISNUMBER(SEARCH("fly ribbon",E909)),ISNUMBER(SEARCH("fly stick",E909)),ISNUMBER(SEARCH("window fly",E909)),ISNUMBER(SEARCH("fly magnet",E909))),"Fly Traps",
OR(ISNUMBER(SEARCH("uv",E909)),ISNUMBER(SEARCH("fly light",E909)),ISNUMBER(SEARCH("plug-in",E909))),"UV Fly Traps",
ISNUMBER(SEARCH("roach",E909)),"Roach Traps",
ISNUMBER(SEARCH("ant",E909)),"Ant Traps",
ISNUMBER(SEARCH("spider",E909)),"Spider Traps",
ISNUMBER(SEARCH("mosquito",E909)),"Mosquito Traps",
ISNUMBER(SEARCH("beetle",E909)),"Beetle Traps",
ISNUMBER(SEARCH("lantern",E909)),"Lanternfly Control",
OR(ISNUMBER(SEARCH("tree shield",E909)),ISNUMBER(SEARCH("tree banding",E909)),ISNUMBER(SEARCH("insect barrier",E909))),"Tree Barriers",
OR(ISNUMBER(SEARCH("sun &amp; shade",E909)),ISNUMBER(SEARCH("sun and shade",E909))),"Sun &amp; Shade Mix",
ISNUMBER(SEARCH("tall fescue",E909)),"Tall Fescue",
ISNUMBER(SEARCH("bermudagrass",E909)),"Bermudagrass",
ISNUMBER(SEARCH("kentucky",E909)),"Kentucky Bluegrass",
ISNUMBER(SEARCH("zoysia",E909)),"Zoysia",
ISNUMBER(SEARCH("ryegrass",E909)),"Perennial Ryegrass",
ISNUMBER(SEARCH("centipede",E909)),"Centipede Grass",
ISNUMBER(SEARCH("dense shade",E909)),"Dense Shade Mix",
ISNUMBER(SEARCH("southern gold",E909)),"Southern Gold Mix",
ISNUMBER(SEARCH("heat-tolerant blue",E909)),"Heat-Tolerant Blue Mix",
ISNUMBER(SEARCH("high traffic",E909)),"High Traffic Mix",
ISNUMBER(SEARCH("quick fix",E909)),"Quick Fix Mix",
ISNUMBER(SEARCH("starter",E909)),"Starter Fertilizer",
ISNUMBER(SEARCH("weed &amp; feed",E909)),"Weed &amp; Feed",
ISNUMBER(SEARCH("lawn food",E909)),"Lawn Food",
ISNUMBER(SEARCH("triple action",E909)),"Triple Action Fertilizer",
ISNUMBER(SEARCH("green max",E909)),"Green Max Lawn Food",
ISNUMBER(SEARCH("patchmaster",E909)),"PatchMaster Repair",
ISNUMBER(SEARCH("ez seed",E909)),"EZ Seed Repair",
ISNUMBER(SEARCH("rapid grass",E909)),"Rapid Grass",
ISNUMBER(SEARCH("thick'r lawn",E909)),"Thick'R Lawn",
ISNUMBER(SEARCH("fungicide",E909)),"Fungicide",
ISNUMBER(SEARCH("moss",E909)),"Moss Control",
ISNUMBER(SEARCH("perlite",E909)),"Perlite",
ISNUMBER(SEARCH("plant food",E909)),"Plant Food",
ISNUMBER(SEARCH("spreader",E909)),"Spreader",
ISNUMBER(SEARCH("sprayer",E909)),"Sprayer",
ISNUMBER(SEARCH("mower",E909)),"Lawn Mower",
ISNUMBER(SEARCH("sweeper",E909)),"Lawn Sweeper",
OR(ISNUMBER(SEARCH("pruner",E909)),ISNUMBER(SEARCH("trimmer",E909)),ISNUMBER(SEARCH("pole saw",E909))),"Pruning Tools",
TRUE,"Other"
)</f>
        <v>Repellents</v>
      </c>
      <c r="J909" s="7" t="str">
        <f t="shared" si="304"/>
        <v>Flying Insect Control - Repellents</v>
      </c>
      <c r="K909" s="4">
        <v>2000</v>
      </c>
      <c r="L909" s="4">
        <v>4.2</v>
      </c>
      <c r="M909" s="4">
        <v>66509</v>
      </c>
      <c r="N909" s="4" t="s">
        <v>4167</v>
      </c>
      <c r="O909" s="4">
        <f>VLOOKUP(A909,[20]Sheet1!$A:$M,2,0)</f>
        <v>0</v>
      </c>
      <c r="P909" s="4">
        <f>VLOOKUP(A909,[20]Sheet1!$A:$M,3,0)</f>
        <v>1000</v>
      </c>
      <c r="Q909" s="4">
        <f>VLOOKUP(A909,[20]Sheet1!$A:$M,4,0)</f>
        <v>1000</v>
      </c>
      <c r="R909" s="4">
        <f>VLOOKUP(A909,[20]Sheet1!$A:$M,5,0)</f>
        <v>1000</v>
      </c>
      <c r="S909" s="4">
        <f>VLOOKUP(A909,[20]Sheet1!$A:$M,6,0)</f>
        <v>2000</v>
      </c>
      <c r="T909" s="4">
        <f>VLOOKUP(A909,[20]Sheet1!$A:$M,7,0)</f>
        <v>3000</v>
      </c>
      <c r="U909" s="4">
        <f>VLOOKUP(A909,[20]Sheet1!$A:$M,8,0)</f>
        <v>4000</v>
      </c>
      <c r="V909" s="4">
        <f>VLOOKUP(A909,[20]Sheet1!$A:$M,9,0)</f>
        <v>4000</v>
      </c>
      <c r="W909" s="4">
        <f>VLOOKUP(A909,[20]Sheet1!$A:$M,10,0)</f>
        <v>2000</v>
      </c>
      <c r="X909" s="4">
        <f>VLOOKUP(A909,[20]Sheet1!$A:$M,11,0)</f>
        <v>2000</v>
      </c>
      <c r="Y909" s="4">
        <f>VLOOKUP(A909,[20]Sheet1!$A:$M,12,0)</f>
        <v>1000</v>
      </c>
      <c r="Z909" s="4">
        <f>VLOOKUP(A909,[20]Sheet1!$A:$M,13,0)</f>
        <v>1000</v>
      </c>
      <c r="AA909" s="4">
        <f t="shared" si="305"/>
        <v>22000</v>
      </c>
      <c r="AB909" s="7">
        <f t="shared" si="306"/>
        <v>1833</v>
      </c>
      <c r="AC909" s="15">
        <f t="shared" si="307"/>
        <v>1833.3333333333333</v>
      </c>
      <c r="AD909" s="16">
        <f t="shared" si="308"/>
        <v>692560</v>
      </c>
      <c r="AE909" s="16">
        <f t="shared" si="309"/>
        <v>57713.333333333328</v>
      </c>
      <c r="AF909" s="21">
        <v>6.31</v>
      </c>
      <c r="AG909" s="21">
        <v>31.48</v>
      </c>
      <c r="AH909" s="15">
        <f t="shared" si="310"/>
        <v>0.3521333333333333</v>
      </c>
      <c r="AI909" s="15">
        <f t="shared" si="311"/>
        <v>1.2324666666666664</v>
      </c>
      <c r="AJ909" s="10">
        <v>0.5</v>
      </c>
      <c r="AK909" s="10">
        <v>0.5</v>
      </c>
      <c r="AL909" s="21">
        <v>6.31</v>
      </c>
      <c r="AM909" s="9">
        <f t="shared" si="312"/>
        <v>4.7219999999999995</v>
      </c>
      <c r="AN909" s="9">
        <f t="shared" si="313"/>
        <v>0.94440000000000002</v>
      </c>
      <c r="AO909" s="9">
        <f t="shared" si="314"/>
        <v>6.2960000000000003</v>
      </c>
      <c r="AP909" s="9">
        <f t="shared" si="315"/>
        <v>0.62960000000000005</v>
      </c>
      <c r="AQ909" s="9">
        <f t="shared" si="316"/>
        <v>6.2960000000000003</v>
      </c>
      <c r="AR909" s="9">
        <f t="shared" si="317"/>
        <v>7.87</v>
      </c>
      <c r="AS909" s="11">
        <f t="shared" si="318"/>
        <v>3.5213333333333328</v>
      </c>
      <c r="AT909" s="12">
        <f t="shared" si="319"/>
        <v>2.4719999999999995</v>
      </c>
    </row>
    <row r="910" spans="1:46" ht="16.5" x14ac:dyDescent="0.4">
      <c r="A910" s="4" t="s">
        <v>4108</v>
      </c>
      <c r="B910" s="4" t="s">
        <v>4118</v>
      </c>
      <c r="C910" s="4" t="s">
        <v>4120</v>
      </c>
      <c r="D910" s="4" t="s">
        <v>4126</v>
      </c>
      <c r="E910" s="4" t="s">
        <v>4141</v>
      </c>
      <c r="F910" s="4" t="s">
        <v>4156</v>
      </c>
      <c r="G910" s="7" t="str">
        <f>VLOOKUP(A910,[1]done!$A:$I,9,0)</f>
        <v>Other crawling insects</v>
      </c>
      <c r="H910" s="7" t="str" cm="1">
        <f t="array" ref="H910">_xlfn.IFS(
OR(ISNUMBER(SEARCH("mouse",E910)),ISNUMBER(SEARCH("rat",E910)),ISNUMBER(SEARCH("mice",E910)),ISNUMBER(SEARCH("rodent",E910))),"Rodent Control",
OR(ISNUMBER(SEARCH("fly",E910)),ISNUMBER(SEARCH("gnat",E910)),ISNUMBER(SEARCH("insect",E910)),ISNUMBER(SEARCH("mosquito",E910))),"Flying Insect Control",
OR(ISNUMBER(SEARCH("roach",E910)),ISNUMBER(SEARCH("ant",E910)),ISNUMBER(SEARCH("spider",E910)),ISNUMBER(SEARCH("cricket",E910)),ISNUMBER(SEARCH("scorpion",E910)),ISNUMBER(SEARCH("centipede",E910)),ISNUMBER(SEARCH("beetle",E910))),"Crawling Insect Control",
OR(ISNUMBER(SEARCH("tree",E910)),ISNUMBER(SEARCH("lantern",E910)),ISNUMBER(SEARCH("garden",E910)),ISNUMBER(SEARCH("plant",E910))),"Garden Pest Control",
OR(ISNUMBER(SEARCH("grass seed",E910)),ISNUMBER(SEARCH("seed mix",E910))),"Grass Seed",
OR(ISNUMBER(SEARCH("lawn food",E910)),ISNUMBER(SEARCH("fertilizer",E910))),"Lawn Fertilizer",
OR(ISNUMBER(SEARCH("patch",E910)),ISNUMBER(SEARCH("repair",E910)),ISNUMBER(SEARCH("thick'r",E910)),ISNUMBER(SEARCH("thick'r lawn",E910)),ISNUMBER(SEARCH("rapid grass",E910))),"Lawn Repair",
OR(ISNUMBER(SEARCH("weed",E910)),ISNUMBER(SEARCH("crabgrass",E910))),"Weed Control",
OR(ISNUMBER(SEARCH("fungicide",E910)),ISNUMBER(SEARCH("moss",E910))),"Disease &amp; Moss Control",
OR(ISNUMBER(SEARCH("plant food",E910)),ISNUMBER(SEARCH("miracid",E910))),"Plant Nutrition",
OR(ISNUMBER(SEARCH("perlite",E910))),"Soil Amendment",
OR(ISNUMBER(SEARCH("spreader",E910)),ISNUMBER(SEARCH("sprayer",E910)),ISNUMBER(SEARCH("mower",E910)),ISNUMBER(SEARCH("sweeper",E910)),ISNUMBER(SEARCH("pruner",E910)),ISNUMBER(SEARCH("trimmer",E910)),ISNUMBER(SEARCH("pole saw",E910))),"Garden Equipment",
TRUE,"Other"
)</f>
        <v>Crawling Insect Control</v>
      </c>
      <c r="I910" s="7" t="str" cm="1">
        <f t="array" ref="I910">_xlfn.IFS(
OR(ISNUMBER(SEARCH("glue trap",E910)),ISNUMBER(SEARCH("glue board",E910))),"Glue Traps",
OR(ISNUMBER(SEARCH("snap trap",E910)),ISNUMBER(SEARCH("power-kill",E910)),ISNUMBER(SEARCH("wide pedal",E910)),ISNUMBER(SEARCH("metal pedal",E910))),"Snap Traps",
OR(ISNUMBER(SEARCH("electronic",E910)),ISNUMBER(SEARCH("zapper",E910))),"Electronic Traps",
OR(ISNUMBER(SEARCH("live catch",E910)),ISNUMBER(SEARCH("multi-catch",E910)),ISNUMBER(SEARCH("catch &amp; hold",E910)),ISNUMBER(SEARCH("tin cat",E910))),"Live Catch Traps",
OR(ISNUMBER(SEARCH("bait",E910)),ISNUMBER(SEARCH("poison",E910))),"Bait &amp; Poison",
ISNUMBER(SEARCH("repellent",E910)),"Repellents",
OR(ISNUMBER(SEARCH("fly trap",E910)),ISNUMBER(SEARCH("fly ribbon",E910)),ISNUMBER(SEARCH("fly stick",E910)),ISNUMBER(SEARCH("window fly",E910)),ISNUMBER(SEARCH("fly magnet",E910))),"Fly Traps",
OR(ISNUMBER(SEARCH("uv",E910)),ISNUMBER(SEARCH("fly light",E910)),ISNUMBER(SEARCH("plug-in",E910))),"UV Fly Traps",
ISNUMBER(SEARCH("roach",E910)),"Roach Traps",
ISNUMBER(SEARCH("ant",E910)),"Ant Traps",
ISNUMBER(SEARCH("spider",E910)),"Spider Traps",
ISNUMBER(SEARCH("mosquito",E910)),"Mosquito Traps",
ISNUMBER(SEARCH("beetle",E910)),"Beetle Traps",
ISNUMBER(SEARCH("lantern",E910)),"Lanternfly Control",
OR(ISNUMBER(SEARCH("tree shield",E910)),ISNUMBER(SEARCH("tree banding",E910)),ISNUMBER(SEARCH("insect barrier",E910))),"Tree Barriers",
OR(ISNUMBER(SEARCH("sun &amp; shade",E910)),ISNUMBER(SEARCH("sun and shade",E910))),"Sun &amp; Shade Mix",
ISNUMBER(SEARCH("tall fescue",E910)),"Tall Fescue",
ISNUMBER(SEARCH("bermudagrass",E910)),"Bermudagrass",
ISNUMBER(SEARCH("kentucky",E910)),"Kentucky Bluegrass",
ISNUMBER(SEARCH("zoysia",E910)),"Zoysia",
ISNUMBER(SEARCH("ryegrass",E910)),"Perennial Ryegrass",
ISNUMBER(SEARCH("centipede",E910)),"Centipede Grass",
ISNUMBER(SEARCH("dense shade",E910)),"Dense Shade Mix",
ISNUMBER(SEARCH("southern gold",E910)),"Southern Gold Mix",
ISNUMBER(SEARCH("heat-tolerant blue",E910)),"Heat-Tolerant Blue Mix",
ISNUMBER(SEARCH("high traffic",E910)),"High Traffic Mix",
ISNUMBER(SEARCH("quick fix",E910)),"Quick Fix Mix",
ISNUMBER(SEARCH("starter",E910)),"Starter Fertilizer",
ISNUMBER(SEARCH("weed &amp; feed",E910)),"Weed &amp; Feed",
ISNUMBER(SEARCH("lawn food",E910)),"Lawn Food",
ISNUMBER(SEARCH("triple action",E910)),"Triple Action Fertilizer",
ISNUMBER(SEARCH("green max",E910)),"Green Max Lawn Food",
ISNUMBER(SEARCH("patchmaster",E910)),"PatchMaster Repair",
ISNUMBER(SEARCH("ez seed",E910)),"EZ Seed Repair",
ISNUMBER(SEARCH("rapid grass",E910)),"Rapid Grass",
ISNUMBER(SEARCH("thick'r lawn",E910)),"Thick'R Lawn",
ISNUMBER(SEARCH("fungicide",E910)),"Fungicide",
ISNUMBER(SEARCH("moss",E910)),"Moss Control",
ISNUMBER(SEARCH("perlite",E910)),"Perlite",
ISNUMBER(SEARCH("plant food",E910)),"Plant Food",
ISNUMBER(SEARCH("spreader",E910)),"Spreader",
ISNUMBER(SEARCH("sprayer",E910)),"Sprayer",
ISNUMBER(SEARCH("mower",E910)),"Lawn Mower",
ISNUMBER(SEARCH("sweeper",E910)),"Lawn Sweeper",
OR(ISNUMBER(SEARCH("pruner",E910)),ISNUMBER(SEARCH("trimmer",E910)),ISNUMBER(SEARCH("pole saw",E910))),"Pruning Tools",
TRUE,"Other"
)</f>
        <v>Ant Traps</v>
      </c>
      <c r="J910" s="7" t="str">
        <f t="shared" si="304"/>
        <v>Crawling Insect Control - Ant Traps</v>
      </c>
      <c r="K910" s="4">
        <v>2000</v>
      </c>
      <c r="L910" s="4">
        <v>4.2</v>
      </c>
      <c r="M910" s="4">
        <v>4764</v>
      </c>
      <c r="N910" s="4" t="s">
        <v>3670</v>
      </c>
      <c r="O910" s="4">
        <f>VLOOKUP(A910,[20]Sheet1!$A:$M,2,0)</f>
        <v>600</v>
      </c>
      <c r="P910" s="4">
        <f>VLOOKUP(A910,[20]Sheet1!$A:$M,3,0)</f>
        <v>600</v>
      </c>
      <c r="Q910" s="4">
        <f>VLOOKUP(A910,[20]Sheet1!$A:$M,4,0)</f>
        <v>1000</v>
      </c>
      <c r="R910" s="4">
        <f>VLOOKUP(A910,[20]Sheet1!$A:$M,5,0)</f>
        <v>5000</v>
      </c>
      <c r="S910" s="4">
        <f>VLOOKUP(A910,[20]Sheet1!$A:$M,6,0)</f>
        <v>6000</v>
      </c>
      <c r="T910" s="4">
        <f>VLOOKUP(A910,[20]Sheet1!$A:$M,7,0)</f>
        <v>5000</v>
      </c>
      <c r="U910" s="4">
        <f>VLOOKUP(A910,[20]Sheet1!$A:$M,8,0)</f>
        <v>5000</v>
      </c>
      <c r="V910" s="4">
        <f>VLOOKUP(A910,[20]Sheet1!$A:$M,9,0)</f>
        <v>4000</v>
      </c>
      <c r="W910" s="4">
        <f>VLOOKUP(A910,[20]Sheet1!$A:$M,10,0)</f>
        <v>2000</v>
      </c>
      <c r="X910" s="4">
        <f>VLOOKUP(A910,[20]Sheet1!$A:$M,11,0)</f>
        <v>2000</v>
      </c>
      <c r="Y910" s="4">
        <f>VLOOKUP(A910,[20]Sheet1!$A:$M,12,0)</f>
        <v>1000</v>
      </c>
      <c r="Z910" s="4">
        <f>VLOOKUP(A910,[20]Sheet1!$A:$M,13,0)</f>
        <v>1000</v>
      </c>
      <c r="AA910" s="4">
        <f t="shared" si="305"/>
        <v>33200</v>
      </c>
      <c r="AB910" s="7">
        <f t="shared" si="306"/>
        <v>2767</v>
      </c>
      <c r="AC910" s="15">
        <f t="shared" si="307"/>
        <v>2766.6666666666665</v>
      </c>
      <c r="AD910" s="16">
        <f t="shared" si="308"/>
        <v>729736</v>
      </c>
      <c r="AE910" s="16">
        <f t="shared" si="309"/>
        <v>60811.333333333328</v>
      </c>
      <c r="AF910" s="21">
        <v>5.22</v>
      </c>
      <c r="AG910" s="21">
        <v>21.98</v>
      </c>
      <c r="AH910" s="15">
        <f t="shared" si="310"/>
        <v>0.17146666666666674</v>
      </c>
      <c r="AI910" s="15">
        <f t="shared" si="311"/>
        <v>0.60013333333333352</v>
      </c>
      <c r="AJ910" s="10">
        <v>0.5</v>
      </c>
      <c r="AK910" s="10">
        <v>0.5</v>
      </c>
      <c r="AL910" s="21">
        <v>5.22</v>
      </c>
      <c r="AM910" s="9">
        <f t="shared" si="312"/>
        <v>3.2970000000000002</v>
      </c>
      <c r="AN910" s="9">
        <f t="shared" si="313"/>
        <v>0.65939999999999999</v>
      </c>
      <c r="AO910" s="9">
        <f t="shared" si="314"/>
        <v>4.3959999999999999</v>
      </c>
      <c r="AP910" s="9">
        <f t="shared" si="315"/>
        <v>0.43959999999999999</v>
      </c>
      <c r="AQ910" s="9">
        <f t="shared" si="316"/>
        <v>4.3959999999999999</v>
      </c>
      <c r="AR910" s="9">
        <f t="shared" si="317"/>
        <v>5.4950000000000001</v>
      </c>
      <c r="AS910" s="11">
        <f t="shared" si="318"/>
        <v>1.7146666666666672</v>
      </c>
      <c r="AT910" s="12">
        <f t="shared" si="319"/>
        <v>0.98200000000000054</v>
      </c>
    </row>
    <row r="911" spans="1:46" ht="16.5" x14ac:dyDescent="0.4">
      <c r="A911" s="4" t="s">
        <v>4109</v>
      </c>
      <c r="B911" s="4" t="s">
        <v>4118</v>
      </c>
      <c r="C911" s="4" t="s">
        <v>4120</v>
      </c>
      <c r="D911" s="4" t="s">
        <v>4127</v>
      </c>
      <c r="E911" s="4" t="s">
        <v>4142</v>
      </c>
      <c r="F911" s="4" t="s">
        <v>4157</v>
      </c>
      <c r="G911" s="7" t="str">
        <f>VLOOKUP(A911,[1]done!$A:$I,9,0)</f>
        <v>Other crawling insects</v>
      </c>
      <c r="H911" s="7" t="str" cm="1">
        <f t="array" ref="H911">_xlfn.IFS(
OR(ISNUMBER(SEARCH("mouse",E911)),ISNUMBER(SEARCH("rat",E911)),ISNUMBER(SEARCH("mice",E911)),ISNUMBER(SEARCH("rodent",E911))),"Rodent Control",
OR(ISNUMBER(SEARCH("fly",E911)),ISNUMBER(SEARCH("gnat",E911)),ISNUMBER(SEARCH("insect",E911)),ISNUMBER(SEARCH("mosquito",E911))),"Flying Insect Control",
OR(ISNUMBER(SEARCH("roach",E911)),ISNUMBER(SEARCH("ant",E911)),ISNUMBER(SEARCH("spider",E911)),ISNUMBER(SEARCH("cricket",E911)),ISNUMBER(SEARCH("scorpion",E911)),ISNUMBER(SEARCH("centipede",E911)),ISNUMBER(SEARCH("beetle",E911))),"Crawling Insect Control",
OR(ISNUMBER(SEARCH("tree",E911)),ISNUMBER(SEARCH("lantern",E911)),ISNUMBER(SEARCH("garden",E911)),ISNUMBER(SEARCH("plant",E911))),"Garden Pest Control",
OR(ISNUMBER(SEARCH("grass seed",E911)),ISNUMBER(SEARCH("seed mix",E911))),"Grass Seed",
OR(ISNUMBER(SEARCH("lawn food",E911)),ISNUMBER(SEARCH("fertilizer",E911))),"Lawn Fertilizer",
OR(ISNUMBER(SEARCH("patch",E911)),ISNUMBER(SEARCH("repair",E911)),ISNUMBER(SEARCH("thick'r",E911)),ISNUMBER(SEARCH("thick'r lawn",E911)),ISNUMBER(SEARCH("rapid grass",E911))),"Lawn Repair",
OR(ISNUMBER(SEARCH("weed",E911)),ISNUMBER(SEARCH("crabgrass",E911))),"Weed Control",
OR(ISNUMBER(SEARCH("fungicide",E911)),ISNUMBER(SEARCH("moss",E911))),"Disease &amp; Moss Control",
OR(ISNUMBER(SEARCH("plant food",E911)),ISNUMBER(SEARCH("miracid",E911))),"Plant Nutrition",
OR(ISNUMBER(SEARCH("perlite",E911))),"Soil Amendment",
OR(ISNUMBER(SEARCH("spreader",E911)),ISNUMBER(SEARCH("sprayer",E911)),ISNUMBER(SEARCH("mower",E911)),ISNUMBER(SEARCH("sweeper",E911)),ISNUMBER(SEARCH("pruner",E911)),ISNUMBER(SEARCH("trimmer",E911)),ISNUMBER(SEARCH("pole saw",E911))),"Garden Equipment",
TRUE,"Other"
)</f>
        <v>Crawling Insect Control</v>
      </c>
      <c r="I911" s="7" t="str" cm="1">
        <f t="array" ref="I911">_xlfn.IFS(
OR(ISNUMBER(SEARCH("glue trap",E911)),ISNUMBER(SEARCH("glue board",E911))),"Glue Traps",
OR(ISNUMBER(SEARCH("snap trap",E911)),ISNUMBER(SEARCH("power-kill",E911)),ISNUMBER(SEARCH("wide pedal",E911)),ISNUMBER(SEARCH("metal pedal",E911))),"Snap Traps",
OR(ISNUMBER(SEARCH("electronic",E911)),ISNUMBER(SEARCH("zapper",E911))),"Electronic Traps",
OR(ISNUMBER(SEARCH("live catch",E911)),ISNUMBER(SEARCH("multi-catch",E911)),ISNUMBER(SEARCH("catch &amp; hold",E911)),ISNUMBER(SEARCH("tin cat",E911))),"Live Catch Traps",
OR(ISNUMBER(SEARCH("bait",E911)),ISNUMBER(SEARCH("poison",E911))),"Bait &amp; Poison",
ISNUMBER(SEARCH("repellent",E911)),"Repellents",
OR(ISNUMBER(SEARCH("fly trap",E911)),ISNUMBER(SEARCH("fly ribbon",E911)),ISNUMBER(SEARCH("fly stick",E911)),ISNUMBER(SEARCH("window fly",E911)),ISNUMBER(SEARCH("fly magnet",E911))),"Fly Traps",
OR(ISNUMBER(SEARCH("uv",E911)),ISNUMBER(SEARCH("fly light",E911)),ISNUMBER(SEARCH("plug-in",E911))),"UV Fly Traps",
ISNUMBER(SEARCH("roach",E911)),"Roach Traps",
ISNUMBER(SEARCH("ant",E911)),"Ant Traps",
ISNUMBER(SEARCH("spider",E911)),"Spider Traps",
ISNUMBER(SEARCH("mosquito",E911)),"Mosquito Traps",
ISNUMBER(SEARCH("beetle",E911)),"Beetle Traps",
ISNUMBER(SEARCH("lantern",E911)),"Lanternfly Control",
OR(ISNUMBER(SEARCH("tree shield",E911)),ISNUMBER(SEARCH("tree banding",E911)),ISNUMBER(SEARCH("insect barrier",E911))),"Tree Barriers",
OR(ISNUMBER(SEARCH("sun &amp; shade",E911)),ISNUMBER(SEARCH("sun and shade",E911))),"Sun &amp; Shade Mix",
ISNUMBER(SEARCH("tall fescue",E911)),"Tall Fescue",
ISNUMBER(SEARCH("bermudagrass",E911)),"Bermudagrass",
ISNUMBER(SEARCH("kentucky",E911)),"Kentucky Bluegrass",
ISNUMBER(SEARCH("zoysia",E911)),"Zoysia",
ISNUMBER(SEARCH("ryegrass",E911)),"Perennial Ryegrass",
ISNUMBER(SEARCH("centipede",E911)),"Centipede Grass",
ISNUMBER(SEARCH("dense shade",E911)),"Dense Shade Mix",
ISNUMBER(SEARCH("southern gold",E911)),"Southern Gold Mix",
ISNUMBER(SEARCH("heat-tolerant blue",E911)),"Heat-Tolerant Blue Mix",
ISNUMBER(SEARCH("high traffic",E911)),"High Traffic Mix",
ISNUMBER(SEARCH("quick fix",E911)),"Quick Fix Mix",
ISNUMBER(SEARCH("starter",E911)),"Starter Fertilizer",
ISNUMBER(SEARCH("weed &amp; feed",E911)),"Weed &amp; Feed",
ISNUMBER(SEARCH("lawn food",E911)),"Lawn Food",
ISNUMBER(SEARCH("triple action",E911)),"Triple Action Fertilizer",
ISNUMBER(SEARCH("green max",E911)),"Green Max Lawn Food",
ISNUMBER(SEARCH("patchmaster",E911)),"PatchMaster Repair",
ISNUMBER(SEARCH("ez seed",E911)),"EZ Seed Repair",
ISNUMBER(SEARCH("rapid grass",E911)),"Rapid Grass",
ISNUMBER(SEARCH("thick'r lawn",E911)),"Thick'R Lawn",
ISNUMBER(SEARCH("fungicide",E911)),"Fungicide",
ISNUMBER(SEARCH("moss",E911)),"Moss Control",
ISNUMBER(SEARCH("perlite",E911)),"Perlite",
ISNUMBER(SEARCH("plant food",E911)),"Plant Food",
ISNUMBER(SEARCH("spreader",E911)),"Spreader",
ISNUMBER(SEARCH("sprayer",E911)),"Sprayer",
ISNUMBER(SEARCH("mower",E911)),"Lawn Mower",
ISNUMBER(SEARCH("sweeper",E911)),"Lawn Sweeper",
OR(ISNUMBER(SEARCH("pruner",E911)),ISNUMBER(SEARCH("trimmer",E911)),ISNUMBER(SEARCH("pole saw",E911))),"Pruning Tools",
TRUE,"Other"
)</f>
        <v>Ant Traps</v>
      </c>
      <c r="J911" s="7" t="str">
        <f t="shared" si="304"/>
        <v>Crawling Insect Control - Ant Traps</v>
      </c>
      <c r="K911" s="4">
        <v>1000</v>
      </c>
      <c r="L911" s="4">
        <v>4.2</v>
      </c>
      <c r="M911" s="4">
        <v>4605</v>
      </c>
      <c r="N911" s="4" t="s">
        <v>3670</v>
      </c>
      <c r="O911" s="4">
        <f>VLOOKUP(A911,[20]Sheet1!$A:$M,2,0)</f>
        <v>1000</v>
      </c>
      <c r="P911" s="4">
        <f>VLOOKUP(A911,[20]Sheet1!$A:$M,3,0)</f>
        <v>1000</v>
      </c>
      <c r="Q911" s="4">
        <f>VLOOKUP(A911,[20]Sheet1!$A:$M,4,0)</f>
        <v>1000</v>
      </c>
      <c r="R911" s="4">
        <f>VLOOKUP(A911,[20]Sheet1!$A:$M,5,0)</f>
        <v>2000</v>
      </c>
      <c r="S911" s="4">
        <f>VLOOKUP(A911,[20]Sheet1!$A:$M,6,0)</f>
        <v>3000</v>
      </c>
      <c r="T911" s="4">
        <f>VLOOKUP(A911,[20]Sheet1!$A:$M,7,0)</f>
        <v>4000</v>
      </c>
      <c r="U911" s="4">
        <f>VLOOKUP(A911,[20]Sheet1!$A:$M,8,0)</f>
        <v>2000</v>
      </c>
      <c r="V911" s="4">
        <f>VLOOKUP(A911,[20]Sheet1!$A:$M,9,0)</f>
        <v>2000</v>
      </c>
      <c r="W911" s="4">
        <f>VLOOKUP(A911,[20]Sheet1!$A:$M,10,0)</f>
        <v>1000</v>
      </c>
      <c r="X911" s="4">
        <f>VLOOKUP(A911,[20]Sheet1!$A:$M,11,0)</f>
        <v>2000</v>
      </c>
      <c r="Y911" s="4">
        <f>VLOOKUP(A911,[20]Sheet1!$A:$M,12,0)</f>
        <v>1000</v>
      </c>
      <c r="Z911" s="4">
        <f>VLOOKUP(A911,[20]Sheet1!$A:$M,13,0)</f>
        <v>2000</v>
      </c>
      <c r="AA911" s="4">
        <f t="shared" si="305"/>
        <v>22000</v>
      </c>
      <c r="AB911" s="7">
        <f t="shared" si="306"/>
        <v>1833</v>
      </c>
      <c r="AC911" s="15">
        <f t="shared" si="307"/>
        <v>1833.3333333333333</v>
      </c>
      <c r="AD911" s="16">
        <f t="shared" si="308"/>
        <v>483560</v>
      </c>
      <c r="AE911" s="16">
        <f t="shared" si="309"/>
        <v>40296.666666666664</v>
      </c>
      <c r="AF911" s="21">
        <v>5.22</v>
      </c>
      <c r="AG911" s="21">
        <v>21.98</v>
      </c>
      <c r="AH911" s="15">
        <f t="shared" si="310"/>
        <v>0.17146666666666674</v>
      </c>
      <c r="AI911" s="15">
        <f t="shared" si="311"/>
        <v>0.60013333333333352</v>
      </c>
      <c r="AJ911" s="10">
        <v>0.5</v>
      </c>
      <c r="AK911" s="10">
        <v>0.5</v>
      </c>
      <c r="AL911" s="21">
        <v>5.22</v>
      </c>
      <c r="AM911" s="9">
        <f t="shared" si="312"/>
        <v>3.2970000000000002</v>
      </c>
      <c r="AN911" s="9">
        <f t="shared" si="313"/>
        <v>0.65939999999999999</v>
      </c>
      <c r="AO911" s="9">
        <f t="shared" si="314"/>
        <v>4.3959999999999999</v>
      </c>
      <c r="AP911" s="9">
        <f t="shared" si="315"/>
        <v>0.43959999999999999</v>
      </c>
      <c r="AQ911" s="9">
        <f t="shared" si="316"/>
        <v>4.3959999999999999</v>
      </c>
      <c r="AR911" s="9">
        <f t="shared" si="317"/>
        <v>5.4950000000000001</v>
      </c>
      <c r="AS911" s="11">
        <f t="shared" si="318"/>
        <v>1.7146666666666672</v>
      </c>
      <c r="AT911" s="12">
        <f t="shared" si="319"/>
        <v>0.98200000000000054</v>
      </c>
    </row>
    <row r="912" spans="1:46" ht="16.5" x14ac:dyDescent="0.4">
      <c r="A912" s="4" t="s">
        <v>4110</v>
      </c>
      <c r="B912" s="4" t="s">
        <v>4118</v>
      </c>
      <c r="C912" s="4" t="s">
        <v>4120</v>
      </c>
      <c r="D912" s="4" t="s">
        <v>4128</v>
      </c>
      <c r="E912" s="4" t="s">
        <v>4143</v>
      </c>
      <c r="F912" s="4" t="s">
        <v>4158</v>
      </c>
      <c r="G912" s="7" t="str">
        <f>VLOOKUP(A912,[1]done!$A:$I,9,0)</f>
        <v>Rodent</v>
      </c>
      <c r="H912" s="7" t="str" cm="1">
        <f t="array" ref="H912">_xlfn.IFS(
OR(ISNUMBER(SEARCH("mouse",E912)),ISNUMBER(SEARCH("rat",E912)),ISNUMBER(SEARCH("mice",E912)),ISNUMBER(SEARCH("rodent",E912))),"Rodent Control",
OR(ISNUMBER(SEARCH("fly",E912)),ISNUMBER(SEARCH("gnat",E912)),ISNUMBER(SEARCH("insect",E912)),ISNUMBER(SEARCH("mosquito",E912))),"Flying Insect Control",
OR(ISNUMBER(SEARCH("roach",E912)),ISNUMBER(SEARCH("ant",E912)),ISNUMBER(SEARCH("spider",E912)),ISNUMBER(SEARCH("cricket",E912)),ISNUMBER(SEARCH("scorpion",E912)),ISNUMBER(SEARCH("centipede",E912)),ISNUMBER(SEARCH("beetle",E912))),"Crawling Insect Control",
OR(ISNUMBER(SEARCH("tree",E912)),ISNUMBER(SEARCH("lantern",E912)),ISNUMBER(SEARCH("garden",E912)),ISNUMBER(SEARCH("plant",E912))),"Garden Pest Control",
OR(ISNUMBER(SEARCH("grass seed",E912)),ISNUMBER(SEARCH("seed mix",E912))),"Grass Seed",
OR(ISNUMBER(SEARCH("lawn food",E912)),ISNUMBER(SEARCH("fertilizer",E912))),"Lawn Fertilizer",
OR(ISNUMBER(SEARCH("patch",E912)),ISNUMBER(SEARCH("repair",E912)),ISNUMBER(SEARCH("thick'r",E912)),ISNUMBER(SEARCH("thick'r lawn",E912)),ISNUMBER(SEARCH("rapid grass",E912))),"Lawn Repair",
OR(ISNUMBER(SEARCH("weed",E912)),ISNUMBER(SEARCH("crabgrass",E912))),"Weed Control",
OR(ISNUMBER(SEARCH("fungicide",E912)),ISNUMBER(SEARCH("moss",E912))),"Disease &amp; Moss Control",
OR(ISNUMBER(SEARCH("plant food",E912)),ISNUMBER(SEARCH("miracid",E912))),"Plant Nutrition",
OR(ISNUMBER(SEARCH("perlite",E912))),"Soil Amendment",
OR(ISNUMBER(SEARCH("spreader",E912)),ISNUMBER(SEARCH("sprayer",E912)),ISNUMBER(SEARCH("mower",E912)),ISNUMBER(SEARCH("sweeper",E912)),ISNUMBER(SEARCH("pruner",E912)),ISNUMBER(SEARCH("trimmer",E912)),ISNUMBER(SEARCH("pole saw",E912))),"Garden Equipment",
TRUE,"Other"
)</f>
        <v>Rodent Control</v>
      </c>
      <c r="I912" s="7" t="str" cm="1">
        <f t="array" ref="I912">_xlfn.IFS(
OR(ISNUMBER(SEARCH("glue trap",E912)),ISNUMBER(SEARCH("glue board",E912))),"Glue Traps",
OR(ISNUMBER(SEARCH("snap trap",E912)),ISNUMBER(SEARCH("power-kill",E912)),ISNUMBER(SEARCH("wide pedal",E912)),ISNUMBER(SEARCH("metal pedal",E912))),"Snap Traps",
OR(ISNUMBER(SEARCH("electronic",E912)),ISNUMBER(SEARCH("zapper",E912))),"Electronic Traps",
OR(ISNUMBER(SEARCH("live catch",E912)),ISNUMBER(SEARCH("multi-catch",E912)),ISNUMBER(SEARCH("catch &amp; hold",E912)),ISNUMBER(SEARCH("tin cat",E912))),"Live Catch Traps",
OR(ISNUMBER(SEARCH("bait",E912)),ISNUMBER(SEARCH("poison",E912))),"Bait &amp; Poison",
ISNUMBER(SEARCH("repellent",E912)),"Repellents",
OR(ISNUMBER(SEARCH("fly trap",E912)),ISNUMBER(SEARCH("fly ribbon",E912)),ISNUMBER(SEARCH("fly stick",E912)),ISNUMBER(SEARCH("window fly",E912)),ISNUMBER(SEARCH("fly magnet",E912))),"Fly Traps",
OR(ISNUMBER(SEARCH("uv",E912)),ISNUMBER(SEARCH("fly light",E912)),ISNUMBER(SEARCH("plug-in",E912))),"UV Fly Traps",
ISNUMBER(SEARCH("roach",E912)),"Roach Traps",
ISNUMBER(SEARCH("ant",E912)),"Ant Traps",
ISNUMBER(SEARCH("spider",E912)),"Spider Traps",
ISNUMBER(SEARCH("mosquito",E912)),"Mosquito Traps",
ISNUMBER(SEARCH("beetle",E912)),"Beetle Traps",
ISNUMBER(SEARCH("lantern",E912)),"Lanternfly Control",
OR(ISNUMBER(SEARCH("tree shield",E912)),ISNUMBER(SEARCH("tree banding",E912)),ISNUMBER(SEARCH("insect barrier",E912))),"Tree Barriers",
OR(ISNUMBER(SEARCH("sun &amp; shade",E912)),ISNUMBER(SEARCH("sun and shade",E912))),"Sun &amp; Shade Mix",
ISNUMBER(SEARCH("tall fescue",E912)),"Tall Fescue",
ISNUMBER(SEARCH("bermudagrass",E912)),"Bermudagrass",
ISNUMBER(SEARCH("kentucky",E912)),"Kentucky Bluegrass",
ISNUMBER(SEARCH("zoysia",E912)),"Zoysia",
ISNUMBER(SEARCH("ryegrass",E912)),"Perennial Ryegrass",
ISNUMBER(SEARCH("centipede",E912)),"Centipede Grass",
ISNUMBER(SEARCH("dense shade",E912)),"Dense Shade Mix",
ISNUMBER(SEARCH("southern gold",E912)),"Southern Gold Mix",
ISNUMBER(SEARCH("heat-tolerant blue",E912)),"Heat-Tolerant Blue Mix",
ISNUMBER(SEARCH("high traffic",E912)),"High Traffic Mix",
ISNUMBER(SEARCH("quick fix",E912)),"Quick Fix Mix",
ISNUMBER(SEARCH("starter",E912)),"Starter Fertilizer",
ISNUMBER(SEARCH("weed &amp; feed",E912)),"Weed &amp; Feed",
ISNUMBER(SEARCH("lawn food",E912)),"Lawn Food",
ISNUMBER(SEARCH("triple action",E912)),"Triple Action Fertilizer",
ISNUMBER(SEARCH("green max",E912)),"Green Max Lawn Food",
ISNUMBER(SEARCH("patchmaster",E912)),"PatchMaster Repair",
ISNUMBER(SEARCH("ez seed",E912)),"EZ Seed Repair",
ISNUMBER(SEARCH("rapid grass",E912)),"Rapid Grass",
ISNUMBER(SEARCH("thick'r lawn",E912)),"Thick'R Lawn",
ISNUMBER(SEARCH("fungicide",E912)),"Fungicide",
ISNUMBER(SEARCH("moss",E912)),"Moss Control",
ISNUMBER(SEARCH("perlite",E912)),"Perlite",
ISNUMBER(SEARCH("plant food",E912)),"Plant Food",
ISNUMBER(SEARCH("spreader",E912)),"Spreader",
ISNUMBER(SEARCH("sprayer",E912)),"Sprayer",
ISNUMBER(SEARCH("mower",E912)),"Lawn Mower",
ISNUMBER(SEARCH("sweeper",E912)),"Lawn Sweeper",
OR(ISNUMBER(SEARCH("pruner",E912)),ISNUMBER(SEARCH("trimmer",E912)),ISNUMBER(SEARCH("pole saw",E912))),"Pruning Tools",
TRUE,"Other"
)</f>
        <v>Repellents</v>
      </c>
      <c r="J912" s="7" t="str">
        <f t="shared" si="304"/>
        <v>Rodent Control - Repellents</v>
      </c>
      <c r="K912" s="4">
        <v>1000</v>
      </c>
      <c r="L912" s="4">
        <v>3.5</v>
      </c>
      <c r="M912" s="4">
        <v>6</v>
      </c>
      <c r="N912" s="4" t="s">
        <v>4168</v>
      </c>
      <c r="O912" s="4">
        <f>VLOOKUP(A912,[20]Sheet1!$A:$M,2,0)</f>
        <v>0</v>
      </c>
      <c r="P912" s="4">
        <f>VLOOKUP(A912,[20]Sheet1!$A:$M,3,0)</f>
        <v>0</v>
      </c>
      <c r="Q912" s="4">
        <f>VLOOKUP(A912,[20]Sheet1!$A:$M,4,0)</f>
        <v>400</v>
      </c>
      <c r="R912" s="4">
        <f>VLOOKUP(A912,[20]Sheet1!$A:$M,5,0)</f>
        <v>500</v>
      </c>
      <c r="S912" s="4">
        <f>VLOOKUP(A912,[20]Sheet1!$A:$M,6,0)</f>
        <v>700</v>
      </c>
      <c r="T912" s="4">
        <f>VLOOKUP(A912,[20]Sheet1!$A:$M,7,0)</f>
        <v>1000</v>
      </c>
      <c r="U912" s="4">
        <f>VLOOKUP(A912,[20]Sheet1!$A:$M,8,0)</f>
        <v>1000</v>
      </c>
      <c r="V912" s="4">
        <f>VLOOKUP(A912,[20]Sheet1!$A:$M,9,0)</f>
        <v>1000</v>
      </c>
      <c r="W912" s="4">
        <f>VLOOKUP(A912,[20]Sheet1!$A:$M,10,0)</f>
        <v>1000</v>
      </c>
      <c r="X912" s="4">
        <f>VLOOKUP(A912,[20]Sheet1!$A:$M,11,0)</f>
        <v>0</v>
      </c>
      <c r="Y912" s="4">
        <f>VLOOKUP(A912,[20]Sheet1!$A:$M,12,0)</f>
        <v>0</v>
      </c>
      <c r="Z912" s="4">
        <f>VLOOKUP(A912,[20]Sheet1!$A:$M,13,0)</f>
        <v>0</v>
      </c>
      <c r="AA912" s="4">
        <f t="shared" si="305"/>
        <v>5600</v>
      </c>
      <c r="AB912" s="7">
        <f t="shared" si="306"/>
        <v>467</v>
      </c>
      <c r="AC912" s="15">
        <f t="shared" si="307"/>
        <v>466.66666666666669</v>
      </c>
      <c r="AD912" s="16">
        <f t="shared" si="308"/>
        <v>145544</v>
      </c>
      <c r="AE912" s="16">
        <f t="shared" si="309"/>
        <v>12128.666666666666</v>
      </c>
      <c r="AF912" s="21">
        <v>5.22</v>
      </c>
      <c r="AG912" s="21">
        <v>25.99</v>
      </c>
      <c r="AH912" s="15">
        <f t="shared" si="310"/>
        <v>0.27839999999999993</v>
      </c>
      <c r="AI912" s="15">
        <f t="shared" si="311"/>
        <v>0.9743999999999996</v>
      </c>
      <c r="AJ912" s="10">
        <v>0.5</v>
      </c>
      <c r="AK912" s="10">
        <v>0.5</v>
      </c>
      <c r="AL912" s="21">
        <v>5.22</v>
      </c>
      <c r="AM912" s="9">
        <f t="shared" si="312"/>
        <v>3.8984999999999994</v>
      </c>
      <c r="AN912" s="9">
        <f t="shared" si="313"/>
        <v>0.77969999999999995</v>
      </c>
      <c r="AO912" s="9">
        <f t="shared" si="314"/>
        <v>5.1980000000000004</v>
      </c>
      <c r="AP912" s="9">
        <f t="shared" si="315"/>
        <v>0.51979999999999993</v>
      </c>
      <c r="AQ912" s="9">
        <f t="shared" si="316"/>
        <v>5.1980000000000004</v>
      </c>
      <c r="AR912" s="9">
        <f t="shared" si="317"/>
        <v>6.4974999999999996</v>
      </c>
      <c r="AS912" s="11">
        <f t="shared" si="318"/>
        <v>2.7839999999999989</v>
      </c>
      <c r="AT912" s="12">
        <f t="shared" si="319"/>
        <v>1.9176666666666662</v>
      </c>
    </row>
    <row r="913" spans="1:46" ht="16.5" x14ac:dyDescent="0.4">
      <c r="A913" s="4" t="s">
        <v>4111</v>
      </c>
      <c r="B913" s="4" t="s">
        <v>4118</v>
      </c>
      <c r="C913" s="4" t="s">
        <v>4120</v>
      </c>
      <c r="D913" s="4" t="s">
        <v>4129</v>
      </c>
      <c r="E913" s="4" t="s">
        <v>4144</v>
      </c>
      <c r="F913" s="4" t="s">
        <v>4159</v>
      </c>
      <c r="G913" s="7" t="str">
        <f>VLOOKUP(A913,[1]done!$A:$I,9,0)</f>
        <v>Other crawling insects</v>
      </c>
      <c r="H913" s="7" t="str" cm="1">
        <f t="array" ref="H913">_xlfn.IFS(
OR(ISNUMBER(SEARCH("mouse",E913)),ISNUMBER(SEARCH("rat",E913)),ISNUMBER(SEARCH("mice",E913)),ISNUMBER(SEARCH("rodent",E913))),"Rodent Control",
OR(ISNUMBER(SEARCH("fly",E913)),ISNUMBER(SEARCH("gnat",E913)),ISNUMBER(SEARCH("insect",E913)),ISNUMBER(SEARCH("mosquito",E913))),"Flying Insect Control",
OR(ISNUMBER(SEARCH("roach",E913)),ISNUMBER(SEARCH("ant",E913)),ISNUMBER(SEARCH("spider",E913)),ISNUMBER(SEARCH("cricket",E913)),ISNUMBER(SEARCH("scorpion",E913)),ISNUMBER(SEARCH("centipede",E913)),ISNUMBER(SEARCH("beetle",E913))),"Crawling Insect Control",
OR(ISNUMBER(SEARCH("tree",E913)),ISNUMBER(SEARCH("lantern",E913)),ISNUMBER(SEARCH("garden",E913)),ISNUMBER(SEARCH("plant",E913))),"Garden Pest Control",
OR(ISNUMBER(SEARCH("grass seed",E913)),ISNUMBER(SEARCH("seed mix",E913))),"Grass Seed",
OR(ISNUMBER(SEARCH("lawn food",E913)),ISNUMBER(SEARCH("fertilizer",E913))),"Lawn Fertilizer",
OR(ISNUMBER(SEARCH("patch",E913)),ISNUMBER(SEARCH("repair",E913)),ISNUMBER(SEARCH("thick'r",E913)),ISNUMBER(SEARCH("thick'r lawn",E913)),ISNUMBER(SEARCH("rapid grass",E913))),"Lawn Repair",
OR(ISNUMBER(SEARCH("weed",E913)),ISNUMBER(SEARCH("crabgrass",E913))),"Weed Control",
OR(ISNUMBER(SEARCH("fungicide",E913)),ISNUMBER(SEARCH("moss",E913))),"Disease &amp; Moss Control",
OR(ISNUMBER(SEARCH("plant food",E913)),ISNUMBER(SEARCH("miracid",E913))),"Plant Nutrition",
OR(ISNUMBER(SEARCH("perlite",E913))),"Soil Amendment",
OR(ISNUMBER(SEARCH("spreader",E913)),ISNUMBER(SEARCH("sprayer",E913)),ISNUMBER(SEARCH("mower",E913)),ISNUMBER(SEARCH("sweeper",E913)),ISNUMBER(SEARCH("pruner",E913)),ISNUMBER(SEARCH("trimmer",E913)),ISNUMBER(SEARCH("pole saw",E913))),"Garden Equipment",
TRUE,"Other"
)</f>
        <v>Crawling Insect Control</v>
      </c>
      <c r="I913" s="7" t="str" cm="1">
        <f t="array" ref="I913">_xlfn.IFS(
OR(ISNUMBER(SEARCH("glue trap",E913)),ISNUMBER(SEARCH("glue board",E913))),"Glue Traps",
OR(ISNUMBER(SEARCH("snap trap",E913)),ISNUMBER(SEARCH("power-kill",E913)),ISNUMBER(SEARCH("wide pedal",E913)),ISNUMBER(SEARCH("metal pedal",E913))),"Snap Traps",
OR(ISNUMBER(SEARCH("electronic",E913)),ISNUMBER(SEARCH("zapper",E913))),"Electronic Traps",
OR(ISNUMBER(SEARCH("live catch",E913)),ISNUMBER(SEARCH("multi-catch",E913)),ISNUMBER(SEARCH("catch &amp; hold",E913)),ISNUMBER(SEARCH("tin cat",E913))),"Live Catch Traps",
OR(ISNUMBER(SEARCH("bait",E913)),ISNUMBER(SEARCH("poison",E913))),"Bait &amp; Poison",
ISNUMBER(SEARCH("repellent",E913)),"Repellents",
OR(ISNUMBER(SEARCH("fly trap",E913)),ISNUMBER(SEARCH("fly ribbon",E913)),ISNUMBER(SEARCH("fly stick",E913)),ISNUMBER(SEARCH("window fly",E913)),ISNUMBER(SEARCH("fly magnet",E913))),"Fly Traps",
OR(ISNUMBER(SEARCH("uv",E913)),ISNUMBER(SEARCH("fly light",E913)),ISNUMBER(SEARCH("plug-in",E913))),"UV Fly Traps",
ISNUMBER(SEARCH("roach",E913)),"Roach Traps",
ISNUMBER(SEARCH("ant",E913)),"Ant Traps",
ISNUMBER(SEARCH("spider",E913)),"Spider Traps",
ISNUMBER(SEARCH("mosquito",E913)),"Mosquito Traps",
ISNUMBER(SEARCH("beetle",E913)),"Beetle Traps",
ISNUMBER(SEARCH("lantern",E913)),"Lanternfly Control",
OR(ISNUMBER(SEARCH("tree shield",E913)),ISNUMBER(SEARCH("tree banding",E913)),ISNUMBER(SEARCH("insect barrier",E913))),"Tree Barriers",
OR(ISNUMBER(SEARCH("sun &amp; shade",E913)),ISNUMBER(SEARCH("sun and shade",E913))),"Sun &amp; Shade Mix",
ISNUMBER(SEARCH("tall fescue",E913)),"Tall Fescue",
ISNUMBER(SEARCH("bermudagrass",E913)),"Bermudagrass",
ISNUMBER(SEARCH("kentucky",E913)),"Kentucky Bluegrass",
ISNUMBER(SEARCH("zoysia",E913)),"Zoysia",
ISNUMBER(SEARCH("ryegrass",E913)),"Perennial Ryegrass",
ISNUMBER(SEARCH("centipede",E913)),"Centipede Grass",
ISNUMBER(SEARCH("dense shade",E913)),"Dense Shade Mix",
ISNUMBER(SEARCH("southern gold",E913)),"Southern Gold Mix",
ISNUMBER(SEARCH("heat-tolerant blue",E913)),"Heat-Tolerant Blue Mix",
ISNUMBER(SEARCH("high traffic",E913)),"High Traffic Mix",
ISNUMBER(SEARCH("quick fix",E913)),"Quick Fix Mix",
ISNUMBER(SEARCH("starter",E913)),"Starter Fertilizer",
ISNUMBER(SEARCH("weed &amp; feed",E913)),"Weed &amp; Feed",
ISNUMBER(SEARCH("lawn food",E913)),"Lawn Food",
ISNUMBER(SEARCH("triple action",E913)),"Triple Action Fertilizer",
ISNUMBER(SEARCH("green max",E913)),"Green Max Lawn Food",
ISNUMBER(SEARCH("patchmaster",E913)),"PatchMaster Repair",
ISNUMBER(SEARCH("ez seed",E913)),"EZ Seed Repair",
ISNUMBER(SEARCH("rapid grass",E913)),"Rapid Grass",
ISNUMBER(SEARCH("thick'r lawn",E913)),"Thick'R Lawn",
ISNUMBER(SEARCH("fungicide",E913)),"Fungicide",
ISNUMBER(SEARCH("moss",E913)),"Moss Control",
ISNUMBER(SEARCH("perlite",E913)),"Perlite",
ISNUMBER(SEARCH("plant food",E913)),"Plant Food",
ISNUMBER(SEARCH("spreader",E913)),"Spreader",
ISNUMBER(SEARCH("sprayer",E913)),"Sprayer",
ISNUMBER(SEARCH("mower",E913)),"Lawn Mower",
ISNUMBER(SEARCH("sweeper",E913)),"Lawn Sweeper",
OR(ISNUMBER(SEARCH("pruner",E913)),ISNUMBER(SEARCH("trimmer",E913)),ISNUMBER(SEARCH("pole saw",E913))),"Pruning Tools",
TRUE,"Other"
)</f>
        <v>Ant Traps</v>
      </c>
      <c r="J913" s="7" t="str">
        <f t="shared" si="304"/>
        <v>Crawling Insect Control - Ant Traps</v>
      </c>
      <c r="K913" s="4">
        <v>700</v>
      </c>
      <c r="L913" s="4">
        <v>4.2</v>
      </c>
      <c r="M913" s="4">
        <v>4605</v>
      </c>
      <c r="N913" s="4" t="s">
        <v>1550</v>
      </c>
      <c r="O913" s="4">
        <f>VLOOKUP(A913,[20]Sheet1!$A:$M,2,0)</f>
        <v>300</v>
      </c>
      <c r="P913" s="4">
        <f>VLOOKUP(A913,[20]Sheet1!$A:$M,3,0)</f>
        <v>500</v>
      </c>
      <c r="Q913" s="4">
        <f>VLOOKUP(A913,[20]Sheet1!$A:$M,4,0)</f>
        <v>700</v>
      </c>
      <c r="R913" s="4">
        <f>VLOOKUP(A913,[20]Sheet1!$A:$M,5,0)</f>
        <v>900</v>
      </c>
      <c r="S913" s="4">
        <f>VLOOKUP(A913,[20]Sheet1!$A:$M,6,0)</f>
        <v>1000</v>
      </c>
      <c r="T913" s="4">
        <f>VLOOKUP(A913,[20]Sheet1!$A:$M,7,0)</f>
        <v>1000</v>
      </c>
      <c r="U913" s="4">
        <f>VLOOKUP(A913,[20]Sheet1!$A:$M,8,0)</f>
        <v>1000</v>
      </c>
      <c r="V913" s="4">
        <f>VLOOKUP(A913,[20]Sheet1!$A:$M,9,0)</f>
        <v>1000</v>
      </c>
      <c r="W913" s="4">
        <f>VLOOKUP(A913,[20]Sheet1!$A:$M,10,0)</f>
        <v>700</v>
      </c>
      <c r="X913" s="4">
        <f>VLOOKUP(A913,[20]Sheet1!$A:$M,11,0)</f>
        <v>700</v>
      </c>
      <c r="Y913" s="4">
        <f>VLOOKUP(A913,[20]Sheet1!$A:$M,12,0)</f>
        <v>600</v>
      </c>
      <c r="Z913" s="4">
        <f>VLOOKUP(A913,[20]Sheet1!$A:$M,13,0)</f>
        <v>300</v>
      </c>
      <c r="AA913" s="4">
        <f t="shared" si="305"/>
        <v>8700</v>
      </c>
      <c r="AB913" s="7">
        <f t="shared" si="306"/>
        <v>725</v>
      </c>
      <c r="AC913" s="15">
        <f t="shared" si="307"/>
        <v>725</v>
      </c>
      <c r="AD913" s="16">
        <f t="shared" si="308"/>
        <v>217413</v>
      </c>
      <c r="AE913" s="16">
        <f t="shared" si="309"/>
        <v>18117.75</v>
      </c>
      <c r="AF913" s="21">
        <v>6.31</v>
      </c>
      <c r="AG913" s="21">
        <v>24.99</v>
      </c>
      <c r="AH913" s="15">
        <f t="shared" si="310"/>
        <v>0.17906666666666657</v>
      </c>
      <c r="AI913" s="15">
        <f t="shared" si="311"/>
        <v>0.62673333333333292</v>
      </c>
      <c r="AJ913" s="10">
        <v>0.5</v>
      </c>
      <c r="AK913" s="10">
        <v>0.5</v>
      </c>
      <c r="AL913" s="21">
        <v>6.31</v>
      </c>
      <c r="AM913" s="9">
        <f t="shared" si="312"/>
        <v>3.7484999999999995</v>
      </c>
      <c r="AN913" s="9">
        <f t="shared" si="313"/>
        <v>0.74969999999999992</v>
      </c>
      <c r="AO913" s="9">
        <f t="shared" si="314"/>
        <v>4.9980000000000002</v>
      </c>
      <c r="AP913" s="9">
        <f t="shared" si="315"/>
        <v>0.49979999999999997</v>
      </c>
      <c r="AQ913" s="9">
        <f t="shared" si="316"/>
        <v>4.9980000000000002</v>
      </c>
      <c r="AR913" s="9">
        <f t="shared" si="317"/>
        <v>6.2474999999999996</v>
      </c>
      <c r="AS913" s="11">
        <f t="shared" si="318"/>
        <v>1.7906666666666655</v>
      </c>
      <c r="AT913" s="12">
        <f t="shared" si="319"/>
        <v>0.95766666666666589</v>
      </c>
    </row>
    <row r="914" spans="1:46" ht="16.5" x14ac:dyDescent="0.4">
      <c r="A914" s="4" t="s">
        <v>4112</v>
      </c>
      <c r="B914" s="4" t="s">
        <v>4118</v>
      </c>
      <c r="C914" s="4" t="s">
        <v>4120</v>
      </c>
      <c r="D914" s="4" t="s">
        <v>4130</v>
      </c>
      <c r="E914" s="4" t="s">
        <v>4145</v>
      </c>
      <c r="F914" s="4" t="s">
        <v>4160</v>
      </c>
      <c r="G914" s="7" t="str">
        <f>VLOOKUP(A914,[1]done!$A:$I,9,0)</f>
        <v>Rodent</v>
      </c>
      <c r="H914" s="7" t="str" cm="1">
        <f t="array" ref="H914">_xlfn.IFS(
OR(ISNUMBER(SEARCH("mouse",E914)),ISNUMBER(SEARCH("rat",E914)),ISNUMBER(SEARCH("mice",E914)),ISNUMBER(SEARCH("rodent",E914))),"Rodent Control",
OR(ISNUMBER(SEARCH("fly",E914)),ISNUMBER(SEARCH("gnat",E914)),ISNUMBER(SEARCH("insect",E914)),ISNUMBER(SEARCH("mosquito",E914))),"Flying Insect Control",
OR(ISNUMBER(SEARCH("roach",E914)),ISNUMBER(SEARCH("ant",E914)),ISNUMBER(SEARCH("spider",E914)),ISNUMBER(SEARCH("cricket",E914)),ISNUMBER(SEARCH("scorpion",E914)),ISNUMBER(SEARCH("centipede",E914)),ISNUMBER(SEARCH("beetle",E914))),"Crawling Insect Control",
OR(ISNUMBER(SEARCH("tree",E914)),ISNUMBER(SEARCH("lantern",E914)),ISNUMBER(SEARCH("garden",E914)),ISNUMBER(SEARCH("plant",E914))),"Garden Pest Control",
OR(ISNUMBER(SEARCH("grass seed",E914)),ISNUMBER(SEARCH("seed mix",E914))),"Grass Seed",
OR(ISNUMBER(SEARCH("lawn food",E914)),ISNUMBER(SEARCH("fertilizer",E914))),"Lawn Fertilizer",
OR(ISNUMBER(SEARCH("patch",E914)),ISNUMBER(SEARCH("repair",E914)),ISNUMBER(SEARCH("thick'r",E914)),ISNUMBER(SEARCH("thick'r lawn",E914)),ISNUMBER(SEARCH("rapid grass",E914))),"Lawn Repair",
OR(ISNUMBER(SEARCH("weed",E914)),ISNUMBER(SEARCH("crabgrass",E914))),"Weed Control",
OR(ISNUMBER(SEARCH("fungicide",E914)),ISNUMBER(SEARCH("moss",E914))),"Disease &amp; Moss Control",
OR(ISNUMBER(SEARCH("plant food",E914)),ISNUMBER(SEARCH("miracid",E914))),"Plant Nutrition",
OR(ISNUMBER(SEARCH("perlite",E914))),"Soil Amendment",
OR(ISNUMBER(SEARCH("spreader",E914)),ISNUMBER(SEARCH("sprayer",E914)),ISNUMBER(SEARCH("mower",E914)),ISNUMBER(SEARCH("sweeper",E914)),ISNUMBER(SEARCH("pruner",E914)),ISNUMBER(SEARCH("trimmer",E914)),ISNUMBER(SEARCH("pole saw",E914))),"Garden Equipment",
TRUE,"Other"
)</f>
        <v>Rodent Control</v>
      </c>
      <c r="I914" s="7" t="str" cm="1">
        <f t="array" ref="I914">_xlfn.IFS(
OR(ISNUMBER(SEARCH("glue trap",E914)),ISNUMBER(SEARCH("glue board",E914))),"Glue Traps",
OR(ISNUMBER(SEARCH("snap trap",E914)),ISNUMBER(SEARCH("power-kill",E914)),ISNUMBER(SEARCH("wide pedal",E914)),ISNUMBER(SEARCH("metal pedal",E914))),"Snap Traps",
OR(ISNUMBER(SEARCH("electronic",E914)),ISNUMBER(SEARCH("zapper",E914))),"Electronic Traps",
OR(ISNUMBER(SEARCH("live catch",E914)),ISNUMBER(SEARCH("multi-catch",E914)),ISNUMBER(SEARCH("catch &amp; hold",E914)),ISNUMBER(SEARCH("tin cat",E914))),"Live Catch Traps",
OR(ISNUMBER(SEARCH("bait",E914)),ISNUMBER(SEARCH("poison",E914))),"Bait &amp; Poison",
ISNUMBER(SEARCH("repellent",E914)),"Repellents",
OR(ISNUMBER(SEARCH("fly trap",E914)),ISNUMBER(SEARCH("fly ribbon",E914)),ISNUMBER(SEARCH("fly stick",E914)),ISNUMBER(SEARCH("window fly",E914)),ISNUMBER(SEARCH("fly magnet",E914))),"Fly Traps",
OR(ISNUMBER(SEARCH("uv",E914)),ISNUMBER(SEARCH("fly light",E914)),ISNUMBER(SEARCH("plug-in",E914))),"UV Fly Traps",
ISNUMBER(SEARCH("roach",E914)),"Roach Traps",
ISNUMBER(SEARCH("ant",E914)),"Ant Traps",
ISNUMBER(SEARCH("spider",E914)),"Spider Traps",
ISNUMBER(SEARCH("mosquito",E914)),"Mosquito Traps",
ISNUMBER(SEARCH("beetle",E914)),"Beetle Traps",
ISNUMBER(SEARCH("lantern",E914)),"Lanternfly Control",
OR(ISNUMBER(SEARCH("tree shield",E914)),ISNUMBER(SEARCH("tree banding",E914)),ISNUMBER(SEARCH("insect barrier",E914))),"Tree Barriers",
OR(ISNUMBER(SEARCH("sun &amp; shade",E914)),ISNUMBER(SEARCH("sun and shade",E914))),"Sun &amp; Shade Mix",
ISNUMBER(SEARCH("tall fescue",E914)),"Tall Fescue",
ISNUMBER(SEARCH("bermudagrass",E914)),"Bermudagrass",
ISNUMBER(SEARCH("kentucky",E914)),"Kentucky Bluegrass",
ISNUMBER(SEARCH("zoysia",E914)),"Zoysia",
ISNUMBER(SEARCH("ryegrass",E914)),"Perennial Ryegrass",
ISNUMBER(SEARCH("centipede",E914)),"Centipede Grass",
ISNUMBER(SEARCH("dense shade",E914)),"Dense Shade Mix",
ISNUMBER(SEARCH("southern gold",E914)),"Southern Gold Mix",
ISNUMBER(SEARCH("heat-tolerant blue",E914)),"Heat-Tolerant Blue Mix",
ISNUMBER(SEARCH("high traffic",E914)),"High Traffic Mix",
ISNUMBER(SEARCH("quick fix",E914)),"Quick Fix Mix",
ISNUMBER(SEARCH("starter",E914)),"Starter Fertilizer",
ISNUMBER(SEARCH("weed &amp; feed",E914)),"Weed &amp; Feed",
ISNUMBER(SEARCH("lawn food",E914)),"Lawn Food",
ISNUMBER(SEARCH("triple action",E914)),"Triple Action Fertilizer",
ISNUMBER(SEARCH("green max",E914)),"Green Max Lawn Food",
ISNUMBER(SEARCH("patchmaster",E914)),"PatchMaster Repair",
ISNUMBER(SEARCH("ez seed",E914)),"EZ Seed Repair",
ISNUMBER(SEARCH("rapid grass",E914)),"Rapid Grass",
ISNUMBER(SEARCH("thick'r lawn",E914)),"Thick'R Lawn",
ISNUMBER(SEARCH("fungicide",E914)),"Fungicide",
ISNUMBER(SEARCH("moss",E914)),"Moss Control",
ISNUMBER(SEARCH("perlite",E914)),"Perlite",
ISNUMBER(SEARCH("plant food",E914)),"Plant Food",
ISNUMBER(SEARCH("spreader",E914)),"Spreader",
ISNUMBER(SEARCH("sprayer",E914)),"Sprayer",
ISNUMBER(SEARCH("mower",E914)),"Lawn Mower",
ISNUMBER(SEARCH("sweeper",E914)),"Lawn Sweeper",
OR(ISNUMBER(SEARCH("pruner",E914)),ISNUMBER(SEARCH("trimmer",E914)),ISNUMBER(SEARCH("pole saw",E914))),"Pruning Tools",
TRUE,"Other"
)</f>
        <v>Repellents</v>
      </c>
      <c r="J914" s="7" t="str">
        <f t="shared" si="304"/>
        <v>Rodent Control - Repellents</v>
      </c>
      <c r="K914" s="4">
        <v>700</v>
      </c>
      <c r="L914" s="4">
        <v>3.5</v>
      </c>
      <c r="M914" s="4">
        <v>6</v>
      </c>
      <c r="N914" s="4" t="s">
        <v>4169</v>
      </c>
      <c r="O914" s="4">
        <f>VLOOKUP(A914,[20]Sheet1!$A:$M,2,0)</f>
        <v>0</v>
      </c>
      <c r="P914" s="4">
        <f>VLOOKUP(A914,[20]Sheet1!$A:$M,3,0)</f>
        <v>0</v>
      </c>
      <c r="Q914" s="4">
        <f>VLOOKUP(A914,[20]Sheet1!$A:$M,4,0)</f>
        <v>0</v>
      </c>
      <c r="R914" s="4">
        <f>VLOOKUP(A914,[20]Sheet1!$A:$M,5,0)</f>
        <v>0</v>
      </c>
      <c r="S914" s="4">
        <f>VLOOKUP(A914,[20]Sheet1!$A:$M,6,0)</f>
        <v>0</v>
      </c>
      <c r="T914" s="4">
        <f>VLOOKUP(A914,[20]Sheet1!$A:$M,7,0)</f>
        <v>0</v>
      </c>
      <c r="U914" s="4">
        <f>VLOOKUP(A914,[20]Sheet1!$A:$M,8,0)</f>
        <v>0</v>
      </c>
      <c r="V914" s="4">
        <f>VLOOKUP(A914,[20]Sheet1!$A:$M,9,0)</f>
        <v>0</v>
      </c>
      <c r="W914" s="4">
        <f>VLOOKUP(A914,[20]Sheet1!$A:$M,10,0)</f>
        <v>800</v>
      </c>
      <c r="X914" s="4">
        <f>VLOOKUP(A914,[20]Sheet1!$A:$M,11,0)</f>
        <v>0</v>
      </c>
      <c r="Y914" s="4">
        <f>VLOOKUP(A914,[20]Sheet1!$A:$M,12,0)</f>
        <v>0</v>
      </c>
      <c r="Z914" s="4">
        <f>VLOOKUP(A914,[20]Sheet1!$A:$M,13,0)</f>
        <v>0</v>
      </c>
      <c r="AA914" s="4">
        <f t="shared" si="305"/>
        <v>800</v>
      </c>
      <c r="AB914" s="7">
        <f t="shared" si="306"/>
        <v>67</v>
      </c>
      <c r="AC914" s="15">
        <f t="shared" si="307"/>
        <v>66.666666666666671</v>
      </c>
      <c r="AD914" s="16">
        <f t="shared" si="308"/>
        <v>36792</v>
      </c>
      <c r="AE914" s="16">
        <f t="shared" si="309"/>
        <v>3066.0000000000005</v>
      </c>
      <c r="AF914" s="21">
        <v>6.02</v>
      </c>
      <c r="AG914" s="21">
        <v>45.99</v>
      </c>
      <c r="AH914" s="15">
        <f t="shared" si="310"/>
        <v>0.75840000000000007</v>
      </c>
      <c r="AI914" s="15">
        <f t="shared" si="311"/>
        <v>2.6543999999999999</v>
      </c>
      <c r="AJ914" s="10">
        <v>0.5</v>
      </c>
      <c r="AK914" s="10">
        <v>0.5</v>
      </c>
      <c r="AL914" s="21">
        <v>6.02</v>
      </c>
      <c r="AM914" s="9">
        <f t="shared" si="312"/>
        <v>6.8985000000000003</v>
      </c>
      <c r="AN914" s="9">
        <f t="shared" si="313"/>
        <v>1.3796999999999999</v>
      </c>
      <c r="AO914" s="9">
        <f t="shared" si="314"/>
        <v>9.1980000000000004</v>
      </c>
      <c r="AP914" s="9">
        <f t="shared" si="315"/>
        <v>0.91980000000000006</v>
      </c>
      <c r="AQ914" s="9">
        <f t="shared" si="316"/>
        <v>9.1980000000000004</v>
      </c>
      <c r="AR914" s="9">
        <f t="shared" si="317"/>
        <v>11.4975</v>
      </c>
      <c r="AS914" s="11">
        <f t="shared" si="318"/>
        <v>7.5840000000000005</v>
      </c>
      <c r="AT914" s="12">
        <f t="shared" si="319"/>
        <v>6.051000000000001</v>
      </c>
    </row>
    <row r="915" spans="1:46" ht="16.5" x14ac:dyDescent="0.4">
      <c r="A915" s="4" t="s">
        <v>4113</v>
      </c>
      <c r="B915" s="4" t="s">
        <v>4118</v>
      </c>
      <c r="C915" s="4" t="s">
        <v>4120</v>
      </c>
      <c r="D915" s="4" t="s">
        <v>4131</v>
      </c>
      <c r="E915" s="4" t="s">
        <v>4146</v>
      </c>
      <c r="F915" s="4" t="s">
        <v>4161</v>
      </c>
      <c r="G915" s="7" t="str">
        <f>VLOOKUP(A915,[1]done!$A:$I,9,0)</f>
        <v>Oil based pest repellent</v>
      </c>
      <c r="H915" s="7" t="str" cm="1">
        <f t="array" ref="H915">_xlfn.IFS(
OR(ISNUMBER(SEARCH("mouse",E915)),ISNUMBER(SEARCH("rat",E915)),ISNUMBER(SEARCH("mice",E915)),ISNUMBER(SEARCH("rodent",E915))),"Rodent Control",
OR(ISNUMBER(SEARCH("fly",E915)),ISNUMBER(SEARCH("gnat",E915)),ISNUMBER(SEARCH("insect",E915)),ISNUMBER(SEARCH("mosquito",E915))),"Flying Insect Control",
OR(ISNUMBER(SEARCH("roach",E915)),ISNUMBER(SEARCH("ant",E915)),ISNUMBER(SEARCH("spider",E915)),ISNUMBER(SEARCH("cricket",E915)),ISNUMBER(SEARCH("scorpion",E915)),ISNUMBER(SEARCH("centipede",E915)),ISNUMBER(SEARCH("beetle",E915))),"Crawling Insect Control",
OR(ISNUMBER(SEARCH("tree",E915)),ISNUMBER(SEARCH("lantern",E915)),ISNUMBER(SEARCH("garden",E915)),ISNUMBER(SEARCH("plant",E915))),"Garden Pest Control",
OR(ISNUMBER(SEARCH("grass seed",E915)),ISNUMBER(SEARCH("seed mix",E915))),"Grass Seed",
OR(ISNUMBER(SEARCH("lawn food",E915)),ISNUMBER(SEARCH("fertilizer",E915))),"Lawn Fertilizer",
OR(ISNUMBER(SEARCH("patch",E915)),ISNUMBER(SEARCH("repair",E915)),ISNUMBER(SEARCH("thick'r",E915)),ISNUMBER(SEARCH("thick'r lawn",E915)),ISNUMBER(SEARCH("rapid grass",E915))),"Lawn Repair",
OR(ISNUMBER(SEARCH("weed",E915)),ISNUMBER(SEARCH("crabgrass",E915))),"Weed Control",
OR(ISNUMBER(SEARCH("fungicide",E915)),ISNUMBER(SEARCH("moss",E915))),"Disease &amp; Moss Control",
OR(ISNUMBER(SEARCH("plant food",E915)),ISNUMBER(SEARCH("miracid",E915))),"Plant Nutrition",
OR(ISNUMBER(SEARCH("perlite",E915))),"Soil Amendment",
OR(ISNUMBER(SEARCH("spreader",E915)),ISNUMBER(SEARCH("sprayer",E915)),ISNUMBER(SEARCH("mower",E915)),ISNUMBER(SEARCH("sweeper",E915)),ISNUMBER(SEARCH("pruner",E915)),ISNUMBER(SEARCH("trimmer",E915)),ISNUMBER(SEARCH("pole saw",E915))),"Garden Equipment",
TRUE,"Other"
)</f>
        <v>Other</v>
      </c>
      <c r="I915" s="7" t="str" cm="1">
        <f t="array" ref="I915">_xlfn.IFS(
OR(ISNUMBER(SEARCH("glue trap",E915)),ISNUMBER(SEARCH("glue board",E915))),"Glue Traps",
OR(ISNUMBER(SEARCH("snap trap",E915)),ISNUMBER(SEARCH("power-kill",E915)),ISNUMBER(SEARCH("wide pedal",E915)),ISNUMBER(SEARCH("metal pedal",E915))),"Snap Traps",
OR(ISNUMBER(SEARCH("electronic",E915)),ISNUMBER(SEARCH("zapper",E915))),"Electronic Traps",
OR(ISNUMBER(SEARCH("live catch",E915)),ISNUMBER(SEARCH("multi-catch",E915)),ISNUMBER(SEARCH("catch &amp; hold",E915)),ISNUMBER(SEARCH("tin cat",E915))),"Live Catch Traps",
OR(ISNUMBER(SEARCH("bait",E915)),ISNUMBER(SEARCH("poison",E915))),"Bait &amp; Poison",
ISNUMBER(SEARCH("repellent",E915)),"Repellents",
OR(ISNUMBER(SEARCH("fly trap",E915)),ISNUMBER(SEARCH("fly ribbon",E915)),ISNUMBER(SEARCH("fly stick",E915)),ISNUMBER(SEARCH("window fly",E915)),ISNUMBER(SEARCH("fly magnet",E915))),"Fly Traps",
OR(ISNUMBER(SEARCH("uv",E915)),ISNUMBER(SEARCH("fly light",E915)),ISNUMBER(SEARCH("plug-in",E915))),"UV Fly Traps",
ISNUMBER(SEARCH("roach",E915)),"Roach Traps",
ISNUMBER(SEARCH("ant",E915)),"Ant Traps",
ISNUMBER(SEARCH("spider",E915)),"Spider Traps",
ISNUMBER(SEARCH("mosquito",E915)),"Mosquito Traps",
ISNUMBER(SEARCH("beetle",E915)),"Beetle Traps",
ISNUMBER(SEARCH("lantern",E915)),"Lanternfly Control",
OR(ISNUMBER(SEARCH("tree shield",E915)),ISNUMBER(SEARCH("tree banding",E915)),ISNUMBER(SEARCH("insect barrier",E915))),"Tree Barriers",
OR(ISNUMBER(SEARCH("sun &amp; shade",E915)),ISNUMBER(SEARCH("sun and shade",E915))),"Sun &amp; Shade Mix",
ISNUMBER(SEARCH("tall fescue",E915)),"Tall Fescue",
ISNUMBER(SEARCH("bermudagrass",E915)),"Bermudagrass",
ISNUMBER(SEARCH("kentucky",E915)),"Kentucky Bluegrass",
ISNUMBER(SEARCH("zoysia",E915)),"Zoysia",
ISNUMBER(SEARCH("ryegrass",E915)),"Perennial Ryegrass",
ISNUMBER(SEARCH("centipede",E915)),"Centipede Grass",
ISNUMBER(SEARCH("dense shade",E915)),"Dense Shade Mix",
ISNUMBER(SEARCH("southern gold",E915)),"Southern Gold Mix",
ISNUMBER(SEARCH("heat-tolerant blue",E915)),"Heat-Tolerant Blue Mix",
ISNUMBER(SEARCH("high traffic",E915)),"High Traffic Mix",
ISNUMBER(SEARCH("quick fix",E915)),"Quick Fix Mix",
ISNUMBER(SEARCH("starter",E915)),"Starter Fertilizer",
ISNUMBER(SEARCH("weed &amp; feed",E915)),"Weed &amp; Feed",
ISNUMBER(SEARCH("lawn food",E915)),"Lawn Food",
ISNUMBER(SEARCH("triple action",E915)),"Triple Action Fertilizer",
ISNUMBER(SEARCH("green max",E915)),"Green Max Lawn Food",
ISNUMBER(SEARCH("patchmaster",E915)),"PatchMaster Repair",
ISNUMBER(SEARCH("ez seed",E915)),"EZ Seed Repair",
ISNUMBER(SEARCH("rapid grass",E915)),"Rapid Grass",
ISNUMBER(SEARCH("thick'r lawn",E915)),"Thick'R Lawn",
ISNUMBER(SEARCH("fungicide",E915)),"Fungicide",
ISNUMBER(SEARCH("moss",E915)),"Moss Control",
ISNUMBER(SEARCH("perlite",E915)),"Perlite",
ISNUMBER(SEARCH("plant food",E915)),"Plant Food",
ISNUMBER(SEARCH("spreader",E915)),"Spreader",
ISNUMBER(SEARCH("sprayer",E915)),"Sprayer",
ISNUMBER(SEARCH("mower",E915)),"Lawn Mower",
ISNUMBER(SEARCH("sweeper",E915)),"Lawn Sweeper",
OR(ISNUMBER(SEARCH("pruner",E915)),ISNUMBER(SEARCH("trimmer",E915)),ISNUMBER(SEARCH("pole saw",E915))),"Pruning Tools",
TRUE,"Other"
)</f>
        <v>Other</v>
      </c>
      <c r="J915" s="7" t="str">
        <f t="shared" si="304"/>
        <v>Other - Other</v>
      </c>
      <c r="K915" s="4">
        <v>400</v>
      </c>
      <c r="L915" s="4">
        <v>4.0999999999999996</v>
      </c>
      <c r="M915" s="4">
        <v>1503</v>
      </c>
      <c r="N915" s="4" t="s">
        <v>4170</v>
      </c>
      <c r="O915" s="4">
        <f>VLOOKUP(A915,[20]Sheet1!$A:$M,2,0)</f>
        <v>50</v>
      </c>
      <c r="P915" s="4">
        <f>VLOOKUP(A915,[20]Sheet1!$A:$M,3,0)</f>
        <v>50</v>
      </c>
      <c r="Q915" s="4">
        <f>VLOOKUP(A915,[20]Sheet1!$A:$M,4,0)</f>
        <v>100</v>
      </c>
      <c r="R915" s="4">
        <f>VLOOKUP(A915,[20]Sheet1!$A:$M,5,0)</f>
        <v>1000</v>
      </c>
      <c r="S915" s="4">
        <f>VLOOKUP(A915,[20]Sheet1!$A:$M,6,0)</f>
        <v>1000</v>
      </c>
      <c r="T915" s="4">
        <f>VLOOKUP(A915,[20]Sheet1!$A:$M,7,0)</f>
        <v>2000</v>
      </c>
      <c r="U915" s="4">
        <f>VLOOKUP(A915,[20]Sheet1!$A:$M,8,0)</f>
        <v>2000</v>
      </c>
      <c r="V915" s="4">
        <f>VLOOKUP(A915,[20]Sheet1!$A:$M,9,0)</f>
        <v>1000</v>
      </c>
      <c r="W915" s="4">
        <f>VLOOKUP(A915,[20]Sheet1!$A:$M,10,0)</f>
        <v>300</v>
      </c>
      <c r="X915" s="4">
        <f>VLOOKUP(A915,[20]Sheet1!$A:$M,11,0)</f>
        <v>900</v>
      </c>
      <c r="Y915" s="4">
        <f>VLOOKUP(A915,[20]Sheet1!$A:$M,12,0)</f>
        <v>200</v>
      </c>
      <c r="Z915" s="4">
        <f>VLOOKUP(A915,[20]Sheet1!$A:$M,13,0)</f>
        <v>50</v>
      </c>
      <c r="AA915" s="4">
        <f t="shared" si="305"/>
        <v>8650</v>
      </c>
      <c r="AB915" s="7">
        <f t="shared" si="306"/>
        <v>721</v>
      </c>
      <c r="AC915" s="15">
        <f t="shared" si="307"/>
        <v>720.83333333333337</v>
      </c>
      <c r="AD915" s="16">
        <f t="shared" si="308"/>
        <v>389077</v>
      </c>
      <c r="AE915" s="16">
        <f t="shared" si="309"/>
        <v>32423.083333333332</v>
      </c>
      <c r="AF915" s="21">
        <v>7.88</v>
      </c>
      <c r="AG915" s="21">
        <v>44.98</v>
      </c>
      <c r="AH915" s="15">
        <f t="shared" si="310"/>
        <v>0.60746666666666649</v>
      </c>
      <c r="AI915" s="15">
        <f t="shared" si="311"/>
        <v>2.1261333333333323</v>
      </c>
      <c r="AJ915" s="10">
        <v>0.5</v>
      </c>
      <c r="AK915" s="10">
        <v>0.5</v>
      </c>
      <c r="AL915" s="21">
        <v>7.88</v>
      </c>
      <c r="AM915" s="9">
        <f t="shared" si="312"/>
        <v>6.746999999999999</v>
      </c>
      <c r="AN915" s="9">
        <f t="shared" si="313"/>
        <v>1.3493999999999999</v>
      </c>
      <c r="AO915" s="9">
        <f t="shared" si="314"/>
        <v>8.9960000000000004</v>
      </c>
      <c r="AP915" s="9">
        <f t="shared" si="315"/>
        <v>0.89959999999999996</v>
      </c>
      <c r="AQ915" s="9">
        <f t="shared" si="316"/>
        <v>8.9960000000000004</v>
      </c>
      <c r="AR915" s="9">
        <f t="shared" si="317"/>
        <v>11.244999999999999</v>
      </c>
      <c r="AS915" s="11">
        <f t="shared" si="318"/>
        <v>6.0746666666666647</v>
      </c>
      <c r="AT915" s="12">
        <f t="shared" si="319"/>
        <v>4.5753333333333321</v>
      </c>
    </row>
    <row r="916" spans="1:46" ht="16.5" x14ac:dyDescent="0.4">
      <c r="A916" s="4" t="s">
        <v>4114</v>
      </c>
      <c r="B916" s="4" t="s">
        <v>4118</v>
      </c>
      <c r="C916" s="4" t="s">
        <v>4120</v>
      </c>
      <c r="D916" s="4" t="s">
        <v>4132</v>
      </c>
      <c r="E916" s="4" t="s">
        <v>4147</v>
      </c>
      <c r="F916" s="4" t="s">
        <v>4162</v>
      </c>
      <c r="G916" s="7" t="str">
        <f>VLOOKUP(A916,[1]done!$A:$I,9,0)</f>
        <v>Rodent</v>
      </c>
      <c r="H916" s="7" t="str" cm="1">
        <f t="array" ref="H916">_xlfn.IFS(
OR(ISNUMBER(SEARCH("mouse",E916)),ISNUMBER(SEARCH("rat",E916)),ISNUMBER(SEARCH("mice",E916)),ISNUMBER(SEARCH("rodent",E916))),"Rodent Control",
OR(ISNUMBER(SEARCH("fly",E916)),ISNUMBER(SEARCH("gnat",E916)),ISNUMBER(SEARCH("insect",E916)),ISNUMBER(SEARCH("mosquito",E916))),"Flying Insect Control",
OR(ISNUMBER(SEARCH("roach",E916)),ISNUMBER(SEARCH("ant",E916)),ISNUMBER(SEARCH("spider",E916)),ISNUMBER(SEARCH("cricket",E916)),ISNUMBER(SEARCH("scorpion",E916)),ISNUMBER(SEARCH("centipede",E916)),ISNUMBER(SEARCH("beetle",E916))),"Crawling Insect Control",
OR(ISNUMBER(SEARCH("tree",E916)),ISNUMBER(SEARCH("lantern",E916)),ISNUMBER(SEARCH("garden",E916)),ISNUMBER(SEARCH("plant",E916))),"Garden Pest Control",
OR(ISNUMBER(SEARCH("grass seed",E916)),ISNUMBER(SEARCH("seed mix",E916))),"Grass Seed",
OR(ISNUMBER(SEARCH("lawn food",E916)),ISNUMBER(SEARCH("fertilizer",E916))),"Lawn Fertilizer",
OR(ISNUMBER(SEARCH("patch",E916)),ISNUMBER(SEARCH("repair",E916)),ISNUMBER(SEARCH("thick'r",E916)),ISNUMBER(SEARCH("thick'r lawn",E916)),ISNUMBER(SEARCH("rapid grass",E916))),"Lawn Repair",
OR(ISNUMBER(SEARCH("weed",E916)),ISNUMBER(SEARCH("crabgrass",E916))),"Weed Control",
OR(ISNUMBER(SEARCH("fungicide",E916)),ISNUMBER(SEARCH("moss",E916))),"Disease &amp; Moss Control",
OR(ISNUMBER(SEARCH("plant food",E916)),ISNUMBER(SEARCH("miracid",E916))),"Plant Nutrition",
OR(ISNUMBER(SEARCH("perlite",E916))),"Soil Amendment",
OR(ISNUMBER(SEARCH("spreader",E916)),ISNUMBER(SEARCH("sprayer",E916)),ISNUMBER(SEARCH("mower",E916)),ISNUMBER(SEARCH("sweeper",E916)),ISNUMBER(SEARCH("pruner",E916)),ISNUMBER(SEARCH("trimmer",E916)),ISNUMBER(SEARCH("pole saw",E916))),"Garden Equipment",
TRUE,"Other"
)</f>
        <v>Rodent Control</v>
      </c>
      <c r="I916" s="7" t="str" cm="1">
        <f t="array" ref="I916">_xlfn.IFS(
OR(ISNUMBER(SEARCH("glue trap",E916)),ISNUMBER(SEARCH("glue board",E916))),"Glue Traps",
OR(ISNUMBER(SEARCH("snap trap",E916)),ISNUMBER(SEARCH("power-kill",E916)),ISNUMBER(SEARCH("wide pedal",E916)),ISNUMBER(SEARCH("metal pedal",E916))),"Snap Traps",
OR(ISNUMBER(SEARCH("electronic",E916)),ISNUMBER(SEARCH("zapper",E916))),"Electronic Traps",
OR(ISNUMBER(SEARCH("live catch",E916)),ISNUMBER(SEARCH("multi-catch",E916)),ISNUMBER(SEARCH("catch &amp; hold",E916)),ISNUMBER(SEARCH("tin cat",E916))),"Live Catch Traps",
OR(ISNUMBER(SEARCH("bait",E916)),ISNUMBER(SEARCH("poison",E916))),"Bait &amp; Poison",
ISNUMBER(SEARCH("repellent",E916)),"Repellents",
OR(ISNUMBER(SEARCH("fly trap",E916)),ISNUMBER(SEARCH("fly ribbon",E916)),ISNUMBER(SEARCH("fly stick",E916)),ISNUMBER(SEARCH("window fly",E916)),ISNUMBER(SEARCH("fly magnet",E916))),"Fly Traps",
OR(ISNUMBER(SEARCH("uv",E916)),ISNUMBER(SEARCH("fly light",E916)),ISNUMBER(SEARCH("plug-in",E916))),"UV Fly Traps",
ISNUMBER(SEARCH("roach",E916)),"Roach Traps",
ISNUMBER(SEARCH("ant",E916)),"Ant Traps",
ISNUMBER(SEARCH("spider",E916)),"Spider Traps",
ISNUMBER(SEARCH("mosquito",E916)),"Mosquito Traps",
ISNUMBER(SEARCH("beetle",E916)),"Beetle Traps",
ISNUMBER(SEARCH("lantern",E916)),"Lanternfly Control",
OR(ISNUMBER(SEARCH("tree shield",E916)),ISNUMBER(SEARCH("tree banding",E916)),ISNUMBER(SEARCH("insect barrier",E916))),"Tree Barriers",
OR(ISNUMBER(SEARCH("sun &amp; shade",E916)),ISNUMBER(SEARCH("sun and shade",E916))),"Sun &amp; Shade Mix",
ISNUMBER(SEARCH("tall fescue",E916)),"Tall Fescue",
ISNUMBER(SEARCH("bermudagrass",E916)),"Bermudagrass",
ISNUMBER(SEARCH("kentucky",E916)),"Kentucky Bluegrass",
ISNUMBER(SEARCH("zoysia",E916)),"Zoysia",
ISNUMBER(SEARCH("ryegrass",E916)),"Perennial Ryegrass",
ISNUMBER(SEARCH("centipede",E916)),"Centipede Grass",
ISNUMBER(SEARCH("dense shade",E916)),"Dense Shade Mix",
ISNUMBER(SEARCH("southern gold",E916)),"Southern Gold Mix",
ISNUMBER(SEARCH("heat-tolerant blue",E916)),"Heat-Tolerant Blue Mix",
ISNUMBER(SEARCH("high traffic",E916)),"High Traffic Mix",
ISNUMBER(SEARCH("quick fix",E916)),"Quick Fix Mix",
ISNUMBER(SEARCH("starter",E916)),"Starter Fertilizer",
ISNUMBER(SEARCH("weed &amp; feed",E916)),"Weed &amp; Feed",
ISNUMBER(SEARCH("lawn food",E916)),"Lawn Food",
ISNUMBER(SEARCH("triple action",E916)),"Triple Action Fertilizer",
ISNUMBER(SEARCH("green max",E916)),"Green Max Lawn Food",
ISNUMBER(SEARCH("patchmaster",E916)),"PatchMaster Repair",
ISNUMBER(SEARCH("ez seed",E916)),"EZ Seed Repair",
ISNUMBER(SEARCH("rapid grass",E916)),"Rapid Grass",
ISNUMBER(SEARCH("thick'r lawn",E916)),"Thick'R Lawn",
ISNUMBER(SEARCH("fungicide",E916)),"Fungicide",
ISNUMBER(SEARCH("moss",E916)),"Moss Control",
ISNUMBER(SEARCH("perlite",E916)),"Perlite",
ISNUMBER(SEARCH("plant food",E916)),"Plant Food",
ISNUMBER(SEARCH("spreader",E916)),"Spreader",
ISNUMBER(SEARCH("sprayer",E916)),"Sprayer",
ISNUMBER(SEARCH("mower",E916)),"Lawn Mower",
ISNUMBER(SEARCH("sweeper",E916)),"Lawn Sweeper",
OR(ISNUMBER(SEARCH("pruner",E916)),ISNUMBER(SEARCH("trimmer",E916)),ISNUMBER(SEARCH("pole saw",E916))),"Pruning Tools",
TRUE,"Other"
)</f>
        <v>Repellents</v>
      </c>
      <c r="J916" s="7" t="str">
        <f t="shared" si="304"/>
        <v>Rodent Control - Repellents</v>
      </c>
      <c r="K916" s="4">
        <v>300</v>
      </c>
      <c r="L916" s="4">
        <v>4</v>
      </c>
      <c r="M916" s="4">
        <v>4207</v>
      </c>
      <c r="N916" s="4" t="s">
        <v>4171</v>
      </c>
      <c r="O916" s="4">
        <f>VLOOKUP(A916,[20]Sheet1!$A:$M,2,0)</f>
        <v>100</v>
      </c>
      <c r="P916" s="4">
        <f>VLOOKUP(A916,[20]Sheet1!$A:$M,3,0)</f>
        <v>100</v>
      </c>
      <c r="Q916" s="4">
        <f>VLOOKUP(A916,[20]Sheet1!$A:$M,4,0)</f>
        <v>0</v>
      </c>
      <c r="R916" s="4">
        <f>VLOOKUP(A916,[20]Sheet1!$A:$M,5,0)</f>
        <v>50</v>
      </c>
      <c r="S916" s="4">
        <f>VLOOKUP(A916,[20]Sheet1!$A:$M,6,0)</f>
        <v>700</v>
      </c>
      <c r="T916" s="4">
        <f>VLOOKUP(A916,[20]Sheet1!$A:$M,7,0)</f>
        <v>100</v>
      </c>
      <c r="U916" s="4">
        <f>VLOOKUP(A916,[20]Sheet1!$A:$M,8,0)</f>
        <v>200</v>
      </c>
      <c r="V916" s="4">
        <f>VLOOKUP(A916,[20]Sheet1!$A:$M,9,0)</f>
        <v>300</v>
      </c>
      <c r="W916" s="4">
        <f>VLOOKUP(A916,[20]Sheet1!$A:$M,10,0)</f>
        <v>400</v>
      </c>
      <c r="X916" s="4">
        <f>VLOOKUP(A916,[20]Sheet1!$A:$M,11,0)</f>
        <v>500</v>
      </c>
      <c r="Y916" s="4">
        <f>VLOOKUP(A916,[20]Sheet1!$A:$M,12,0)</f>
        <v>100</v>
      </c>
      <c r="Z916" s="4">
        <f>VLOOKUP(A916,[20]Sheet1!$A:$M,13,0)</f>
        <v>0</v>
      </c>
      <c r="AA916" s="4">
        <f t="shared" si="305"/>
        <v>2550</v>
      </c>
      <c r="AB916" s="7">
        <f t="shared" si="306"/>
        <v>213</v>
      </c>
      <c r="AC916" s="15">
        <f t="shared" si="307"/>
        <v>212.5</v>
      </c>
      <c r="AD916" s="16">
        <f t="shared" si="308"/>
        <v>130024.5</v>
      </c>
      <c r="AE916" s="16">
        <f t="shared" si="309"/>
        <v>10835.375</v>
      </c>
      <c r="AF916" s="21">
        <v>6.4</v>
      </c>
      <c r="AG916" s="21">
        <v>50.99</v>
      </c>
      <c r="AH916" s="15">
        <f t="shared" si="310"/>
        <v>0.86640000000000017</v>
      </c>
      <c r="AI916" s="15">
        <f t="shared" si="311"/>
        <v>3.0324000000000004</v>
      </c>
      <c r="AJ916" s="10">
        <v>0.5</v>
      </c>
      <c r="AK916" s="10">
        <v>0.5</v>
      </c>
      <c r="AL916" s="21">
        <v>6.4</v>
      </c>
      <c r="AM916" s="9">
        <f t="shared" si="312"/>
        <v>7.6485000000000003</v>
      </c>
      <c r="AN916" s="9">
        <f t="shared" si="313"/>
        <v>1.5297000000000001</v>
      </c>
      <c r="AO916" s="9">
        <f t="shared" si="314"/>
        <v>10.198</v>
      </c>
      <c r="AP916" s="9">
        <f t="shared" si="315"/>
        <v>1.0198</v>
      </c>
      <c r="AQ916" s="9">
        <f t="shared" si="316"/>
        <v>10.198</v>
      </c>
      <c r="AR916" s="9">
        <f t="shared" si="317"/>
        <v>12.7475</v>
      </c>
      <c r="AS916" s="11">
        <f t="shared" si="318"/>
        <v>8.6640000000000015</v>
      </c>
      <c r="AT916" s="12">
        <f t="shared" si="319"/>
        <v>6.964333333333335</v>
      </c>
    </row>
    <row r="917" spans="1:46" ht="16.5" x14ac:dyDescent="0.4">
      <c r="A917" s="4" t="s">
        <v>4115</v>
      </c>
      <c r="B917" s="4" t="s">
        <v>4118</v>
      </c>
      <c r="C917" s="4" t="s">
        <v>4120</v>
      </c>
      <c r="D917" s="4" t="s">
        <v>4133</v>
      </c>
      <c r="E917" s="4" t="s">
        <v>4148</v>
      </c>
      <c r="F917" s="4" t="s">
        <v>4163</v>
      </c>
      <c r="G917" s="7" t="str">
        <f>VLOOKUP(A917,[1]done!$A:$I,9,0)</f>
        <v>Oil based pest repellent</v>
      </c>
      <c r="H917" s="7" t="str" cm="1">
        <f t="array" ref="H917">_xlfn.IFS(
OR(ISNUMBER(SEARCH("mouse",E917)),ISNUMBER(SEARCH("rat",E917)),ISNUMBER(SEARCH("mice",E917)),ISNUMBER(SEARCH("rodent",E917))),"Rodent Control",
OR(ISNUMBER(SEARCH("fly",E917)),ISNUMBER(SEARCH("gnat",E917)),ISNUMBER(SEARCH("insect",E917)),ISNUMBER(SEARCH("mosquito",E917))),"Flying Insect Control",
OR(ISNUMBER(SEARCH("roach",E917)),ISNUMBER(SEARCH("ant",E917)),ISNUMBER(SEARCH("spider",E917)),ISNUMBER(SEARCH("cricket",E917)),ISNUMBER(SEARCH("scorpion",E917)),ISNUMBER(SEARCH("centipede",E917)),ISNUMBER(SEARCH("beetle",E917))),"Crawling Insect Control",
OR(ISNUMBER(SEARCH("tree",E917)),ISNUMBER(SEARCH("lantern",E917)),ISNUMBER(SEARCH("garden",E917)),ISNUMBER(SEARCH("plant",E917))),"Garden Pest Control",
OR(ISNUMBER(SEARCH("grass seed",E917)),ISNUMBER(SEARCH("seed mix",E917))),"Grass Seed",
OR(ISNUMBER(SEARCH("lawn food",E917)),ISNUMBER(SEARCH("fertilizer",E917))),"Lawn Fertilizer",
OR(ISNUMBER(SEARCH("patch",E917)),ISNUMBER(SEARCH("repair",E917)),ISNUMBER(SEARCH("thick'r",E917)),ISNUMBER(SEARCH("thick'r lawn",E917)),ISNUMBER(SEARCH("rapid grass",E917))),"Lawn Repair",
OR(ISNUMBER(SEARCH("weed",E917)),ISNUMBER(SEARCH("crabgrass",E917))),"Weed Control",
OR(ISNUMBER(SEARCH("fungicide",E917)),ISNUMBER(SEARCH("moss",E917))),"Disease &amp; Moss Control",
OR(ISNUMBER(SEARCH("plant food",E917)),ISNUMBER(SEARCH("miracid",E917))),"Plant Nutrition",
OR(ISNUMBER(SEARCH("perlite",E917))),"Soil Amendment",
OR(ISNUMBER(SEARCH("spreader",E917)),ISNUMBER(SEARCH("sprayer",E917)),ISNUMBER(SEARCH("mower",E917)),ISNUMBER(SEARCH("sweeper",E917)),ISNUMBER(SEARCH("pruner",E917)),ISNUMBER(SEARCH("trimmer",E917)),ISNUMBER(SEARCH("pole saw",E917))),"Garden Equipment",
TRUE,"Other"
)</f>
        <v>Other</v>
      </c>
      <c r="I917" s="7" t="str" cm="1">
        <f t="array" ref="I917">_xlfn.IFS(
OR(ISNUMBER(SEARCH("glue trap",E917)),ISNUMBER(SEARCH("glue board",E917))),"Glue Traps",
OR(ISNUMBER(SEARCH("snap trap",E917)),ISNUMBER(SEARCH("power-kill",E917)),ISNUMBER(SEARCH("wide pedal",E917)),ISNUMBER(SEARCH("metal pedal",E917))),"Snap Traps",
OR(ISNUMBER(SEARCH("electronic",E917)),ISNUMBER(SEARCH("zapper",E917))),"Electronic Traps",
OR(ISNUMBER(SEARCH("live catch",E917)),ISNUMBER(SEARCH("multi-catch",E917)),ISNUMBER(SEARCH("catch &amp; hold",E917)),ISNUMBER(SEARCH("tin cat",E917))),"Live Catch Traps",
OR(ISNUMBER(SEARCH("bait",E917)),ISNUMBER(SEARCH("poison",E917))),"Bait &amp; Poison",
ISNUMBER(SEARCH("repellent",E917)),"Repellents",
OR(ISNUMBER(SEARCH("fly trap",E917)),ISNUMBER(SEARCH("fly ribbon",E917)),ISNUMBER(SEARCH("fly stick",E917)),ISNUMBER(SEARCH("window fly",E917)),ISNUMBER(SEARCH("fly magnet",E917))),"Fly Traps",
OR(ISNUMBER(SEARCH("uv",E917)),ISNUMBER(SEARCH("fly light",E917)),ISNUMBER(SEARCH("plug-in",E917))),"UV Fly Traps",
ISNUMBER(SEARCH("roach",E917)),"Roach Traps",
ISNUMBER(SEARCH("ant",E917)),"Ant Traps",
ISNUMBER(SEARCH("spider",E917)),"Spider Traps",
ISNUMBER(SEARCH("mosquito",E917)),"Mosquito Traps",
ISNUMBER(SEARCH("beetle",E917)),"Beetle Traps",
ISNUMBER(SEARCH("lantern",E917)),"Lanternfly Control",
OR(ISNUMBER(SEARCH("tree shield",E917)),ISNUMBER(SEARCH("tree banding",E917)),ISNUMBER(SEARCH("insect barrier",E917))),"Tree Barriers",
OR(ISNUMBER(SEARCH("sun &amp; shade",E917)),ISNUMBER(SEARCH("sun and shade",E917))),"Sun &amp; Shade Mix",
ISNUMBER(SEARCH("tall fescue",E917)),"Tall Fescue",
ISNUMBER(SEARCH("bermudagrass",E917)),"Bermudagrass",
ISNUMBER(SEARCH("kentucky",E917)),"Kentucky Bluegrass",
ISNUMBER(SEARCH("zoysia",E917)),"Zoysia",
ISNUMBER(SEARCH("ryegrass",E917)),"Perennial Ryegrass",
ISNUMBER(SEARCH("centipede",E917)),"Centipede Grass",
ISNUMBER(SEARCH("dense shade",E917)),"Dense Shade Mix",
ISNUMBER(SEARCH("southern gold",E917)),"Southern Gold Mix",
ISNUMBER(SEARCH("heat-tolerant blue",E917)),"Heat-Tolerant Blue Mix",
ISNUMBER(SEARCH("high traffic",E917)),"High Traffic Mix",
ISNUMBER(SEARCH("quick fix",E917)),"Quick Fix Mix",
ISNUMBER(SEARCH("starter",E917)),"Starter Fertilizer",
ISNUMBER(SEARCH("weed &amp; feed",E917)),"Weed &amp; Feed",
ISNUMBER(SEARCH("lawn food",E917)),"Lawn Food",
ISNUMBER(SEARCH("triple action",E917)),"Triple Action Fertilizer",
ISNUMBER(SEARCH("green max",E917)),"Green Max Lawn Food",
ISNUMBER(SEARCH("patchmaster",E917)),"PatchMaster Repair",
ISNUMBER(SEARCH("ez seed",E917)),"EZ Seed Repair",
ISNUMBER(SEARCH("rapid grass",E917)),"Rapid Grass",
ISNUMBER(SEARCH("thick'r lawn",E917)),"Thick'R Lawn",
ISNUMBER(SEARCH("fungicide",E917)),"Fungicide",
ISNUMBER(SEARCH("moss",E917)),"Moss Control",
ISNUMBER(SEARCH("perlite",E917)),"Perlite",
ISNUMBER(SEARCH("plant food",E917)),"Plant Food",
ISNUMBER(SEARCH("spreader",E917)),"Spreader",
ISNUMBER(SEARCH("sprayer",E917)),"Sprayer",
ISNUMBER(SEARCH("mower",E917)),"Lawn Mower",
ISNUMBER(SEARCH("sweeper",E917)),"Lawn Sweeper",
OR(ISNUMBER(SEARCH("pruner",E917)),ISNUMBER(SEARCH("trimmer",E917)),ISNUMBER(SEARCH("pole saw",E917))),"Pruning Tools",
TRUE,"Other"
)</f>
        <v>Other</v>
      </c>
      <c r="J917" s="7" t="str">
        <f t="shared" si="304"/>
        <v>Other - Other</v>
      </c>
      <c r="K917" s="4">
        <v>300</v>
      </c>
      <c r="L917" s="4">
        <v>4.0999999999999996</v>
      </c>
      <c r="M917" s="4">
        <v>1499</v>
      </c>
      <c r="N917" s="4" t="s">
        <v>1550</v>
      </c>
      <c r="O917" s="4">
        <f>VLOOKUP(A917,[20]Sheet1!$A:$M,2,0)</f>
        <v>50</v>
      </c>
      <c r="P917" s="4">
        <f>VLOOKUP(A917,[20]Sheet1!$A:$M,3,0)</f>
        <v>50</v>
      </c>
      <c r="Q917" s="4">
        <f>VLOOKUP(A917,[20]Sheet1!$A:$M,4,0)</f>
        <v>100</v>
      </c>
      <c r="R917" s="4">
        <f>VLOOKUP(A917,[20]Sheet1!$A:$M,5,0)</f>
        <v>300</v>
      </c>
      <c r="S917" s="4">
        <f>VLOOKUP(A917,[20]Sheet1!$A:$M,6,0)</f>
        <v>600</v>
      </c>
      <c r="T917" s="4">
        <f>VLOOKUP(A917,[20]Sheet1!$A:$M,7,0)</f>
        <v>800</v>
      </c>
      <c r="U917" s="4">
        <f>VLOOKUP(A917,[20]Sheet1!$A:$M,8,0)</f>
        <v>850</v>
      </c>
      <c r="V917" s="4">
        <f>VLOOKUP(A917,[20]Sheet1!$A:$M,9,0)</f>
        <v>1000</v>
      </c>
      <c r="W917" s="4">
        <f>VLOOKUP(A917,[20]Sheet1!$A:$M,10,0)</f>
        <v>300</v>
      </c>
      <c r="X917" s="4">
        <f>VLOOKUP(A917,[20]Sheet1!$A:$M,11,0)</f>
        <v>600</v>
      </c>
      <c r="Y917" s="4">
        <f>VLOOKUP(A917,[20]Sheet1!$A:$M,12,0)</f>
        <v>500</v>
      </c>
      <c r="Z917" s="4">
        <f>VLOOKUP(A917,[20]Sheet1!$A:$M,13,0)</f>
        <v>100</v>
      </c>
      <c r="AA917" s="4">
        <f t="shared" si="305"/>
        <v>5250</v>
      </c>
      <c r="AB917" s="7">
        <f t="shared" si="306"/>
        <v>438</v>
      </c>
      <c r="AC917" s="15">
        <f t="shared" si="307"/>
        <v>437.5</v>
      </c>
      <c r="AD917" s="16">
        <f t="shared" si="308"/>
        <v>157447.5</v>
      </c>
      <c r="AE917" s="16">
        <f t="shared" si="309"/>
        <v>13120.625</v>
      </c>
      <c r="AF917" s="21">
        <v>6.31</v>
      </c>
      <c r="AG917" s="21">
        <v>29.99</v>
      </c>
      <c r="AH917" s="15">
        <f t="shared" si="310"/>
        <v>0.31240000000000007</v>
      </c>
      <c r="AI917" s="15">
        <f t="shared" si="311"/>
        <v>1.0934000000000001</v>
      </c>
      <c r="AJ917" s="10">
        <v>0.5</v>
      </c>
      <c r="AK917" s="10">
        <v>0.5</v>
      </c>
      <c r="AL917" s="21">
        <v>6.31</v>
      </c>
      <c r="AM917" s="9">
        <f t="shared" si="312"/>
        <v>4.4984999999999999</v>
      </c>
      <c r="AN917" s="9">
        <f t="shared" si="313"/>
        <v>0.89969999999999994</v>
      </c>
      <c r="AO917" s="9">
        <f t="shared" si="314"/>
        <v>5.9980000000000002</v>
      </c>
      <c r="AP917" s="9">
        <f t="shared" si="315"/>
        <v>0.5998</v>
      </c>
      <c r="AQ917" s="9">
        <f t="shared" si="316"/>
        <v>5.9980000000000002</v>
      </c>
      <c r="AR917" s="9">
        <f t="shared" si="317"/>
        <v>7.4974999999999996</v>
      </c>
      <c r="AS917" s="11">
        <f t="shared" si="318"/>
        <v>3.1240000000000006</v>
      </c>
      <c r="AT917" s="12">
        <f t="shared" si="319"/>
        <v>2.1243333333333343</v>
      </c>
    </row>
    <row r="918" spans="1:46" ht="16.5" x14ac:dyDescent="0.4">
      <c r="A918" s="4" t="s">
        <v>4116</v>
      </c>
      <c r="B918" s="4" t="s">
        <v>4118</v>
      </c>
      <c r="C918" s="4" t="s">
        <v>4120</v>
      </c>
      <c r="D918" s="4" t="s">
        <v>4134</v>
      </c>
      <c r="E918" s="4" t="s">
        <v>4149</v>
      </c>
      <c r="F918" s="4" t="s">
        <v>4164</v>
      </c>
      <c r="G918" s="7" t="str">
        <f>VLOOKUP(A918,[1]done!$A:$I,9,0)</f>
        <v>Other crawling insects</v>
      </c>
      <c r="H918" s="7" t="str" cm="1">
        <f t="array" ref="H918">_xlfn.IFS(
OR(ISNUMBER(SEARCH("mouse",E918)),ISNUMBER(SEARCH("rat",E918)),ISNUMBER(SEARCH("mice",E918)),ISNUMBER(SEARCH("rodent",E918))),"Rodent Control",
OR(ISNUMBER(SEARCH("fly",E918)),ISNUMBER(SEARCH("gnat",E918)),ISNUMBER(SEARCH("insect",E918)),ISNUMBER(SEARCH("mosquito",E918))),"Flying Insect Control",
OR(ISNUMBER(SEARCH("roach",E918)),ISNUMBER(SEARCH("ant",E918)),ISNUMBER(SEARCH("spider",E918)),ISNUMBER(SEARCH("cricket",E918)),ISNUMBER(SEARCH("scorpion",E918)),ISNUMBER(SEARCH("centipede",E918)),ISNUMBER(SEARCH("beetle",E918))),"Crawling Insect Control",
OR(ISNUMBER(SEARCH("tree",E918)),ISNUMBER(SEARCH("lantern",E918)),ISNUMBER(SEARCH("garden",E918)),ISNUMBER(SEARCH("plant",E918))),"Garden Pest Control",
OR(ISNUMBER(SEARCH("grass seed",E918)),ISNUMBER(SEARCH("seed mix",E918))),"Grass Seed",
OR(ISNUMBER(SEARCH("lawn food",E918)),ISNUMBER(SEARCH("fertilizer",E918))),"Lawn Fertilizer",
OR(ISNUMBER(SEARCH("patch",E918)),ISNUMBER(SEARCH("repair",E918)),ISNUMBER(SEARCH("thick'r",E918)),ISNUMBER(SEARCH("thick'r lawn",E918)),ISNUMBER(SEARCH("rapid grass",E918))),"Lawn Repair",
OR(ISNUMBER(SEARCH("weed",E918)),ISNUMBER(SEARCH("crabgrass",E918))),"Weed Control",
OR(ISNUMBER(SEARCH("fungicide",E918)),ISNUMBER(SEARCH("moss",E918))),"Disease &amp; Moss Control",
OR(ISNUMBER(SEARCH("plant food",E918)),ISNUMBER(SEARCH("miracid",E918))),"Plant Nutrition",
OR(ISNUMBER(SEARCH("perlite",E918))),"Soil Amendment",
OR(ISNUMBER(SEARCH("spreader",E918)),ISNUMBER(SEARCH("sprayer",E918)),ISNUMBER(SEARCH("mower",E918)),ISNUMBER(SEARCH("sweeper",E918)),ISNUMBER(SEARCH("pruner",E918)),ISNUMBER(SEARCH("trimmer",E918)),ISNUMBER(SEARCH("pole saw",E918))),"Garden Equipment",
TRUE,"Other"
)</f>
        <v>Crawling Insect Control</v>
      </c>
      <c r="I918" s="7" t="str" cm="1">
        <f t="array" ref="I918">_xlfn.IFS(
OR(ISNUMBER(SEARCH("glue trap",E918)),ISNUMBER(SEARCH("glue board",E918))),"Glue Traps",
OR(ISNUMBER(SEARCH("snap trap",E918)),ISNUMBER(SEARCH("power-kill",E918)),ISNUMBER(SEARCH("wide pedal",E918)),ISNUMBER(SEARCH("metal pedal",E918))),"Snap Traps",
OR(ISNUMBER(SEARCH("electronic",E918)),ISNUMBER(SEARCH("zapper",E918))),"Electronic Traps",
OR(ISNUMBER(SEARCH("live catch",E918)),ISNUMBER(SEARCH("multi-catch",E918)),ISNUMBER(SEARCH("catch &amp; hold",E918)),ISNUMBER(SEARCH("tin cat",E918))),"Live Catch Traps",
OR(ISNUMBER(SEARCH("bait",E918)),ISNUMBER(SEARCH("poison",E918))),"Bait &amp; Poison",
ISNUMBER(SEARCH("repellent",E918)),"Repellents",
OR(ISNUMBER(SEARCH("fly trap",E918)),ISNUMBER(SEARCH("fly ribbon",E918)),ISNUMBER(SEARCH("fly stick",E918)),ISNUMBER(SEARCH("window fly",E918)),ISNUMBER(SEARCH("fly magnet",E918))),"Fly Traps",
OR(ISNUMBER(SEARCH("uv",E918)),ISNUMBER(SEARCH("fly light",E918)),ISNUMBER(SEARCH("plug-in",E918))),"UV Fly Traps",
ISNUMBER(SEARCH("roach",E918)),"Roach Traps",
ISNUMBER(SEARCH("ant",E918)),"Ant Traps",
ISNUMBER(SEARCH("spider",E918)),"Spider Traps",
ISNUMBER(SEARCH("mosquito",E918)),"Mosquito Traps",
ISNUMBER(SEARCH("beetle",E918)),"Beetle Traps",
ISNUMBER(SEARCH("lantern",E918)),"Lanternfly Control",
OR(ISNUMBER(SEARCH("tree shield",E918)),ISNUMBER(SEARCH("tree banding",E918)),ISNUMBER(SEARCH("insect barrier",E918))),"Tree Barriers",
OR(ISNUMBER(SEARCH("sun &amp; shade",E918)),ISNUMBER(SEARCH("sun and shade",E918))),"Sun &amp; Shade Mix",
ISNUMBER(SEARCH("tall fescue",E918)),"Tall Fescue",
ISNUMBER(SEARCH("bermudagrass",E918)),"Bermudagrass",
ISNUMBER(SEARCH("kentucky",E918)),"Kentucky Bluegrass",
ISNUMBER(SEARCH("zoysia",E918)),"Zoysia",
ISNUMBER(SEARCH("ryegrass",E918)),"Perennial Ryegrass",
ISNUMBER(SEARCH("centipede",E918)),"Centipede Grass",
ISNUMBER(SEARCH("dense shade",E918)),"Dense Shade Mix",
ISNUMBER(SEARCH("southern gold",E918)),"Southern Gold Mix",
ISNUMBER(SEARCH("heat-tolerant blue",E918)),"Heat-Tolerant Blue Mix",
ISNUMBER(SEARCH("high traffic",E918)),"High Traffic Mix",
ISNUMBER(SEARCH("quick fix",E918)),"Quick Fix Mix",
ISNUMBER(SEARCH("starter",E918)),"Starter Fertilizer",
ISNUMBER(SEARCH("weed &amp; feed",E918)),"Weed &amp; Feed",
ISNUMBER(SEARCH("lawn food",E918)),"Lawn Food",
ISNUMBER(SEARCH("triple action",E918)),"Triple Action Fertilizer",
ISNUMBER(SEARCH("green max",E918)),"Green Max Lawn Food",
ISNUMBER(SEARCH("patchmaster",E918)),"PatchMaster Repair",
ISNUMBER(SEARCH("ez seed",E918)),"EZ Seed Repair",
ISNUMBER(SEARCH("rapid grass",E918)),"Rapid Grass",
ISNUMBER(SEARCH("thick'r lawn",E918)),"Thick'R Lawn",
ISNUMBER(SEARCH("fungicide",E918)),"Fungicide",
ISNUMBER(SEARCH("moss",E918)),"Moss Control",
ISNUMBER(SEARCH("perlite",E918)),"Perlite",
ISNUMBER(SEARCH("plant food",E918)),"Plant Food",
ISNUMBER(SEARCH("spreader",E918)),"Spreader",
ISNUMBER(SEARCH("sprayer",E918)),"Sprayer",
ISNUMBER(SEARCH("mower",E918)),"Lawn Mower",
ISNUMBER(SEARCH("sweeper",E918)),"Lawn Sweeper",
OR(ISNUMBER(SEARCH("pruner",E918)),ISNUMBER(SEARCH("trimmer",E918)),ISNUMBER(SEARCH("pole saw",E918))),"Pruning Tools",
TRUE,"Other"
)</f>
        <v>Ant Traps</v>
      </c>
      <c r="J918" s="7" t="str">
        <f t="shared" si="304"/>
        <v>Crawling Insect Control - Ant Traps</v>
      </c>
      <c r="K918" s="4">
        <v>300</v>
      </c>
      <c r="L918" s="4">
        <v>4.4000000000000004</v>
      </c>
      <c r="M918" s="4">
        <v>1460</v>
      </c>
      <c r="N918" s="4" t="s">
        <v>3901</v>
      </c>
      <c r="O918" s="4">
        <f>VLOOKUP(A918,[20]Sheet1!$A:$M,2,0)</f>
        <v>600</v>
      </c>
      <c r="P918" s="4">
        <f>VLOOKUP(A918,[20]Sheet1!$A:$M,3,0)</f>
        <v>700</v>
      </c>
      <c r="Q918" s="4">
        <f>VLOOKUP(A918,[20]Sheet1!$A:$M,4,0)</f>
        <v>500</v>
      </c>
      <c r="R918" s="4">
        <f>VLOOKUP(A918,[20]Sheet1!$A:$M,5,0)</f>
        <v>1000</v>
      </c>
      <c r="S918" s="4">
        <f>VLOOKUP(A918,[20]Sheet1!$A:$M,6,0)</f>
        <v>1000</v>
      </c>
      <c r="T918" s="4">
        <f>VLOOKUP(A918,[20]Sheet1!$A:$M,7,0)</f>
        <v>1000</v>
      </c>
      <c r="U918" s="4">
        <f>VLOOKUP(A918,[20]Sheet1!$A:$M,8,0)</f>
        <v>1000</v>
      </c>
      <c r="V918" s="4">
        <f>VLOOKUP(A918,[20]Sheet1!$A:$M,9,0)</f>
        <v>1000</v>
      </c>
      <c r="W918" s="4">
        <f>VLOOKUP(A918,[20]Sheet1!$A:$M,10,0)</f>
        <v>400</v>
      </c>
      <c r="X918" s="4">
        <f>VLOOKUP(A918,[20]Sheet1!$A:$M,11,0)</f>
        <v>1000</v>
      </c>
      <c r="Y918" s="4">
        <f>VLOOKUP(A918,[20]Sheet1!$A:$M,12,0)</f>
        <v>1000</v>
      </c>
      <c r="Z918" s="4">
        <f>VLOOKUP(A918,[20]Sheet1!$A:$M,13,0)</f>
        <v>900</v>
      </c>
      <c r="AA918" s="4">
        <f t="shared" si="305"/>
        <v>10100</v>
      </c>
      <c r="AB918" s="7">
        <f t="shared" si="306"/>
        <v>842</v>
      </c>
      <c r="AC918" s="15">
        <f t="shared" si="307"/>
        <v>841.66666666666663</v>
      </c>
      <c r="AD918" s="16">
        <f t="shared" si="308"/>
        <v>221998</v>
      </c>
      <c r="AE918" s="16">
        <f t="shared" si="309"/>
        <v>18499.833333333332</v>
      </c>
      <c r="AF918" s="21">
        <v>5.22</v>
      </c>
      <c r="AG918" s="21">
        <v>21.98</v>
      </c>
      <c r="AH918" s="15">
        <f t="shared" si="310"/>
        <v>0.17146666666666674</v>
      </c>
      <c r="AI918" s="15">
        <f t="shared" si="311"/>
        <v>0.60013333333333352</v>
      </c>
      <c r="AJ918" s="10">
        <v>0.5</v>
      </c>
      <c r="AK918" s="10">
        <v>0.5</v>
      </c>
      <c r="AL918" s="21">
        <v>5.22</v>
      </c>
      <c r="AM918" s="9">
        <f t="shared" si="312"/>
        <v>3.2970000000000002</v>
      </c>
      <c r="AN918" s="9">
        <f t="shared" si="313"/>
        <v>0.65939999999999999</v>
      </c>
      <c r="AO918" s="9">
        <f t="shared" si="314"/>
        <v>4.3959999999999999</v>
      </c>
      <c r="AP918" s="9">
        <f t="shared" si="315"/>
        <v>0.43959999999999999</v>
      </c>
      <c r="AQ918" s="9">
        <f t="shared" si="316"/>
        <v>4.3959999999999999</v>
      </c>
      <c r="AR918" s="9">
        <f t="shared" si="317"/>
        <v>5.4950000000000001</v>
      </c>
      <c r="AS918" s="11">
        <f t="shared" si="318"/>
        <v>1.7146666666666672</v>
      </c>
      <c r="AT918" s="12">
        <f t="shared" si="319"/>
        <v>0.98200000000000054</v>
      </c>
    </row>
    <row r="919" spans="1:46" ht="16.5" x14ac:dyDescent="0.4">
      <c r="A919" s="4" t="s">
        <v>4117</v>
      </c>
      <c r="B919" s="4" t="s">
        <v>4118</v>
      </c>
      <c r="C919" s="4" t="s">
        <v>4120</v>
      </c>
      <c r="D919" s="4" t="s">
        <v>4135</v>
      </c>
      <c r="E919" s="4" t="s">
        <v>4150</v>
      </c>
      <c r="F919" s="4" t="s">
        <v>4165</v>
      </c>
      <c r="G919" s="7" t="str">
        <f>VLOOKUP(A919,[1]done!$A:$I,9,0)</f>
        <v>Other crawling insects</v>
      </c>
      <c r="H919" s="7" t="str" cm="1">
        <f t="array" ref="H919">_xlfn.IFS(
OR(ISNUMBER(SEARCH("mouse",E919)),ISNUMBER(SEARCH("rat",E919)),ISNUMBER(SEARCH("mice",E919)),ISNUMBER(SEARCH("rodent",E919))),"Rodent Control",
OR(ISNUMBER(SEARCH("fly",E919)),ISNUMBER(SEARCH("gnat",E919)),ISNUMBER(SEARCH("insect",E919)),ISNUMBER(SEARCH("mosquito",E919))),"Flying Insect Control",
OR(ISNUMBER(SEARCH("roach",E919)),ISNUMBER(SEARCH("ant",E919)),ISNUMBER(SEARCH("spider",E919)),ISNUMBER(SEARCH("cricket",E919)),ISNUMBER(SEARCH("scorpion",E919)),ISNUMBER(SEARCH("centipede",E919)),ISNUMBER(SEARCH("beetle",E919))),"Crawling Insect Control",
OR(ISNUMBER(SEARCH("tree",E919)),ISNUMBER(SEARCH("lantern",E919)),ISNUMBER(SEARCH("garden",E919)),ISNUMBER(SEARCH("plant",E919))),"Garden Pest Control",
OR(ISNUMBER(SEARCH("grass seed",E919)),ISNUMBER(SEARCH("seed mix",E919))),"Grass Seed",
OR(ISNUMBER(SEARCH("lawn food",E919)),ISNUMBER(SEARCH("fertilizer",E919))),"Lawn Fertilizer",
OR(ISNUMBER(SEARCH("patch",E919)),ISNUMBER(SEARCH("repair",E919)),ISNUMBER(SEARCH("thick'r",E919)),ISNUMBER(SEARCH("thick'r lawn",E919)),ISNUMBER(SEARCH("rapid grass",E919))),"Lawn Repair",
OR(ISNUMBER(SEARCH("weed",E919)),ISNUMBER(SEARCH("crabgrass",E919))),"Weed Control",
OR(ISNUMBER(SEARCH("fungicide",E919)),ISNUMBER(SEARCH("moss",E919))),"Disease &amp; Moss Control",
OR(ISNUMBER(SEARCH("plant food",E919)),ISNUMBER(SEARCH("miracid",E919))),"Plant Nutrition",
OR(ISNUMBER(SEARCH("perlite",E919))),"Soil Amendment",
OR(ISNUMBER(SEARCH("spreader",E919)),ISNUMBER(SEARCH("sprayer",E919)),ISNUMBER(SEARCH("mower",E919)),ISNUMBER(SEARCH("sweeper",E919)),ISNUMBER(SEARCH("pruner",E919)),ISNUMBER(SEARCH("trimmer",E919)),ISNUMBER(SEARCH("pole saw",E919))),"Garden Equipment",
TRUE,"Other"
)</f>
        <v>Crawling Insect Control</v>
      </c>
      <c r="I919" s="7" t="str" cm="1">
        <f t="array" ref="I919">_xlfn.IFS(
OR(ISNUMBER(SEARCH("glue trap",E919)),ISNUMBER(SEARCH("glue board",E919))),"Glue Traps",
OR(ISNUMBER(SEARCH("snap trap",E919)),ISNUMBER(SEARCH("power-kill",E919)),ISNUMBER(SEARCH("wide pedal",E919)),ISNUMBER(SEARCH("metal pedal",E919))),"Snap Traps",
OR(ISNUMBER(SEARCH("electronic",E919)),ISNUMBER(SEARCH("zapper",E919))),"Electronic Traps",
OR(ISNUMBER(SEARCH("live catch",E919)),ISNUMBER(SEARCH("multi-catch",E919)),ISNUMBER(SEARCH("catch &amp; hold",E919)),ISNUMBER(SEARCH("tin cat",E919))),"Live Catch Traps",
OR(ISNUMBER(SEARCH("bait",E919)),ISNUMBER(SEARCH("poison",E919))),"Bait &amp; Poison",
ISNUMBER(SEARCH("repellent",E919)),"Repellents",
OR(ISNUMBER(SEARCH("fly trap",E919)),ISNUMBER(SEARCH("fly ribbon",E919)),ISNUMBER(SEARCH("fly stick",E919)),ISNUMBER(SEARCH("window fly",E919)),ISNUMBER(SEARCH("fly magnet",E919))),"Fly Traps",
OR(ISNUMBER(SEARCH("uv",E919)),ISNUMBER(SEARCH("fly light",E919)),ISNUMBER(SEARCH("plug-in",E919))),"UV Fly Traps",
ISNUMBER(SEARCH("roach",E919)),"Roach Traps",
ISNUMBER(SEARCH("ant",E919)),"Ant Traps",
ISNUMBER(SEARCH("spider",E919)),"Spider Traps",
ISNUMBER(SEARCH("mosquito",E919)),"Mosquito Traps",
ISNUMBER(SEARCH("beetle",E919)),"Beetle Traps",
ISNUMBER(SEARCH("lantern",E919)),"Lanternfly Control",
OR(ISNUMBER(SEARCH("tree shield",E919)),ISNUMBER(SEARCH("tree banding",E919)),ISNUMBER(SEARCH("insect barrier",E919))),"Tree Barriers",
OR(ISNUMBER(SEARCH("sun &amp; shade",E919)),ISNUMBER(SEARCH("sun and shade",E919))),"Sun &amp; Shade Mix",
ISNUMBER(SEARCH("tall fescue",E919)),"Tall Fescue",
ISNUMBER(SEARCH("bermudagrass",E919)),"Bermudagrass",
ISNUMBER(SEARCH("kentucky",E919)),"Kentucky Bluegrass",
ISNUMBER(SEARCH("zoysia",E919)),"Zoysia",
ISNUMBER(SEARCH("ryegrass",E919)),"Perennial Ryegrass",
ISNUMBER(SEARCH("centipede",E919)),"Centipede Grass",
ISNUMBER(SEARCH("dense shade",E919)),"Dense Shade Mix",
ISNUMBER(SEARCH("southern gold",E919)),"Southern Gold Mix",
ISNUMBER(SEARCH("heat-tolerant blue",E919)),"Heat-Tolerant Blue Mix",
ISNUMBER(SEARCH("high traffic",E919)),"High Traffic Mix",
ISNUMBER(SEARCH("quick fix",E919)),"Quick Fix Mix",
ISNUMBER(SEARCH("starter",E919)),"Starter Fertilizer",
ISNUMBER(SEARCH("weed &amp; feed",E919)),"Weed &amp; Feed",
ISNUMBER(SEARCH("lawn food",E919)),"Lawn Food",
ISNUMBER(SEARCH("triple action",E919)),"Triple Action Fertilizer",
ISNUMBER(SEARCH("green max",E919)),"Green Max Lawn Food",
ISNUMBER(SEARCH("patchmaster",E919)),"PatchMaster Repair",
ISNUMBER(SEARCH("ez seed",E919)),"EZ Seed Repair",
ISNUMBER(SEARCH("rapid grass",E919)),"Rapid Grass",
ISNUMBER(SEARCH("thick'r lawn",E919)),"Thick'R Lawn",
ISNUMBER(SEARCH("fungicide",E919)),"Fungicide",
ISNUMBER(SEARCH("moss",E919)),"Moss Control",
ISNUMBER(SEARCH("perlite",E919)),"Perlite",
ISNUMBER(SEARCH("plant food",E919)),"Plant Food",
ISNUMBER(SEARCH("spreader",E919)),"Spreader",
ISNUMBER(SEARCH("sprayer",E919)),"Sprayer",
ISNUMBER(SEARCH("mower",E919)),"Lawn Mower",
ISNUMBER(SEARCH("sweeper",E919)),"Lawn Sweeper",
OR(ISNUMBER(SEARCH("pruner",E919)),ISNUMBER(SEARCH("trimmer",E919)),ISNUMBER(SEARCH("pole saw",E919))),"Pruning Tools",
TRUE,"Other"
)</f>
        <v>Ant Traps</v>
      </c>
      <c r="J919" s="7" t="str">
        <f t="shared" si="304"/>
        <v>Crawling Insect Control - Ant Traps</v>
      </c>
      <c r="K919" s="4">
        <v>100</v>
      </c>
      <c r="L919" s="4">
        <v>4.4000000000000004</v>
      </c>
      <c r="M919" s="4">
        <v>1459</v>
      </c>
      <c r="N919" s="4" t="s">
        <v>4172</v>
      </c>
      <c r="O919" s="4">
        <f>VLOOKUP(A919,[20]Sheet1!$A:$M,2,0)</f>
        <v>100</v>
      </c>
      <c r="P919" s="4">
        <f>VLOOKUP(A919,[20]Sheet1!$A:$M,3,0)</f>
        <v>100</v>
      </c>
      <c r="Q919" s="4">
        <f>VLOOKUP(A919,[20]Sheet1!$A:$M,4,0)</f>
        <v>100</v>
      </c>
      <c r="R919" s="4">
        <f>VLOOKUP(A919,[20]Sheet1!$A:$M,5,0)</f>
        <v>200</v>
      </c>
      <c r="S919" s="4">
        <f>VLOOKUP(A919,[20]Sheet1!$A:$M,6,0)</f>
        <v>300</v>
      </c>
      <c r="T919" s="4">
        <f>VLOOKUP(A919,[20]Sheet1!$A:$M,7,0)</f>
        <v>300</v>
      </c>
      <c r="U919" s="4">
        <f>VLOOKUP(A919,[20]Sheet1!$A:$M,8,0)</f>
        <v>300</v>
      </c>
      <c r="V919" s="4">
        <f>VLOOKUP(A919,[20]Sheet1!$A:$M,9,0)</f>
        <v>300</v>
      </c>
      <c r="W919" s="4">
        <f>VLOOKUP(A919,[20]Sheet1!$A:$M,10,0)</f>
        <v>100</v>
      </c>
      <c r="X919" s="4">
        <f>VLOOKUP(A919,[20]Sheet1!$A:$M,11,0)</f>
        <v>300</v>
      </c>
      <c r="Y919" s="4">
        <f>VLOOKUP(A919,[20]Sheet1!$A:$M,12,0)</f>
        <v>200</v>
      </c>
      <c r="Z919" s="4">
        <f>VLOOKUP(A919,[20]Sheet1!$A:$M,13,0)</f>
        <v>100</v>
      </c>
      <c r="AA919" s="4">
        <f t="shared" si="305"/>
        <v>2400</v>
      </c>
      <c r="AB919" s="7">
        <f t="shared" si="306"/>
        <v>200</v>
      </c>
      <c r="AC919" s="15">
        <f t="shared" si="307"/>
        <v>200</v>
      </c>
      <c r="AD919" s="16">
        <f t="shared" si="308"/>
        <v>83976</v>
      </c>
      <c r="AE919" s="16">
        <f t="shared" si="309"/>
        <v>6998</v>
      </c>
      <c r="AF919" s="21">
        <v>6.31</v>
      </c>
      <c r="AG919" s="21">
        <v>34.99</v>
      </c>
      <c r="AH919" s="15">
        <f t="shared" si="310"/>
        <v>0.44573333333333337</v>
      </c>
      <c r="AI919" s="15">
        <f t="shared" si="311"/>
        <v>1.5600666666666667</v>
      </c>
      <c r="AJ919" s="10">
        <v>0.5</v>
      </c>
      <c r="AK919" s="10">
        <v>0.5</v>
      </c>
      <c r="AL919" s="21">
        <v>6.31</v>
      </c>
      <c r="AM919" s="9">
        <f t="shared" si="312"/>
        <v>5.2484999999999999</v>
      </c>
      <c r="AN919" s="9">
        <f t="shared" si="313"/>
        <v>1.0497000000000001</v>
      </c>
      <c r="AO919" s="9">
        <f t="shared" si="314"/>
        <v>6.9980000000000011</v>
      </c>
      <c r="AP919" s="9">
        <f t="shared" si="315"/>
        <v>0.69980000000000009</v>
      </c>
      <c r="AQ919" s="9">
        <f t="shared" si="316"/>
        <v>6.9980000000000011</v>
      </c>
      <c r="AR919" s="9">
        <f t="shared" si="317"/>
        <v>8.7475000000000005</v>
      </c>
      <c r="AS919" s="11">
        <f t="shared" si="318"/>
        <v>4.4573333333333336</v>
      </c>
      <c r="AT919" s="12">
        <f t="shared" si="319"/>
        <v>3.2910000000000004</v>
      </c>
    </row>
    <row r="920" spans="1:46" ht="16.5" x14ac:dyDescent="0.4">
      <c r="A920" s="4" t="s">
        <v>4173</v>
      </c>
      <c r="B920" s="4" t="s">
        <v>4185</v>
      </c>
      <c r="C920" s="4" t="s">
        <v>4186</v>
      </c>
      <c r="D920" s="4" t="s">
        <v>4191</v>
      </c>
      <c r="E920" s="4" t="s">
        <v>4203</v>
      </c>
      <c r="F920" s="4" t="s">
        <v>4215</v>
      </c>
      <c r="G920" s="7" t="str">
        <f>VLOOKUP(A920,[1]done!$A:$I,9,0)</f>
        <v>Rodent</v>
      </c>
      <c r="H920" s="7" t="str" cm="1">
        <f t="array" ref="H920">_xlfn.IFS(
OR(ISNUMBER(SEARCH("mouse",E920)),ISNUMBER(SEARCH("rat",E920)),ISNUMBER(SEARCH("mice",E920)),ISNUMBER(SEARCH("rodent",E920))),"Rodent Control",
OR(ISNUMBER(SEARCH("fly",E920)),ISNUMBER(SEARCH("gnat",E920)),ISNUMBER(SEARCH("insect",E920)),ISNUMBER(SEARCH("mosquito",E920))),"Flying Insect Control",
OR(ISNUMBER(SEARCH("roach",E920)),ISNUMBER(SEARCH("ant",E920)),ISNUMBER(SEARCH("spider",E920)),ISNUMBER(SEARCH("cricket",E920)),ISNUMBER(SEARCH("scorpion",E920)),ISNUMBER(SEARCH("centipede",E920)),ISNUMBER(SEARCH("beetle",E920))),"Crawling Insect Control",
OR(ISNUMBER(SEARCH("tree",E920)),ISNUMBER(SEARCH("lantern",E920)),ISNUMBER(SEARCH("garden",E920)),ISNUMBER(SEARCH("plant",E920))),"Garden Pest Control",
OR(ISNUMBER(SEARCH("grass seed",E920)),ISNUMBER(SEARCH("seed mix",E920))),"Grass Seed",
OR(ISNUMBER(SEARCH("lawn food",E920)),ISNUMBER(SEARCH("fertilizer",E920))),"Lawn Fertilizer",
OR(ISNUMBER(SEARCH("patch",E920)),ISNUMBER(SEARCH("repair",E920)),ISNUMBER(SEARCH("thick'r",E920)),ISNUMBER(SEARCH("thick'r lawn",E920)),ISNUMBER(SEARCH("rapid grass",E920))),"Lawn Repair",
OR(ISNUMBER(SEARCH("weed",E920)),ISNUMBER(SEARCH("crabgrass",E920))),"Weed Control",
OR(ISNUMBER(SEARCH("fungicide",E920)),ISNUMBER(SEARCH("moss",E920))),"Disease &amp; Moss Control",
OR(ISNUMBER(SEARCH("plant food",E920)),ISNUMBER(SEARCH("miracid",E920))),"Plant Nutrition",
OR(ISNUMBER(SEARCH("perlite",E920))),"Soil Amendment",
OR(ISNUMBER(SEARCH("spreader",E920)),ISNUMBER(SEARCH("sprayer",E920)),ISNUMBER(SEARCH("mower",E920)),ISNUMBER(SEARCH("sweeper",E920)),ISNUMBER(SEARCH("pruner",E920)),ISNUMBER(SEARCH("trimmer",E920)),ISNUMBER(SEARCH("pole saw",E920))),"Garden Equipment",
TRUE,"Other"
)</f>
        <v>Rodent Control</v>
      </c>
      <c r="I920" s="7" t="str" cm="1">
        <f t="array" ref="I920">_xlfn.IFS(
OR(ISNUMBER(SEARCH("glue trap",E920)),ISNUMBER(SEARCH("glue board",E920))),"Glue Traps",
OR(ISNUMBER(SEARCH("snap trap",E920)),ISNUMBER(SEARCH("power-kill",E920)),ISNUMBER(SEARCH("wide pedal",E920)),ISNUMBER(SEARCH("metal pedal",E920))),"Snap Traps",
OR(ISNUMBER(SEARCH("electronic",E920)),ISNUMBER(SEARCH("zapper",E920))),"Electronic Traps",
OR(ISNUMBER(SEARCH("live catch",E920)),ISNUMBER(SEARCH("multi-catch",E920)),ISNUMBER(SEARCH("catch &amp; hold",E920)),ISNUMBER(SEARCH("tin cat",E920))),"Live Catch Traps",
OR(ISNUMBER(SEARCH("bait",E920)),ISNUMBER(SEARCH("poison",E920))),"Bait &amp; Poison",
ISNUMBER(SEARCH("repellent",E920)),"Repellents",
OR(ISNUMBER(SEARCH("fly trap",E920)),ISNUMBER(SEARCH("fly ribbon",E920)),ISNUMBER(SEARCH("fly stick",E920)),ISNUMBER(SEARCH("window fly",E920)),ISNUMBER(SEARCH("fly magnet",E920))),"Fly Traps",
OR(ISNUMBER(SEARCH("uv",E920)),ISNUMBER(SEARCH("fly light",E920)),ISNUMBER(SEARCH("plug-in",E920))),"UV Fly Traps",
ISNUMBER(SEARCH("roach",E920)),"Roach Traps",
ISNUMBER(SEARCH("ant",E920)),"Ant Traps",
ISNUMBER(SEARCH("spider",E920)),"Spider Traps",
ISNUMBER(SEARCH("mosquito",E920)),"Mosquito Traps",
ISNUMBER(SEARCH("beetle",E920)),"Beetle Traps",
ISNUMBER(SEARCH("lantern",E920)),"Lanternfly Control",
OR(ISNUMBER(SEARCH("tree shield",E920)),ISNUMBER(SEARCH("tree banding",E920)),ISNUMBER(SEARCH("insect barrier",E920))),"Tree Barriers",
OR(ISNUMBER(SEARCH("sun &amp; shade",E920)),ISNUMBER(SEARCH("sun and shade",E920))),"Sun &amp; Shade Mix",
ISNUMBER(SEARCH("tall fescue",E920)),"Tall Fescue",
ISNUMBER(SEARCH("bermudagrass",E920)),"Bermudagrass",
ISNUMBER(SEARCH("kentucky",E920)),"Kentucky Bluegrass",
ISNUMBER(SEARCH("zoysia",E920)),"Zoysia",
ISNUMBER(SEARCH("ryegrass",E920)),"Perennial Ryegrass",
ISNUMBER(SEARCH("centipede",E920)),"Centipede Grass",
ISNUMBER(SEARCH("dense shade",E920)),"Dense Shade Mix",
ISNUMBER(SEARCH("southern gold",E920)),"Southern Gold Mix",
ISNUMBER(SEARCH("heat-tolerant blue",E920)),"Heat-Tolerant Blue Mix",
ISNUMBER(SEARCH("high traffic",E920)),"High Traffic Mix",
ISNUMBER(SEARCH("quick fix",E920)),"Quick Fix Mix",
ISNUMBER(SEARCH("starter",E920)),"Starter Fertilizer",
ISNUMBER(SEARCH("weed &amp; feed",E920)),"Weed &amp; Feed",
ISNUMBER(SEARCH("lawn food",E920)),"Lawn Food",
ISNUMBER(SEARCH("triple action",E920)),"Triple Action Fertilizer",
ISNUMBER(SEARCH("green max",E920)),"Green Max Lawn Food",
ISNUMBER(SEARCH("patchmaster",E920)),"PatchMaster Repair",
ISNUMBER(SEARCH("ez seed",E920)),"EZ Seed Repair",
ISNUMBER(SEARCH("rapid grass",E920)),"Rapid Grass",
ISNUMBER(SEARCH("thick'r lawn",E920)),"Thick'R Lawn",
ISNUMBER(SEARCH("fungicide",E920)),"Fungicide",
ISNUMBER(SEARCH("moss",E920)),"Moss Control",
ISNUMBER(SEARCH("perlite",E920)),"Perlite",
ISNUMBER(SEARCH("plant food",E920)),"Plant Food",
ISNUMBER(SEARCH("spreader",E920)),"Spreader",
ISNUMBER(SEARCH("sprayer",E920)),"Sprayer",
ISNUMBER(SEARCH("mower",E920)),"Lawn Mower",
ISNUMBER(SEARCH("sweeper",E920)),"Lawn Sweeper",
OR(ISNUMBER(SEARCH("pruner",E920)),ISNUMBER(SEARCH("trimmer",E920)),ISNUMBER(SEARCH("pole saw",E920))),"Pruning Tools",
TRUE,"Other"
)</f>
        <v>Bait &amp; Poison</v>
      </c>
      <c r="J920" s="7" t="str">
        <f t="shared" ref="J920:J931" si="320">H920&amp;" - "&amp;I920</f>
        <v>Rodent Control - Bait &amp; Poison</v>
      </c>
      <c r="K920" s="4">
        <v>200</v>
      </c>
      <c r="L920" s="4">
        <v>4.4000000000000004</v>
      </c>
      <c r="M920" s="4">
        <v>1430</v>
      </c>
      <c r="N920" s="4" t="s">
        <v>4227</v>
      </c>
      <c r="O920" s="4">
        <f>VLOOKUP(A920,[21]Sheet1!$A:$M,2,0)</f>
        <v>200</v>
      </c>
      <c r="P920" s="4">
        <f>VLOOKUP(A920,[21]Sheet1!$A:$M,3,0)</f>
        <v>100</v>
      </c>
      <c r="Q920" s="4">
        <f>VLOOKUP(A920,[21]Sheet1!$A:$M,4,0)</f>
        <v>50</v>
      </c>
      <c r="R920" s="4">
        <f>VLOOKUP(A920,[21]Sheet1!$A:$M,5,0)</f>
        <v>50</v>
      </c>
      <c r="S920" s="4">
        <f>VLOOKUP(A920,[21]Sheet1!$A:$M,6,0)</f>
        <v>50</v>
      </c>
      <c r="T920" s="4">
        <f>VLOOKUP(A920,[21]Sheet1!$A:$M,7,0)</f>
        <v>100</v>
      </c>
      <c r="U920" s="4">
        <f>VLOOKUP(A920,[21]Sheet1!$A:$M,8,0)</f>
        <v>50</v>
      </c>
      <c r="V920" s="4">
        <f>VLOOKUP(A920,[21]Sheet1!$A:$M,9,0)</f>
        <v>50</v>
      </c>
      <c r="W920" s="4">
        <f>VLOOKUP(A920,[21]Sheet1!$A:$M,10,0)</f>
        <v>200</v>
      </c>
      <c r="X920" s="4">
        <f>VLOOKUP(A920,[21]Sheet1!$A:$M,11,0)</f>
        <v>500</v>
      </c>
      <c r="Y920" s="4">
        <f>VLOOKUP(A920,[21]Sheet1!$A:$M,12,0)</f>
        <v>0</v>
      </c>
      <c r="Z920" s="4">
        <f>VLOOKUP(A920,[21]Sheet1!$A:$M,13,0)</f>
        <v>200</v>
      </c>
      <c r="AA920" s="4">
        <f t="shared" ref="AA920:AA931" si="321">SUM(O920:Z920)</f>
        <v>1550</v>
      </c>
      <c r="AB920" s="7">
        <f t="shared" ref="AB920:AB931" si="322">ROUND(AA920/12,0)</f>
        <v>129</v>
      </c>
      <c r="AC920" s="15">
        <f t="shared" ref="AC920:AC931" si="323">AVERAGE(O920:Z920)</f>
        <v>129.16666666666666</v>
      </c>
      <c r="AD920" s="16">
        <f t="shared" ref="AD920:AD931" si="324">AG920*AA920</f>
        <v>209234.5</v>
      </c>
      <c r="AE920" s="16">
        <f t="shared" ref="AE920:AE931" si="325">AG920*AC920</f>
        <v>17436.208333333332</v>
      </c>
      <c r="AF920" s="21">
        <v>14.89</v>
      </c>
      <c r="AG920" s="21">
        <v>134.99</v>
      </c>
      <c r="AH920" s="15">
        <f t="shared" ref="AH920:AH942" si="326">0.1*AS920</f>
        <v>2.5404</v>
      </c>
      <c r="AI920" s="15">
        <f t="shared" ref="AI920:AI930" si="327">0.35*AS920</f>
        <v>8.8913999999999973</v>
      </c>
      <c r="AJ920" s="10">
        <v>0.5</v>
      </c>
      <c r="AK920" s="10">
        <v>0.5</v>
      </c>
      <c r="AL920" s="21">
        <v>14.89</v>
      </c>
      <c r="AM920" s="9">
        <f t="shared" ref="AM920:AM931" si="328">0.15*AG920</f>
        <v>20.2485</v>
      </c>
      <c r="AN920" s="9">
        <f t="shared" ref="AN920:AN931" si="329">0.03*AG920</f>
        <v>4.0497000000000005</v>
      </c>
      <c r="AO920" s="9">
        <f t="shared" ref="AO920:AO931" si="330">0.2*AG920</f>
        <v>26.998000000000005</v>
      </c>
      <c r="AP920" s="9">
        <f t="shared" ref="AP920:AP931" si="331">0.02*AG920</f>
        <v>2.6998000000000002</v>
      </c>
      <c r="AQ920" s="9">
        <f t="shared" ref="AQ920:AQ931" si="332">0.2*AG920</f>
        <v>26.998000000000005</v>
      </c>
      <c r="AR920" s="9">
        <f t="shared" ref="AR920:AR931" si="333">0.25*AG920</f>
        <v>33.747500000000002</v>
      </c>
      <c r="AS920" s="11">
        <f t="shared" ref="AS920:AS931" si="334">(AG920*(1-(0.15+0.03+0.2+0.02))-AJ920-AK920-AL920-AQ920)/(1+0.1+0.4)</f>
        <v>25.403999999999996</v>
      </c>
      <c r="AT920" s="12">
        <f t="shared" ref="AT920:AT931" si="335">(AG920*(1-(0.15+0.03+0.2+0.02))-AJ920-AK920-AL920-AR920)/(1+0.1+0.4)</f>
        <v>20.90433333333333</v>
      </c>
    </row>
    <row r="921" spans="1:46" ht="16.5" x14ac:dyDescent="0.4">
      <c r="A921" s="4" t="s">
        <v>4174</v>
      </c>
      <c r="B921" s="4" t="s">
        <v>4185</v>
      </c>
      <c r="C921" s="4" t="s">
        <v>4187</v>
      </c>
      <c r="D921" s="4" t="s">
        <v>4192</v>
      </c>
      <c r="E921" s="4" t="s">
        <v>4204</v>
      </c>
      <c r="F921" s="4" t="s">
        <v>4216</v>
      </c>
      <c r="G921" s="7" t="str">
        <f>VLOOKUP(A921,[1]done!$A:$I,9,0)</f>
        <v>Oil based pest repellent</v>
      </c>
      <c r="H921" s="7" t="str" cm="1">
        <f t="array" ref="H921">_xlfn.IFS(
OR(ISNUMBER(SEARCH("mouse",E921)),ISNUMBER(SEARCH("rat",E921)),ISNUMBER(SEARCH("mice",E921)),ISNUMBER(SEARCH("rodent",E921))),"Rodent Control",
OR(ISNUMBER(SEARCH("fly",E921)),ISNUMBER(SEARCH("gnat",E921)),ISNUMBER(SEARCH("insect",E921)),ISNUMBER(SEARCH("mosquito",E921))),"Flying Insect Control",
OR(ISNUMBER(SEARCH("roach",E921)),ISNUMBER(SEARCH("ant",E921)),ISNUMBER(SEARCH("spider",E921)),ISNUMBER(SEARCH("cricket",E921)),ISNUMBER(SEARCH("scorpion",E921)),ISNUMBER(SEARCH("centipede",E921)),ISNUMBER(SEARCH("beetle",E921))),"Crawling Insect Control",
OR(ISNUMBER(SEARCH("tree",E921)),ISNUMBER(SEARCH("lantern",E921)),ISNUMBER(SEARCH("garden",E921)),ISNUMBER(SEARCH("plant",E921))),"Garden Pest Control",
OR(ISNUMBER(SEARCH("grass seed",E921)),ISNUMBER(SEARCH("seed mix",E921))),"Grass Seed",
OR(ISNUMBER(SEARCH("lawn food",E921)),ISNUMBER(SEARCH("fertilizer",E921))),"Lawn Fertilizer",
OR(ISNUMBER(SEARCH("patch",E921)),ISNUMBER(SEARCH("repair",E921)),ISNUMBER(SEARCH("thick'r",E921)),ISNUMBER(SEARCH("thick'r lawn",E921)),ISNUMBER(SEARCH("rapid grass",E921))),"Lawn Repair",
OR(ISNUMBER(SEARCH("weed",E921)),ISNUMBER(SEARCH("crabgrass",E921))),"Weed Control",
OR(ISNUMBER(SEARCH("fungicide",E921)),ISNUMBER(SEARCH("moss",E921))),"Disease &amp; Moss Control",
OR(ISNUMBER(SEARCH("plant food",E921)),ISNUMBER(SEARCH("miracid",E921))),"Plant Nutrition",
OR(ISNUMBER(SEARCH("perlite",E921))),"Soil Amendment",
OR(ISNUMBER(SEARCH("spreader",E921)),ISNUMBER(SEARCH("sprayer",E921)),ISNUMBER(SEARCH("mower",E921)),ISNUMBER(SEARCH("sweeper",E921)),ISNUMBER(SEARCH("pruner",E921)),ISNUMBER(SEARCH("trimmer",E921)),ISNUMBER(SEARCH("pole saw",E921))),"Garden Equipment",
TRUE,"Other"
)</f>
        <v>Garden Pest Control</v>
      </c>
      <c r="I921" s="7" t="str" cm="1">
        <f t="array" ref="I921">_xlfn.IFS(
OR(ISNUMBER(SEARCH("glue trap",E921)),ISNUMBER(SEARCH("glue board",E921))),"Glue Traps",
OR(ISNUMBER(SEARCH("snap trap",E921)),ISNUMBER(SEARCH("power-kill",E921)),ISNUMBER(SEARCH("wide pedal",E921)),ISNUMBER(SEARCH("metal pedal",E921))),"Snap Traps",
OR(ISNUMBER(SEARCH("electronic",E921)),ISNUMBER(SEARCH("zapper",E921))),"Electronic Traps",
OR(ISNUMBER(SEARCH("live catch",E921)),ISNUMBER(SEARCH("multi-catch",E921)),ISNUMBER(SEARCH("catch &amp; hold",E921)),ISNUMBER(SEARCH("tin cat",E921))),"Live Catch Traps",
OR(ISNUMBER(SEARCH("bait",E921)),ISNUMBER(SEARCH("poison",E921))),"Bait &amp; Poison",
ISNUMBER(SEARCH("repellent",E921)),"Repellents",
OR(ISNUMBER(SEARCH("fly trap",E921)),ISNUMBER(SEARCH("fly ribbon",E921)),ISNUMBER(SEARCH("fly stick",E921)),ISNUMBER(SEARCH("window fly",E921)),ISNUMBER(SEARCH("fly magnet",E921))),"Fly Traps",
OR(ISNUMBER(SEARCH("uv",E921)),ISNUMBER(SEARCH("fly light",E921)),ISNUMBER(SEARCH("plug-in",E921))),"UV Fly Traps",
ISNUMBER(SEARCH("roach",E921)),"Roach Traps",
ISNUMBER(SEARCH("ant",E921)),"Ant Traps",
ISNUMBER(SEARCH("spider",E921)),"Spider Traps",
ISNUMBER(SEARCH("mosquito",E921)),"Mosquito Traps",
ISNUMBER(SEARCH("beetle",E921)),"Beetle Traps",
ISNUMBER(SEARCH("lantern",E921)),"Lanternfly Control",
OR(ISNUMBER(SEARCH("tree shield",E921)),ISNUMBER(SEARCH("tree banding",E921)),ISNUMBER(SEARCH("insect barrier",E921))),"Tree Barriers",
OR(ISNUMBER(SEARCH("sun &amp; shade",E921)),ISNUMBER(SEARCH("sun and shade",E921))),"Sun &amp; Shade Mix",
ISNUMBER(SEARCH("tall fescue",E921)),"Tall Fescue",
ISNUMBER(SEARCH("bermudagrass",E921)),"Bermudagrass",
ISNUMBER(SEARCH("kentucky",E921)),"Kentucky Bluegrass",
ISNUMBER(SEARCH("zoysia",E921)),"Zoysia",
ISNUMBER(SEARCH("ryegrass",E921)),"Perennial Ryegrass",
ISNUMBER(SEARCH("centipede",E921)),"Centipede Grass",
ISNUMBER(SEARCH("dense shade",E921)),"Dense Shade Mix",
ISNUMBER(SEARCH("southern gold",E921)),"Southern Gold Mix",
ISNUMBER(SEARCH("heat-tolerant blue",E921)),"Heat-Tolerant Blue Mix",
ISNUMBER(SEARCH("high traffic",E921)),"High Traffic Mix",
ISNUMBER(SEARCH("quick fix",E921)),"Quick Fix Mix",
ISNUMBER(SEARCH("starter",E921)),"Starter Fertilizer",
ISNUMBER(SEARCH("weed &amp; feed",E921)),"Weed &amp; Feed",
ISNUMBER(SEARCH("lawn food",E921)),"Lawn Food",
ISNUMBER(SEARCH("triple action",E921)),"Triple Action Fertilizer",
ISNUMBER(SEARCH("green max",E921)),"Green Max Lawn Food",
ISNUMBER(SEARCH("patchmaster",E921)),"PatchMaster Repair",
ISNUMBER(SEARCH("ez seed",E921)),"EZ Seed Repair",
ISNUMBER(SEARCH("rapid grass",E921)),"Rapid Grass",
ISNUMBER(SEARCH("thick'r lawn",E921)),"Thick'R Lawn",
ISNUMBER(SEARCH("fungicide",E921)),"Fungicide",
ISNUMBER(SEARCH("moss",E921)),"Moss Control",
ISNUMBER(SEARCH("perlite",E921)),"Perlite",
ISNUMBER(SEARCH("plant food",E921)),"Plant Food",
ISNUMBER(SEARCH("spreader",E921)),"Spreader",
ISNUMBER(SEARCH("sprayer",E921)),"Sprayer",
ISNUMBER(SEARCH("mower",E921)),"Lawn Mower",
ISNUMBER(SEARCH("sweeper",E921)),"Lawn Sweeper",
OR(ISNUMBER(SEARCH("pruner",E921)),ISNUMBER(SEARCH("trimmer",E921)),ISNUMBER(SEARCH("pole saw",E921))),"Pruning Tools",
TRUE,"Other"
)</f>
        <v>Other</v>
      </c>
      <c r="J921" s="7" t="str">
        <f t="shared" si="320"/>
        <v>Garden Pest Control - Other</v>
      </c>
      <c r="K921" s="4">
        <v>200</v>
      </c>
      <c r="L921" s="4">
        <v>3.4</v>
      </c>
      <c r="M921" s="4">
        <v>6343</v>
      </c>
      <c r="N921" s="4" t="s">
        <v>1550</v>
      </c>
      <c r="O921" s="4">
        <f>VLOOKUP(A921,[21]Sheet1!$A:$M,2,0)</f>
        <v>0</v>
      </c>
      <c r="P921" s="4">
        <f>VLOOKUP(A921,[21]Sheet1!$A:$M,3,0)</f>
        <v>0</v>
      </c>
      <c r="Q921" s="4">
        <f>VLOOKUP(A921,[21]Sheet1!$A:$M,4,0)</f>
        <v>100</v>
      </c>
      <c r="R921" s="4">
        <f>VLOOKUP(A921,[21]Sheet1!$A:$M,5,0)</f>
        <v>200</v>
      </c>
      <c r="S921" s="4">
        <f>VLOOKUP(A921,[21]Sheet1!$A:$M,6,0)</f>
        <v>100</v>
      </c>
      <c r="T921" s="4">
        <f>VLOOKUP(A921,[21]Sheet1!$A:$M,7,0)</f>
        <v>200</v>
      </c>
      <c r="U921" s="4">
        <f>VLOOKUP(A921,[21]Sheet1!$A:$M,8,0)</f>
        <v>300</v>
      </c>
      <c r="V921" s="4">
        <f>VLOOKUP(A921,[21]Sheet1!$A:$M,9,0)</f>
        <v>300</v>
      </c>
      <c r="W921" s="4">
        <f>VLOOKUP(A921,[21]Sheet1!$A:$M,10,0)</f>
        <v>200</v>
      </c>
      <c r="X921" s="4">
        <f>VLOOKUP(A921,[21]Sheet1!$A:$M,11,0)</f>
        <v>100</v>
      </c>
      <c r="Y921" s="4">
        <f>VLOOKUP(A921,[21]Sheet1!$A:$M,12,0)</f>
        <v>200</v>
      </c>
      <c r="Z921" s="4">
        <f>VLOOKUP(A921,[21]Sheet1!$A:$M,13,0)</f>
        <v>50</v>
      </c>
      <c r="AA921" s="4">
        <f t="shared" si="321"/>
        <v>1750</v>
      </c>
      <c r="AB921" s="7">
        <f t="shared" si="322"/>
        <v>146</v>
      </c>
      <c r="AC921" s="15">
        <f t="shared" si="323"/>
        <v>145.83333333333334</v>
      </c>
      <c r="AD921" s="16">
        <f t="shared" si="324"/>
        <v>45482.5</v>
      </c>
      <c r="AE921" s="16">
        <f t="shared" si="325"/>
        <v>3790.2083333333335</v>
      </c>
      <c r="AF921" s="21">
        <v>6.13</v>
      </c>
      <c r="AG921" s="21">
        <v>25.99</v>
      </c>
      <c r="AH921" s="15">
        <f t="shared" si="326"/>
        <v>0.21773333333333322</v>
      </c>
      <c r="AI921" s="15">
        <f t="shared" si="327"/>
        <v>0.76206666666666611</v>
      </c>
      <c r="AJ921" s="10">
        <v>0.5</v>
      </c>
      <c r="AK921" s="10">
        <v>0.5</v>
      </c>
      <c r="AL921" s="21">
        <v>6.13</v>
      </c>
      <c r="AM921" s="9">
        <f t="shared" si="328"/>
        <v>3.8984999999999994</v>
      </c>
      <c r="AN921" s="9">
        <f t="shared" si="329"/>
        <v>0.77969999999999995</v>
      </c>
      <c r="AO921" s="9">
        <f t="shared" si="330"/>
        <v>5.1980000000000004</v>
      </c>
      <c r="AP921" s="9">
        <f t="shared" si="331"/>
        <v>0.51979999999999993</v>
      </c>
      <c r="AQ921" s="9">
        <f t="shared" si="332"/>
        <v>5.1980000000000004</v>
      </c>
      <c r="AR921" s="9">
        <f t="shared" si="333"/>
        <v>6.4974999999999996</v>
      </c>
      <c r="AS921" s="11">
        <f t="shared" si="334"/>
        <v>2.177333333333332</v>
      </c>
      <c r="AT921" s="12">
        <f t="shared" si="335"/>
        <v>1.3109999999999993</v>
      </c>
    </row>
    <row r="922" spans="1:46" ht="16.5" x14ac:dyDescent="0.4">
      <c r="A922" s="4" t="s">
        <v>4175</v>
      </c>
      <c r="B922" s="4" t="s">
        <v>4185</v>
      </c>
      <c r="C922" s="4" t="s">
        <v>4188</v>
      </c>
      <c r="D922" s="4" t="s">
        <v>4193</v>
      </c>
      <c r="E922" s="4" t="s">
        <v>4205</v>
      </c>
      <c r="F922" s="4" t="s">
        <v>4217</v>
      </c>
      <c r="G922" s="7" t="str">
        <f>VLOOKUP(A922,[1]done!$A:$I,9,0)</f>
        <v>Rodent</v>
      </c>
      <c r="H922" s="7" t="str" cm="1">
        <f t="array" ref="H922">_xlfn.IFS(
OR(ISNUMBER(SEARCH("mouse",E922)),ISNUMBER(SEARCH("rat",E922)),ISNUMBER(SEARCH("mice",E922)),ISNUMBER(SEARCH("rodent",E922))),"Rodent Control",
OR(ISNUMBER(SEARCH("fly",E922)),ISNUMBER(SEARCH("gnat",E922)),ISNUMBER(SEARCH("insect",E922)),ISNUMBER(SEARCH("mosquito",E922))),"Flying Insect Control",
OR(ISNUMBER(SEARCH("roach",E922)),ISNUMBER(SEARCH("ant",E922)),ISNUMBER(SEARCH("spider",E922)),ISNUMBER(SEARCH("cricket",E922)),ISNUMBER(SEARCH("scorpion",E922)),ISNUMBER(SEARCH("centipede",E922)),ISNUMBER(SEARCH("beetle",E922))),"Crawling Insect Control",
OR(ISNUMBER(SEARCH("tree",E922)),ISNUMBER(SEARCH("lantern",E922)),ISNUMBER(SEARCH("garden",E922)),ISNUMBER(SEARCH("plant",E922))),"Garden Pest Control",
OR(ISNUMBER(SEARCH("grass seed",E922)),ISNUMBER(SEARCH("seed mix",E922))),"Grass Seed",
OR(ISNUMBER(SEARCH("lawn food",E922)),ISNUMBER(SEARCH("fertilizer",E922))),"Lawn Fertilizer",
OR(ISNUMBER(SEARCH("patch",E922)),ISNUMBER(SEARCH("repair",E922)),ISNUMBER(SEARCH("thick'r",E922)),ISNUMBER(SEARCH("thick'r lawn",E922)),ISNUMBER(SEARCH("rapid grass",E922))),"Lawn Repair",
OR(ISNUMBER(SEARCH("weed",E922)),ISNUMBER(SEARCH("crabgrass",E922))),"Weed Control",
OR(ISNUMBER(SEARCH("fungicide",E922)),ISNUMBER(SEARCH("moss",E922))),"Disease &amp; Moss Control",
OR(ISNUMBER(SEARCH("plant food",E922)),ISNUMBER(SEARCH("miracid",E922))),"Plant Nutrition",
OR(ISNUMBER(SEARCH("perlite",E922))),"Soil Amendment",
OR(ISNUMBER(SEARCH("spreader",E922)),ISNUMBER(SEARCH("sprayer",E922)),ISNUMBER(SEARCH("mower",E922)),ISNUMBER(SEARCH("sweeper",E922)),ISNUMBER(SEARCH("pruner",E922)),ISNUMBER(SEARCH("trimmer",E922)),ISNUMBER(SEARCH("pole saw",E922))),"Garden Equipment",
TRUE,"Other"
)</f>
        <v>Rodent Control</v>
      </c>
      <c r="I922" s="7" t="str" cm="1">
        <f t="array" ref="I922">_xlfn.IFS(
OR(ISNUMBER(SEARCH("glue trap",E922)),ISNUMBER(SEARCH("glue board",E922))),"Glue Traps",
OR(ISNUMBER(SEARCH("snap trap",E922)),ISNUMBER(SEARCH("power-kill",E922)),ISNUMBER(SEARCH("wide pedal",E922)),ISNUMBER(SEARCH("metal pedal",E922))),"Snap Traps",
OR(ISNUMBER(SEARCH("electronic",E922)),ISNUMBER(SEARCH("zapper",E922))),"Electronic Traps",
OR(ISNUMBER(SEARCH("live catch",E922)),ISNUMBER(SEARCH("multi-catch",E922)),ISNUMBER(SEARCH("catch &amp; hold",E922)),ISNUMBER(SEARCH("tin cat",E922))),"Live Catch Traps",
OR(ISNUMBER(SEARCH("bait",E922)),ISNUMBER(SEARCH("poison",E922))),"Bait &amp; Poison",
ISNUMBER(SEARCH("repellent",E922)),"Repellents",
OR(ISNUMBER(SEARCH("fly trap",E922)),ISNUMBER(SEARCH("fly ribbon",E922)),ISNUMBER(SEARCH("fly stick",E922)),ISNUMBER(SEARCH("window fly",E922)),ISNUMBER(SEARCH("fly magnet",E922))),"Fly Traps",
OR(ISNUMBER(SEARCH("uv",E922)),ISNUMBER(SEARCH("fly light",E922)),ISNUMBER(SEARCH("plug-in",E922))),"UV Fly Traps",
ISNUMBER(SEARCH("roach",E922)),"Roach Traps",
ISNUMBER(SEARCH("ant",E922)),"Ant Traps",
ISNUMBER(SEARCH("spider",E922)),"Spider Traps",
ISNUMBER(SEARCH("mosquito",E922)),"Mosquito Traps",
ISNUMBER(SEARCH("beetle",E922)),"Beetle Traps",
ISNUMBER(SEARCH("lantern",E922)),"Lanternfly Control",
OR(ISNUMBER(SEARCH("tree shield",E922)),ISNUMBER(SEARCH("tree banding",E922)),ISNUMBER(SEARCH("insect barrier",E922))),"Tree Barriers",
OR(ISNUMBER(SEARCH("sun &amp; shade",E922)),ISNUMBER(SEARCH("sun and shade",E922))),"Sun &amp; Shade Mix",
ISNUMBER(SEARCH("tall fescue",E922)),"Tall Fescue",
ISNUMBER(SEARCH("bermudagrass",E922)),"Bermudagrass",
ISNUMBER(SEARCH("kentucky",E922)),"Kentucky Bluegrass",
ISNUMBER(SEARCH("zoysia",E922)),"Zoysia",
ISNUMBER(SEARCH("ryegrass",E922)),"Perennial Ryegrass",
ISNUMBER(SEARCH("centipede",E922)),"Centipede Grass",
ISNUMBER(SEARCH("dense shade",E922)),"Dense Shade Mix",
ISNUMBER(SEARCH("southern gold",E922)),"Southern Gold Mix",
ISNUMBER(SEARCH("heat-tolerant blue",E922)),"Heat-Tolerant Blue Mix",
ISNUMBER(SEARCH("high traffic",E922)),"High Traffic Mix",
ISNUMBER(SEARCH("quick fix",E922)),"Quick Fix Mix",
ISNUMBER(SEARCH("starter",E922)),"Starter Fertilizer",
ISNUMBER(SEARCH("weed &amp; feed",E922)),"Weed &amp; Feed",
ISNUMBER(SEARCH("lawn food",E922)),"Lawn Food",
ISNUMBER(SEARCH("triple action",E922)),"Triple Action Fertilizer",
ISNUMBER(SEARCH("green max",E922)),"Green Max Lawn Food",
ISNUMBER(SEARCH("patchmaster",E922)),"PatchMaster Repair",
ISNUMBER(SEARCH("ez seed",E922)),"EZ Seed Repair",
ISNUMBER(SEARCH("rapid grass",E922)),"Rapid Grass",
ISNUMBER(SEARCH("thick'r lawn",E922)),"Thick'R Lawn",
ISNUMBER(SEARCH("fungicide",E922)),"Fungicide",
ISNUMBER(SEARCH("moss",E922)),"Moss Control",
ISNUMBER(SEARCH("perlite",E922)),"Perlite",
ISNUMBER(SEARCH("plant food",E922)),"Plant Food",
ISNUMBER(SEARCH("spreader",E922)),"Spreader",
ISNUMBER(SEARCH("sprayer",E922)),"Sprayer",
ISNUMBER(SEARCH("mower",E922)),"Lawn Mower",
ISNUMBER(SEARCH("sweeper",E922)),"Lawn Sweeper",
OR(ISNUMBER(SEARCH("pruner",E922)),ISNUMBER(SEARCH("trimmer",E922)),ISNUMBER(SEARCH("pole saw",E922))),"Pruning Tools",
TRUE,"Other"
)</f>
        <v>Ant Traps</v>
      </c>
      <c r="J922" s="7" t="str">
        <f t="shared" si="320"/>
        <v>Rodent Control - Ant Traps</v>
      </c>
      <c r="K922" s="4">
        <v>200</v>
      </c>
      <c r="L922" s="4">
        <v>4.0999999999999996</v>
      </c>
      <c r="M922" s="4">
        <v>6856</v>
      </c>
      <c r="N922" s="4" t="s">
        <v>1550</v>
      </c>
      <c r="O922" s="4">
        <f>VLOOKUP(A922,[21]Sheet1!$A:$M,2,0)</f>
        <v>700</v>
      </c>
      <c r="P922" s="4">
        <f>VLOOKUP(A922,[21]Sheet1!$A:$M,3,0)</f>
        <v>600</v>
      </c>
      <c r="Q922" s="4">
        <f>VLOOKUP(A922,[21]Sheet1!$A:$M,4,0)</f>
        <v>1000</v>
      </c>
      <c r="R922" s="4">
        <f>VLOOKUP(A922,[21]Sheet1!$A:$M,5,0)</f>
        <v>1000</v>
      </c>
      <c r="S922" s="4">
        <f>VLOOKUP(A922,[21]Sheet1!$A:$M,6,0)</f>
        <v>400</v>
      </c>
      <c r="T922" s="4">
        <f>VLOOKUP(A922,[21]Sheet1!$A:$M,7,0)</f>
        <v>100</v>
      </c>
      <c r="U922" s="4">
        <f>VLOOKUP(A922,[21]Sheet1!$A:$M,8,0)</f>
        <v>0</v>
      </c>
      <c r="V922" s="4">
        <f>VLOOKUP(A922,[21]Sheet1!$A:$M,9,0)</f>
        <v>0</v>
      </c>
      <c r="W922" s="4">
        <f>VLOOKUP(A922,[21]Sheet1!$A:$M,10,0)</f>
        <v>100</v>
      </c>
      <c r="X922" s="4">
        <f>VLOOKUP(A922,[21]Sheet1!$A:$M,11,0)</f>
        <v>600</v>
      </c>
      <c r="Y922" s="4">
        <f>VLOOKUP(A922,[21]Sheet1!$A:$M,12,0)</f>
        <v>800</v>
      </c>
      <c r="Z922" s="4">
        <f>VLOOKUP(A922,[21]Sheet1!$A:$M,13,0)</f>
        <v>800</v>
      </c>
      <c r="AA922" s="4">
        <f t="shared" si="321"/>
        <v>6100</v>
      </c>
      <c r="AB922" s="7">
        <f t="shared" si="322"/>
        <v>508</v>
      </c>
      <c r="AC922" s="15">
        <f t="shared" si="323"/>
        <v>508.33333333333331</v>
      </c>
      <c r="AD922" s="16">
        <f t="shared" si="324"/>
        <v>158539</v>
      </c>
      <c r="AE922" s="16">
        <f t="shared" si="325"/>
        <v>13211.583333333332</v>
      </c>
      <c r="AF922" s="21">
        <v>6.31</v>
      </c>
      <c r="AG922" s="21">
        <v>25.99</v>
      </c>
      <c r="AH922" s="15">
        <f t="shared" si="326"/>
        <v>0.20573333333333324</v>
      </c>
      <c r="AI922" s="15">
        <f t="shared" si="327"/>
        <v>0.7200666666666663</v>
      </c>
      <c r="AJ922" s="10">
        <v>0.5</v>
      </c>
      <c r="AK922" s="10">
        <v>0.5</v>
      </c>
      <c r="AL922" s="21">
        <v>6.31</v>
      </c>
      <c r="AM922" s="9">
        <f t="shared" si="328"/>
        <v>3.8984999999999994</v>
      </c>
      <c r="AN922" s="9">
        <f t="shared" si="329"/>
        <v>0.77969999999999995</v>
      </c>
      <c r="AO922" s="9">
        <f t="shared" si="330"/>
        <v>5.1980000000000004</v>
      </c>
      <c r="AP922" s="9">
        <f t="shared" si="331"/>
        <v>0.51979999999999993</v>
      </c>
      <c r="AQ922" s="9">
        <f t="shared" si="332"/>
        <v>5.1980000000000004</v>
      </c>
      <c r="AR922" s="9">
        <f t="shared" si="333"/>
        <v>6.4974999999999996</v>
      </c>
      <c r="AS922" s="11">
        <f t="shared" si="334"/>
        <v>2.0573333333333323</v>
      </c>
      <c r="AT922" s="12">
        <f t="shared" si="335"/>
        <v>1.1909999999999996</v>
      </c>
    </row>
    <row r="923" spans="1:46" ht="16.5" x14ac:dyDescent="0.4">
      <c r="A923" s="4" t="s">
        <v>4176</v>
      </c>
      <c r="B923" s="4" t="s">
        <v>4185</v>
      </c>
      <c r="C923" s="4" t="s">
        <v>4189</v>
      </c>
      <c r="D923" s="4" t="s">
        <v>4194</v>
      </c>
      <c r="E923" s="4" t="s">
        <v>4206</v>
      </c>
      <c r="F923" s="4" t="s">
        <v>4218</v>
      </c>
      <c r="G923" s="7" t="str">
        <f>VLOOKUP(A923,[1]done!$A:$I,9,0)</f>
        <v>Insecticide/Fungicide</v>
      </c>
      <c r="H923" s="7" t="str" cm="1">
        <f t="array" ref="H923">_xlfn.IFS(
OR(ISNUMBER(SEARCH("mouse",E923)),ISNUMBER(SEARCH("rat",E923)),ISNUMBER(SEARCH("mice",E923)),ISNUMBER(SEARCH("rodent",E923))),"Rodent Control",
OR(ISNUMBER(SEARCH("fly",E923)),ISNUMBER(SEARCH("gnat",E923)),ISNUMBER(SEARCH("insect",E923)),ISNUMBER(SEARCH("mosquito",E923))),"Flying Insect Control",
OR(ISNUMBER(SEARCH("roach",E923)),ISNUMBER(SEARCH("ant",E923)),ISNUMBER(SEARCH("spider",E923)),ISNUMBER(SEARCH("cricket",E923)),ISNUMBER(SEARCH("scorpion",E923)),ISNUMBER(SEARCH("centipede",E923)),ISNUMBER(SEARCH("beetle",E923))),"Crawling Insect Control",
OR(ISNUMBER(SEARCH("tree",E923)),ISNUMBER(SEARCH("lantern",E923)),ISNUMBER(SEARCH("garden",E923)),ISNUMBER(SEARCH("plant",E923))),"Garden Pest Control",
OR(ISNUMBER(SEARCH("grass seed",E923)),ISNUMBER(SEARCH("seed mix",E923))),"Grass Seed",
OR(ISNUMBER(SEARCH("lawn food",E923)),ISNUMBER(SEARCH("fertilizer",E923))),"Lawn Fertilizer",
OR(ISNUMBER(SEARCH("patch",E923)),ISNUMBER(SEARCH("repair",E923)),ISNUMBER(SEARCH("thick'r",E923)),ISNUMBER(SEARCH("thick'r lawn",E923)),ISNUMBER(SEARCH("rapid grass",E923))),"Lawn Repair",
OR(ISNUMBER(SEARCH("weed",E923)),ISNUMBER(SEARCH("crabgrass",E923))),"Weed Control",
OR(ISNUMBER(SEARCH("fungicide",E923)),ISNUMBER(SEARCH("moss",E923))),"Disease &amp; Moss Control",
OR(ISNUMBER(SEARCH("plant food",E923)),ISNUMBER(SEARCH("miracid",E923))),"Plant Nutrition",
OR(ISNUMBER(SEARCH("perlite",E923))),"Soil Amendment",
OR(ISNUMBER(SEARCH("spreader",E923)),ISNUMBER(SEARCH("sprayer",E923)),ISNUMBER(SEARCH("mower",E923)),ISNUMBER(SEARCH("sweeper",E923)),ISNUMBER(SEARCH("pruner",E923)),ISNUMBER(SEARCH("trimmer",E923)),ISNUMBER(SEARCH("pole saw",E923))),"Garden Equipment",
TRUE,"Other"
)</f>
        <v>Crawling Insect Control</v>
      </c>
      <c r="I923" s="7" t="str" cm="1">
        <f t="array" ref="I923">_xlfn.IFS(
OR(ISNUMBER(SEARCH("glue trap",E923)),ISNUMBER(SEARCH("glue board",E923))),"Glue Traps",
OR(ISNUMBER(SEARCH("snap trap",E923)),ISNUMBER(SEARCH("power-kill",E923)),ISNUMBER(SEARCH("wide pedal",E923)),ISNUMBER(SEARCH("metal pedal",E923))),"Snap Traps",
OR(ISNUMBER(SEARCH("electronic",E923)),ISNUMBER(SEARCH("zapper",E923))),"Electronic Traps",
OR(ISNUMBER(SEARCH("live catch",E923)),ISNUMBER(SEARCH("multi-catch",E923)),ISNUMBER(SEARCH("catch &amp; hold",E923)),ISNUMBER(SEARCH("tin cat",E923))),"Live Catch Traps",
OR(ISNUMBER(SEARCH("bait",E923)),ISNUMBER(SEARCH("poison",E923))),"Bait &amp; Poison",
ISNUMBER(SEARCH("repellent",E923)),"Repellents",
OR(ISNUMBER(SEARCH("fly trap",E923)),ISNUMBER(SEARCH("fly ribbon",E923)),ISNUMBER(SEARCH("fly stick",E923)),ISNUMBER(SEARCH("window fly",E923)),ISNUMBER(SEARCH("fly magnet",E923))),"Fly Traps",
OR(ISNUMBER(SEARCH("uv",E923)),ISNUMBER(SEARCH("fly light",E923)),ISNUMBER(SEARCH("plug-in",E923))),"UV Fly Traps",
ISNUMBER(SEARCH("roach",E923)),"Roach Traps",
ISNUMBER(SEARCH("ant",E923)),"Ant Traps",
ISNUMBER(SEARCH("spider",E923)),"Spider Traps",
ISNUMBER(SEARCH("mosquito",E923)),"Mosquito Traps",
ISNUMBER(SEARCH("beetle",E923)),"Beetle Traps",
ISNUMBER(SEARCH("lantern",E923)),"Lanternfly Control",
OR(ISNUMBER(SEARCH("tree shield",E923)),ISNUMBER(SEARCH("tree banding",E923)),ISNUMBER(SEARCH("insect barrier",E923))),"Tree Barriers",
OR(ISNUMBER(SEARCH("sun &amp; shade",E923)),ISNUMBER(SEARCH("sun and shade",E923))),"Sun &amp; Shade Mix",
ISNUMBER(SEARCH("tall fescue",E923)),"Tall Fescue",
ISNUMBER(SEARCH("bermudagrass",E923)),"Bermudagrass",
ISNUMBER(SEARCH("kentucky",E923)),"Kentucky Bluegrass",
ISNUMBER(SEARCH("zoysia",E923)),"Zoysia",
ISNUMBER(SEARCH("ryegrass",E923)),"Perennial Ryegrass",
ISNUMBER(SEARCH("centipede",E923)),"Centipede Grass",
ISNUMBER(SEARCH("dense shade",E923)),"Dense Shade Mix",
ISNUMBER(SEARCH("southern gold",E923)),"Southern Gold Mix",
ISNUMBER(SEARCH("heat-tolerant blue",E923)),"Heat-Tolerant Blue Mix",
ISNUMBER(SEARCH("high traffic",E923)),"High Traffic Mix",
ISNUMBER(SEARCH("quick fix",E923)),"Quick Fix Mix",
ISNUMBER(SEARCH("starter",E923)),"Starter Fertilizer",
ISNUMBER(SEARCH("weed &amp; feed",E923)),"Weed &amp; Feed",
ISNUMBER(SEARCH("lawn food",E923)),"Lawn Food",
ISNUMBER(SEARCH("triple action",E923)),"Triple Action Fertilizer",
ISNUMBER(SEARCH("green max",E923)),"Green Max Lawn Food",
ISNUMBER(SEARCH("patchmaster",E923)),"PatchMaster Repair",
ISNUMBER(SEARCH("ez seed",E923)),"EZ Seed Repair",
ISNUMBER(SEARCH("rapid grass",E923)),"Rapid Grass",
ISNUMBER(SEARCH("thick'r lawn",E923)),"Thick'R Lawn",
ISNUMBER(SEARCH("fungicide",E923)),"Fungicide",
ISNUMBER(SEARCH("moss",E923)),"Moss Control",
ISNUMBER(SEARCH("perlite",E923)),"Perlite",
ISNUMBER(SEARCH("plant food",E923)),"Plant Food",
ISNUMBER(SEARCH("spreader",E923)),"Spreader",
ISNUMBER(SEARCH("sprayer",E923)),"Sprayer",
ISNUMBER(SEARCH("mower",E923)),"Lawn Mower",
ISNUMBER(SEARCH("sweeper",E923)),"Lawn Sweeper",
OR(ISNUMBER(SEARCH("pruner",E923)),ISNUMBER(SEARCH("trimmer",E923)),ISNUMBER(SEARCH("pole saw",E923))),"Pruning Tools",
TRUE,"Other"
)</f>
        <v>Ant Traps</v>
      </c>
      <c r="J923" s="7" t="str">
        <f t="shared" si="320"/>
        <v>Crawling Insect Control - Ant Traps</v>
      </c>
      <c r="K923" s="4">
        <v>200</v>
      </c>
      <c r="L923" s="4">
        <v>3.8</v>
      </c>
      <c r="M923" s="4">
        <v>99</v>
      </c>
      <c r="N923" s="4" t="s">
        <v>1550</v>
      </c>
      <c r="O923" s="4">
        <f>VLOOKUP(A923,[21]Sheet1!$A:$M,2,0)</f>
        <v>0</v>
      </c>
      <c r="P923" s="4">
        <f>VLOOKUP(A923,[21]Sheet1!$A:$M,3,0)</f>
        <v>0</v>
      </c>
      <c r="Q923" s="4">
        <f>VLOOKUP(A923,[21]Sheet1!$A:$M,4,0)</f>
        <v>0</v>
      </c>
      <c r="R923" s="4">
        <f>VLOOKUP(A923,[21]Sheet1!$A:$M,5,0)</f>
        <v>100</v>
      </c>
      <c r="S923" s="4">
        <f>VLOOKUP(A923,[21]Sheet1!$A:$M,6,0)</f>
        <v>100</v>
      </c>
      <c r="T923" s="4">
        <f>VLOOKUP(A923,[21]Sheet1!$A:$M,7,0)</f>
        <v>50</v>
      </c>
      <c r="U923" s="4">
        <f>VLOOKUP(A923,[21]Sheet1!$A:$M,8,0)</f>
        <v>100</v>
      </c>
      <c r="V923" s="4">
        <f>VLOOKUP(A923,[21]Sheet1!$A:$M,9,0)</f>
        <v>100</v>
      </c>
      <c r="W923" s="4">
        <f>VLOOKUP(A923,[21]Sheet1!$A:$M,10,0)</f>
        <v>200</v>
      </c>
      <c r="X923" s="4">
        <f>VLOOKUP(A923,[21]Sheet1!$A:$M,11,0)</f>
        <v>50</v>
      </c>
      <c r="Y923" s="4">
        <f>VLOOKUP(A923,[21]Sheet1!$A:$M,12,0)</f>
        <v>50</v>
      </c>
      <c r="Z923" s="4">
        <f>VLOOKUP(A923,[21]Sheet1!$A:$M,13,0)</f>
        <v>0</v>
      </c>
      <c r="AA923" s="4">
        <f t="shared" si="321"/>
        <v>750</v>
      </c>
      <c r="AB923" s="7">
        <f t="shared" si="322"/>
        <v>63</v>
      </c>
      <c r="AC923" s="15">
        <f t="shared" si="323"/>
        <v>62.5</v>
      </c>
      <c r="AD923" s="16">
        <f t="shared" si="324"/>
        <v>17242.5</v>
      </c>
      <c r="AE923" s="16">
        <f t="shared" si="325"/>
        <v>1436.875</v>
      </c>
      <c r="AF923" s="21">
        <v>6.13</v>
      </c>
      <c r="AG923" s="21">
        <v>22.99</v>
      </c>
      <c r="AH923" s="15">
        <f t="shared" si="326"/>
        <v>0.13773333333333326</v>
      </c>
      <c r="AI923" s="15">
        <f t="shared" si="327"/>
        <v>0.48206666666666637</v>
      </c>
      <c r="AJ923" s="10">
        <v>0.5</v>
      </c>
      <c r="AK923" s="10">
        <v>0.5</v>
      </c>
      <c r="AL923" s="21">
        <v>6.13</v>
      </c>
      <c r="AM923" s="9">
        <f t="shared" si="328"/>
        <v>3.4484999999999997</v>
      </c>
      <c r="AN923" s="9">
        <f t="shared" si="329"/>
        <v>0.68969999999999998</v>
      </c>
      <c r="AO923" s="9">
        <f t="shared" si="330"/>
        <v>4.5979999999999999</v>
      </c>
      <c r="AP923" s="9">
        <f t="shared" si="331"/>
        <v>0.45979999999999999</v>
      </c>
      <c r="AQ923" s="9">
        <f t="shared" si="332"/>
        <v>4.5979999999999999</v>
      </c>
      <c r="AR923" s="9">
        <f t="shared" si="333"/>
        <v>5.7474999999999996</v>
      </c>
      <c r="AS923" s="11">
        <f t="shared" si="334"/>
        <v>1.3773333333333326</v>
      </c>
      <c r="AT923" s="12">
        <f t="shared" si="335"/>
        <v>0.61099999999999943</v>
      </c>
    </row>
    <row r="924" spans="1:46" ht="16.5" x14ac:dyDescent="0.4">
      <c r="A924" s="4" t="s">
        <v>4177</v>
      </c>
      <c r="B924" s="4" t="s">
        <v>4185</v>
      </c>
      <c r="C924" s="4" t="s">
        <v>4185</v>
      </c>
      <c r="D924" s="4" t="s">
        <v>4195</v>
      </c>
      <c r="E924" s="4" t="s">
        <v>4207</v>
      </c>
      <c r="F924" s="4" t="s">
        <v>4219</v>
      </c>
      <c r="G924" s="7" t="str">
        <f>VLOOKUP(A924,[1]done!$A:$I,9,0)</f>
        <v>Rodent</v>
      </c>
      <c r="H924" s="7" t="str" cm="1">
        <f t="array" ref="H924">_xlfn.IFS(
OR(ISNUMBER(SEARCH("mouse",E924)),ISNUMBER(SEARCH("rat",E924)),ISNUMBER(SEARCH("mice",E924)),ISNUMBER(SEARCH("rodent",E924))),"Rodent Control",
OR(ISNUMBER(SEARCH("fly",E924)),ISNUMBER(SEARCH("gnat",E924)),ISNUMBER(SEARCH("insect",E924)),ISNUMBER(SEARCH("mosquito",E924))),"Flying Insect Control",
OR(ISNUMBER(SEARCH("roach",E924)),ISNUMBER(SEARCH("ant",E924)),ISNUMBER(SEARCH("spider",E924)),ISNUMBER(SEARCH("cricket",E924)),ISNUMBER(SEARCH("scorpion",E924)),ISNUMBER(SEARCH("centipede",E924)),ISNUMBER(SEARCH("beetle",E924))),"Crawling Insect Control",
OR(ISNUMBER(SEARCH("tree",E924)),ISNUMBER(SEARCH("lantern",E924)),ISNUMBER(SEARCH("garden",E924)),ISNUMBER(SEARCH("plant",E924))),"Garden Pest Control",
OR(ISNUMBER(SEARCH("grass seed",E924)),ISNUMBER(SEARCH("seed mix",E924))),"Grass Seed",
OR(ISNUMBER(SEARCH("lawn food",E924)),ISNUMBER(SEARCH("fertilizer",E924))),"Lawn Fertilizer",
OR(ISNUMBER(SEARCH("patch",E924)),ISNUMBER(SEARCH("repair",E924)),ISNUMBER(SEARCH("thick'r",E924)),ISNUMBER(SEARCH("thick'r lawn",E924)),ISNUMBER(SEARCH("rapid grass",E924))),"Lawn Repair",
OR(ISNUMBER(SEARCH("weed",E924)),ISNUMBER(SEARCH("crabgrass",E924))),"Weed Control",
OR(ISNUMBER(SEARCH("fungicide",E924)),ISNUMBER(SEARCH("moss",E924))),"Disease &amp; Moss Control",
OR(ISNUMBER(SEARCH("plant food",E924)),ISNUMBER(SEARCH("miracid",E924))),"Plant Nutrition",
OR(ISNUMBER(SEARCH("perlite",E924))),"Soil Amendment",
OR(ISNUMBER(SEARCH("spreader",E924)),ISNUMBER(SEARCH("sprayer",E924)),ISNUMBER(SEARCH("mower",E924)),ISNUMBER(SEARCH("sweeper",E924)),ISNUMBER(SEARCH("pruner",E924)),ISNUMBER(SEARCH("trimmer",E924)),ISNUMBER(SEARCH("pole saw",E924))),"Garden Equipment",
TRUE,"Other"
)</f>
        <v>Rodent Control</v>
      </c>
      <c r="I924" s="7" t="str" cm="1">
        <f t="array" ref="I924">_xlfn.IFS(
OR(ISNUMBER(SEARCH("glue trap",E924)),ISNUMBER(SEARCH("glue board",E924))),"Glue Traps",
OR(ISNUMBER(SEARCH("snap trap",E924)),ISNUMBER(SEARCH("power-kill",E924)),ISNUMBER(SEARCH("wide pedal",E924)),ISNUMBER(SEARCH("metal pedal",E924))),"Snap Traps",
OR(ISNUMBER(SEARCH("electronic",E924)),ISNUMBER(SEARCH("zapper",E924))),"Electronic Traps",
OR(ISNUMBER(SEARCH("live catch",E924)),ISNUMBER(SEARCH("multi-catch",E924)),ISNUMBER(SEARCH("catch &amp; hold",E924)),ISNUMBER(SEARCH("tin cat",E924))),"Live Catch Traps",
OR(ISNUMBER(SEARCH("bait",E924)),ISNUMBER(SEARCH("poison",E924))),"Bait &amp; Poison",
ISNUMBER(SEARCH("repellent",E924)),"Repellents",
OR(ISNUMBER(SEARCH("fly trap",E924)),ISNUMBER(SEARCH("fly ribbon",E924)),ISNUMBER(SEARCH("fly stick",E924)),ISNUMBER(SEARCH("window fly",E924)),ISNUMBER(SEARCH("fly magnet",E924))),"Fly Traps",
OR(ISNUMBER(SEARCH("uv",E924)),ISNUMBER(SEARCH("fly light",E924)),ISNUMBER(SEARCH("plug-in",E924))),"UV Fly Traps",
ISNUMBER(SEARCH("roach",E924)),"Roach Traps",
ISNUMBER(SEARCH("ant",E924)),"Ant Traps",
ISNUMBER(SEARCH("spider",E924)),"Spider Traps",
ISNUMBER(SEARCH("mosquito",E924)),"Mosquito Traps",
ISNUMBER(SEARCH("beetle",E924)),"Beetle Traps",
ISNUMBER(SEARCH("lantern",E924)),"Lanternfly Control",
OR(ISNUMBER(SEARCH("tree shield",E924)),ISNUMBER(SEARCH("tree banding",E924)),ISNUMBER(SEARCH("insect barrier",E924))),"Tree Barriers",
OR(ISNUMBER(SEARCH("sun &amp; shade",E924)),ISNUMBER(SEARCH("sun and shade",E924))),"Sun &amp; Shade Mix",
ISNUMBER(SEARCH("tall fescue",E924)),"Tall Fescue",
ISNUMBER(SEARCH("bermudagrass",E924)),"Bermudagrass",
ISNUMBER(SEARCH("kentucky",E924)),"Kentucky Bluegrass",
ISNUMBER(SEARCH("zoysia",E924)),"Zoysia",
ISNUMBER(SEARCH("ryegrass",E924)),"Perennial Ryegrass",
ISNUMBER(SEARCH("centipede",E924)),"Centipede Grass",
ISNUMBER(SEARCH("dense shade",E924)),"Dense Shade Mix",
ISNUMBER(SEARCH("southern gold",E924)),"Southern Gold Mix",
ISNUMBER(SEARCH("heat-tolerant blue",E924)),"Heat-Tolerant Blue Mix",
ISNUMBER(SEARCH("high traffic",E924)),"High Traffic Mix",
ISNUMBER(SEARCH("quick fix",E924)),"Quick Fix Mix",
ISNUMBER(SEARCH("starter",E924)),"Starter Fertilizer",
ISNUMBER(SEARCH("weed &amp; feed",E924)),"Weed &amp; Feed",
ISNUMBER(SEARCH("lawn food",E924)),"Lawn Food",
ISNUMBER(SEARCH("triple action",E924)),"Triple Action Fertilizer",
ISNUMBER(SEARCH("green max",E924)),"Green Max Lawn Food",
ISNUMBER(SEARCH("patchmaster",E924)),"PatchMaster Repair",
ISNUMBER(SEARCH("ez seed",E924)),"EZ Seed Repair",
ISNUMBER(SEARCH("rapid grass",E924)),"Rapid Grass",
ISNUMBER(SEARCH("thick'r lawn",E924)),"Thick'R Lawn",
ISNUMBER(SEARCH("fungicide",E924)),"Fungicide",
ISNUMBER(SEARCH("moss",E924)),"Moss Control",
ISNUMBER(SEARCH("perlite",E924)),"Perlite",
ISNUMBER(SEARCH("plant food",E924)),"Plant Food",
ISNUMBER(SEARCH("spreader",E924)),"Spreader",
ISNUMBER(SEARCH("sprayer",E924)),"Sprayer",
ISNUMBER(SEARCH("mower",E924)),"Lawn Mower",
ISNUMBER(SEARCH("sweeper",E924)),"Lawn Sweeper",
OR(ISNUMBER(SEARCH("pruner",E924)),ISNUMBER(SEARCH("trimmer",E924)),ISNUMBER(SEARCH("pole saw",E924))),"Pruning Tools",
TRUE,"Other"
)</f>
        <v>Bait &amp; Poison</v>
      </c>
      <c r="J924" s="7" t="str">
        <f t="shared" si="320"/>
        <v>Rodent Control - Bait &amp; Poison</v>
      </c>
      <c r="K924" s="4">
        <v>100</v>
      </c>
      <c r="L924" s="4">
        <v>4</v>
      </c>
      <c r="M924" s="4">
        <v>2956</v>
      </c>
      <c r="N924" s="4" t="s">
        <v>4228</v>
      </c>
      <c r="O924" s="4">
        <f>VLOOKUP(A924,[21]Sheet1!$A:$M,2,0)</f>
        <v>200</v>
      </c>
      <c r="P924" s="4">
        <f>VLOOKUP(A924,[21]Sheet1!$A:$M,3,0)</f>
        <v>50</v>
      </c>
      <c r="Q924" s="4">
        <f>VLOOKUP(A924,[21]Sheet1!$A:$M,4,0)</f>
        <v>50</v>
      </c>
      <c r="R924" s="4">
        <f>VLOOKUP(A924,[21]Sheet1!$A:$M,5,0)</f>
        <v>50</v>
      </c>
      <c r="S924" s="4">
        <f>VLOOKUP(A924,[21]Sheet1!$A:$M,6,0)</f>
        <v>0</v>
      </c>
      <c r="T924" s="4">
        <f>VLOOKUP(A924,[21]Sheet1!$A:$M,7,0)</f>
        <v>0</v>
      </c>
      <c r="U924" s="4">
        <f>VLOOKUP(A924,[21]Sheet1!$A:$M,8,0)</f>
        <v>0</v>
      </c>
      <c r="V924" s="4">
        <f>VLOOKUP(A924,[21]Sheet1!$A:$M,9,0)</f>
        <v>0</v>
      </c>
      <c r="W924" s="4">
        <f>VLOOKUP(A924,[21]Sheet1!$A:$M,10,0)</f>
        <v>100</v>
      </c>
      <c r="X924" s="4">
        <f>VLOOKUP(A924,[21]Sheet1!$A:$M,11,0)</f>
        <v>0</v>
      </c>
      <c r="Y924" s="4">
        <f>VLOOKUP(A924,[21]Sheet1!$A:$M,12,0)</f>
        <v>0</v>
      </c>
      <c r="Z924" s="4">
        <f>VLOOKUP(A924,[21]Sheet1!$A:$M,13,0)</f>
        <v>100</v>
      </c>
      <c r="AA924" s="4">
        <f t="shared" si="321"/>
        <v>550</v>
      </c>
      <c r="AB924" s="7">
        <f t="shared" si="322"/>
        <v>46</v>
      </c>
      <c r="AC924" s="15">
        <f t="shared" si="323"/>
        <v>45.833333333333336</v>
      </c>
      <c r="AD924" s="16">
        <f t="shared" si="324"/>
        <v>12094.5</v>
      </c>
      <c r="AE924" s="16">
        <f t="shared" si="325"/>
        <v>1007.875</v>
      </c>
      <c r="AF924" s="21">
        <v>4.09</v>
      </c>
      <c r="AG924" s="21">
        <v>21.99</v>
      </c>
      <c r="AH924" s="15">
        <f t="shared" si="326"/>
        <v>0.24706666666666666</v>
      </c>
      <c r="AI924" s="15">
        <f t="shared" si="327"/>
        <v>0.86473333333333313</v>
      </c>
      <c r="AJ924" s="10">
        <v>0.5</v>
      </c>
      <c r="AK924" s="10">
        <v>0.5</v>
      </c>
      <c r="AL924" s="21">
        <v>4.09</v>
      </c>
      <c r="AM924" s="9">
        <f t="shared" si="328"/>
        <v>3.2984999999999998</v>
      </c>
      <c r="AN924" s="9">
        <f t="shared" si="329"/>
        <v>0.65969999999999995</v>
      </c>
      <c r="AO924" s="9">
        <f t="shared" si="330"/>
        <v>4.3979999999999997</v>
      </c>
      <c r="AP924" s="9">
        <f t="shared" si="331"/>
        <v>0.43979999999999997</v>
      </c>
      <c r="AQ924" s="9">
        <f t="shared" si="332"/>
        <v>4.3979999999999997</v>
      </c>
      <c r="AR924" s="9">
        <f t="shared" si="333"/>
        <v>5.4974999999999996</v>
      </c>
      <c r="AS924" s="11">
        <f t="shared" si="334"/>
        <v>2.4706666666666663</v>
      </c>
      <c r="AT924" s="12">
        <f t="shared" si="335"/>
        <v>1.7376666666666665</v>
      </c>
    </row>
    <row r="925" spans="1:46" ht="16.5" x14ac:dyDescent="0.4">
      <c r="A925" s="4" t="s">
        <v>4178</v>
      </c>
      <c r="B925" s="4" t="s">
        <v>4185</v>
      </c>
      <c r="C925" s="4" t="s">
        <v>4186</v>
      </c>
      <c r="D925" s="4" t="s">
        <v>4196</v>
      </c>
      <c r="E925" s="4" t="s">
        <v>4208</v>
      </c>
      <c r="F925" s="4" t="s">
        <v>4220</v>
      </c>
      <c r="G925" s="7" t="str">
        <f>VLOOKUP(A925,[1]done!$A:$I,9,0)</f>
        <v>Rodent</v>
      </c>
      <c r="H925" s="7" t="str" cm="1">
        <f t="array" ref="H925">_xlfn.IFS(
OR(ISNUMBER(SEARCH("mouse",E925)),ISNUMBER(SEARCH("rat",E925)),ISNUMBER(SEARCH("mice",E925)),ISNUMBER(SEARCH("rodent",E925))),"Rodent Control",
OR(ISNUMBER(SEARCH("fly",E925)),ISNUMBER(SEARCH("gnat",E925)),ISNUMBER(SEARCH("insect",E925)),ISNUMBER(SEARCH("mosquito",E925))),"Flying Insect Control",
OR(ISNUMBER(SEARCH("roach",E925)),ISNUMBER(SEARCH("ant",E925)),ISNUMBER(SEARCH("spider",E925)),ISNUMBER(SEARCH("cricket",E925)),ISNUMBER(SEARCH("scorpion",E925)),ISNUMBER(SEARCH("centipede",E925)),ISNUMBER(SEARCH("beetle",E925))),"Crawling Insect Control",
OR(ISNUMBER(SEARCH("tree",E925)),ISNUMBER(SEARCH("lantern",E925)),ISNUMBER(SEARCH("garden",E925)),ISNUMBER(SEARCH("plant",E925))),"Garden Pest Control",
OR(ISNUMBER(SEARCH("grass seed",E925)),ISNUMBER(SEARCH("seed mix",E925))),"Grass Seed",
OR(ISNUMBER(SEARCH("lawn food",E925)),ISNUMBER(SEARCH("fertilizer",E925))),"Lawn Fertilizer",
OR(ISNUMBER(SEARCH("patch",E925)),ISNUMBER(SEARCH("repair",E925)),ISNUMBER(SEARCH("thick'r",E925)),ISNUMBER(SEARCH("thick'r lawn",E925)),ISNUMBER(SEARCH("rapid grass",E925))),"Lawn Repair",
OR(ISNUMBER(SEARCH("weed",E925)),ISNUMBER(SEARCH("crabgrass",E925))),"Weed Control",
OR(ISNUMBER(SEARCH("fungicide",E925)),ISNUMBER(SEARCH("moss",E925))),"Disease &amp; Moss Control",
OR(ISNUMBER(SEARCH("plant food",E925)),ISNUMBER(SEARCH("miracid",E925))),"Plant Nutrition",
OR(ISNUMBER(SEARCH("perlite",E925))),"Soil Amendment",
OR(ISNUMBER(SEARCH("spreader",E925)),ISNUMBER(SEARCH("sprayer",E925)),ISNUMBER(SEARCH("mower",E925)),ISNUMBER(SEARCH("sweeper",E925)),ISNUMBER(SEARCH("pruner",E925)),ISNUMBER(SEARCH("trimmer",E925)),ISNUMBER(SEARCH("pole saw",E925))),"Garden Equipment",
TRUE,"Other"
)</f>
        <v>Rodent Control</v>
      </c>
      <c r="I925" s="7" t="str" cm="1">
        <f t="array" ref="I925">_xlfn.IFS(
OR(ISNUMBER(SEARCH("glue trap",E925)),ISNUMBER(SEARCH("glue board",E925))),"Glue Traps",
OR(ISNUMBER(SEARCH("snap trap",E925)),ISNUMBER(SEARCH("power-kill",E925)),ISNUMBER(SEARCH("wide pedal",E925)),ISNUMBER(SEARCH("metal pedal",E925))),"Snap Traps",
OR(ISNUMBER(SEARCH("electronic",E925)),ISNUMBER(SEARCH("zapper",E925))),"Electronic Traps",
OR(ISNUMBER(SEARCH("live catch",E925)),ISNUMBER(SEARCH("multi-catch",E925)),ISNUMBER(SEARCH("catch &amp; hold",E925)),ISNUMBER(SEARCH("tin cat",E925))),"Live Catch Traps",
OR(ISNUMBER(SEARCH("bait",E925)),ISNUMBER(SEARCH("poison",E925))),"Bait &amp; Poison",
ISNUMBER(SEARCH("repellent",E925)),"Repellents",
OR(ISNUMBER(SEARCH("fly trap",E925)),ISNUMBER(SEARCH("fly ribbon",E925)),ISNUMBER(SEARCH("fly stick",E925)),ISNUMBER(SEARCH("window fly",E925)),ISNUMBER(SEARCH("fly magnet",E925))),"Fly Traps",
OR(ISNUMBER(SEARCH("uv",E925)),ISNUMBER(SEARCH("fly light",E925)),ISNUMBER(SEARCH("plug-in",E925))),"UV Fly Traps",
ISNUMBER(SEARCH("roach",E925)),"Roach Traps",
ISNUMBER(SEARCH("ant",E925)),"Ant Traps",
ISNUMBER(SEARCH("spider",E925)),"Spider Traps",
ISNUMBER(SEARCH("mosquito",E925)),"Mosquito Traps",
ISNUMBER(SEARCH("beetle",E925)),"Beetle Traps",
ISNUMBER(SEARCH("lantern",E925)),"Lanternfly Control",
OR(ISNUMBER(SEARCH("tree shield",E925)),ISNUMBER(SEARCH("tree banding",E925)),ISNUMBER(SEARCH("insect barrier",E925))),"Tree Barriers",
OR(ISNUMBER(SEARCH("sun &amp; shade",E925)),ISNUMBER(SEARCH("sun and shade",E925))),"Sun &amp; Shade Mix",
ISNUMBER(SEARCH("tall fescue",E925)),"Tall Fescue",
ISNUMBER(SEARCH("bermudagrass",E925)),"Bermudagrass",
ISNUMBER(SEARCH("kentucky",E925)),"Kentucky Bluegrass",
ISNUMBER(SEARCH("zoysia",E925)),"Zoysia",
ISNUMBER(SEARCH("ryegrass",E925)),"Perennial Ryegrass",
ISNUMBER(SEARCH("centipede",E925)),"Centipede Grass",
ISNUMBER(SEARCH("dense shade",E925)),"Dense Shade Mix",
ISNUMBER(SEARCH("southern gold",E925)),"Southern Gold Mix",
ISNUMBER(SEARCH("heat-tolerant blue",E925)),"Heat-Tolerant Blue Mix",
ISNUMBER(SEARCH("high traffic",E925)),"High Traffic Mix",
ISNUMBER(SEARCH("quick fix",E925)),"Quick Fix Mix",
ISNUMBER(SEARCH("starter",E925)),"Starter Fertilizer",
ISNUMBER(SEARCH("weed &amp; feed",E925)),"Weed &amp; Feed",
ISNUMBER(SEARCH("lawn food",E925)),"Lawn Food",
ISNUMBER(SEARCH("triple action",E925)),"Triple Action Fertilizer",
ISNUMBER(SEARCH("green max",E925)),"Green Max Lawn Food",
ISNUMBER(SEARCH("patchmaster",E925)),"PatchMaster Repair",
ISNUMBER(SEARCH("ez seed",E925)),"EZ Seed Repair",
ISNUMBER(SEARCH("rapid grass",E925)),"Rapid Grass",
ISNUMBER(SEARCH("thick'r lawn",E925)),"Thick'R Lawn",
ISNUMBER(SEARCH("fungicide",E925)),"Fungicide",
ISNUMBER(SEARCH("moss",E925)),"Moss Control",
ISNUMBER(SEARCH("perlite",E925)),"Perlite",
ISNUMBER(SEARCH("plant food",E925)),"Plant Food",
ISNUMBER(SEARCH("spreader",E925)),"Spreader",
ISNUMBER(SEARCH("sprayer",E925)),"Sprayer",
ISNUMBER(SEARCH("mower",E925)),"Lawn Mower",
ISNUMBER(SEARCH("sweeper",E925)),"Lawn Sweeper",
OR(ISNUMBER(SEARCH("pruner",E925)),ISNUMBER(SEARCH("trimmer",E925)),ISNUMBER(SEARCH("pole saw",E925))),"Pruning Tools",
TRUE,"Other"
)</f>
        <v>Bait &amp; Poison</v>
      </c>
      <c r="J925" s="7" t="str">
        <f t="shared" si="320"/>
        <v>Rodent Control - Bait &amp; Poison</v>
      </c>
      <c r="K925" s="4">
        <v>100</v>
      </c>
      <c r="L925" s="4">
        <v>4.4000000000000004</v>
      </c>
      <c r="M925" s="4">
        <v>1430</v>
      </c>
      <c r="N925" s="4" t="s">
        <v>4228</v>
      </c>
      <c r="O925" s="4">
        <f>VLOOKUP(A925,[21]Sheet1!$A:$M,2,0)</f>
        <v>0</v>
      </c>
      <c r="P925" s="4">
        <f>VLOOKUP(A925,[21]Sheet1!$A:$M,3,0)</f>
        <v>0</v>
      </c>
      <c r="Q925" s="4">
        <f>VLOOKUP(A925,[21]Sheet1!$A:$M,4,0)</f>
        <v>0</v>
      </c>
      <c r="R925" s="4">
        <f>VLOOKUP(A925,[21]Sheet1!$A:$M,5,0)</f>
        <v>0</v>
      </c>
      <c r="S925" s="4">
        <f>VLOOKUP(A925,[21]Sheet1!$A:$M,6,0)</f>
        <v>0</v>
      </c>
      <c r="T925" s="4">
        <f>VLOOKUP(A925,[21]Sheet1!$A:$M,7,0)</f>
        <v>0</v>
      </c>
      <c r="U925" s="4">
        <f>VLOOKUP(A925,[21]Sheet1!$A:$M,8,0)</f>
        <v>0</v>
      </c>
      <c r="V925" s="4">
        <f>VLOOKUP(A925,[21]Sheet1!$A:$M,9,0)</f>
        <v>0</v>
      </c>
      <c r="W925" s="4">
        <f>VLOOKUP(A925,[21]Sheet1!$A:$M,10,0)</f>
        <v>100</v>
      </c>
      <c r="X925" s="4">
        <f>VLOOKUP(A925,[21]Sheet1!$A:$M,11,0)</f>
        <v>0</v>
      </c>
      <c r="Y925" s="4">
        <f>VLOOKUP(A925,[21]Sheet1!$A:$M,12,0)</f>
        <v>0</v>
      </c>
      <c r="Z925" s="4">
        <f>VLOOKUP(A925,[21]Sheet1!$A:$M,13,0)</f>
        <v>0</v>
      </c>
      <c r="AA925" s="4">
        <f t="shared" si="321"/>
        <v>100</v>
      </c>
      <c r="AB925" s="7">
        <f t="shared" si="322"/>
        <v>8</v>
      </c>
      <c r="AC925" s="15">
        <f t="shared" si="323"/>
        <v>8.3333333333333339</v>
      </c>
      <c r="AD925" s="16">
        <f t="shared" si="324"/>
        <v>6299</v>
      </c>
      <c r="AE925" s="16">
        <f t="shared" si="325"/>
        <v>524.91666666666674</v>
      </c>
      <c r="AF925" s="21">
        <v>12.64</v>
      </c>
      <c r="AG925" s="21">
        <v>62.99</v>
      </c>
      <c r="AH925" s="15">
        <f t="shared" si="326"/>
        <v>0.77039999999999975</v>
      </c>
      <c r="AI925" s="15">
        <f t="shared" si="327"/>
        <v>2.6963999999999988</v>
      </c>
      <c r="AJ925" s="10">
        <v>0.5</v>
      </c>
      <c r="AK925" s="10">
        <v>0.5</v>
      </c>
      <c r="AL925" s="21">
        <v>12.64</v>
      </c>
      <c r="AM925" s="9">
        <f t="shared" si="328"/>
        <v>9.4484999999999992</v>
      </c>
      <c r="AN925" s="9">
        <f t="shared" si="329"/>
        <v>1.8896999999999999</v>
      </c>
      <c r="AO925" s="9">
        <f t="shared" si="330"/>
        <v>12.598000000000001</v>
      </c>
      <c r="AP925" s="9">
        <f t="shared" si="331"/>
        <v>1.2598</v>
      </c>
      <c r="AQ925" s="9">
        <f t="shared" si="332"/>
        <v>12.598000000000001</v>
      </c>
      <c r="AR925" s="9">
        <f t="shared" si="333"/>
        <v>15.7475</v>
      </c>
      <c r="AS925" s="11">
        <f t="shared" si="334"/>
        <v>7.7039999999999971</v>
      </c>
      <c r="AT925" s="12">
        <f t="shared" si="335"/>
        <v>5.6043333333333303</v>
      </c>
    </row>
    <row r="926" spans="1:46" ht="16.5" x14ac:dyDescent="0.4">
      <c r="A926" s="4" t="s">
        <v>4179</v>
      </c>
      <c r="B926" s="4" t="s">
        <v>4185</v>
      </c>
      <c r="C926" s="4" t="s">
        <v>4185</v>
      </c>
      <c r="D926" s="4" t="s">
        <v>4197</v>
      </c>
      <c r="E926" s="4" t="s">
        <v>4209</v>
      </c>
      <c r="F926" s="4" t="s">
        <v>4221</v>
      </c>
      <c r="G926" s="7" t="str">
        <f>VLOOKUP(A926,[1]done!$A:$I,9,0)</f>
        <v>Other Glue boards for insects or rodents</v>
      </c>
      <c r="H926" s="7" t="str" cm="1">
        <f t="array" ref="H926">_xlfn.IFS(
OR(ISNUMBER(SEARCH("mouse",E926)),ISNUMBER(SEARCH("rat",E926)),ISNUMBER(SEARCH("mice",E926)),ISNUMBER(SEARCH("rodent",E926))),"Rodent Control",
OR(ISNUMBER(SEARCH("fly",E926)),ISNUMBER(SEARCH("gnat",E926)),ISNUMBER(SEARCH("insect",E926)),ISNUMBER(SEARCH("mosquito",E926))),"Flying Insect Control",
OR(ISNUMBER(SEARCH("roach",E926)),ISNUMBER(SEARCH("ant",E926)),ISNUMBER(SEARCH("spider",E926)),ISNUMBER(SEARCH("cricket",E926)),ISNUMBER(SEARCH("scorpion",E926)),ISNUMBER(SEARCH("centipede",E926)),ISNUMBER(SEARCH("beetle",E926))),"Crawling Insect Control",
OR(ISNUMBER(SEARCH("tree",E926)),ISNUMBER(SEARCH("lantern",E926)),ISNUMBER(SEARCH("garden",E926)),ISNUMBER(SEARCH("plant",E926))),"Garden Pest Control",
OR(ISNUMBER(SEARCH("grass seed",E926)),ISNUMBER(SEARCH("seed mix",E926))),"Grass Seed",
OR(ISNUMBER(SEARCH("lawn food",E926)),ISNUMBER(SEARCH("fertilizer",E926))),"Lawn Fertilizer",
OR(ISNUMBER(SEARCH("patch",E926)),ISNUMBER(SEARCH("repair",E926)),ISNUMBER(SEARCH("thick'r",E926)),ISNUMBER(SEARCH("thick'r lawn",E926)),ISNUMBER(SEARCH("rapid grass",E926))),"Lawn Repair",
OR(ISNUMBER(SEARCH("weed",E926)),ISNUMBER(SEARCH("crabgrass",E926))),"Weed Control",
OR(ISNUMBER(SEARCH("fungicide",E926)),ISNUMBER(SEARCH("moss",E926))),"Disease &amp; Moss Control",
OR(ISNUMBER(SEARCH("plant food",E926)),ISNUMBER(SEARCH("miracid",E926))),"Plant Nutrition",
OR(ISNUMBER(SEARCH("perlite",E926))),"Soil Amendment",
OR(ISNUMBER(SEARCH("spreader",E926)),ISNUMBER(SEARCH("sprayer",E926)),ISNUMBER(SEARCH("mower",E926)),ISNUMBER(SEARCH("sweeper",E926)),ISNUMBER(SEARCH("pruner",E926)),ISNUMBER(SEARCH("trimmer",E926)),ISNUMBER(SEARCH("pole saw",E926))),"Garden Equipment",
TRUE,"Other"
)</f>
        <v>Garden Pest Control</v>
      </c>
      <c r="I926" s="7" t="str" cm="1">
        <f t="array" ref="I926">_xlfn.IFS(
OR(ISNUMBER(SEARCH("glue trap",E926)),ISNUMBER(SEARCH("glue board",E926))),"Glue Traps",
OR(ISNUMBER(SEARCH("snap trap",E926)),ISNUMBER(SEARCH("power-kill",E926)),ISNUMBER(SEARCH("wide pedal",E926)),ISNUMBER(SEARCH("metal pedal",E926))),"Snap Traps",
OR(ISNUMBER(SEARCH("electronic",E926)),ISNUMBER(SEARCH("zapper",E926))),"Electronic Traps",
OR(ISNUMBER(SEARCH("live catch",E926)),ISNUMBER(SEARCH("multi-catch",E926)),ISNUMBER(SEARCH("catch &amp; hold",E926)),ISNUMBER(SEARCH("tin cat",E926))),"Live Catch Traps",
OR(ISNUMBER(SEARCH("bait",E926)),ISNUMBER(SEARCH("poison",E926))),"Bait &amp; Poison",
ISNUMBER(SEARCH("repellent",E926)),"Repellents",
OR(ISNUMBER(SEARCH("fly trap",E926)),ISNUMBER(SEARCH("fly ribbon",E926)),ISNUMBER(SEARCH("fly stick",E926)),ISNUMBER(SEARCH("window fly",E926)),ISNUMBER(SEARCH("fly magnet",E926))),"Fly Traps",
OR(ISNUMBER(SEARCH("uv",E926)),ISNUMBER(SEARCH("fly light",E926)),ISNUMBER(SEARCH("plug-in",E926))),"UV Fly Traps",
ISNUMBER(SEARCH("roach",E926)),"Roach Traps",
ISNUMBER(SEARCH("ant",E926)),"Ant Traps",
ISNUMBER(SEARCH("spider",E926)),"Spider Traps",
ISNUMBER(SEARCH("mosquito",E926)),"Mosquito Traps",
ISNUMBER(SEARCH("beetle",E926)),"Beetle Traps",
ISNUMBER(SEARCH("lantern",E926)),"Lanternfly Control",
OR(ISNUMBER(SEARCH("tree shield",E926)),ISNUMBER(SEARCH("tree banding",E926)),ISNUMBER(SEARCH("insect barrier",E926))),"Tree Barriers",
OR(ISNUMBER(SEARCH("sun &amp; shade",E926)),ISNUMBER(SEARCH("sun and shade",E926))),"Sun &amp; Shade Mix",
ISNUMBER(SEARCH("tall fescue",E926)),"Tall Fescue",
ISNUMBER(SEARCH("bermudagrass",E926)),"Bermudagrass",
ISNUMBER(SEARCH("kentucky",E926)),"Kentucky Bluegrass",
ISNUMBER(SEARCH("zoysia",E926)),"Zoysia",
ISNUMBER(SEARCH("ryegrass",E926)),"Perennial Ryegrass",
ISNUMBER(SEARCH("centipede",E926)),"Centipede Grass",
ISNUMBER(SEARCH("dense shade",E926)),"Dense Shade Mix",
ISNUMBER(SEARCH("southern gold",E926)),"Southern Gold Mix",
ISNUMBER(SEARCH("heat-tolerant blue",E926)),"Heat-Tolerant Blue Mix",
ISNUMBER(SEARCH("high traffic",E926)),"High Traffic Mix",
ISNUMBER(SEARCH("quick fix",E926)),"Quick Fix Mix",
ISNUMBER(SEARCH("starter",E926)),"Starter Fertilizer",
ISNUMBER(SEARCH("weed &amp; feed",E926)),"Weed &amp; Feed",
ISNUMBER(SEARCH("lawn food",E926)),"Lawn Food",
ISNUMBER(SEARCH("triple action",E926)),"Triple Action Fertilizer",
ISNUMBER(SEARCH("green max",E926)),"Green Max Lawn Food",
ISNUMBER(SEARCH("patchmaster",E926)),"PatchMaster Repair",
ISNUMBER(SEARCH("ez seed",E926)),"EZ Seed Repair",
ISNUMBER(SEARCH("rapid grass",E926)),"Rapid Grass",
ISNUMBER(SEARCH("thick'r lawn",E926)),"Thick'R Lawn",
ISNUMBER(SEARCH("fungicide",E926)),"Fungicide",
ISNUMBER(SEARCH("moss",E926)),"Moss Control",
ISNUMBER(SEARCH("perlite",E926)),"Perlite",
ISNUMBER(SEARCH("plant food",E926)),"Plant Food",
ISNUMBER(SEARCH("spreader",E926)),"Spreader",
ISNUMBER(SEARCH("sprayer",E926)),"Sprayer",
ISNUMBER(SEARCH("mower",E926)),"Lawn Mower",
ISNUMBER(SEARCH("sweeper",E926)),"Lawn Sweeper",
OR(ISNUMBER(SEARCH("pruner",E926)),ISNUMBER(SEARCH("trimmer",E926)),ISNUMBER(SEARCH("pole saw",E926))),"Pruning Tools",
TRUE,"Other"
)</f>
        <v>Other</v>
      </c>
      <c r="J926" s="7" t="str">
        <f t="shared" si="320"/>
        <v>Garden Pest Control - Other</v>
      </c>
      <c r="K926" s="4">
        <v>100</v>
      </c>
      <c r="L926" s="4">
        <v>3.4</v>
      </c>
      <c r="M926" s="4">
        <v>6343</v>
      </c>
      <c r="N926" s="4" t="s">
        <v>2136</v>
      </c>
      <c r="O926" s="4">
        <f>VLOOKUP(A926,[21]Sheet1!$A:$M,2,0)</f>
        <v>0</v>
      </c>
      <c r="P926" s="4">
        <f>VLOOKUP(A926,[21]Sheet1!$A:$M,3,0)</f>
        <v>0</v>
      </c>
      <c r="Q926" s="4">
        <f>VLOOKUP(A926,[21]Sheet1!$A:$M,4,0)</f>
        <v>50</v>
      </c>
      <c r="R926" s="4">
        <f>VLOOKUP(A926,[21]Sheet1!$A:$M,5,0)</f>
        <v>100</v>
      </c>
      <c r="S926" s="4">
        <f>VLOOKUP(A926,[21]Sheet1!$A:$M,6,0)</f>
        <v>100</v>
      </c>
      <c r="T926" s="4">
        <f>VLOOKUP(A926,[21]Sheet1!$A:$M,7,0)</f>
        <v>100</v>
      </c>
      <c r="U926" s="4">
        <f>VLOOKUP(A926,[21]Sheet1!$A:$M,8,0)</f>
        <v>50</v>
      </c>
      <c r="V926" s="4">
        <f>VLOOKUP(A926,[21]Sheet1!$A:$M,9,0)</f>
        <v>100</v>
      </c>
      <c r="W926" s="4">
        <f>VLOOKUP(A926,[21]Sheet1!$A:$M,10,0)</f>
        <v>100</v>
      </c>
      <c r="X926" s="4">
        <f>VLOOKUP(A926,[21]Sheet1!$A:$M,11,0)</f>
        <v>50</v>
      </c>
      <c r="Y926" s="4">
        <f>VLOOKUP(A926,[21]Sheet1!$A:$M,12,0)</f>
        <v>100</v>
      </c>
      <c r="Z926" s="4">
        <f>VLOOKUP(A926,[21]Sheet1!$A:$M,13,0)</f>
        <v>50</v>
      </c>
      <c r="AA926" s="4">
        <f t="shared" si="321"/>
        <v>800</v>
      </c>
      <c r="AB926" s="7">
        <f t="shared" si="322"/>
        <v>67</v>
      </c>
      <c r="AC926" s="15">
        <f t="shared" si="323"/>
        <v>66.666666666666671</v>
      </c>
      <c r="AD926" s="16">
        <f t="shared" si="324"/>
        <v>35984</v>
      </c>
      <c r="AE926" s="16">
        <f t="shared" si="325"/>
        <v>2998.6666666666665</v>
      </c>
      <c r="AF926" s="21">
        <v>8.9499999999999993</v>
      </c>
      <c r="AG926" s="21">
        <v>44.98</v>
      </c>
      <c r="AH926" s="15">
        <f t="shared" si="326"/>
        <v>0.53613333333333313</v>
      </c>
      <c r="AI926" s="15">
        <f t="shared" si="327"/>
        <v>1.8764666666666656</v>
      </c>
      <c r="AJ926" s="10">
        <v>0.5</v>
      </c>
      <c r="AK926" s="10">
        <v>0.5</v>
      </c>
      <c r="AL926" s="21">
        <v>8.9499999999999993</v>
      </c>
      <c r="AM926" s="9">
        <f t="shared" si="328"/>
        <v>6.746999999999999</v>
      </c>
      <c r="AN926" s="9">
        <f t="shared" si="329"/>
        <v>1.3493999999999999</v>
      </c>
      <c r="AO926" s="9">
        <f t="shared" si="330"/>
        <v>8.9960000000000004</v>
      </c>
      <c r="AP926" s="9">
        <f t="shared" si="331"/>
        <v>0.89959999999999996</v>
      </c>
      <c r="AQ926" s="9">
        <f t="shared" si="332"/>
        <v>8.9960000000000004</v>
      </c>
      <c r="AR926" s="9">
        <f t="shared" si="333"/>
        <v>11.244999999999999</v>
      </c>
      <c r="AS926" s="11">
        <f t="shared" si="334"/>
        <v>5.3613333333333308</v>
      </c>
      <c r="AT926" s="12">
        <f t="shared" si="335"/>
        <v>3.8619999999999983</v>
      </c>
    </row>
    <row r="927" spans="1:46" ht="16.5" x14ac:dyDescent="0.4">
      <c r="A927" s="4" t="s">
        <v>4180</v>
      </c>
      <c r="B927" s="4" t="s">
        <v>4185</v>
      </c>
      <c r="C927" s="4" t="s">
        <v>4187</v>
      </c>
      <c r="D927" s="4" t="s">
        <v>4198</v>
      </c>
      <c r="E927" s="4" t="s">
        <v>4210</v>
      </c>
      <c r="F927" s="4" t="s">
        <v>4222</v>
      </c>
      <c r="G927" s="7" t="str">
        <f>VLOOKUP(A927,[1]done!$A:$I,9,0)</f>
        <v>Rodent</v>
      </c>
      <c r="H927" s="7" t="str" cm="1">
        <f t="array" ref="H927">_xlfn.IFS(
OR(ISNUMBER(SEARCH("mouse",E927)),ISNUMBER(SEARCH("rat",E927)),ISNUMBER(SEARCH("mice",E927)),ISNUMBER(SEARCH("rodent",E927))),"Rodent Control",
OR(ISNUMBER(SEARCH("fly",E927)),ISNUMBER(SEARCH("gnat",E927)),ISNUMBER(SEARCH("insect",E927)),ISNUMBER(SEARCH("mosquito",E927))),"Flying Insect Control",
OR(ISNUMBER(SEARCH("roach",E927)),ISNUMBER(SEARCH("ant",E927)),ISNUMBER(SEARCH("spider",E927)),ISNUMBER(SEARCH("cricket",E927)),ISNUMBER(SEARCH("scorpion",E927)),ISNUMBER(SEARCH("centipede",E927)),ISNUMBER(SEARCH("beetle",E927))),"Crawling Insect Control",
OR(ISNUMBER(SEARCH("tree",E927)),ISNUMBER(SEARCH("lantern",E927)),ISNUMBER(SEARCH("garden",E927)),ISNUMBER(SEARCH("plant",E927))),"Garden Pest Control",
OR(ISNUMBER(SEARCH("grass seed",E927)),ISNUMBER(SEARCH("seed mix",E927))),"Grass Seed",
OR(ISNUMBER(SEARCH("lawn food",E927)),ISNUMBER(SEARCH("fertilizer",E927))),"Lawn Fertilizer",
OR(ISNUMBER(SEARCH("patch",E927)),ISNUMBER(SEARCH("repair",E927)),ISNUMBER(SEARCH("thick'r",E927)),ISNUMBER(SEARCH("thick'r lawn",E927)),ISNUMBER(SEARCH("rapid grass",E927))),"Lawn Repair",
OR(ISNUMBER(SEARCH("weed",E927)),ISNUMBER(SEARCH("crabgrass",E927))),"Weed Control",
OR(ISNUMBER(SEARCH("fungicide",E927)),ISNUMBER(SEARCH("moss",E927))),"Disease &amp; Moss Control",
OR(ISNUMBER(SEARCH("plant food",E927)),ISNUMBER(SEARCH("miracid",E927))),"Plant Nutrition",
OR(ISNUMBER(SEARCH("perlite",E927))),"Soil Amendment",
OR(ISNUMBER(SEARCH("spreader",E927)),ISNUMBER(SEARCH("sprayer",E927)),ISNUMBER(SEARCH("mower",E927)),ISNUMBER(SEARCH("sweeper",E927)),ISNUMBER(SEARCH("pruner",E927)),ISNUMBER(SEARCH("trimmer",E927)),ISNUMBER(SEARCH("pole saw",E927))),"Garden Equipment",
TRUE,"Other"
)</f>
        <v>Rodent Control</v>
      </c>
      <c r="I927" s="7" t="str" cm="1">
        <f t="array" ref="I927">_xlfn.IFS(
OR(ISNUMBER(SEARCH("glue trap",E927)),ISNUMBER(SEARCH("glue board",E927))),"Glue Traps",
OR(ISNUMBER(SEARCH("snap trap",E927)),ISNUMBER(SEARCH("power-kill",E927)),ISNUMBER(SEARCH("wide pedal",E927)),ISNUMBER(SEARCH("metal pedal",E927))),"Snap Traps",
OR(ISNUMBER(SEARCH("electronic",E927)),ISNUMBER(SEARCH("zapper",E927))),"Electronic Traps",
OR(ISNUMBER(SEARCH("live catch",E927)),ISNUMBER(SEARCH("multi-catch",E927)),ISNUMBER(SEARCH("catch &amp; hold",E927)),ISNUMBER(SEARCH("tin cat",E927))),"Live Catch Traps",
OR(ISNUMBER(SEARCH("bait",E927)),ISNUMBER(SEARCH("poison",E927))),"Bait &amp; Poison",
ISNUMBER(SEARCH("repellent",E927)),"Repellents",
OR(ISNUMBER(SEARCH("fly trap",E927)),ISNUMBER(SEARCH("fly ribbon",E927)),ISNUMBER(SEARCH("fly stick",E927)),ISNUMBER(SEARCH("window fly",E927)),ISNUMBER(SEARCH("fly magnet",E927))),"Fly Traps",
OR(ISNUMBER(SEARCH("uv",E927)),ISNUMBER(SEARCH("fly light",E927)),ISNUMBER(SEARCH("plug-in",E927))),"UV Fly Traps",
ISNUMBER(SEARCH("roach",E927)),"Roach Traps",
ISNUMBER(SEARCH("ant",E927)),"Ant Traps",
ISNUMBER(SEARCH("spider",E927)),"Spider Traps",
ISNUMBER(SEARCH("mosquito",E927)),"Mosquito Traps",
ISNUMBER(SEARCH("beetle",E927)),"Beetle Traps",
ISNUMBER(SEARCH("lantern",E927)),"Lanternfly Control",
OR(ISNUMBER(SEARCH("tree shield",E927)),ISNUMBER(SEARCH("tree banding",E927)),ISNUMBER(SEARCH("insect barrier",E927))),"Tree Barriers",
OR(ISNUMBER(SEARCH("sun &amp; shade",E927)),ISNUMBER(SEARCH("sun and shade",E927))),"Sun &amp; Shade Mix",
ISNUMBER(SEARCH("tall fescue",E927)),"Tall Fescue",
ISNUMBER(SEARCH("bermudagrass",E927)),"Bermudagrass",
ISNUMBER(SEARCH("kentucky",E927)),"Kentucky Bluegrass",
ISNUMBER(SEARCH("zoysia",E927)),"Zoysia",
ISNUMBER(SEARCH("ryegrass",E927)),"Perennial Ryegrass",
ISNUMBER(SEARCH("centipede",E927)),"Centipede Grass",
ISNUMBER(SEARCH("dense shade",E927)),"Dense Shade Mix",
ISNUMBER(SEARCH("southern gold",E927)),"Southern Gold Mix",
ISNUMBER(SEARCH("heat-tolerant blue",E927)),"Heat-Tolerant Blue Mix",
ISNUMBER(SEARCH("high traffic",E927)),"High Traffic Mix",
ISNUMBER(SEARCH("quick fix",E927)),"Quick Fix Mix",
ISNUMBER(SEARCH("starter",E927)),"Starter Fertilizer",
ISNUMBER(SEARCH("weed &amp; feed",E927)),"Weed &amp; Feed",
ISNUMBER(SEARCH("lawn food",E927)),"Lawn Food",
ISNUMBER(SEARCH("triple action",E927)),"Triple Action Fertilizer",
ISNUMBER(SEARCH("green max",E927)),"Green Max Lawn Food",
ISNUMBER(SEARCH("patchmaster",E927)),"PatchMaster Repair",
ISNUMBER(SEARCH("ez seed",E927)),"EZ Seed Repair",
ISNUMBER(SEARCH("rapid grass",E927)),"Rapid Grass",
ISNUMBER(SEARCH("thick'r lawn",E927)),"Thick'R Lawn",
ISNUMBER(SEARCH("fungicide",E927)),"Fungicide",
ISNUMBER(SEARCH("moss",E927)),"Moss Control",
ISNUMBER(SEARCH("perlite",E927)),"Perlite",
ISNUMBER(SEARCH("plant food",E927)),"Plant Food",
ISNUMBER(SEARCH("spreader",E927)),"Spreader",
ISNUMBER(SEARCH("sprayer",E927)),"Sprayer",
ISNUMBER(SEARCH("mower",E927)),"Lawn Mower",
ISNUMBER(SEARCH("sweeper",E927)),"Lawn Sweeper",
OR(ISNUMBER(SEARCH("pruner",E927)),ISNUMBER(SEARCH("trimmer",E927)),ISNUMBER(SEARCH("pole saw",E927))),"Pruning Tools",
TRUE,"Other"
)</f>
        <v>Other</v>
      </c>
      <c r="J927" s="7" t="str">
        <f t="shared" si="320"/>
        <v>Rodent Control - Other</v>
      </c>
      <c r="K927" s="4">
        <v>100</v>
      </c>
      <c r="L927" s="4">
        <v>4.0999999999999996</v>
      </c>
      <c r="M927" s="4">
        <v>6856</v>
      </c>
      <c r="N927" s="4" t="s">
        <v>2136</v>
      </c>
      <c r="O927" s="4">
        <f>VLOOKUP(A927,[21]Sheet1!$A:$M,2,0)</f>
        <v>100</v>
      </c>
      <c r="P927" s="4">
        <f>VLOOKUP(A927,[21]Sheet1!$A:$M,3,0)</f>
        <v>100</v>
      </c>
      <c r="Q927" s="4">
        <f>VLOOKUP(A927,[21]Sheet1!$A:$M,4,0)</f>
        <v>100</v>
      </c>
      <c r="R927" s="4">
        <f>VLOOKUP(A927,[21]Sheet1!$A:$M,5,0)</f>
        <v>100</v>
      </c>
      <c r="S927" s="4">
        <f>VLOOKUP(A927,[21]Sheet1!$A:$M,6,0)</f>
        <v>100</v>
      </c>
      <c r="T927" s="4">
        <f>VLOOKUP(A927,[21]Sheet1!$A:$M,7,0)</f>
        <v>100</v>
      </c>
      <c r="U927" s="4">
        <f>VLOOKUP(A927,[21]Sheet1!$A:$M,8,0)</f>
        <v>100</v>
      </c>
      <c r="V927" s="4">
        <f>VLOOKUP(A927,[21]Sheet1!$A:$M,9,0)</f>
        <v>100</v>
      </c>
      <c r="W927" s="4">
        <f>VLOOKUP(A927,[21]Sheet1!$A:$M,10,0)</f>
        <v>100</v>
      </c>
      <c r="X927" s="4">
        <f>VLOOKUP(A927,[21]Sheet1!$A:$M,11,0)</f>
        <v>100</v>
      </c>
      <c r="Y927" s="4">
        <f>VLOOKUP(A927,[21]Sheet1!$A:$M,12,0)</f>
        <v>100</v>
      </c>
      <c r="Z927" s="4">
        <f>VLOOKUP(A927,[21]Sheet1!$A:$M,13,0)</f>
        <v>100</v>
      </c>
      <c r="AA927" s="4">
        <f t="shared" si="321"/>
        <v>1200</v>
      </c>
      <c r="AB927" s="7">
        <f t="shared" si="322"/>
        <v>100</v>
      </c>
      <c r="AC927" s="15">
        <f t="shared" si="323"/>
        <v>100</v>
      </c>
      <c r="AD927" s="16">
        <f t="shared" si="324"/>
        <v>47988</v>
      </c>
      <c r="AE927" s="16">
        <f t="shared" si="325"/>
        <v>3999</v>
      </c>
      <c r="AF927" s="21">
        <v>9.2799999999999994</v>
      </c>
      <c r="AG927" s="21">
        <v>39.99</v>
      </c>
      <c r="AH927" s="15">
        <f t="shared" si="326"/>
        <v>0.38106666666666666</v>
      </c>
      <c r="AI927" s="15">
        <f t="shared" si="327"/>
        <v>1.333733333333333</v>
      </c>
      <c r="AJ927" s="10">
        <v>0.5</v>
      </c>
      <c r="AK927" s="10">
        <v>0.5</v>
      </c>
      <c r="AL927" s="21">
        <v>9.2799999999999994</v>
      </c>
      <c r="AM927" s="9">
        <f t="shared" si="328"/>
        <v>5.9984999999999999</v>
      </c>
      <c r="AN927" s="9">
        <f t="shared" si="329"/>
        <v>1.1997</v>
      </c>
      <c r="AO927" s="9">
        <f t="shared" si="330"/>
        <v>7.9980000000000011</v>
      </c>
      <c r="AP927" s="9">
        <f t="shared" si="331"/>
        <v>0.79980000000000007</v>
      </c>
      <c r="AQ927" s="9">
        <f t="shared" si="332"/>
        <v>7.9980000000000011</v>
      </c>
      <c r="AR927" s="9">
        <f t="shared" si="333"/>
        <v>9.9975000000000005</v>
      </c>
      <c r="AS927" s="11">
        <f t="shared" si="334"/>
        <v>3.8106666666666662</v>
      </c>
      <c r="AT927" s="12">
        <f t="shared" si="335"/>
        <v>2.4776666666666665</v>
      </c>
    </row>
    <row r="928" spans="1:46" ht="16.5" x14ac:dyDescent="0.4">
      <c r="A928" s="4" t="s">
        <v>4181</v>
      </c>
      <c r="B928" s="4" t="s">
        <v>4185</v>
      </c>
      <c r="C928" s="4" t="s">
        <v>4190</v>
      </c>
      <c r="D928" s="4" t="s">
        <v>4199</v>
      </c>
      <c r="E928" s="4" t="s">
        <v>4211</v>
      </c>
      <c r="F928" s="4" t="s">
        <v>4223</v>
      </c>
      <c r="G928" s="7" t="str">
        <f>VLOOKUP(A928,[1]done!$A:$I,9,0)</f>
        <v>Oil based pest repellent</v>
      </c>
      <c r="H928" s="7" t="str" cm="1">
        <f t="array" ref="H928">_xlfn.IFS(
OR(ISNUMBER(SEARCH("mouse",E928)),ISNUMBER(SEARCH("rat",E928)),ISNUMBER(SEARCH("mice",E928)),ISNUMBER(SEARCH("rodent",E928))),"Rodent Control",
OR(ISNUMBER(SEARCH("fly",E928)),ISNUMBER(SEARCH("gnat",E928)),ISNUMBER(SEARCH("insect",E928)),ISNUMBER(SEARCH("mosquito",E928))),"Flying Insect Control",
OR(ISNUMBER(SEARCH("roach",E928)),ISNUMBER(SEARCH("ant",E928)),ISNUMBER(SEARCH("spider",E928)),ISNUMBER(SEARCH("cricket",E928)),ISNUMBER(SEARCH("scorpion",E928)),ISNUMBER(SEARCH("centipede",E928)),ISNUMBER(SEARCH("beetle",E928))),"Crawling Insect Control",
OR(ISNUMBER(SEARCH("tree",E928)),ISNUMBER(SEARCH("lantern",E928)),ISNUMBER(SEARCH("garden",E928)),ISNUMBER(SEARCH("plant",E928))),"Garden Pest Control",
OR(ISNUMBER(SEARCH("grass seed",E928)),ISNUMBER(SEARCH("seed mix",E928))),"Grass Seed",
OR(ISNUMBER(SEARCH("lawn food",E928)),ISNUMBER(SEARCH("fertilizer",E928))),"Lawn Fertilizer",
OR(ISNUMBER(SEARCH("patch",E928)),ISNUMBER(SEARCH("repair",E928)),ISNUMBER(SEARCH("thick'r",E928)),ISNUMBER(SEARCH("thick'r lawn",E928)),ISNUMBER(SEARCH("rapid grass",E928))),"Lawn Repair",
OR(ISNUMBER(SEARCH("weed",E928)),ISNUMBER(SEARCH("crabgrass",E928))),"Weed Control",
OR(ISNUMBER(SEARCH("fungicide",E928)),ISNUMBER(SEARCH("moss",E928))),"Disease &amp; Moss Control",
OR(ISNUMBER(SEARCH("plant food",E928)),ISNUMBER(SEARCH("miracid",E928))),"Plant Nutrition",
OR(ISNUMBER(SEARCH("perlite",E928))),"Soil Amendment",
OR(ISNUMBER(SEARCH("spreader",E928)),ISNUMBER(SEARCH("sprayer",E928)),ISNUMBER(SEARCH("mower",E928)),ISNUMBER(SEARCH("sweeper",E928)),ISNUMBER(SEARCH("pruner",E928)),ISNUMBER(SEARCH("trimmer",E928)),ISNUMBER(SEARCH("pole saw",E928))),"Garden Equipment",
TRUE,"Other"
)</f>
        <v>Garden Pest Control</v>
      </c>
      <c r="I928" s="7" t="str" cm="1">
        <f t="array" ref="I928">_xlfn.IFS(
OR(ISNUMBER(SEARCH("glue trap",E928)),ISNUMBER(SEARCH("glue board",E928))),"Glue Traps",
OR(ISNUMBER(SEARCH("snap trap",E928)),ISNUMBER(SEARCH("power-kill",E928)),ISNUMBER(SEARCH("wide pedal",E928)),ISNUMBER(SEARCH("metal pedal",E928))),"Snap Traps",
OR(ISNUMBER(SEARCH("electronic",E928)),ISNUMBER(SEARCH("zapper",E928))),"Electronic Traps",
OR(ISNUMBER(SEARCH("live catch",E928)),ISNUMBER(SEARCH("multi-catch",E928)),ISNUMBER(SEARCH("catch &amp; hold",E928)),ISNUMBER(SEARCH("tin cat",E928))),"Live Catch Traps",
OR(ISNUMBER(SEARCH("bait",E928)),ISNUMBER(SEARCH("poison",E928))),"Bait &amp; Poison",
ISNUMBER(SEARCH("repellent",E928)),"Repellents",
OR(ISNUMBER(SEARCH("fly trap",E928)),ISNUMBER(SEARCH("fly ribbon",E928)),ISNUMBER(SEARCH("fly stick",E928)),ISNUMBER(SEARCH("window fly",E928)),ISNUMBER(SEARCH("fly magnet",E928))),"Fly Traps",
OR(ISNUMBER(SEARCH("uv",E928)),ISNUMBER(SEARCH("fly light",E928)),ISNUMBER(SEARCH("plug-in",E928))),"UV Fly Traps",
ISNUMBER(SEARCH("roach",E928)),"Roach Traps",
ISNUMBER(SEARCH("ant",E928)),"Ant Traps",
ISNUMBER(SEARCH("spider",E928)),"Spider Traps",
ISNUMBER(SEARCH("mosquito",E928)),"Mosquito Traps",
ISNUMBER(SEARCH("beetle",E928)),"Beetle Traps",
ISNUMBER(SEARCH("lantern",E928)),"Lanternfly Control",
OR(ISNUMBER(SEARCH("tree shield",E928)),ISNUMBER(SEARCH("tree banding",E928)),ISNUMBER(SEARCH("insect barrier",E928))),"Tree Barriers",
OR(ISNUMBER(SEARCH("sun &amp; shade",E928)),ISNUMBER(SEARCH("sun and shade",E928))),"Sun &amp; Shade Mix",
ISNUMBER(SEARCH("tall fescue",E928)),"Tall Fescue",
ISNUMBER(SEARCH("bermudagrass",E928)),"Bermudagrass",
ISNUMBER(SEARCH("kentucky",E928)),"Kentucky Bluegrass",
ISNUMBER(SEARCH("zoysia",E928)),"Zoysia",
ISNUMBER(SEARCH("ryegrass",E928)),"Perennial Ryegrass",
ISNUMBER(SEARCH("centipede",E928)),"Centipede Grass",
ISNUMBER(SEARCH("dense shade",E928)),"Dense Shade Mix",
ISNUMBER(SEARCH("southern gold",E928)),"Southern Gold Mix",
ISNUMBER(SEARCH("heat-tolerant blue",E928)),"Heat-Tolerant Blue Mix",
ISNUMBER(SEARCH("high traffic",E928)),"High Traffic Mix",
ISNUMBER(SEARCH("quick fix",E928)),"Quick Fix Mix",
ISNUMBER(SEARCH("starter",E928)),"Starter Fertilizer",
ISNUMBER(SEARCH("weed &amp; feed",E928)),"Weed &amp; Feed",
ISNUMBER(SEARCH("lawn food",E928)),"Lawn Food",
ISNUMBER(SEARCH("triple action",E928)),"Triple Action Fertilizer",
ISNUMBER(SEARCH("green max",E928)),"Green Max Lawn Food",
ISNUMBER(SEARCH("patchmaster",E928)),"PatchMaster Repair",
ISNUMBER(SEARCH("ez seed",E928)),"EZ Seed Repair",
ISNUMBER(SEARCH("rapid grass",E928)),"Rapid Grass",
ISNUMBER(SEARCH("thick'r lawn",E928)),"Thick'R Lawn",
ISNUMBER(SEARCH("fungicide",E928)),"Fungicide",
ISNUMBER(SEARCH("moss",E928)),"Moss Control",
ISNUMBER(SEARCH("perlite",E928)),"Perlite",
ISNUMBER(SEARCH("plant food",E928)),"Plant Food",
ISNUMBER(SEARCH("spreader",E928)),"Spreader",
ISNUMBER(SEARCH("sprayer",E928)),"Sprayer",
ISNUMBER(SEARCH("mower",E928)),"Lawn Mower",
ISNUMBER(SEARCH("sweeper",E928)),"Lawn Sweeper",
OR(ISNUMBER(SEARCH("pruner",E928)),ISNUMBER(SEARCH("trimmer",E928)),ISNUMBER(SEARCH("pole saw",E928))),"Pruning Tools",
TRUE,"Other"
)</f>
        <v>Other</v>
      </c>
      <c r="J928" s="7" t="str">
        <f t="shared" si="320"/>
        <v>Garden Pest Control - Other</v>
      </c>
      <c r="K928" s="4">
        <v>100</v>
      </c>
      <c r="L928" s="4">
        <v>3.3</v>
      </c>
      <c r="M928" s="4">
        <v>446</v>
      </c>
      <c r="N928" s="4" t="s">
        <v>1550</v>
      </c>
      <c r="O928" s="4">
        <f>VLOOKUP(A928,[21]Sheet1!$A:$M,2,0)</f>
        <v>0</v>
      </c>
      <c r="P928" s="4">
        <f>VLOOKUP(A928,[21]Sheet1!$A:$M,3,0)</f>
        <v>0</v>
      </c>
      <c r="Q928" s="4">
        <f>VLOOKUP(A928,[21]Sheet1!$A:$M,4,0)</f>
        <v>50</v>
      </c>
      <c r="R928" s="4">
        <f>VLOOKUP(A928,[21]Sheet1!$A:$M,5,0)</f>
        <v>0</v>
      </c>
      <c r="S928" s="4">
        <f>VLOOKUP(A928,[21]Sheet1!$A:$M,6,0)</f>
        <v>0</v>
      </c>
      <c r="T928" s="4">
        <f>VLOOKUP(A928,[21]Sheet1!$A:$M,7,0)</f>
        <v>0</v>
      </c>
      <c r="U928" s="4">
        <f>VLOOKUP(A928,[21]Sheet1!$A:$M,8,0)</f>
        <v>0</v>
      </c>
      <c r="V928" s="4">
        <f>VLOOKUP(A928,[21]Sheet1!$A:$M,9,0)</f>
        <v>100</v>
      </c>
      <c r="W928" s="4">
        <f>VLOOKUP(A928,[21]Sheet1!$A:$M,10,0)</f>
        <v>100</v>
      </c>
      <c r="X928" s="4">
        <f>VLOOKUP(A928,[21]Sheet1!$A:$M,11,0)</f>
        <v>50</v>
      </c>
      <c r="Y928" s="4">
        <f>VLOOKUP(A928,[21]Sheet1!$A:$M,12,0)</f>
        <v>50</v>
      </c>
      <c r="Z928" s="4">
        <f>VLOOKUP(A928,[21]Sheet1!$A:$M,13,0)</f>
        <v>50</v>
      </c>
      <c r="AA928" s="4">
        <f t="shared" si="321"/>
        <v>400</v>
      </c>
      <c r="AB928" s="7">
        <f t="shared" si="322"/>
        <v>33</v>
      </c>
      <c r="AC928" s="15">
        <f t="shared" si="323"/>
        <v>33.333333333333336</v>
      </c>
      <c r="AD928" s="16">
        <f t="shared" si="324"/>
        <v>9196</v>
      </c>
      <c r="AE928" s="16">
        <f t="shared" si="325"/>
        <v>766.33333333333337</v>
      </c>
      <c r="AF928" s="21">
        <v>6.48</v>
      </c>
      <c r="AG928" s="21">
        <v>22.99</v>
      </c>
      <c r="AH928" s="15">
        <f t="shared" si="326"/>
        <v>0.1143999999999999</v>
      </c>
      <c r="AI928" s="15">
        <f t="shared" si="327"/>
        <v>0.40039999999999965</v>
      </c>
      <c r="AJ928" s="10">
        <v>0.5</v>
      </c>
      <c r="AK928" s="10">
        <v>0.5</v>
      </c>
      <c r="AL928" s="21">
        <v>6.48</v>
      </c>
      <c r="AM928" s="9">
        <f t="shared" si="328"/>
        <v>3.4484999999999997</v>
      </c>
      <c r="AN928" s="9">
        <f t="shared" si="329"/>
        <v>0.68969999999999998</v>
      </c>
      <c r="AO928" s="9">
        <f t="shared" si="330"/>
        <v>4.5979999999999999</v>
      </c>
      <c r="AP928" s="9">
        <f t="shared" si="331"/>
        <v>0.45979999999999999</v>
      </c>
      <c r="AQ928" s="9">
        <f t="shared" si="332"/>
        <v>4.5979999999999999</v>
      </c>
      <c r="AR928" s="9">
        <f t="shared" si="333"/>
        <v>5.7474999999999996</v>
      </c>
      <c r="AS928" s="11">
        <f t="shared" si="334"/>
        <v>1.143999999999999</v>
      </c>
      <c r="AT928" s="12">
        <f t="shared" si="335"/>
        <v>0.37766666666666576</v>
      </c>
    </row>
    <row r="929" spans="1:46" ht="16.5" x14ac:dyDescent="0.4">
      <c r="A929" s="4" t="s">
        <v>4182</v>
      </c>
      <c r="B929" s="4" t="s">
        <v>4185</v>
      </c>
      <c r="C929" s="4" t="s">
        <v>4187</v>
      </c>
      <c r="D929" s="4" t="s">
        <v>4200</v>
      </c>
      <c r="E929" s="4" t="s">
        <v>4212</v>
      </c>
      <c r="F929" s="4" t="s">
        <v>4224</v>
      </c>
      <c r="G929" s="7" t="str">
        <f>VLOOKUP(A929,[1]done!$A:$I,9,0)</f>
        <v>Other Glue boards for insects or rodents</v>
      </c>
      <c r="H929" s="7" t="str" cm="1">
        <f t="array" ref="H929">_xlfn.IFS(
OR(ISNUMBER(SEARCH("mouse",E929)),ISNUMBER(SEARCH("rat",E929)),ISNUMBER(SEARCH("mice",E929)),ISNUMBER(SEARCH("rodent",E929))),"Rodent Control",
OR(ISNUMBER(SEARCH("fly",E929)),ISNUMBER(SEARCH("gnat",E929)),ISNUMBER(SEARCH("insect",E929)),ISNUMBER(SEARCH("mosquito",E929))),"Flying Insect Control",
OR(ISNUMBER(SEARCH("roach",E929)),ISNUMBER(SEARCH("ant",E929)),ISNUMBER(SEARCH("spider",E929)),ISNUMBER(SEARCH("cricket",E929)),ISNUMBER(SEARCH("scorpion",E929)),ISNUMBER(SEARCH("centipede",E929)),ISNUMBER(SEARCH("beetle",E929))),"Crawling Insect Control",
OR(ISNUMBER(SEARCH("tree",E929)),ISNUMBER(SEARCH("lantern",E929)),ISNUMBER(SEARCH("garden",E929)),ISNUMBER(SEARCH("plant",E929))),"Garden Pest Control",
OR(ISNUMBER(SEARCH("grass seed",E929)),ISNUMBER(SEARCH("seed mix",E929))),"Grass Seed",
OR(ISNUMBER(SEARCH("lawn food",E929)),ISNUMBER(SEARCH("fertilizer",E929))),"Lawn Fertilizer",
OR(ISNUMBER(SEARCH("patch",E929)),ISNUMBER(SEARCH("repair",E929)),ISNUMBER(SEARCH("thick'r",E929)),ISNUMBER(SEARCH("thick'r lawn",E929)),ISNUMBER(SEARCH("rapid grass",E929))),"Lawn Repair",
OR(ISNUMBER(SEARCH("weed",E929)),ISNUMBER(SEARCH("crabgrass",E929))),"Weed Control",
OR(ISNUMBER(SEARCH("fungicide",E929)),ISNUMBER(SEARCH("moss",E929))),"Disease &amp; Moss Control",
OR(ISNUMBER(SEARCH("plant food",E929)),ISNUMBER(SEARCH("miracid",E929))),"Plant Nutrition",
OR(ISNUMBER(SEARCH("perlite",E929))),"Soil Amendment",
OR(ISNUMBER(SEARCH("spreader",E929)),ISNUMBER(SEARCH("sprayer",E929)),ISNUMBER(SEARCH("mower",E929)),ISNUMBER(SEARCH("sweeper",E929)),ISNUMBER(SEARCH("pruner",E929)),ISNUMBER(SEARCH("trimmer",E929)),ISNUMBER(SEARCH("pole saw",E929))),"Garden Equipment",
TRUE,"Other"
)</f>
        <v>Other</v>
      </c>
      <c r="I929" s="7" t="str" cm="1">
        <f t="array" ref="I929">_xlfn.IFS(
OR(ISNUMBER(SEARCH("glue trap",E929)),ISNUMBER(SEARCH("glue board",E929))),"Glue Traps",
OR(ISNUMBER(SEARCH("snap trap",E929)),ISNUMBER(SEARCH("power-kill",E929)),ISNUMBER(SEARCH("wide pedal",E929)),ISNUMBER(SEARCH("metal pedal",E929))),"Snap Traps",
OR(ISNUMBER(SEARCH("electronic",E929)),ISNUMBER(SEARCH("zapper",E929))),"Electronic Traps",
OR(ISNUMBER(SEARCH("live catch",E929)),ISNUMBER(SEARCH("multi-catch",E929)),ISNUMBER(SEARCH("catch &amp; hold",E929)),ISNUMBER(SEARCH("tin cat",E929))),"Live Catch Traps",
OR(ISNUMBER(SEARCH("bait",E929)),ISNUMBER(SEARCH("poison",E929))),"Bait &amp; Poison",
ISNUMBER(SEARCH("repellent",E929)),"Repellents",
OR(ISNUMBER(SEARCH("fly trap",E929)),ISNUMBER(SEARCH("fly ribbon",E929)),ISNUMBER(SEARCH("fly stick",E929)),ISNUMBER(SEARCH("window fly",E929)),ISNUMBER(SEARCH("fly magnet",E929))),"Fly Traps",
OR(ISNUMBER(SEARCH("uv",E929)),ISNUMBER(SEARCH("fly light",E929)),ISNUMBER(SEARCH("plug-in",E929))),"UV Fly Traps",
ISNUMBER(SEARCH("roach",E929)),"Roach Traps",
ISNUMBER(SEARCH("ant",E929)),"Ant Traps",
ISNUMBER(SEARCH("spider",E929)),"Spider Traps",
ISNUMBER(SEARCH("mosquito",E929)),"Mosquito Traps",
ISNUMBER(SEARCH("beetle",E929)),"Beetle Traps",
ISNUMBER(SEARCH("lantern",E929)),"Lanternfly Control",
OR(ISNUMBER(SEARCH("tree shield",E929)),ISNUMBER(SEARCH("tree banding",E929)),ISNUMBER(SEARCH("insect barrier",E929))),"Tree Barriers",
OR(ISNUMBER(SEARCH("sun &amp; shade",E929)),ISNUMBER(SEARCH("sun and shade",E929))),"Sun &amp; Shade Mix",
ISNUMBER(SEARCH("tall fescue",E929)),"Tall Fescue",
ISNUMBER(SEARCH("bermudagrass",E929)),"Bermudagrass",
ISNUMBER(SEARCH("kentucky",E929)),"Kentucky Bluegrass",
ISNUMBER(SEARCH("zoysia",E929)),"Zoysia",
ISNUMBER(SEARCH("ryegrass",E929)),"Perennial Ryegrass",
ISNUMBER(SEARCH("centipede",E929)),"Centipede Grass",
ISNUMBER(SEARCH("dense shade",E929)),"Dense Shade Mix",
ISNUMBER(SEARCH("southern gold",E929)),"Southern Gold Mix",
ISNUMBER(SEARCH("heat-tolerant blue",E929)),"Heat-Tolerant Blue Mix",
ISNUMBER(SEARCH("high traffic",E929)),"High Traffic Mix",
ISNUMBER(SEARCH("quick fix",E929)),"Quick Fix Mix",
ISNUMBER(SEARCH("starter",E929)),"Starter Fertilizer",
ISNUMBER(SEARCH("weed &amp; feed",E929)),"Weed &amp; Feed",
ISNUMBER(SEARCH("lawn food",E929)),"Lawn Food",
ISNUMBER(SEARCH("triple action",E929)),"Triple Action Fertilizer",
ISNUMBER(SEARCH("green max",E929)),"Green Max Lawn Food",
ISNUMBER(SEARCH("patchmaster",E929)),"PatchMaster Repair",
ISNUMBER(SEARCH("ez seed",E929)),"EZ Seed Repair",
ISNUMBER(SEARCH("rapid grass",E929)),"Rapid Grass",
ISNUMBER(SEARCH("thick'r lawn",E929)),"Thick'R Lawn",
ISNUMBER(SEARCH("fungicide",E929)),"Fungicide",
ISNUMBER(SEARCH("moss",E929)),"Moss Control",
ISNUMBER(SEARCH("perlite",E929)),"Perlite",
ISNUMBER(SEARCH("plant food",E929)),"Plant Food",
ISNUMBER(SEARCH("spreader",E929)),"Spreader",
ISNUMBER(SEARCH("sprayer",E929)),"Sprayer",
ISNUMBER(SEARCH("mower",E929)),"Lawn Mower",
ISNUMBER(SEARCH("sweeper",E929)),"Lawn Sweeper",
OR(ISNUMBER(SEARCH("pruner",E929)),ISNUMBER(SEARCH("trimmer",E929)),ISNUMBER(SEARCH("pole saw",E929))),"Pruning Tools",
TRUE,"Other"
)</f>
        <v>Other</v>
      </c>
      <c r="J929" s="7" t="str">
        <f t="shared" si="320"/>
        <v>Other - Other</v>
      </c>
      <c r="K929" s="4">
        <v>50</v>
      </c>
      <c r="L929" s="4">
        <v>3.4</v>
      </c>
      <c r="M929" s="4">
        <v>6343</v>
      </c>
      <c r="N929" s="4" t="s">
        <v>4170</v>
      </c>
      <c r="O929" s="4">
        <f>VLOOKUP(A929,[21]Sheet1!$A:$M,2,0)</f>
        <v>0</v>
      </c>
      <c r="P929" s="4">
        <f>VLOOKUP(A929,[21]Sheet1!$A:$M,3,0)</f>
        <v>0</v>
      </c>
      <c r="Q929" s="4">
        <f>VLOOKUP(A929,[21]Sheet1!$A:$M,4,0)</f>
        <v>0</v>
      </c>
      <c r="R929" s="4">
        <f>VLOOKUP(A929,[21]Sheet1!$A:$M,5,0)</f>
        <v>0</v>
      </c>
      <c r="S929" s="4">
        <f>VLOOKUP(A929,[21]Sheet1!$A:$M,6,0)</f>
        <v>0</v>
      </c>
      <c r="T929" s="4">
        <f>VLOOKUP(A929,[21]Sheet1!$A:$M,7,0)</f>
        <v>0</v>
      </c>
      <c r="U929" s="4">
        <f>VLOOKUP(A929,[21]Sheet1!$A:$M,8,0)</f>
        <v>0</v>
      </c>
      <c r="V929" s="4">
        <f>VLOOKUP(A929,[21]Sheet1!$A:$M,9,0)</f>
        <v>0</v>
      </c>
      <c r="W929" s="4">
        <f>VLOOKUP(A929,[21]Sheet1!$A:$M,10,0)</f>
        <v>50</v>
      </c>
      <c r="X929" s="4">
        <f>VLOOKUP(A929,[21]Sheet1!$A:$M,11,0)</f>
        <v>100</v>
      </c>
      <c r="Y929" s="4">
        <f>VLOOKUP(A929,[21]Sheet1!$A:$M,12,0)</f>
        <v>0</v>
      </c>
      <c r="Z929" s="4">
        <f>VLOOKUP(A929,[21]Sheet1!$A:$M,13,0)</f>
        <v>0</v>
      </c>
      <c r="AA929" s="4">
        <f t="shared" si="321"/>
        <v>150</v>
      </c>
      <c r="AB929" s="7">
        <f t="shared" si="322"/>
        <v>13</v>
      </c>
      <c r="AC929" s="15">
        <f t="shared" si="323"/>
        <v>12.5</v>
      </c>
      <c r="AD929" s="16">
        <f t="shared" si="324"/>
        <v>6446.9999999999991</v>
      </c>
      <c r="AE929" s="16">
        <f t="shared" si="325"/>
        <v>537.25</v>
      </c>
      <c r="AF929" s="21">
        <v>7.71</v>
      </c>
      <c r="AG929" s="21">
        <v>42.98</v>
      </c>
      <c r="AH929" s="15">
        <f t="shared" si="326"/>
        <v>0.56546666666666645</v>
      </c>
      <c r="AI929" s="15">
        <f t="shared" si="327"/>
        <v>1.9791333333333323</v>
      </c>
      <c r="AJ929" s="10">
        <v>0.5</v>
      </c>
      <c r="AK929" s="10">
        <v>0.5</v>
      </c>
      <c r="AL929" s="21">
        <v>7.71</v>
      </c>
      <c r="AM929" s="9">
        <f t="shared" si="328"/>
        <v>6.4469999999999992</v>
      </c>
      <c r="AN929" s="9">
        <f t="shared" si="329"/>
        <v>1.2893999999999999</v>
      </c>
      <c r="AO929" s="9">
        <f t="shared" si="330"/>
        <v>8.5960000000000001</v>
      </c>
      <c r="AP929" s="9">
        <f t="shared" si="331"/>
        <v>0.85959999999999992</v>
      </c>
      <c r="AQ929" s="9">
        <f t="shared" si="332"/>
        <v>8.5960000000000001</v>
      </c>
      <c r="AR929" s="9">
        <f t="shared" si="333"/>
        <v>10.744999999999999</v>
      </c>
      <c r="AS929" s="11">
        <f t="shared" si="334"/>
        <v>5.6546666666666638</v>
      </c>
      <c r="AT929" s="12">
        <f t="shared" si="335"/>
        <v>4.2219999999999978</v>
      </c>
    </row>
    <row r="930" spans="1:46" ht="16.5" x14ac:dyDescent="0.4">
      <c r="A930" s="4" t="s">
        <v>4183</v>
      </c>
      <c r="B930" s="4" t="s">
        <v>4185</v>
      </c>
      <c r="C930" s="4" t="s">
        <v>4185</v>
      </c>
      <c r="D930" s="4" t="s">
        <v>4201</v>
      </c>
      <c r="E930" s="4" t="s">
        <v>4213</v>
      </c>
      <c r="F930" s="4" t="s">
        <v>4225</v>
      </c>
      <c r="G930" s="7" t="str">
        <f>VLOOKUP(A930,[1]done!$A:$I,9,0)</f>
        <v>Oil based pest repellent</v>
      </c>
      <c r="H930" s="7" t="str" cm="1">
        <f t="array" ref="H930">_xlfn.IFS(
OR(ISNUMBER(SEARCH("mouse",E930)),ISNUMBER(SEARCH("rat",E930)),ISNUMBER(SEARCH("mice",E930)),ISNUMBER(SEARCH("rodent",E930))),"Rodent Control",
OR(ISNUMBER(SEARCH("fly",E930)),ISNUMBER(SEARCH("gnat",E930)),ISNUMBER(SEARCH("insect",E930)),ISNUMBER(SEARCH("mosquito",E930))),"Flying Insect Control",
OR(ISNUMBER(SEARCH("roach",E930)),ISNUMBER(SEARCH("ant",E930)),ISNUMBER(SEARCH("spider",E930)),ISNUMBER(SEARCH("cricket",E930)),ISNUMBER(SEARCH("scorpion",E930)),ISNUMBER(SEARCH("centipede",E930)),ISNUMBER(SEARCH("beetle",E930))),"Crawling Insect Control",
OR(ISNUMBER(SEARCH("tree",E930)),ISNUMBER(SEARCH("lantern",E930)),ISNUMBER(SEARCH("garden",E930)),ISNUMBER(SEARCH("plant",E930))),"Garden Pest Control",
OR(ISNUMBER(SEARCH("grass seed",E930)),ISNUMBER(SEARCH("seed mix",E930))),"Grass Seed",
OR(ISNUMBER(SEARCH("lawn food",E930)),ISNUMBER(SEARCH("fertilizer",E930))),"Lawn Fertilizer",
OR(ISNUMBER(SEARCH("patch",E930)),ISNUMBER(SEARCH("repair",E930)),ISNUMBER(SEARCH("thick'r",E930)),ISNUMBER(SEARCH("thick'r lawn",E930)),ISNUMBER(SEARCH("rapid grass",E930))),"Lawn Repair",
OR(ISNUMBER(SEARCH("weed",E930)),ISNUMBER(SEARCH("crabgrass",E930))),"Weed Control",
OR(ISNUMBER(SEARCH("fungicide",E930)),ISNUMBER(SEARCH("moss",E930))),"Disease &amp; Moss Control",
OR(ISNUMBER(SEARCH("plant food",E930)),ISNUMBER(SEARCH("miracid",E930))),"Plant Nutrition",
OR(ISNUMBER(SEARCH("perlite",E930))),"Soil Amendment",
OR(ISNUMBER(SEARCH("spreader",E930)),ISNUMBER(SEARCH("sprayer",E930)),ISNUMBER(SEARCH("mower",E930)),ISNUMBER(SEARCH("sweeper",E930)),ISNUMBER(SEARCH("pruner",E930)),ISNUMBER(SEARCH("trimmer",E930)),ISNUMBER(SEARCH("pole saw",E930))),"Garden Equipment",
TRUE,"Other"
)</f>
        <v>Other</v>
      </c>
      <c r="I930" s="7" t="str" cm="1">
        <f t="array" ref="I930">_xlfn.IFS(
OR(ISNUMBER(SEARCH("glue trap",E930)),ISNUMBER(SEARCH("glue board",E930))),"Glue Traps",
OR(ISNUMBER(SEARCH("snap trap",E930)),ISNUMBER(SEARCH("power-kill",E930)),ISNUMBER(SEARCH("wide pedal",E930)),ISNUMBER(SEARCH("metal pedal",E930))),"Snap Traps",
OR(ISNUMBER(SEARCH("electronic",E930)),ISNUMBER(SEARCH("zapper",E930))),"Electronic Traps",
OR(ISNUMBER(SEARCH("live catch",E930)),ISNUMBER(SEARCH("multi-catch",E930)),ISNUMBER(SEARCH("catch &amp; hold",E930)),ISNUMBER(SEARCH("tin cat",E930))),"Live Catch Traps",
OR(ISNUMBER(SEARCH("bait",E930)),ISNUMBER(SEARCH("poison",E930))),"Bait &amp; Poison",
ISNUMBER(SEARCH("repellent",E930)),"Repellents",
OR(ISNUMBER(SEARCH("fly trap",E930)),ISNUMBER(SEARCH("fly ribbon",E930)),ISNUMBER(SEARCH("fly stick",E930)),ISNUMBER(SEARCH("window fly",E930)),ISNUMBER(SEARCH("fly magnet",E930))),"Fly Traps",
OR(ISNUMBER(SEARCH("uv",E930)),ISNUMBER(SEARCH("fly light",E930)),ISNUMBER(SEARCH("plug-in",E930))),"UV Fly Traps",
ISNUMBER(SEARCH("roach",E930)),"Roach Traps",
ISNUMBER(SEARCH("ant",E930)),"Ant Traps",
ISNUMBER(SEARCH("spider",E930)),"Spider Traps",
ISNUMBER(SEARCH("mosquito",E930)),"Mosquito Traps",
ISNUMBER(SEARCH("beetle",E930)),"Beetle Traps",
ISNUMBER(SEARCH("lantern",E930)),"Lanternfly Control",
OR(ISNUMBER(SEARCH("tree shield",E930)),ISNUMBER(SEARCH("tree banding",E930)),ISNUMBER(SEARCH("insect barrier",E930))),"Tree Barriers",
OR(ISNUMBER(SEARCH("sun &amp; shade",E930)),ISNUMBER(SEARCH("sun and shade",E930))),"Sun &amp; Shade Mix",
ISNUMBER(SEARCH("tall fescue",E930)),"Tall Fescue",
ISNUMBER(SEARCH("bermudagrass",E930)),"Bermudagrass",
ISNUMBER(SEARCH("kentucky",E930)),"Kentucky Bluegrass",
ISNUMBER(SEARCH("zoysia",E930)),"Zoysia",
ISNUMBER(SEARCH("ryegrass",E930)),"Perennial Ryegrass",
ISNUMBER(SEARCH("centipede",E930)),"Centipede Grass",
ISNUMBER(SEARCH("dense shade",E930)),"Dense Shade Mix",
ISNUMBER(SEARCH("southern gold",E930)),"Southern Gold Mix",
ISNUMBER(SEARCH("heat-tolerant blue",E930)),"Heat-Tolerant Blue Mix",
ISNUMBER(SEARCH("high traffic",E930)),"High Traffic Mix",
ISNUMBER(SEARCH("quick fix",E930)),"Quick Fix Mix",
ISNUMBER(SEARCH("starter",E930)),"Starter Fertilizer",
ISNUMBER(SEARCH("weed &amp; feed",E930)),"Weed &amp; Feed",
ISNUMBER(SEARCH("lawn food",E930)),"Lawn Food",
ISNUMBER(SEARCH("triple action",E930)),"Triple Action Fertilizer",
ISNUMBER(SEARCH("green max",E930)),"Green Max Lawn Food",
ISNUMBER(SEARCH("patchmaster",E930)),"PatchMaster Repair",
ISNUMBER(SEARCH("ez seed",E930)),"EZ Seed Repair",
ISNUMBER(SEARCH("rapid grass",E930)),"Rapid Grass",
ISNUMBER(SEARCH("thick'r lawn",E930)),"Thick'R Lawn",
ISNUMBER(SEARCH("fungicide",E930)),"Fungicide",
ISNUMBER(SEARCH("moss",E930)),"Moss Control",
ISNUMBER(SEARCH("perlite",E930)),"Perlite",
ISNUMBER(SEARCH("plant food",E930)),"Plant Food",
ISNUMBER(SEARCH("spreader",E930)),"Spreader",
ISNUMBER(SEARCH("sprayer",E930)),"Sprayer",
ISNUMBER(SEARCH("mower",E930)),"Lawn Mower",
ISNUMBER(SEARCH("sweeper",E930)),"Lawn Sweeper",
OR(ISNUMBER(SEARCH("pruner",E930)),ISNUMBER(SEARCH("trimmer",E930)),ISNUMBER(SEARCH("pole saw",E930))),"Pruning Tools",
TRUE,"Other"
)</f>
        <v>Other</v>
      </c>
      <c r="J930" s="7" t="str">
        <f t="shared" si="320"/>
        <v>Other - Other</v>
      </c>
      <c r="K930" s="4">
        <v>50</v>
      </c>
      <c r="L930" s="4">
        <v>3.5</v>
      </c>
      <c r="M930" s="4">
        <v>232</v>
      </c>
      <c r="N930" s="4" t="s">
        <v>4229</v>
      </c>
      <c r="O930" s="4">
        <f>VLOOKUP(A930,[21]Sheet1!$A:$M,2,0)</f>
        <v>0</v>
      </c>
      <c r="P930" s="4">
        <f>VLOOKUP(A930,[21]Sheet1!$A:$M,3,0)</f>
        <v>0</v>
      </c>
      <c r="Q930" s="4">
        <f>VLOOKUP(A930,[21]Sheet1!$A:$M,4,0)</f>
        <v>50</v>
      </c>
      <c r="R930" s="4">
        <f>VLOOKUP(A930,[21]Sheet1!$A:$M,5,0)</f>
        <v>400</v>
      </c>
      <c r="S930" s="4">
        <f>VLOOKUP(A930,[21]Sheet1!$A:$M,6,0)</f>
        <v>400</v>
      </c>
      <c r="T930" s="4">
        <f>VLOOKUP(A930,[21]Sheet1!$A:$M,7,0)</f>
        <v>300</v>
      </c>
      <c r="U930" s="4">
        <f>VLOOKUP(A930,[21]Sheet1!$A:$M,8,0)</f>
        <v>50</v>
      </c>
      <c r="V930" s="4">
        <f>VLOOKUP(A930,[21]Sheet1!$A:$M,9,0)</f>
        <v>0</v>
      </c>
      <c r="W930" s="4">
        <f>VLOOKUP(A930,[21]Sheet1!$A:$M,10,0)</f>
        <v>50</v>
      </c>
      <c r="X930" s="4">
        <f>VLOOKUP(A930,[21]Sheet1!$A:$M,11,0)</f>
        <v>0</v>
      </c>
      <c r="Y930" s="4">
        <f>VLOOKUP(A930,[21]Sheet1!$A:$M,12,0)</f>
        <v>50</v>
      </c>
      <c r="Z930" s="4">
        <f>VLOOKUP(A930,[21]Sheet1!$A:$M,13,0)</f>
        <v>0</v>
      </c>
      <c r="AA930" s="4">
        <f t="shared" si="321"/>
        <v>1300</v>
      </c>
      <c r="AB930" s="7">
        <f t="shared" si="322"/>
        <v>108</v>
      </c>
      <c r="AC930" s="15">
        <f t="shared" si="323"/>
        <v>108.33333333333333</v>
      </c>
      <c r="AD930" s="16">
        <f t="shared" si="324"/>
        <v>85787</v>
      </c>
      <c r="AE930" s="16">
        <f t="shared" si="325"/>
        <v>7148.9166666666661</v>
      </c>
      <c r="AF930" s="21">
        <v>9.5500000000000007</v>
      </c>
      <c r="AG930" s="21">
        <v>65.989999999999995</v>
      </c>
      <c r="AH930" s="15">
        <f t="shared" si="326"/>
        <v>1.0563999999999996</v>
      </c>
      <c r="AI930" s="15">
        <f t="shared" si="327"/>
        <v>3.6973999999999978</v>
      </c>
      <c r="AJ930" s="10">
        <v>0.5</v>
      </c>
      <c r="AK930" s="10">
        <v>0.5</v>
      </c>
      <c r="AL930" s="21">
        <v>9.5500000000000007</v>
      </c>
      <c r="AM930" s="9">
        <f t="shared" si="328"/>
        <v>9.8984999999999985</v>
      </c>
      <c r="AN930" s="9">
        <f t="shared" si="329"/>
        <v>1.9796999999999998</v>
      </c>
      <c r="AO930" s="9">
        <f t="shared" si="330"/>
        <v>13.198</v>
      </c>
      <c r="AP930" s="9">
        <f t="shared" si="331"/>
        <v>1.3197999999999999</v>
      </c>
      <c r="AQ930" s="9">
        <f t="shared" si="332"/>
        <v>13.198</v>
      </c>
      <c r="AR930" s="9">
        <f t="shared" si="333"/>
        <v>16.497499999999999</v>
      </c>
      <c r="AS930" s="11">
        <f t="shared" si="334"/>
        <v>10.563999999999995</v>
      </c>
      <c r="AT930" s="12">
        <f t="shared" si="335"/>
        <v>8.3643333333333292</v>
      </c>
    </row>
    <row r="931" spans="1:46" ht="16.5" x14ac:dyDescent="0.4">
      <c r="A931" s="4" t="s">
        <v>4184</v>
      </c>
      <c r="B931" s="4" t="s">
        <v>4185</v>
      </c>
      <c r="C931" s="4" t="s">
        <v>4185</v>
      </c>
      <c r="D931" s="4" t="s">
        <v>4202</v>
      </c>
      <c r="E931" s="4" t="s">
        <v>4214</v>
      </c>
      <c r="F931" s="4" t="s">
        <v>4226</v>
      </c>
      <c r="G931" s="7" t="str">
        <f>VLOOKUP(A931,[1]done!$A:$I,9,0)</f>
        <v>Rodent</v>
      </c>
      <c r="H931" s="7" t="str" cm="1">
        <f t="array" ref="H931">_xlfn.IFS(
OR(ISNUMBER(SEARCH("mouse",E931)),ISNUMBER(SEARCH("rat",E931)),ISNUMBER(SEARCH("mice",E931)),ISNUMBER(SEARCH("rodent",E931))),"Rodent Control",
OR(ISNUMBER(SEARCH("fly",E931)),ISNUMBER(SEARCH("gnat",E931)),ISNUMBER(SEARCH("insect",E931)),ISNUMBER(SEARCH("mosquito",E931))),"Flying Insect Control",
OR(ISNUMBER(SEARCH("roach",E931)),ISNUMBER(SEARCH("ant",E931)),ISNUMBER(SEARCH("spider",E931)),ISNUMBER(SEARCH("cricket",E931)),ISNUMBER(SEARCH("scorpion",E931)),ISNUMBER(SEARCH("centipede",E931)),ISNUMBER(SEARCH("beetle",E931))),"Crawling Insect Control",
OR(ISNUMBER(SEARCH("tree",E931)),ISNUMBER(SEARCH("lantern",E931)),ISNUMBER(SEARCH("garden",E931)),ISNUMBER(SEARCH("plant",E931))),"Garden Pest Control",
OR(ISNUMBER(SEARCH("grass seed",E931)),ISNUMBER(SEARCH("seed mix",E931))),"Grass Seed",
OR(ISNUMBER(SEARCH("lawn food",E931)),ISNUMBER(SEARCH("fertilizer",E931))),"Lawn Fertilizer",
OR(ISNUMBER(SEARCH("patch",E931)),ISNUMBER(SEARCH("repair",E931)),ISNUMBER(SEARCH("thick'r",E931)),ISNUMBER(SEARCH("thick'r lawn",E931)),ISNUMBER(SEARCH("rapid grass",E931))),"Lawn Repair",
OR(ISNUMBER(SEARCH("weed",E931)),ISNUMBER(SEARCH("crabgrass",E931))),"Weed Control",
OR(ISNUMBER(SEARCH("fungicide",E931)),ISNUMBER(SEARCH("moss",E931))),"Disease &amp; Moss Control",
OR(ISNUMBER(SEARCH("plant food",E931)),ISNUMBER(SEARCH("miracid",E931))),"Plant Nutrition",
OR(ISNUMBER(SEARCH("perlite",E931))),"Soil Amendment",
OR(ISNUMBER(SEARCH("spreader",E931)),ISNUMBER(SEARCH("sprayer",E931)),ISNUMBER(SEARCH("mower",E931)),ISNUMBER(SEARCH("sweeper",E931)),ISNUMBER(SEARCH("pruner",E931)),ISNUMBER(SEARCH("trimmer",E931)),ISNUMBER(SEARCH("pole saw",E931))),"Garden Equipment",
TRUE,"Other"
)</f>
        <v>Rodent Control</v>
      </c>
      <c r="I931" s="7" t="str" cm="1">
        <f t="array" ref="I931">_xlfn.IFS(
OR(ISNUMBER(SEARCH("glue trap",E931)),ISNUMBER(SEARCH("glue board",E931))),"Glue Traps",
OR(ISNUMBER(SEARCH("snap trap",E931)),ISNUMBER(SEARCH("power-kill",E931)),ISNUMBER(SEARCH("wide pedal",E931)),ISNUMBER(SEARCH("metal pedal",E931))),"Snap Traps",
OR(ISNUMBER(SEARCH("electronic",E931)),ISNUMBER(SEARCH("zapper",E931))),"Electronic Traps",
OR(ISNUMBER(SEARCH("live catch",E931)),ISNUMBER(SEARCH("multi-catch",E931)),ISNUMBER(SEARCH("catch &amp; hold",E931)),ISNUMBER(SEARCH("tin cat",E931))),"Live Catch Traps",
OR(ISNUMBER(SEARCH("bait",E931)),ISNUMBER(SEARCH("poison",E931))),"Bait &amp; Poison",
ISNUMBER(SEARCH("repellent",E931)),"Repellents",
OR(ISNUMBER(SEARCH("fly trap",E931)),ISNUMBER(SEARCH("fly ribbon",E931)),ISNUMBER(SEARCH("fly stick",E931)),ISNUMBER(SEARCH("window fly",E931)),ISNUMBER(SEARCH("fly magnet",E931))),"Fly Traps",
OR(ISNUMBER(SEARCH("uv",E931)),ISNUMBER(SEARCH("fly light",E931)),ISNUMBER(SEARCH("plug-in",E931))),"UV Fly Traps",
ISNUMBER(SEARCH("roach",E931)),"Roach Traps",
ISNUMBER(SEARCH("ant",E931)),"Ant Traps",
ISNUMBER(SEARCH("spider",E931)),"Spider Traps",
ISNUMBER(SEARCH("mosquito",E931)),"Mosquito Traps",
ISNUMBER(SEARCH("beetle",E931)),"Beetle Traps",
ISNUMBER(SEARCH("lantern",E931)),"Lanternfly Control",
OR(ISNUMBER(SEARCH("tree shield",E931)),ISNUMBER(SEARCH("tree banding",E931)),ISNUMBER(SEARCH("insect barrier",E931))),"Tree Barriers",
OR(ISNUMBER(SEARCH("sun &amp; shade",E931)),ISNUMBER(SEARCH("sun and shade",E931))),"Sun &amp; Shade Mix",
ISNUMBER(SEARCH("tall fescue",E931)),"Tall Fescue",
ISNUMBER(SEARCH("bermudagrass",E931)),"Bermudagrass",
ISNUMBER(SEARCH("kentucky",E931)),"Kentucky Bluegrass",
ISNUMBER(SEARCH("zoysia",E931)),"Zoysia",
ISNUMBER(SEARCH("ryegrass",E931)),"Perennial Ryegrass",
ISNUMBER(SEARCH("centipede",E931)),"Centipede Grass",
ISNUMBER(SEARCH("dense shade",E931)),"Dense Shade Mix",
ISNUMBER(SEARCH("southern gold",E931)),"Southern Gold Mix",
ISNUMBER(SEARCH("heat-tolerant blue",E931)),"Heat-Tolerant Blue Mix",
ISNUMBER(SEARCH("high traffic",E931)),"High Traffic Mix",
ISNUMBER(SEARCH("quick fix",E931)),"Quick Fix Mix",
ISNUMBER(SEARCH("starter",E931)),"Starter Fertilizer",
ISNUMBER(SEARCH("weed &amp; feed",E931)),"Weed &amp; Feed",
ISNUMBER(SEARCH("lawn food",E931)),"Lawn Food",
ISNUMBER(SEARCH("triple action",E931)),"Triple Action Fertilizer",
ISNUMBER(SEARCH("green max",E931)),"Green Max Lawn Food",
ISNUMBER(SEARCH("patchmaster",E931)),"PatchMaster Repair",
ISNUMBER(SEARCH("ez seed",E931)),"EZ Seed Repair",
ISNUMBER(SEARCH("rapid grass",E931)),"Rapid Grass",
ISNUMBER(SEARCH("thick'r lawn",E931)),"Thick'R Lawn",
ISNUMBER(SEARCH("fungicide",E931)),"Fungicide",
ISNUMBER(SEARCH("moss",E931)),"Moss Control",
ISNUMBER(SEARCH("perlite",E931)),"Perlite",
ISNUMBER(SEARCH("plant food",E931)),"Plant Food",
ISNUMBER(SEARCH("spreader",E931)),"Spreader",
ISNUMBER(SEARCH("sprayer",E931)),"Sprayer",
ISNUMBER(SEARCH("mower",E931)),"Lawn Mower",
ISNUMBER(SEARCH("sweeper",E931)),"Lawn Sweeper",
OR(ISNUMBER(SEARCH("pruner",E931)),ISNUMBER(SEARCH("trimmer",E931)),ISNUMBER(SEARCH("pole saw",E931))),"Pruning Tools",
TRUE,"Other"
)</f>
        <v>Bait &amp; Poison</v>
      </c>
      <c r="J931" s="7" t="str">
        <f t="shared" si="320"/>
        <v>Rodent Control - Bait &amp; Poison</v>
      </c>
      <c r="K931" s="4">
        <v>50</v>
      </c>
      <c r="L931" s="4">
        <v>4.5</v>
      </c>
      <c r="M931" s="4">
        <v>158</v>
      </c>
      <c r="O931" s="4">
        <f>VLOOKUP(A931,[21]Sheet1!$A:$M,2,0)</f>
        <v>50</v>
      </c>
      <c r="P931" s="4">
        <f>VLOOKUP(A931,[21]Sheet1!$A:$M,3,0)</f>
        <v>50</v>
      </c>
      <c r="Q931" s="4">
        <f>VLOOKUP(A931,[21]Sheet1!$A:$M,4,0)</f>
        <v>0</v>
      </c>
      <c r="R931" s="4">
        <f>VLOOKUP(A931,[21]Sheet1!$A:$M,5,0)</f>
        <v>50</v>
      </c>
      <c r="S931" s="4">
        <f>VLOOKUP(A931,[21]Sheet1!$A:$M,6,0)</f>
        <v>50</v>
      </c>
      <c r="T931" s="4">
        <f>VLOOKUP(A931,[21]Sheet1!$A:$M,7,0)</f>
        <v>0</v>
      </c>
      <c r="U931" s="4">
        <f>VLOOKUP(A931,[21]Sheet1!$A:$M,8,0)</f>
        <v>0</v>
      </c>
      <c r="V931" s="4">
        <f>VLOOKUP(A931,[21]Sheet1!$A:$M,9,0)</f>
        <v>0</v>
      </c>
      <c r="W931" s="4">
        <f>VLOOKUP(A931,[21]Sheet1!$A:$M,10,0)</f>
        <v>50</v>
      </c>
      <c r="X931" s="4">
        <f>VLOOKUP(A931,[21]Sheet1!$A:$M,11,0)</f>
        <v>0</v>
      </c>
      <c r="Y931" s="4">
        <f>VLOOKUP(A931,[21]Sheet1!$A:$M,12,0)</f>
        <v>50</v>
      </c>
      <c r="Z931" s="4">
        <f>VLOOKUP(A931,[21]Sheet1!$A:$M,13,0)</f>
        <v>50</v>
      </c>
      <c r="AA931" s="4">
        <f t="shared" si="321"/>
        <v>350</v>
      </c>
      <c r="AB931" s="7">
        <f t="shared" si="322"/>
        <v>29</v>
      </c>
      <c r="AC931" s="15">
        <f t="shared" si="323"/>
        <v>29.166666666666668</v>
      </c>
      <c r="AD931" s="16">
        <f t="shared" si="324"/>
        <v>4196.5</v>
      </c>
      <c r="AE931" s="16">
        <f t="shared" si="325"/>
        <v>349.70833333333337</v>
      </c>
      <c r="AF931" s="21">
        <v>3.86</v>
      </c>
      <c r="AG931" s="21">
        <v>11.99</v>
      </c>
      <c r="AH931" s="15">
        <f t="shared" si="326"/>
        <v>-4.2666666666666712E-3</v>
      </c>
      <c r="AI931" s="15">
        <f t="shared" ref="AI931:AI942" si="336">0.35*AS931</f>
        <v>-1.4933333333333347E-2</v>
      </c>
      <c r="AJ931" s="10">
        <v>0.5</v>
      </c>
      <c r="AK931" s="10">
        <v>0.5</v>
      </c>
      <c r="AL931" s="21">
        <v>3.86</v>
      </c>
      <c r="AM931" s="9">
        <f t="shared" si="328"/>
        <v>1.7985</v>
      </c>
      <c r="AN931" s="9">
        <f t="shared" si="329"/>
        <v>0.35970000000000002</v>
      </c>
      <c r="AO931" s="9">
        <f t="shared" si="330"/>
        <v>2.3980000000000001</v>
      </c>
      <c r="AP931" s="9">
        <f t="shared" si="331"/>
        <v>0.23980000000000001</v>
      </c>
      <c r="AQ931" s="9">
        <f t="shared" si="332"/>
        <v>2.3980000000000001</v>
      </c>
      <c r="AR931" s="9">
        <f t="shared" si="333"/>
        <v>2.9975000000000001</v>
      </c>
      <c r="AS931" s="11">
        <f t="shared" si="334"/>
        <v>-4.2666666666666707E-2</v>
      </c>
      <c r="AT931" s="12">
        <f t="shared" si="335"/>
        <v>-0.4423333333333333</v>
      </c>
    </row>
    <row r="932" spans="1:46" ht="16.5" x14ac:dyDescent="0.4">
      <c r="A932" s="4" t="s">
        <v>4230</v>
      </c>
      <c r="B932" s="4" t="s">
        <v>4241</v>
      </c>
      <c r="C932" s="4" t="s">
        <v>4242</v>
      </c>
      <c r="D932" s="4" t="s">
        <v>4246</v>
      </c>
      <c r="E932" s="4" t="s">
        <v>4257</v>
      </c>
      <c r="F932" s="4" t="s">
        <v>4268</v>
      </c>
      <c r="G932" s="7" t="str">
        <f>VLOOKUP(A932,[1]done!$A:$I,9,0)</f>
        <v>Rodent</v>
      </c>
      <c r="H932" s="7" t="str" cm="1">
        <f t="array" ref="H932">_xlfn.IFS(
OR(ISNUMBER(SEARCH("mouse",E932)),ISNUMBER(SEARCH("rat",E932)),ISNUMBER(SEARCH("mice",E932)),ISNUMBER(SEARCH("rodent",E932))),"Rodent Control",
OR(ISNUMBER(SEARCH("fly",E932)),ISNUMBER(SEARCH("gnat",E932)),ISNUMBER(SEARCH("insect",E932)),ISNUMBER(SEARCH("mosquito",E932))),"Flying Insect Control",
OR(ISNUMBER(SEARCH("roach",E932)),ISNUMBER(SEARCH("ant",E932)),ISNUMBER(SEARCH("spider",E932)),ISNUMBER(SEARCH("cricket",E932)),ISNUMBER(SEARCH("scorpion",E932)),ISNUMBER(SEARCH("centipede",E932)),ISNUMBER(SEARCH("beetle",E932))),"Crawling Insect Control",
OR(ISNUMBER(SEARCH("tree",E932)),ISNUMBER(SEARCH("lantern",E932)),ISNUMBER(SEARCH("garden",E932)),ISNUMBER(SEARCH("plant",E932))),"Garden Pest Control",
OR(ISNUMBER(SEARCH("grass seed",E932)),ISNUMBER(SEARCH("seed mix",E932))),"Grass Seed",
OR(ISNUMBER(SEARCH("lawn food",E932)),ISNUMBER(SEARCH("fertilizer",E932))),"Lawn Fertilizer",
OR(ISNUMBER(SEARCH("patch",E932)),ISNUMBER(SEARCH("repair",E932)),ISNUMBER(SEARCH("thick'r",E932)),ISNUMBER(SEARCH("thick'r lawn",E932)),ISNUMBER(SEARCH("rapid grass",E932))),"Lawn Repair",
OR(ISNUMBER(SEARCH("weed",E932)),ISNUMBER(SEARCH("crabgrass",E932))),"Weed Control",
OR(ISNUMBER(SEARCH("fungicide",E932)),ISNUMBER(SEARCH("moss",E932))),"Disease &amp; Moss Control",
OR(ISNUMBER(SEARCH("plant food",E932)),ISNUMBER(SEARCH("miracid",E932))),"Plant Nutrition",
OR(ISNUMBER(SEARCH("perlite",E932))),"Soil Amendment",
OR(ISNUMBER(SEARCH("spreader",E932)),ISNUMBER(SEARCH("sprayer",E932)),ISNUMBER(SEARCH("mower",E932)),ISNUMBER(SEARCH("sweeper",E932)),ISNUMBER(SEARCH("pruner",E932)),ISNUMBER(SEARCH("trimmer",E932)),ISNUMBER(SEARCH("pole saw",E932))),"Garden Equipment",
TRUE,"Other"
)</f>
        <v>Rodent Control</v>
      </c>
      <c r="I932" s="7" t="str" cm="1">
        <f t="array" ref="I932">_xlfn.IFS(
OR(ISNUMBER(SEARCH("glue trap",E932)),ISNUMBER(SEARCH("glue board",E932))),"Glue Traps",
OR(ISNUMBER(SEARCH("snap trap",E932)),ISNUMBER(SEARCH("power-kill",E932)),ISNUMBER(SEARCH("wide pedal",E932)),ISNUMBER(SEARCH("metal pedal",E932))),"Snap Traps",
OR(ISNUMBER(SEARCH("electronic",E932)),ISNUMBER(SEARCH("zapper",E932))),"Electronic Traps",
OR(ISNUMBER(SEARCH("live catch",E932)),ISNUMBER(SEARCH("multi-catch",E932)),ISNUMBER(SEARCH("catch &amp; hold",E932)),ISNUMBER(SEARCH("tin cat",E932))),"Live Catch Traps",
OR(ISNUMBER(SEARCH("bait",E932)),ISNUMBER(SEARCH("poison",E932))),"Bait &amp; Poison",
ISNUMBER(SEARCH("repellent",E932)),"Repellents",
OR(ISNUMBER(SEARCH("fly trap",E932)),ISNUMBER(SEARCH("fly ribbon",E932)),ISNUMBER(SEARCH("fly stick",E932)),ISNUMBER(SEARCH("window fly",E932)),ISNUMBER(SEARCH("fly magnet",E932))),"Fly Traps",
OR(ISNUMBER(SEARCH("uv",E932)),ISNUMBER(SEARCH("fly light",E932)),ISNUMBER(SEARCH("plug-in",E932))),"UV Fly Traps",
ISNUMBER(SEARCH("roach",E932)),"Roach Traps",
ISNUMBER(SEARCH("ant",E932)),"Ant Traps",
ISNUMBER(SEARCH("spider",E932)),"Spider Traps",
ISNUMBER(SEARCH("mosquito",E932)),"Mosquito Traps",
ISNUMBER(SEARCH("beetle",E932)),"Beetle Traps",
ISNUMBER(SEARCH("lantern",E932)),"Lanternfly Control",
OR(ISNUMBER(SEARCH("tree shield",E932)),ISNUMBER(SEARCH("tree banding",E932)),ISNUMBER(SEARCH("insect barrier",E932))),"Tree Barriers",
OR(ISNUMBER(SEARCH("sun &amp; shade",E932)),ISNUMBER(SEARCH("sun and shade",E932))),"Sun &amp; Shade Mix",
ISNUMBER(SEARCH("tall fescue",E932)),"Tall Fescue",
ISNUMBER(SEARCH("bermudagrass",E932)),"Bermudagrass",
ISNUMBER(SEARCH("kentucky",E932)),"Kentucky Bluegrass",
ISNUMBER(SEARCH("zoysia",E932)),"Zoysia",
ISNUMBER(SEARCH("ryegrass",E932)),"Perennial Ryegrass",
ISNUMBER(SEARCH("centipede",E932)),"Centipede Grass",
ISNUMBER(SEARCH("dense shade",E932)),"Dense Shade Mix",
ISNUMBER(SEARCH("southern gold",E932)),"Southern Gold Mix",
ISNUMBER(SEARCH("heat-tolerant blue",E932)),"Heat-Tolerant Blue Mix",
ISNUMBER(SEARCH("high traffic",E932)),"High Traffic Mix",
ISNUMBER(SEARCH("quick fix",E932)),"Quick Fix Mix",
ISNUMBER(SEARCH("starter",E932)),"Starter Fertilizer",
ISNUMBER(SEARCH("weed &amp; feed",E932)),"Weed &amp; Feed",
ISNUMBER(SEARCH("lawn food",E932)),"Lawn Food",
ISNUMBER(SEARCH("triple action",E932)),"Triple Action Fertilizer",
ISNUMBER(SEARCH("green max",E932)),"Green Max Lawn Food",
ISNUMBER(SEARCH("patchmaster",E932)),"PatchMaster Repair",
ISNUMBER(SEARCH("ez seed",E932)),"EZ Seed Repair",
ISNUMBER(SEARCH("rapid grass",E932)),"Rapid Grass",
ISNUMBER(SEARCH("thick'r lawn",E932)),"Thick'R Lawn",
ISNUMBER(SEARCH("fungicide",E932)),"Fungicide",
ISNUMBER(SEARCH("moss",E932)),"Moss Control",
ISNUMBER(SEARCH("perlite",E932)),"Perlite",
ISNUMBER(SEARCH("plant food",E932)),"Plant Food",
ISNUMBER(SEARCH("spreader",E932)),"Spreader",
ISNUMBER(SEARCH("sprayer",E932)),"Sprayer",
ISNUMBER(SEARCH("mower",E932)),"Lawn Mower",
ISNUMBER(SEARCH("sweeper",E932)),"Lawn Sweeper",
OR(ISNUMBER(SEARCH("pruner",E932)),ISNUMBER(SEARCH("trimmer",E932)),ISNUMBER(SEARCH("pole saw",E932))),"Pruning Tools",
TRUE,"Other"
)</f>
        <v>Bait &amp; Poison</v>
      </c>
      <c r="J932" s="7" t="str">
        <f t="shared" ref="J932:J942" si="337">H932&amp;" - "&amp;I932</f>
        <v>Rodent Control - Bait &amp; Poison</v>
      </c>
      <c r="K932" s="4">
        <v>5000</v>
      </c>
      <c r="L932" s="4">
        <v>4.2</v>
      </c>
      <c r="M932" s="4">
        <v>9077</v>
      </c>
      <c r="N932" s="4" t="s">
        <v>4279</v>
      </c>
      <c r="O932" s="4">
        <f>VLOOKUP(A932,[22]Sheet1!$A:$M,2,0)</f>
        <v>2000</v>
      </c>
      <c r="P932" s="4">
        <f>VLOOKUP(A932,[22]Sheet1!$A:$M,3,0)</f>
        <v>1000</v>
      </c>
      <c r="Q932" s="4">
        <f>VLOOKUP(A932,[22]Sheet1!$A:$M,4,0)</f>
        <v>1000</v>
      </c>
      <c r="R932" s="4">
        <f>VLOOKUP(A932,[22]Sheet1!$A:$M,5,0)</f>
        <v>2000</v>
      </c>
      <c r="S932" s="4">
        <f>VLOOKUP(A932,[22]Sheet1!$A:$M,6,0)</f>
        <v>2000</v>
      </c>
      <c r="T932" s="4">
        <f>VLOOKUP(A932,[22]Sheet1!$A:$M,7,0)</f>
        <v>3000</v>
      </c>
      <c r="U932" s="4">
        <f>VLOOKUP(A932,[22]Sheet1!$A:$M,8,0)</f>
        <v>3000</v>
      </c>
      <c r="V932" s="4">
        <f>VLOOKUP(A932,[22]Sheet1!$A:$M,9,0)</f>
        <v>2000</v>
      </c>
      <c r="W932" s="4">
        <f>VLOOKUP(A932,[22]Sheet1!$A:$M,10,0)</f>
        <v>5000</v>
      </c>
      <c r="X932" s="4">
        <f>VLOOKUP(A932,[22]Sheet1!$A:$M,11,0)</f>
        <v>4000</v>
      </c>
      <c r="Y932" s="4">
        <f>VLOOKUP(A932,[22]Sheet1!$A:$M,12,0)</f>
        <v>5000</v>
      </c>
      <c r="Z932" s="4">
        <f>VLOOKUP(A932,[22]Sheet1!$A:$M,13,0)</f>
        <v>4000</v>
      </c>
      <c r="AA932" s="4">
        <f t="shared" ref="AA932:AA942" si="338">SUM(O932:Z932)</f>
        <v>34000</v>
      </c>
      <c r="AB932" s="7">
        <f t="shared" ref="AB932:AB942" si="339">ROUND(AA932/12,0)</f>
        <v>2833</v>
      </c>
      <c r="AC932" s="15">
        <f t="shared" ref="AC932:AC942" si="340">AVERAGE(O932:Z932)</f>
        <v>2833.3333333333335</v>
      </c>
      <c r="AD932" s="16">
        <f t="shared" ref="AD932:AD942" si="341">AG932*AA932</f>
        <v>237660</v>
      </c>
      <c r="AE932" s="16">
        <f t="shared" ref="AE932:AE942" si="342">AG932*AC932</f>
        <v>19805</v>
      </c>
      <c r="AF932" s="21">
        <v>3.43</v>
      </c>
      <c r="AG932" s="21">
        <v>6.99</v>
      </c>
      <c r="AH932" s="15">
        <f t="shared" si="326"/>
        <v>-0.10893333333333335</v>
      </c>
      <c r="AI932" s="15">
        <f t="shared" si="336"/>
        <v>-0.3812666666666667</v>
      </c>
      <c r="AJ932" s="10">
        <v>0.5</v>
      </c>
      <c r="AK932" s="10">
        <v>0.5</v>
      </c>
      <c r="AL932" s="21">
        <v>3.43</v>
      </c>
      <c r="AM932" s="9">
        <f t="shared" ref="AM932:AM942" si="343">0.15*AG932</f>
        <v>1.0485</v>
      </c>
      <c r="AN932" s="9">
        <f t="shared" ref="AN932:AN942" si="344">0.03*AG932</f>
        <v>0.2097</v>
      </c>
      <c r="AO932" s="9">
        <f t="shared" ref="AO932:AO942" si="345">0.2*AG932</f>
        <v>1.3980000000000001</v>
      </c>
      <c r="AP932" s="9">
        <f t="shared" ref="AP932:AP942" si="346">0.02*AG932</f>
        <v>0.13980000000000001</v>
      </c>
      <c r="AQ932" s="9">
        <f t="shared" ref="AQ932:AQ942" si="347">0.2*AG932</f>
        <v>1.3980000000000001</v>
      </c>
      <c r="AR932" s="9">
        <f t="shared" ref="AR932:AR942" si="348">0.25*AG932</f>
        <v>1.7475000000000001</v>
      </c>
      <c r="AS932" s="11">
        <f t="shared" ref="AS932:AS942" si="349">(AG932*(1-(0.15+0.03+0.2+0.02))-AJ932-AK932-AL932-AQ932)/(1+0.1+0.4)</f>
        <v>-1.0893333333333335</v>
      </c>
      <c r="AT932" s="12">
        <f t="shared" ref="AT932:AT942" si="350">(AG932*(1-(0.15+0.03+0.2+0.02))-AJ932-AK932-AL932-AR932)/(1+0.1+0.4)</f>
        <v>-1.3223333333333336</v>
      </c>
    </row>
    <row r="933" spans="1:46" ht="16.5" x14ac:dyDescent="0.4">
      <c r="A933" s="4" t="s">
        <v>4231</v>
      </c>
      <c r="B933" s="4" t="s">
        <v>4241</v>
      </c>
      <c r="C933" s="4" t="s">
        <v>4241</v>
      </c>
      <c r="D933" s="4" t="s">
        <v>4247</v>
      </c>
      <c r="E933" s="4" t="s">
        <v>4258</v>
      </c>
      <c r="F933" s="4" t="s">
        <v>4269</v>
      </c>
      <c r="G933" s="7" t="str">
        <f>VLOOKUP(A933,[1]done!$A:$I,9,0)</f>
        <v>Rodent</v>
      </c>
      <c r="H933" s="7" t="str" cm="1">
        <f t="array" ref="H933">_xlfn.IFS(
OR(ISNUMBER(SEARCH("mouse",E933)),ISNUMBER(SEARCH("rat",E933)),ISNUMBER(SEARCH("mice",E933)),ISNUMBER(SEARCH("rodent",E933))),"Rodent Control",
OR(ISNUMBER(SEARCH("fly",E933)),ISNUMBER(SEARCH("gnat",E933)),ISNUMBER(SEARCH("insect",E933)),ISNUMBER(SEARCH("mosquito",E933))),"Flying Insect Control",
OR(ISNUMBER(SEARCH("roach",E933)),ISNUMBER(SEARCH("ant",E933)),ISNUMBER(SEARCH("spider",E933)),ISNUMBER(SEARCH("cricket",E933)),ISNUMBER(SEARCH("scorpion",E933)),ISNUMBER(SEARCH("centipede",E933)),ISNUMBER(SEARCH("beetle",E933))),"Crawling Insect Control",
OR(ISNUMBER(SEARCH("tree",E933)),ISNUMBER(SEARCH("lantern",E933)),ISNUMBER(SEARCH("garden",E933)),ISNUMBER(SEARCH("plant",E933))),"Garden Pest Control",
OR(ISNUMBER(SEARCH("grass seed",E933)),ISNUMBER(SEARCH("seed mix",E933))),"Grass Seed",
OR(ISNUMBER(SEARCH("lawn food",E933)),ISNUMBER(SEARCH("fertilizer",E933))),"Lawn Fertilizer",
OR(ISNUMBER(SEARCH("patch",E933)),ISNUMBER(SEARCH("repair",E933)),ISNUMBER(SEARCH("thick'r",E933)),ISNUMBER(SEARCH("thick'r lawn",E933)),ISNUMBER(SEARCH("rapid grass",E933))),"Lawn Repair",
OR(ISNUMBER(SEARCH("weed",E933)),ISNUMBER(SEARCH("crabgrass",E933))),"Weed Control",
OR(ISNUMBER(SEARCH("fungicide",E933)),ISNUMBER(SEARCH("moss",E933))),"Disease &amp; Moss Control",
OR(ISNUMBER(SEARCH("plant food",E933)),ISNUMBER(SEARCH("miracid",E933))),"Plant Nutrition",
OR(ISNUMBER(SEARCH("perlite",E933))),"Soil Amendment",
OR(ISNUMBER(SEARCH("spreader",E933)),ISNUMBER(SEARCH("sprayer",E933)),ISNUMBER(SEARCH("mower",E933)),ISNUMBER(SEARCH("sweeper",E933)),ISNUMBER(SEARCH("pruner",E933)),ISNUMBER(SEARCH("trimmer",E933)),ISNUMBER(SEARCH("pole saw",E933))),"Garden Equipment",
TRUE,"Other"
)</f>
        <v>Rodent Control</v>
      </c>
      <c r="I933" s="7" t="str" cm="1">
        <f t="array" ref="I933">_xlfn.IFS(
OR(ISNUMBER(SEARCH("glue trap",E933)),ISNUMBER(SEARCH("glue board",E933))),"Glue Traps",
OR(ISNUMBER(SEARCH("snap trap",E933)),ISNUMBER(SEARCH("power-kill",E933)),ISNUMBER(SEARCH("wide pedal",E933)),ISNUMBER(SEARCH("metal pedal",E933))),"Snap Traps",
OR(ISNUMBER(SEARCH("electronic",E933)),ISNUMBER(SEARCH("zapper",E933))),"Electronic Traps",
OR(ISNUMBER(SEARCH("live catch",E933)),ISNUMBER(SEARCH("multi-catch",E933)),ISNUMBER(SEARCH("catch &amp; hold",E933)),ISNUMBER(SEARCH("tin cat",E933))),"Live Catch Traps",
OR(ISNUMBER(SEARCH("bait",E933)),ISNUMBER(SEARCH("poison",E933))),"Bait &amp; Poison",
ISNUMBER(SEARCH("repellent",E933)),"Repellents",
OR(ISNUMBER(SEARCH("fly trap",E933)),ISNUMBER(SEARCH("fly ribbon",E933)),ISNUMBER(SEARCH("fly stick",E933)),ISNUMBER(SEARCH("window fly",E933)),ISNUMBER(SEARCH("fly magnet",E933))),"Fly Traps",
OR(ISNUMBER(SEARCH("uv",E933)),ISNUMBER(SEARCH("fly light",E933)),ISNUMBER(SEARCH("plug-in",E933))),"UV Fly Traps",
ISNUMBER(SEARCH("roach",E933)),"Roach Traps",
ISNUMBER(SEARCH("ant",E933)),"Ant Traps",
ISNUMBER(SEARCH("spider",E933)),"Spider Traps",
ISNUMBER(SEARCH("mosquito",E933)),"Mosquito Traps",
ISNUMBER(SEARCH("beetle",E933)),"Beetle Traps",
ISNUMBER(SEARCH("lantern",E933)),"Lanternfly Control",
OR(ISNUMBER(SEARCH("tree shield",E933)),ISNUMBER(SEARCH("tree banding",E933)),ISNUMBER(SEARCH("insect barrier",E933))),"Tree Barriers",
OR(ISNUMBER(SEARCH("sun &amp; shade",E933)),ISNUMBER(SEARCH("sun and shade",E933))),"Sun &amp; Shade Mix",
ISNUMBER(SEARCH("tall fescue",E933)),"Tall Fescue",
ISNUMBER(SEARCH("bermudagrass",E933)),"Bermudagrass",
ISNUMBER(SEARCH("kentucky",E933)),"Kentucky Bluegrass",
ISNUMBER(SEARCH("zoysia",E933)),"Zoysia",
ISNUMBER(SEARCH("ryegrass",E933)),"Perennial Ryegrass",
ISNUMBER(SEARCH("centipede",E933)),"Centipede Grass",
ISNUMBER(SEARCH("dense shade",E933)),"Dense Shade Mix",
ISNUMBER(SEARCH("southern gold",E933)),"Southern Gold Mix",
ISNUMBER(SEARCH("heat-tolerant blue",E933)),"Heat-Tolerant Blue Mix",
ISNUMBER(SEARCH("high traffic",E933)),"High Traffic Mix",
ISNUMBER(SEARCH("quick fix",E933)),"Quick Fix Mix",
ISNUMBER(SEARCH("starter",E933)),"Starter Fertilizer",
ISNUMBER(SEARCH("weed &amp; feed",E933)),"Weed &amp; Feed",
ISNUMBER(SEARCH("lawn food",E933)),"Lawn Food",
ISNUMBER(SEARCH("triple action",E933)),"Triple Action Fertilizer",
ISNUMBER(SEARCH("green max",E933)),"Green Max Lawn Food",
ISNUMBER(SEARCH("patchmaster",E933)),"PatchMaster Repair",
ISNUMBER(SEARCH("ez seed",E933)),"EZ Seed Repair",
ISNUMBER(SEARCH("rapid grass",E933)),"Rapid Grass",
ISNUMBER(SEARCH("thick'r lawn",E933)),"Thick'R Lawn",
ISNUMBER(SEARCH("fungicide",E933)),"Fungicide",
ISNUMBER(SEARCH("moss",E933)),"Moss Control",
ISNUMBER(SEARCH("perlite",E933)),"Perlite",
ISNUMBER(SEARCH("plant food",E933)),"Plant Food",
ISNUMBER(SEARCH("spreader",E933)),"Spreader",
ISNUMBER(SEARCH("sprayer",E933)),"Sprayer",
ISNUMBER(SEARCH("mower",E933)),"Lawn Mower",
ISNUMBER(SEARCH("sweeper",E933)),"Lawn Sweeper",
OR(ISNUMBER(SEARCH("pruner",E933)),ISNUMBER(SEARCH("trimmer",E933)),ISNUMBER(SEARCH("pole saw",E933))),"Pruning Tools",
TRUE,"Other"
)</f>
        <v>Bait &amp; Poison</v>
      </c>
      <c r="J933" s="7" t="str">
        <f t="shared" si="337"/>
        <v>Rodent Control - Bait &amp; Poison</v>
      </c>
      <c r="K933" s="4">
        <v>3000</v>
      </c>
      <c r="L933" s="4">
        <v>4.3</v>
      </c>
      <c r="M933" s="4">
        <v>26858</v>
      </c>
      <c r="N933" s="4" t="s">
        <v>4280</v>
      </c>
      <c r="O933" s="4">
        <f>VLOOKUP(A933,[22]Sheet1!$A:$M,2,0)</f>
        <v>3000</v>
      </c>
      <c r="P933" s="4">
        <f>VLOOKUP(A933,[22]Sheet1!$A:$M,3,0)</f>
        <v>3000</v>
      </c>
      <c r="Q933" s="4">
        <f>VLOOKUP(A933,[22]Sheet1!$A:$M,4,0)</f>
        <v>4000</v>
      </c>
      <c r="R933" s="4">
        <f>VLOOKUP(A933,[22]Sheet1!$A:$M,5,0)</f>
        <v>5000</v>
      </c>
      <c r="S933" s="4">
        <f>VLOOKUP(A933,[22]Sheet1!$A:$M,6,0)</f>
        <v>5000</v>
      </c>
      <c r="T933" s="4">
        <f>VLOOKUP(A933,[22]Sheet1!$A:$M,7,0)</f>
        <v>4000</v>
      </c>
      <c r="U933" s="4">
        <f>VLOOKUP(A933,[22]Sheet1!$A:$M,8,0)</f>
        <v>4000</v>
      </c>
      <c r="V933" s="4">
        <f>VLOOKUP(A933,[22]Sheet1!$A:$M,9,0)</f>
        <v>4000</v>
      </c>
      <c r="W933" s="4">
        <f>VLOOKUP(A933,[22]Sheet1!$A:$M,10,0)</f>
        <v>3000</v>
      </c>
      <c r="X933" s="4">
        <f>VLOOKUP(A933,[22]Sheet1!$A:$M,11,0)</f>
        <v>7000</v>
      </c>
      <c r="Y933" s="4">
        <f>VLOOKUP(A933,[22]Sheet1!$A:$M,12,0)</f>
        <v>7000</v>
      </c>
      <c r="Z933" s="4">
        <f>VLOOKUP(A933,[22]Sheet1!$A:$M,13,0)</f>
        <v>4000</v>
      </c>
      <c r="AA933" s="4">
        <f t="shared" si="338"/>
        <v>53000</v>
      </c>
      <c r="AB933" s="7">
        <f t="shared" si="339"/>
        <v>4417</v>
      </c>
      <c r="AC933" s="15">
        <f t="shared" si="340"/>
        <v>4416.666666666667</v>
      </c>
      <c r="AD933" s="16">
        <f t="shared" si="341"/>
        <v>756840</v>
      </c>
      <c r="AE933" s="16">
        <f t="shared" si="342"/>
        <v>63070</v>
      </c>
      <c r="AF933" s="21">
        <v>5.61</v>
      </c>
      <c r="AG933" s="21">
        <v>14.28</v>
      </c>
      <c r="AH933" s="15">
        <f t="shared" si="326"/>
        <v>-5.9866666666666707E-2</v>
      </c>
      <c r="AI933" s="15">
        <f t="shared" si="336"/>
        <v>-0.20953333333333343</v>
      </c>
      <c r="AJ933" s="10">
        <v>0.5</v>
      </c>
      <c r="AK933" s="10">
        <v>0.5</v>
      </c>
      <c r="AL933" s="21">
        <v>5.61</v>
      </c>
      <c r="AM933" s="9">
        <f t="shared" si="343"/>
        <v>2.1419999999999999</v>
      </c>
      <c r="AN933" s="9">
        <f t="shared" si="344"/>
        <v>0.42839999999999995</v>
      </c>
      <c r="AO933" s="9">
        <f t="shared" si="345"/>
        <v>2.8559999999999999</v>
      </c>
      <c r="AP933" s="9">
        <f t="shared" si="346"/>
        <v>0.28560000000000002</v>
      </c>
      <c r="AQ933" s="9">
        <f t="shared" si="347"/>
        <v>2.8559999999999999</v>
      </c>
      <c r="AR933" s="9">
        <f t="shared" si="348"/>
        <v>3.57</v>
      </c>
      <c r="AS933" s="11">
        <f t="shared" si="349"/>
        <v>-0.59866666666666701</v>
      </c>
      <c r="AT933" s="12">
        <f t="shared" si="350"/>
        <v>-1.0746666666666671</v>
      </c>
    </row>
    <row r="934" spans="1:46" ht="16.5" x14ac:dyDescent="0.4">
      <c r="A934" s="4" t="s">
        <v>4232</v>
      </c>
      <c r="B934" s="4" t="s">
        <v>4241</v>
      </c>
      <c r="C934" s="4" t="s">
        <v>4241</v>
      </c>
      <c r="D934" s="4" t="s">
        <v>4248</v>
      </c>
      <c r="E934" s="4" t="s">
        <v>4259</v>
      </c>
      <c r="F934" s="4" t="s">
        <v>4270</v>
      </c>
      <c r="G934" s="7" t="str">
        <f>VLOOKUP(A934,[1]done!$A:$I,9,0)</f>
        <v>Rodent</v>
      </c>
      <c r="H934" s="7" t="str" cm="1">
        <f t="array" ref="H934">_xlfn.IFS(
OR(ISNUMBER(SEARCH("mouse",E934)),ISNUMBER(SEARCH("rat",E934)),ISNUMBER(SEARCH("mice",E934)),ISNUMBER(SEARCH("rodent",E934))),"Rodent Control",
OR(ISNUMBER(SEARCH("fly",E934)),ISNUMBER(SEARCH("gnat",E934)),ISNUMBER(SEARCH("insect",E934)),ISNUMBER(SEARCH("mosquito",E934))),"Flying Insect Control",
OR(ISNUMBER(SEARCH("roach",E934)),ISNUMBER(SEARCH("ant",E934)),ISNUMBER(SEARCH("spider",E934)),ISNUMBER(SEARCH("cricket",E934)),ISNUMBER(SEARCH("scorpion",E934)),ISNUMBER(SEARCH("centipede",E934)),ISNUMBER(SEARCH("beetle",E934))),"Crawling Insect Control",
OR(ISNUMBER(SEARCH("tree",E934)),ISNUMBER(SEARCH("lantern",E934)),ISNUMBER(SEARCH("garden",E934)),ISNUMBER(SEARCH("plant",E934))),"Garden Pest Control",
OR(ISNUMBER(SEARCH("grass seed",E934)),ISNUMBER(SEARCH("seed mix",E934))),"Grass Seed",
OR(ISNUMBER(SEARCH("lawn food",E934)),ISNUMBER(SEARCH("fertilizer",E934))),"Lawn Fertilizer",
OR(ISNUMBER(SEARCH("patch",E934)),ISNUMBER(SEARCH("repair",E934)),ISNUMBER(SEARCH("thick'r",E934)),ISNUMBER(SEARCH("thick'r lawn",E934)),ISNUMBER(SEARCH("rapid grass",E934))),"Lawn Repair",
OR(ISNUMBER(SEARCH("weed",E934)),ISNUMBER(SEARCH("crabgrass",E934))),"Weed Control",
OR(ISNUMBER(SEARCH("fungicide",E934)),ISNUMBER(SEARCH("moss",E934))),"Disease &amp; Moss Control",
OR(ISNUMBER(SEARCH("plant food",E934)),ISNUMBER(SEARCH("miracid",E934))),"Plant Nutrition",
OR(ISNUMBER(SEARCH("perlite",E934))),"Soil Amendment",
OR(ISNUMBER(SEARCH("spreader",E934)),ISNUMBER(SEARCH("sprayer",E934)),ISNUMBER(SEARCH("mower",E934)),ISNUMBER(SEARCH("sweeper",E934)),ISNUMBER(SEARCH("pruner",E934)),ISNUMBER(SEARCH("trimmer",E934)),ISNUMBER(SEARCH("pole saw",E934))),"Garden Equipment",
TRUE,"Other"
)</f>
        <v>Rodent Control</v>
      </c>
      <c r="I934" s="7" t="str" cm="1">
        <f t="array" ref="I934">_xlfn.IFS(
OR(ISNUMBER(SEARCH("glue trap",E934)),ISNUMBER(SEARCH("glue board",E934))),"Glue Traps",
OR(ISNUMBER(SEARCH("snap trap",E934)),ISNUMBER(SEARCH("power-kill",E934)),ISNUMBER(SEARCH("wide pedal",E934)),ISNUMBER(SEARCH("metal pedal",E934))),"Snap Traps",
OR(ISNUMBER(SEARCH("electronic",E934)),ISNUMBER(SEARCH("zapper",E934))),"Electronic Traps",
OR(ISNUMBER(SEARCH("live catch",E934)),ISNUMBER(SEARCH("multi-catch",E934)),ISNUMBER(SEARCH("catch &amp; hold",E934)),ISNUMBER(SEARCH("tin cat",E934))),"Live Catch Traps",
OR(ISNUMBER(SEARCH("bait",E934)),ISNUMBER(SEARCH("poison",E934))),"Bait &amp; Poison",
ISNUMBER(SEARCH("repellent",E934)),"Repellents",
OR(ISNUMBER(SEARCH("fly trap",E934)),ISNUMBER(SEARCH("fly ribbon",E934)),ISNUMBER(SEARCH("fly stick",E934)),ISNUMBER(SEARCH("window fly",E934)),ISNUMBER(SEARCH("fly magnet",E934))),"Fly Traps",
OR(ISNUMBER(SEARCH("uv",E934)),ISNUMBER(SEARCH("fly light",E934)),ISNUMBER(SEARCH("plug-in",E934))),"UV Fly Traps",
ISNUMBER(SEARCH("roach",E934)),"Roach Traps",
ISNUMBER(SEARCH("ant",E934)),"Ant Traps",
ISNUMBER(SEARCH("spider",E934)),"Spider Traps",
ISNUMBER(SEARCH("mosquito",E934)),"Mosquito Traps",
ISNUMBER(SEARCH("beetle",E934)),"Beetle Traps",
ISNUMBER(SEARCH("lantern",E934)),"Lanternfly Control",
OR(ISNUMBER(SEARCH("tree shield",E934)),ISNUMBER(SEARCH("tree banding",E934)),ISNUMBER(SEARCH("insect barrier",E934))),"Tree Barriers",
OR(ISNUMBER(SEARCH("sun &amp; shade",E934)),ISNUMBER(SEARCH("sun and shade",E934))),"Sun &amp; Shade Mix",
ISNUMBER(SEARCH("tall fescue",E934)),"Tall Fescue",
ISNUMBER(SEARCH("bermudagrass",E934)),"Bermudagrass",
ISNUMBER(SEARCH("kentucky",E934)),"Kentucky Bluegrass",
ISNUMBER(SEARCH("zoysia",E934)),"Zoysia",
ISNUMBER(SEARCH("ryegrass",E934)),"Perennial Ryegrass",
ISNUMBER(SEARCH("centipede",E934)),"Centipede Grass",
ISNUMBER(SEARCH("dense shade",E934)),"Dense Shade Mix",
ISNUMBER(SEARCH("southern gold",E934)),"Southern Gold Mix",
ISNUMBER(SEARCH("heat-tolerant blue",E934)),"Heat-Tolerant Blue Mix",
ISNUMBER(SEARCH("high traffic",E934)),"High Traffic Mix",
ISNUMBER(SEARCH("quick fix",E934)),"Quick Fix Mix",
ISNUMBER(SEARCH("starter",E934)),"Starter Fertilizer",
ISNUMBER(SEARCH("weed &amp; feed",E934)),"Weed &amp; Feed",
ISNUMBER(SEARCH("lawn food",E934)),"Lawn Food",
ISNUMBER(SEARCH("triple action",E934)),"Triple Action Fertilizer",
ISNUMBER(SEARCH("green max",E934)),"Green Max Lawn Food",
ISNUMBER(SEARCH("patchmaster",E934)),"PatchMaster Repair",
ISNUMBER(SEARCH("ez seed",E934)),"EZ Seed Repair",
ISNUMBER(SEARCH("rapid grass",E934)),"Rapid Grass",
ISNUMBER(SEARCH("thick'r lawn",E934)),"Thick'R Lawn",
ISNUMBER(SEARCH("fungicide",E934)),"Fungicide",
ISNUMBER(SEARCH("moss",E934)),"Moss Control",
ISNUMBER(SEARCH("perlite",E934)),"Perlite",
ISNUMBER(SEARCH("plant food",E934)),"Plant Food",
ISNUMBER(SEARCH("spreader",E934)),"Spreader",
ISNUMBER(SEARCH("sprayer",E934)),"Sprayer",
ISNUMBER(SEARCH("mower",E934)),"Lawn Mower",
ISNUMBER(SEARCH("sweeper",E934)),"Lawn Sweeper",
OR(ISNUMBER(SEARCH("pruner",E934)),ISNUMBER(SEARCH("trimmer",E934)),ISNUMBER(SEARCH("pole saw",E934))),"Pruning Tools",
TRUE,"Other"
)</f>
        <v>Bait &amp; Poison</v>
      </c>
      <c r="J934" s="7" t="str">
        <f t="shared" si="337"/>
        <v>Rodent Control - Bait &amp; Poison</v>
      </c>
      <c r="K934" s="4">
        <v>3000</v>
      </c>
      <c r="L934" s="4">
        <v>4.3</v>
      </c>
      <c r="M934" s="4">
        <v>26855</v>
      </c>
      <c r="N934" s="4" t="s">
        <v>3894</v>
      </c>
      <c r="O934" s="4">
        <f>VLOOKUP(A934,[22]Sheet1!$A:$M,2,0)</f>
        <v>2500</v>
      </c>
      <c r="P934" s="4">
        <f>VLOOKUP(A934,[22]Sheet1!$A:$M,3,0)</f>
        <v>2000</v>
      </c>
      <c r="Q934" s="4">
        <f>VLOOKUP(A934,[22]Sheet1!$A:$M,4,0)</f>
        <v>3000</v>
      </c>
      <c r="R934" s="4">
        <f>VLOOKUP(A934,[22]Sheet1!$A:$M,5,0)</f>
        <v>3000</v>
      </c>
      <c r="S934" s="4">
        <f>VLOOKUP(A934,[22]Sheet1!$A:$M,6,0)</f>
        <v>3000</v>
      </c>
      <c r="T934" s="4">
        <f>VLOOKUP(A934,[22]Sheet1!$A:$M,7,0)</f>
        <v>5000</v>
      </c>
      <c r="U934" s="4">
        <f>VLOOKUP(A934,[22]Sheet1!$A:$M,8,0)</f>
        <v>5000</v>
      </c>
      <c r="V934" s="4">
        <f>VLOOKUP(A934,[22]Sheet1!$A:$M,9,0)</f>
        <v>5500</v>
      </c>
      <c r="W934" s="4">
        <f>VLOOKUP(A934,[22]Sheet1!$A:$M,10,0)</f>
        <v>3000</v>
      </c>
      <c r="X934" s="4">
        <f>VLOOKUP(A934,[22]Sheet1!$A:$M,11,0)</f>
        <v>4000</v>
      </c>
      <c r="Y934" s="4">
        <f>VLOOKUP(A934,[22]Sheet1!$A:$M,12,0)</f>
        <v>4000</v>
      </c>
      <c r="Z934" s="4">
        <f>VLOOKUP(A934,[22]Sheet1!$A:$M,13,0)</f>
        <v>4000</v>
      </c>
      <c r="AA934" s="4">
        <f t="shared" si="338"/>
        <v>44000</v>
      </c>
      <c r="AB934" s="7">
        <f t="shared" si="339"/>
        <v>3667</v>
      </c>
      <c r="AC934" s="15">
        <f t="shared" si="340"/>
        <v>3666.6666666666665</v>
      </c>
      <c r="AD934" s="16">
        <f t="shared" si="341"/>
        <v>433840</v>
      </c>
      <c r="AE934" s="16">
        <f t="shared" si="342"/>
        <v>36153.333333333328</v>
      </c>
      <c r="AF934" s="21">
        <v>3.83</v>
      </c>
      <c r="AG934" s="21">
        <v>9.86</v>
      </c>
      <c r="AH934" s="15">
        <f t="shared" si="326"/>
        <v>-5.9066666666666705E-2</v>
      </c>
      <c r="AI934" s="15">
        <f t="shared" si="336"/>
        <v>-0.20673333333333344</v>
      </c>
      <c r="AJ934" s="10">
        <v>0.5</v>
      </c>
      <c r="AK934" s="10">
        <v>0.5</v>
      </c>
      <c r="AL934" s="21">
        <v>3.83</v>
      </c>
      <c r="AM934" s="9">
        <f t="shared" si="343"/>
        <v>1.4789999999999999</v>
      </c>
      <c r="AN934" s="9">
        <f t="shared" si="344"/>
        <v>0.29579999999999995</v>
      </c>
      <c r="AO934" s="9">
        <f t="shared" si="345"/>
        <v>1.972</v>
      </c>
      <c r="AP934" s="9">
        <f t="shared" si="346"/>
        <v>0.19719999999999999</v>
      </c>
      <c r="AQ934" s="9">
        <f t="shared" si="347"/>
        <v>1.972</v>
      </c>
      <c r="AR934" s="9">
        <f t="shared" si="348"/>
        <v>2.4649999999999999</v>
      </c>
      <c r="AS934" s="11">
        <f t="shared" si="349"/>
        <v>-0.59066666666666701</v>
      </c>
      <c r="AT934" s="12">
        <f t="shared" si="350"/>
        <v>-0.91933333333333367</v>
      </c>
    </row>
    <row r="935" spans="1:46" ht="16.5" x14ac:dyDescent="0.4">
      <c r="A935" s="4" t="s">
        <v>4233</v>
      </c>
      <c r="B935" s="4" t="s">
        <v>4241</v>
      </c>
      <c r="C935" s="4" t="s">
        <v>4243</v>
      </c>
      <c r="D935" s="4" t="s">
        <v>4249</v>
      </c>
      <c r="E935" s="4" t="s">
        <v>4260</v>
      </c>
      <c r="F935" s="4" t="s">
        <v>4271</v>
      </c>
      <c r="G935" s="7" t="str">
        <f>VLOOKUP(A935,[1]done!$A:$I,9,0)</f>
        <v>Rodent</v>
      </c>
      <c r="H935" s="7" t="str" cm="1">
        <f t="array" ref="H935">_xlfn.IFS(
OR(ISNUMBER(SEARCH("mouse",E935)),ISNUMBER(SEARCH("rat",E935)),ISNUMBER(SEARCH("mice",E935)),ISNUMBER(SEARCH("rodent",E935))),"Rodent Control",
OR(ISNUMBER(SEARCH("fly",E935)),ISNUMBER(SEARCH("gnat",E935)),ISNUMBER(SEARCH("insect",E935)),ISNUMBER(SEARCH("mosquito",E935))),"Flying Insect Control",
OR(ISNUMBER(SEARCH("roach",E935)),ISNUMBER(SEARCH("ant",E935)),ISNUMBER(SEARCH("spider",E935)),ISNUMBER(SEARCH("cricket",E935)),ISNUMBER(SEARCH("scorpion",E935)),ISNUMBER(SEARCH("centipede",E935)),ISNUMBER(SEARCH("beetle",E935))),"Crawling Insect Control",
OR(ISNUMBER(SEARCH("tree",E935)),ISNUMBER(SEARCH("lantern",E935)),ISNUMBER(SEARCH("garden",E935)),ISNUMBER(SEARCH("plant",E935))),"Garden Pest Control",
OR(ISNUMBER(SEARCH("grass seed",E935)),ISNUMBER(SEARCH("seed mix",E935))),"Grass Seed",
OR(ISNUMBER(SEARCH("lawn food",E935)),ISNUMBER(SEARCH("fertilizer",E935))),"Lawn Fertilizer",
OR(ISNUMBER(SEARCH("patch",E935)),ISNUMBER(SEARCH("repair",E935)),ISNUMBER(SEARCH("thick'r",E935)),ISNUMBER(SEARCH("thick'r lawn",E935)),ISNUMBER(SEARCH("rapid grass",E935))),"Lawn Repair",
OR(ISNUMBER(SEARCH("weed",E935)),ISNUMBER(SEARCH("crabgrass",E935))),"Weed Control",
OR(ISNUMBER(SEARCH("fungicide",E935)),ISNUMBER(SEARCH("moss",E935))),"Disease &amp; Moss Control",
OR(ISNUMBER(SEARCH("plant food",E935)),ISNUMBER(SEARCH("miracid",E935))),"Plant Nutrition",
OR(ISNUMBER(SEARCH("perlite",E935))),"Soil Amendment",
OR(ISNUMBER(SEARCH("spreader",E935)),ISNUMBER(SEARCH("sprayer",E935)),ISNUMBER(SEARCH("mower",E935)),ISNUMBER(SEARCH("sweeper",E935)),ISNUMBER(SEARCH("pruner",E935)),ISNUMBER(SEARCH("trimmer",E935)),ISNUMBER(SEARCH("pole saw",E935))),"Garden Equipment",
TRUE,"Other"
)</f>
        <v>Rodent Control</v>
      </c>
      <c r="I935" s="7" t="str" cm="1">
        <f t="array" ref="I935">_xlfn.IFS(
OR(ISNUMBER(SEARCH("glue trap",E935)),ISNUMBER(SEARCH("glue board",E935))),"Glue Traps",
OR(ISNUMBER(SEARCH("snap trap",E935)),ISNUMBER(SEARCH("power-kill",E935)),ISNUMBER(SEARCH("wide pedal",E935)),ISNUMBER(SEARCH("metal pedal",E935))),"Snap Traps",
OR(ISNUMBER(SEARCH("electronic",E935)),ISNUMBER(SEARCH("zapper",E935))),"Electronic Traps",
OR(ISNUMBER(SEARCH("live catch",E935)),ISNUMBER(SEARCH("multi-catch",E935)),ISNUMBER(SEARCH("catch &amp; hold",E935)),ISNUMBER(SEARCH("tin cat",E935))),"Live Catch Traps",
OR(ISNUMBER(SEARCH("bait",E935)),ISNUMBER(SEARCH("poison",E935))),"Bait &amp; Poison",
ISNUMBER(SEARCH("repellent",E935)),"Repellents",
OR(ISNUMBER(SEARCH("fly trap",E935)),ISNUMBER(SEARCH("fly ribbon",E935)),ISNUMBER(SEARCH("fly stick",E935)),ISNUMBER(SEARCH("window fly",E935)),ISNUMBER(SEARCH("fly magnet",E935))),"Fly Traps",
OR(ISNUMBER(SEARCH("uv",E935)),ISNUMBER(SEARCH("fly light",E935)),ISNUMBER(SEARCH("plug-in",E935))),"UV Fly Traps",
ISNUMBER(SEARCH("roach",E935)),"Roach Traps",
ISNUMBER(SEARCH("ant",E935)),"Ant Traps",
ISNUMBER(SEARCH("spider",E935)),"Spider Traps",
ISNUMBER(SEARCH("mosquito",E935)),"Mosquito Traps",
ISNUMBER(SEARCH("beetle",E935)),"Beetle Traps",
ISNUMBER(SEARCH("lantern",E935)),"Lanternfly Control",
OR(ISNUMBER(SEARCH("tree shield",E935)),ISNUMBER(SEARCH("tree banding",E935)),ISNUMBER(SEARCH("insect barrier",E935))),"Tree Barriers",
OR(ISNUMBER(SEARCH("sun &amp; shade",E935)),ISNUMBER(SEARCH("sun and shade",E935))),"Sun &amp; Shade Mix",
ISNUMBER(SEARCH("tall fescue",E935)),"Tall Fescue",
ISNUMBER(SEARCH("bermudagrass",E935)),"Bermudagrass",
ISNUMBER(SEARCH("kentucky",E935)),"Kentucky Bluegrass",
ISNUMBER(SEARCH("zoysia",E935)),"Zoysia",
ISNUMBER(SEARCH("ryegrass",E935)),"Perennial Ryegrass",
ISNUMBER(SEARCH("centipede",E935)),"Centipede Grass",
ISNUMBER(SEARCH("dense shade",E935)),"Dense Shade Mix",
ISNUMBER(SEARCH("southern gold",E935)),"Southern Gold Mix",
ISNUMBER(SEARCH("heat-tolerant blue",E935)),"Heat-Tolerant Blue Mix",
ISNUMBER(SEARCH("high traffic",E935)),"High Traffic Mix",
ISNUMBER(SEARCH("quick fix",E935)),"Quick Fix Mix",
ISNUMBER(SEARCH("starter",E935)),"Starter Fertilizer",
ISNUMBER(SEARCH("weed &amp; feed",E935)),"Weed &amp; Feed",
ISNUMBER(SEARCH("lawn food",E935)),"Lawn Food",
ISNUMBER(SEARCH("triple action",E935)),"Triple Action Fertilizer",
ISNUMBER(SEARCH("green max",E935)),"Green Max Lawn Food",
ISNUMBER(SEARCH("patchmaster",E935)),"PatchMaster Repair",
ISNUMBER(SEARCH("ez seed",E935)),"EZ Seed Repair",
ISNUMBER(SEARCH("rapid grass",E935)),"Rapid Grass",
ISNUMBER(SEARCH("thick'r lawn",E935)),"Thick'R Lawn",
ISNUMBER(SEARCH("fungicide",E935)),"Fungicide",
ISNUMBER(SEARCH("moss",E935)),"Moss Control",
ISNUMBER(SEARCH("perlite",E935)),"Perlite",
ISNUMBER(SEARCH("plant food",E935)),"Plant Food",
ISNUMBER(SEARCH("spreader",E935)),"Spreader",
ISNUMBER(SEARCH("sprayer",E935)),"Sprayer",
ISNUMBER(SEARCH("mower",E935)),"Lawn Mower",
ISNUMBER(SEARCH("sweeper",E935)),"Lawn Sweeper",
OR(ISNUMBER(SEARCH("pruner",E935)),ISNUMBER(SEARCH("trimmer",E935)),ISNUMBER(SEARCH("pole saw",E935))),"Pruning Tools",
TRUE,"Other"
)</f>
        <v>Other</v>
      </c>
      <c r="J935" s="7" t="str">
        <f t="shared" si="337"/>
        <v>Rodent Control - Other</v>
      </c>
      <c r="K935" s="4">
        <v>1000</v>
      </c>
      <c r="L935" s="4">
        <v>3.6</v>
      </c>
      <c r="M935" s="4">
        <v>3444</v>
      </c>
      <c r="O935" s="4">
        <f>VLOOKUP(A935,[22]Sheet1!$A:$M,2,0)</f>
        <v>1000</v>
      </c>
      <c r="P935" s="4">
        <f>VLOOKUP(A935,[22]Sheet1!$A:$M,3,0)</f>
        <v>1000</v>
      </c>
      <c r="Q935" s="4">
        <f>VLOOKUP(A935,[22]Sheet1!$A:$M,4,0)</f>
        <v>1000</v>
      </c>
      <c r="R935" s="4">
        <f>VLOOKUP(A935,[22]Sheet1!$A:$M,5,0)</f>
        <v>600</v>
      </c>
      <c r="S935" s="4">
        <f>VLOOKUP(A935,[22]Sheet1!$A:$M,6,0)</f>
        <v>800</v>
      </c>
      <c r="T935" s="4">
        <f>VLOOKUP(A935,[22]Sheet1!$A:$M,7,0)</f>
        <v>1000</v>
      </c>
      <c r="U935" s="4">
        <f>VLOOKUP(A935,[22]Sheet1!$A:$M,8,0)</f>
        <v>700</v>
      </c>
      <c r="V935" s="4">
        <f>VLOOKUP(A935,[22]Sheet1!$A:$M,9,0)</f>
        <v>1000</v>
      </c>
      <c r="W935" s="4">
        <f>VLOOKUP(A935,[22]Sheet1!$A:$M,10,0)</f>
        <v>1000</v>
      </c>
      <c r="X935" s="4">
        <f>VLOOKUP(A935,[22]Sheet1!$A:$M,11,0)</f>
        <v>1000</v>
      </c>
      <c r="Y935" s="4">
        <f>VLOOKUP(A935,[22]Sheet1!$A:$M,12,0)</f>
        <v>1000</v>
      </c>
      <c r="Z935" s="4">
        <f>VLOOKUP(A935,[22]Sheet1!$A:$M,13,0)</f>
        <v>1000</v>
      </c>
      <c r="AA935" s="4">
        <f t="shared" si="338"/>
        <v>11100</v>
      </c>
      <c r="AB935" s="7">
        <f t="shared" si="339"/>
        <v>925</v>
      </c>
      <c r="AC935" s="15">
        <f t="shared" si="340"/>
        <v>925</v>
      </c>
      <c r="AD935" s="16">
        <f t="shared" si="341"/>
        <v>244088.99999999997</v>
      </c>
      <c r="AE935" s="16">
        <f t="shared" si="342"/>
        <v>20340.75</v>
      </c>
      <c r="AF935" s="21">
        <v>5.22</v>
      </c>
      <c r="AG935" s="21">
        <v>21.99</v>
      </c>
      <c r="AH935" s="15">
        <f t="shared" si="326"/>
        <v>0.17173333333333332</v>
      </c>
      <c r="AI935" s="15">
        <f t="shared" si="336"/>
        <v>0.60106666666666653</v>
      </c>
      <c r="AJ935" s="10">
        <v>0.5</v>
      </c>
      <c r="AK935" s="10">
        <v>0.5</v>
      </c>
      <c r="AL935" s="21">
        <v>5.22</v>
      </c>
      <c r="AM935" s="9">
        <f t="shared" si="343"/>
        <v>3.2984999999999998</v>
      </c>
      <c r="AN935" s="9">
        <f t="shared" si="344"/>
        <v>0.65969999999999995</v>
      </c>
      <c r="AO935" s="9">
        <f t="shared" si="345"/>
        <v>4.3979999999999997</v>
      </c>
      <c r="AP935" s="9">
        <f t="shared" si="346"/>
        <v>0.43979999999999997</v>
      </c>
      <c r="AQ935" s="9">
        <f t="shared" si="347"/>
        <v>4.3979999999999997</v>
      </c>
      <c r="AR935" s="9">
        <f t="shared" si="348"/>
        <v>5.4974999999999996</v>
      </c>
      <c r="AS935" s="11">
        <f t="shared" si="349"/>
        <v>1.7173333333333332</v>
      </c>
      <c r="AT935" s="12">
        <f t="shared" si="350"/>
        <v>0.98433333333333317</v>
      </c>
    </row>
    <row r="936" spans="1:46" ht="16.5" x14ac:dyDescent="0.4">
      <c r="A936" s="4" t="s">
        <v>4234</v>
      </c>
      <c r="B936" s="4" t="s">
        <v>4241</v>
      </c>
      <c r="D936" s="4" t="s">
        <v>4250</v>
      </c>
      <c r="E936" s="4" t="s">
        <v>4261</v>
      </c>
      <c r="F936" s="4" t="s">
        <v>4272</v>
      </c>
      <c r="G936" s="7" t="str">
        <f>VLOOKUP(A936,[1]done!$A:$I,9,0)</f>
        <v>Rodent</v>
      </c>
      <c r="H936" s="7" t="str" cm="1">
        <f t="array" ref="H936">_xlfn.IFS(
OR(ISNUMBER(SEARCH("mouse",E936)),ISNUMBER(SEARCH("rat",E936)),ISNUMBER(SEARCH("mice",E936)),ISNUMBER(SEARCH("rodent",E936))),"Rodent Control",
OR(ISNUMBER(SEARCH("fly",E936)),ISNUMBER(SEARCH("gnat",E936)),ISNUMBER(SEARCH("insect",E936)),ISNUMBER(SEARCH("mosquito",E936))),"Flying Insect Control",
OR(ISNUMBER(SEARCH("roach",E936)),ISNUMBER(SEARCH("ant",E936)),ISNUMBER(SEARCH("spider",E936)),ISNUMBER(SEARCH("cricket",E936)),ISNUMBER(SEARCH("scorpion",E936)),ISNUMBER(SEARCH("centipede",E936)),ISNUMBER(SEARCH("beetle",E936))),"Crawling Insect Control",
OR(ISNUMBER(SEARCH("tree",E936)),ISNUMBER(SEARCH("lantern",E936)),ISNUMBER(SEARCH("garden",E936)),ISNUMBER(SEARCH("plant",E936))),"Garden Pest Control",
OR(ISNUMBER(SEARCH("grass seed",E936)),ISNUMBER(SEARCH("seed mix",E936))),"Grass Seed",
OR(ISNUMBER(SEARCH("lawn food",E936)),ISNUMBER(SEARCH("fertilizer",E936))),"Lawn Fertilizer",
OR(ISNUMBER(SEARCH("patch",E936)),ISNUMBER(SEARCH("repair",E936)),ISNUMBER(SEARCH("thick'r",E936)),ISNUMBER(SEARCH("thick'r lawn",E936)),ISNUMBER(SEARCH("rapid grass",E936))),"Lawn Repair",
OR(ISNUMBER(SEARCH("weed",E936)),ISNUMBER(SEARCH("crabgrass",E936))),"Weed Control",
OR(ISNUMBER(SEARCH("fungicide",E936)),ISNUMBER(SEARCH("moss",E936))),"Disease &amp; Moss Control",
OR(ISNUMBER(SEARCH("plant food",E936)),ISNUMBER(SEARCH("miracid",E936))),"Plant Nutrition",
OR(ISNUMBER(SEARCH("perlite",E936))),"Soil Amendment",
OR(ISNUMBER(SEARCH("spreader",E936)),ISNUMBER(SEARCH("sprayer",E936)),ISNUMBER(SEARCH("mower",E936)),ISNUMBER(SEARCH("sweeper",E936)),ISNUMBER(SEARCH("pruner",E936)),ISNUMBER(SEARCH("trimmer",E936)),ISNUMBER(SEARCH("pole saw",E936))),"Garden Equipment",
TRUE,"Other"
)</f>
        <v>Rodent Control</v>
      </c>
      <c r="I936" s="7" t="str" cm="1">
        <f t="array" ref="I936">_xlfn.IFS(
OR(ISNUMBER(SEARCH("glue trap",E936)),ISNUMBER(SEARCH("glue board",E936))),"Glue Traps",
OR(ISNUMBER(SEARCH("snap trap",E936)),ISNUMBER(SEARCH("power-kill",E936)),ISNUMBER(SEARCH("wide pedal",E936)),ISNUMBER(SEARCH("metal pedal",E936))),"Snap Traps",
OR(ISNUMBER(SEARCH("electronic",E936)),ISNUMBER(SEARCH("zapper",E936))),"Electronic Traps",
OR(ISNUMBER(SEARCH("live catch",E936)),ISNUMBER(SEARCH("multi-catch",E936)),ISNUMBER(SEARCH("catch &amp; hold",E936)),ISNUMBER(SEARCH("tin cat",E936))),"Live Catch Traps",
OR(ISNUMBER(SEARCH("bait",E936)),ISNUMBER(SEARCH("poison",E936))),"Bait &amp; Poison",
ISNUMBER(SEARCH("repellent",E936)),"Repellents",
OR(ISNUMBER(SEARCH("fly trap",E936)),ISNUMBER(SEARCH("fly ribbon",E936)),ISNUMBER(SEARCH("fly stick",E936)),ISNUMBER(SEARCH("window fly",E936)),ISNUMBER(SEARCH("fly magnet",E936))),"Fly Traps",
OR(ISNUMBER(SEARCH("uv",E936)),ISNUMBER(SEARCH("fly light",E936)),ISNUMBER(SEARCH("plug-in",E936))),"UV Fly Traps",
ISNUMBER(SEARCH("roach",E936)),"Roach Traps",
ISNUMBER(SEARCH("ant",E936)),"Ant Traps",
ISNUMBER(SEARCH("spider",E936)),"Spider Traps",
ISNUMBER(SEARCH("mosquito",E936)),"Mosquito Traps",
ISNUMBER(SEARCH("beetle",E936)),"Beetle Traps",
ISNUMBER(SEARCH("lantern",E936)),"Lanternfly Control",
OR(ISNUMBER(SEARCH("tree shield",E936)),ISNUMBER(SEARCH("tree banding",E936)),ISNUMBER(SEARCH("insect barrier",E936))),"Tree Barriers",
OR(ISNUMBER(SEARCH("sun &amp; shade",E936)),ISNUMBER(SEARCH("sun and shade",E936))),"Sun &amp; Shade Mix",
ISNUMBER(SEARCH("tall fescue",E936)),"Tall Fescue",
ISNUMBER(SEARCH("bermudagrass",E936)),"Bermudagrass",
ISNUMBER(SEARCH("kentucky",E936)),"Kentucky Bluegrass",
ISNUMBER(SEARCH("zoysia",E936)),"Zoysia",
ISNUMBER(SEARCH("ryegrass",E936)),"Perennial Ryegrass",
ISNUMBER(SEARCH("centipede",E936)),"Centipede Grass",
ISNUMBER(SEARCH("dense shade",E936)),"Dense Shade Mix",
ISNUMBER(SEARCH("southern gold",E936)),"Southern Gold Mix",
ISNUMBER(SEARCH("heat-tolerant blue",E936)),"Heat-Tolerant Blue Mix",
ISNUMBER(SEARCH("high traffic",E936)),"High Traffic Mix",
ISNUMBER(SEARCH("quick fix",E936)),"Quick Fix Mix",
ISNUMBER(SEARCH("starter",E936)),"Starter Fertilizer",
ISNUMBER(SEARCH("weed &amp; feed",E936)),"Weed &amp; Feed",
ISNUMBER(SEARCH("lawn food",E936)),"Lawn Food",
ISNUMBER(SEARCH("triple action",E936)),"Triple Action Fertilizer",
ISNUMBER(SEARCH("green max",E936)),"Green Max Lawn Food",
ISNUMBER(SEARCH("patchmaster",E936)),"PatchMaster Repair",
ISNUMBER(SEARCH("ez seed",E936)),"EZ Seed Repair",
ISNUMBER(SEARCH("rapid grass",E936)),"Rapid Grass",
ISNUMBER(SEARCH("thick'r lawn",E936)),"Thick'R Lawn",
ISNUMBER(SEARCH("fungicide",E936)),"Fungicide",
ISNUMBER(SEARCH("moss",E936)),"Moss Control",
ISNUMBER(SEARCH("perlite",E936)),"Perlite",
ISNUMBER(SEARCH("plant food",E936)),"Plant Food",
ISNUMBER(SEARCH("spreader",E936)),"Spreader",
ISNUMBER(SEARCH("sprayer",E936)),"Sprayer",
ISNUMBER(SEARCH("mower",E936)),"Lawn Mower",
ISNUMBER(SEARCH("sweeper",E936)),"Lawn Sweeper",
OR(ISNUMBER(SEARCH("pruner",E936)),ISNUMBER(SEARCH("trimmer",E936)),ISNUMBER(SEARCH("pole saw",E936))),"Pruning Tools",
TRUE,"Other"
)</f>
        <v>Other</v>
      </c>
      <c r="J936" s="7" t="str">
        <f t="shared" si="337"/>
        <v>Rodent Control - Other</v>
      </c>
      <c r="K936" s="4">
        <v>1000</v>
      </c>
      <c r="L936" s="4">
        <v>3.6</v>
      </c>
      <c r="M936" s="4">
        <v>2816</v>
      </c>
      <c r="O936" s="4">
        <f>VLOOKUP(A936,[22]Sheet1!$A:$M,2,0)</f>
        <v>1000</v>
      </c>
      <c r="P936" s="4">
        <f>VLOOKUP(A936,[22]Sheet1!$A:$M,3,0)</f>
        <v>1000</v>
      </c>
      <c r="Q936" s="4">
        <f>VLOOKUP(A936,[22]Sheet1!$A:$M,4,0)</f>
        <v>1000</v>
      </c>
      <c r="R936" s="4">
        <f>VLOOKUP(A936,[22]Sheet1!$A:$M,5,0)</f>
        <v>1000</v>
      </c>
      <c r="S936" s="4">
        <f>VLOOKUP(A936,[22]Sheet1!$A:$M,6,0)</f>
        <v>1000</v>
      </c>
      <c r="T936" s="4">
        <f>VLOOKUP(A936,[22]Sheet1!$A:$M,7,0)</f>
        <v>1000</v>
      </c>
      <c r="U936" s="4">
        <f>VLOOKUP(A936,[22]Sheet1!$A:$M,8,0)</f>
        <v>1000</v>
      </c>
      <c r="V936" s="4">
        <f>VLOOKUP(A936,[22]Sheet1!$A:$M,9,0)</f>
        <v>1000</v>
      </c>
      <c r="W936" s="4">
        <f>VLOOKUP(A936,[22]Sheet1!$A:$M,10,0)</f>
        <v>1000</v>
      </c>
      <c r="X936" s="4">
        <f>VLOOKUP(A936,[22]Sheet1!$A:$M,11,0)</f>
        <v>2050</v>
      </c>
      <c r="Y936" s="4">
        <f>VLOOKUP(A936,[22]Sheet1!$A:$M,12,0)</f>
        <v>2050</v>
      </c>
      <c r="Z936" s="4">
        <f>VLOOKUP(A936,[22]Sheet1!$A:$M,13,0)</f>
        <v>2050</v>
      </c>
      <c r="AA936" s="4">
        <f t="shared" si="338"/>
        <v>15150</v>
      </c>
      <c r="AB936" s="7">
        <f t="shared" si="339"/>
        <v>1263</v>
      </c>
      <c r="AC936" s="15">
        <f t="shared" si="340"/>
        <v>1262.5</v>
      </c>
      <c r="AD936" s="16">
        <f t="shared" si="341"/>
        <v>430108.5</v>
      </c>
      <c r="AE936" s="16">
        <f t="shared" si="342"/>
        <v>35842.375</v>
      </c>
      <c r="AF936" s="21">
        <v>6.48</v>
      </c>
      <c r="AG936" s="21">
        <v>28.39</v>
      </c>
      <c r="AH936" s="15">
        <f t="shared" si="326"/>
        <v>0.25839999999999985</v>
      </c>
      <c r="AI936" s="15">
        <f t="shared" si="336"/>
        <v>0.90439999999999932</v>
      </c>
      <c r="AJ936" s="10">
        <v>0.5</v>
      </c>
      <c r="AK936" s="10">
        <v>0.5</v>
      </c>
      <c r="AL936" s="21">
        <v>6.48</v>
      </c>
      <c r="AM936" s="9">
        <f t="shared" si="343"/>
        <v>4.2584999999999997</v>
      </c>
      <c r="AN936" s="9">
        <f t="shared" si="344"/>
        <v>0.85170000000000001</v>
      </c>
      <c r="AO936" s="9">
        <f t="shared" si="345"/>
        <v>5.6780000000000008</v>
      </c>
      <c r="AP936" s="9">
        <f t="shared" si="346"/>
        <v>0.56779999999999997</v>
      </c>
      <c r="AQ936" s="9">
        <f t="shared" si="347"/>
        <v>5.6780000000000008</v>
      </c>
      <c r="AR936" s="9">
        <f t="shared" si="348"/>
        <v>7.0975000000000001</v>
      </c>
      <c r="AS936" s="11">
        <f t="shared" si="349"/>
        <v>2.5839999999999983</v>
      </c>
      <c r="AT936" s="12">
        <f t="shared" si="350"/>
        <v>1.6376666666666655</v>
      </c>
    </row>
    <row r="937" spans="1:46" ht="16.5" x14ac:dyDescent="0.4">
      <c r="A937" s="4" t="s">
        <v>4235</v>
      </c>
      <c r="B937" s="4" t="s">
        <v>4241</v>
      </c>
      <c r="C937" s="4" t="s">
        <v>4244</v>
      </c>
      <c r="D937" s="4" t="s">
        <v>4251</v>
      </c>
      <c r="E937" s="4" t="s">
        <v>4262</v>
      </c>
      <c r="F937" s="4" t="s">
        <v>4273</v>
      </c>
      <c r="G937" s="7" t="str">
        <f>VLOOKUP(A937,[1]done!$A:$I,9,0)</f>
        <v>Rodent</v>
      </c>
      <c r="H937" s="7" t="str" cm="1">
        <f t="array" ref="H937">_xlfn.IFS(
OR(ISNUMBER(SEARCH("mouse",E937)),ISNUMBER(SEARCH("rat",E937)),ISNUMBER(SEARCH("mice",E937)),ISNUMBER(SEARCH("rodent",E937))),"Rodent Control",
OR(ISNUMBER(SEARCH("fly",E937)),ISNUMBER(SEARCH("gnat",E937)),ISNUMBER(SEARCH("insect",E937)),ISNUMBER(SEARCH("mosquito",E937))),"Flying Insect Control",
OR(ISNUMBER(SEARCH("roach",E937)),ISNUMBER(SEARCH("ant",E937)),ISNUMBER(SEARCH("spider",E937)),ISNUMBER(SEARCH("cricket",E937)),ISNUMBER(SEARCH("scorpion",E937)),ISNUMBER(SEARCH("centipede",E937)),ISNUMBER(SEARCH("beetle",E937))),"Crawling Insect Control",
OR(ISNUMBER(SEARCH("tree",E937)),ISNUMBER(SEARCH("lantern",E937)),ISNUMBER(SEARCH("garden",E937)),ISNUMBER(SEARCH("plant",E937))),"Garden Pest Control",
OR(ISNUMBER(SEARCH("grass seed",E937)),ISNUMBER(SEARCH("seed mix",E937))),"Grass Seed",
OR(ISNUMBER(SEARCH("lawn food",E937)),ISNUMBER(SEARCH("fertilizer",E937))),"Lawn Fertilizer",
OR(ISNUMBER(SEARCH("patch",E937)),ISNUMBER(SEARCH("repair",E937)),ISNUMBER(SEARCH("thick'r",E937)),ISNUMBER(SEARCH("thick'r lawn",E937)),ISNUMBER(SEARCH("rapid grass",E937))),"Lawn Repair",
OR(ISNUMBER(SEARCH("weed",E937)),ISNUMBER(SEARCH("crabgrass",E937))),"Weed Control",
OR(ISNUMBER(SEARCH("fungicide",E937)),ISNUMBER(SEARCH("moss",E937))),"Disease &amp; Moss Control",
OR(ISNUMBER(SEARCH("plant food",E937)),ISNUMBER(SEARCH("miracid",E937))),"Plant Nutrition",
OR(ISNUMBER(SEARCH("perlite",E937))),"Soil Amendment",
OR(ISNUMBER(SEARCH("spreader",E937)),ISNUMBER(SEARCH("sprayer",E937)),ISNUMBER(SEARCH("mower",E937)),ISNUMBER(SEARCH("sweeper",E937)),ISNUMBER(SEARCH("pruner",E937)),ISNUMBER(SEARCH("trimmer",E937)),ISNUMBER(SEARCH("pole saw",E937))),"Garden Equipment",
TRUE,"Other"
)</f>
        <v>Rodent Control</v>
      </c>
      <c r="I937" s="7" t="str" cm="1">
        <f t="array" ref="I937">_xlfn.IFS(
OR(ISNUMBER(SEARCH("glue trap",E937)),ISNUMBER(SEARCH("glue board",E937))),"Glue Traps",
OR(ISNUMBER(SEARCH("snap trap",E937)),ISNUMBER(SEARCH("power-kill",E937)),ISNUMBER(SEARCH("wide pedal",E937)),ISNUMBER(SEARCH("metal pedal",E937))),"Snap Traps",
OR(ISNUMBER(SEARCH("electronic",E937)),ISNUMBER(SEARCH("zapper",E937))),"Electronic Traps",
OR(ISNUMBER(SEARCH("live catch",E937)),ISNUMBER(SEARCH("multi-catch",E937)),ISNUMBER(SEARCH("catch &amp; hold",E937)),ISNUMBER(SEARCH("tin cat",E937))),"Live Catch Traps",
OR(ISNUMBER(SEARCH("bait",E937)),ISNUMBER(SEARCH("poison",E937))),"Bait &amp; Poison",
ISNUMBER(SEARCH("repellent",E937)),"Repellents",
OR(ISNUMBER(SEARCH("fly trap",E937)),ISNUMBER(SEARCH("fly ribbon",E937)),ISNUMBER(SEARCH("fly stick",E937)),ISNUMBER(SEARCH("window fly",E937)),ISNUMBER(SEARCH("fly magnet",E937))),"Fly Traps",
OR(ISNUMBER(SEARCH("uv",E937)),ISNUMBER(SEARCH("fly light",E937)),ISNUMBER(SEARCH("plug-in",E937))),"UV Fly Traps",
ISNUMBER(SEARCH("roach",E937)),"Roach Traps",
ISNUMBER(SEARCH("ant",E937)),"Ant Traps",
ISNUMBER(SEARCH("spider",E937)),"Spider Traps",
ISNUMBER(SEARCH("mosquito",E937)),"Mosquito Traps",
ISNUMBER(SEARCH("beetle",E937)),"Beetle Traps",
ISNUMBER(SEARCH("lantern",E937)),"Lanternfly Control",
OR(ISNUMBER(SEARCH("tree shield",E937)),ISNUMBER(SEARCH("tree banding",E937)),ISNUMBER(SEARCH("insect barrier",E937))),"Tree Barriers",
OR(ISNUMBER(SEARCH("sun &amp; shade",E937)),ISNUMBER(SEARCH("sun and shade",E937))),"Sun &amp; Shade Mix",
ISNUMBER(SEARCH("tall fescue",E937)),"Tall Fescue",
ISNUMBER(SEARCH("bermudagrass",E937)),"Bermudagrass",
ISNUMBER(SEARCH("kentucky",E937)),"Kentucky Bluegrass",
ISNUMBER(SEARCH("zoysia",E937)),"Zoysia",
ISNUMBER(SEARCH("ryegrass",E937)),"Perennial Ryegrass",
ISNUMBER(SEARCH("centipede",E937)),"Centipede Grass",
ISNUMBER(SEARCH("dense shade",E937)),"Dense Shade Mix",
ISNUMBER(SEARCH("southern gold",E937)),"Southern Gold Mix",
ISNUMBER(SEARCH("heat-tolerant blue",E937)),"Heat-Tolerant Blue Mix",
ISNUMBER(SEARCH("high traffic",E937)),"High Traffic Mix",
ISNUMBER(SEARCH("quick fix",E937)),"Quick Fix Mix",
ISNUMBER(SEARCH("starter",E937)),"Starter Fertilizer",
ISNUMBER(SEARCH("weed &amp; feed",E937)),"Weed &amp; Feed",
ISNUMBER(SEARCH("lawn food",E937)),"Lawn Food",
ISNUMBER(SEARCH("triple action",E937)),"Triple Action Fertilizer",
ISNUMBER(SEARCH("green max",E937)),"Green Max Lawn Food",
ISNUMBER(SEARCH("patchmaster",E937)),"PatchMaster Repair",
ISNUMBER(SEARCH("ez seed",E937)),"EZ Seed Repair",
ISNUMBER(SEARCH("rapid grass",E937)),"Rapid Grass",
ISNUMBER(SEARCH("thick'r lawn",E937)),"Thick'R Lawn",
ISNUMBER(SEARCH("fungicide",E937)),"Fungicide",
ISNUMBER(SEARCH("moss",E937)),"Moss Control",
ISNUMBER(SEARCH("perlite",E937)),"Perlite",
ISNUMBER(SEARCH("plant food",E937)),"Plant Food",
ISNUMBER(SEARCH("spreader",E937)),"Spreader",
ISNUMBER(SEARCH("sprayer",E937)),"Sprayer",
ISNUMBER(SEARCH("mower",E937)),"Lawn Mower",
ISNUMBER(SEARCH("sweeper",E937)),"Lawn Sweeper",
OR(ISNUMBER(SEARCH("pruner",E937)),ISNUMBER(SEARCH("trimmer",E937)),ISNUMBER(SEARCH("pole saw",E937))),"Pruning Tools",
TRUE,"Other"
)</f>
        <v>Bait &amp; Poison</v>
      </c>
      <c r="J937" s="7" t="str">
        <f t="shared" si="337"/>
        <v>Rodent Control - Bait &amp; Poison</v>
      </c>
      <c r="K937" s="4">
        <v>400</v>
      </c>
      <c r="L937" s="4">
        <v>4.5999999999999996</v>
      </c>
      <c r="M937" s="4">
        <v>526</v>
      </c>
      <c r="N937" s="4" t="s">
        <v>4281</v>
      </c>
      <c r="O937" s="4">
        <f>VLOOKUP(A937,[22]Sheet1!$A:$M,2,0)</f>
        <v>0</v>
      </c>
      <c r="P937" s="4">
        <f>VLOOKUP(A937,[22]Sheet1!$A:$M,3,0)</f>
        <v>0</v>
      </c>
      <c r="Q937" s="4">
        <f>VLOOKUP(A937,[22]Sheet1!$A:$M,4,0)</f>
        <v>0</v>
      </c>
      <c r="R937" s="4">
        <f>VLOOKUP(A937,[22]Sheet1!$A:$M,5,0)</f>
        <v>0</v>
      </c>
      <c r="S937" s="4">
        <f>VLOOKUP(A937,[22]Sheet1!$A:$M,6,0)</f>
        <v>0</v>
      </c>
      <c r="T937" s="4">
        <f>VLOOKUP(A937,[22]Sheet1!$A:$M,7,0)</f>
        <v>50</v>
      </c>
      <c r="U937" s="4">
        <f>VLOOKUP(A937,[22]Sheet1!$A:$M,8,0)</f>
        <v>100</v>
      </c>
      <c r="V937" s="4">
        <f>VLOOKUP(A937,[22]Sheet1!$A:$M,9,0)</f>
        <v>100</v>
      </c>
      <c r="W937" s="4">
        <f>VLOOKUP(A937,[22]Sheet1!$A:$M,10,0)</f>
        <v>400</v>
      </c>
      <c r="X937" s="4">
        <f>VLOOKUP(A937,[22]Sheet1!$A:$M,11,0)</f>
        <v>0</v>
      </c>
      <c r="Y937" s="4">
        <f>VLOOKUP(A937,[22]Sheet1!$A:$M,12,0)</f>
        <v>0</v>
      </c>
      <c r="Z937" s="4">
        <f>VLOOKUP(A937,[22]Sheet1!$A:$M,13,0)</f>
        <v>0</v>
      </c>
      <c r="AA937" s="4">
        <f t="shared" si="338"/>
        <v>650</v>
      </c>
      <c r="AB937" s="7">
        <f t="shared" si="339"/>
        <v>54</v>
      </c>
      <c r="AC937" s="15">
        <f t="shared" si="340"/>
        <v>54.166666666666664</v>
      </c>
      <c r="AD937" s="16">
        <f t="shared" si="341"/>
        <v>17777.5</v>
      </c>
      <c r="AE937" s="16">
        <f t="shared" si="342"/>
        <v>1481.4583333333333</v>
      </c>
      <c r="AF937" s="21">
        <v>5.22</v>
      </c>
      <c r="AG937" s="21">
        <v>27.35</v>
      </c>
      <c r="AH937" s="15">
        <f t="shared" si="326"/>
        <v>0.31466666666666671</v>
      </c>
      <c r="AI937" s="15">
        <f t="shared" si="336"/>
        <v>1.1013333333333333</v>
      </c>
      <c r="AJ937" s="10">
        <v>0.5</v>
      </c>
      <c r="AK937" s="10">
        <v>0.5</v>
      </c>
      <c r="AL937" s="21">
        <v>5.22</v>
      </c>
      <c r="AM937" s="9">
        <f t="shared" si="343"/>
        <v>4.1025</v>
      </c>
      <c r="AN937" s="9">
        <f t="shared" si="344"/>
        <v>0.82050000000000001</v>
      </c>
      <c r="AO937" s="9">
        <f t="shared" si="345"/>
        <v>5.4700000000000006</v>
      </c>
      <c r="AP937" s="9">
        <f t="shared" si="346"/>
        <v>0.54700000000000004</v>
      </c>
      <c r="AQ937" s="9">
        <f t="shared" si="347"/>
        <v>5.4700000000000006</v>
      </c>
      <c r="AR937" s="9">
        <f t="shared" si="348"/>
        <v>6.8375000000000004</v>
      </c>
      <c r="AS937" s="11">
        <f t="shared" si="349"/>
        <v>3.1466666666666669</v>
      </c>
      <c r="AT937" s="12">
        <f t="shared" si="350"/>
        <v>2.2350000000000008</v>
      </c>
    </row>
    <row r="938" spans="1:46" ht="16.5" x14ac:dyDescent="0.4">
      <c r="A938" s="4" t="s">
        <v>4236</v>
      </c>
      <c r="B938" s="4" t="s">
        <v>4241</v>
      </c>
      <c r="C938" s="4" t="s">
        <v>4245</v>
      </c>
      <c r="D938" s="4" t="s">
        <v>4252</v>
      </c>
      <c r="E938" s="4" t="s">
        <v>4263</v>
      </c>
      <c r="F938" s="4" t="s">
        <v>4274</v>
      </c>
      <c r="G938" s="7" t="str">
        <f>VLOOKUP(A938,[1]done!$A:$I,9,0)</f>
        <v>Rodent</v>
      </c>
      <c r="H938" s="7" t="str" cm="1">
        <f t="array" ref="H938">_xlfn.IFS(
OR(ISNUMBER(SEARCH("mouse",E938)),ISNUMBER(SEARCH("rat",E938)),ISNUMBER(SEARCH("mice",E938)),ISNUMBER(SEARCH("rodent",E938))),"Rodent Control",
OR(ISNUMBER(SEARCH("fly",E938)),ISNUMBER(SEARCH("gnat",E938)),ISNUMBER(SEARCH("insect",E938)),ISNUMBER(SEARCH("mosquito",E938))),"Flying Insect Control",
OR(ISNUMBER(SEARCH("roach",E938)),ISNUMBER(SEARCH("ant",E938)),ISNUMBER(SEARCH("spider",E938)),ISNUMBER(SEARCH("cricket",E938)),ISNUMBER(SEARCH("scorpion",E938)),ISNUMBER(SEARCH("centipede",E938)),ISNUMBER(SEARCH("beetle",E938))),"Crawling Insect Control",
OR(ISNUMBER(SEARCH("tree",E938)),ISNUMBER(SEARCH("lantern",E938)),ISNUMBER(SEARCH("garden",E938)),ISNUMBER(SEARCH("plant",E938))),"Garden Pest Control",
OR(ISNUMBER(SEARCH("grass seed",E938)),ISNUMBER(SEARCH("seed mix",E938))),"Grass Seed",
OR(ISNUMBER(SEARCH("lawn food",E938)),ISNUMBER(SEARCH("fertilizer",E938))),"Lawn Fertilizer",
OR(ISNUMBER(SEARCH("patch",E938)),ISNUMBER(SEARCH("repair",E938)),ISNUMBER(SEARCH("thick'r",E938)),ISNUMBER(SEARCH("thick'r lawn",E938)),ISNUMBER(SEARCH("rapid grass",E938))),"Lawn Repair",
OR(ISNUMBER(SEARCH("weed",E938)),ISNUMBER(SEARCH("crabgrass",E938))),"Weed Control",
OR(ISNUMBER(SEARCH("fungicide",E938)),ISNUMBER(SEARCH("moss",E938))),"Disease &amp; Moss Control",
OR(ISNUMBER(SEARCH("plant food",E938)),ISNUMBER(SEARCH("miracid",E938))),"Plant Nutrition",
OR(ISNUMBER(SEARCH("perlite",E938))),"Soil Amendment",
OR(ISNUMBER(SEARCH("spreader",E938)),ISNUMBER(SEARCH("sprayer",E938)),ISNUMBER(SEARCH("mower",E938)),ISNUMBER(SEARCH("sweeper",E938)),ISNUMBER(SEARCH("pruner",E938)),ISNUMBER(SEARCH("trimmer",E938)),ISNUMBER(SEARCH("pole saw",E938))),"Garden Equipment",
TRUE,"Other"
)</f>
        <v>Rodent Control</v>
      </c>
      <c r="I938" s="7" t="str" cm="1">
        <f t="array" ref="I938">_xlfn.IFS(
OR(ISNUMBER(SEARCH("glue trap",E938)),ISNUMBER(SEARCH("glue board",E938))),"Glue Traps",
OR(ISNUMBER(SEARCH("snap trap",E938)),ISNUMBER(SEARCH("power-kill",E938)),ISNUMBER(SEARCH("wide pedal",E938)),ISNUMBER(SEARCH("metal pedal",E938))),"Snap Traps",
OR(ISNUMBER(SEARCH("electronic",E938)),ISNUMBER(SEARCH("zapper",E938))),"Electronic Traps",
OR(ISNUMBER(SEARCH("live catch",E938)),ISNUMBER(SEARCH("multi-catch",E938)),ISNUMBER(SEARCH("catch &amp; hold",E938)),ISNUMBER(SEARCH("tin cat",E938))),"Live Catch Traps",
OR(ISNUMBER(SEARCH("bait",E938)),ISNUMBER(SEARCH("poison",E938))),"Bait &amp; Poison",
ISNUMBER(SEARCH("repellent",E938)),"Repellents",
OR(ISNUMBER(SEARCH("fly trap",E938)),ISNUMBER(SEARCH("fly ribbon",E938)),ISNUMBER(SEARCH("fly stick",E938)),ISNUMBER(SEARCH("window fly",E938)),ISNUMBER(SEARCH("fly magnet",E938))),"Fly Traps",
OR(ISNUMBER(SEARCH("uv",E938)),ISNUMBER(SEARCH("fly light",E938)),ISNUMBER(SEARCH("plug-in",E938))),"UV Fly Traps",
ISNUMBER(SEARCH("roach",E938)),"Roach Traps",
ISNUMBER(SEARCH("ant",E938)),"Ant Traps",
ISNUMBER(SEARCH("spider",E938)),"Spider Traps",
ISNUMBER(SEARCH("mosquito",E938)),"Mosquito Traps",
ISNUMBER(SEARCH("beetle",E938)),"Beetle Traps",
ISNUMBER(SEARCH("lantern",E938)),"Lanternfly Control",
OR(ISNUMBER(SEARCH("tree shield",E938)),ISNUMBER(SEARCH("tree banding",E938)),ISNUMBER(SEARCH("insect barrier",E938))),"Tree Barriers",
OR(ISNUMBER(SEARCH("sun &amp; shade",E938)),ISNUMBER(SEARCH("sun and shade",E938))),"Sun &amp; Shade Mix",
ISNUMBER(SEARCH("tall fescue",E938)),"Tall Fescue",
ISNUMBER(SEARCH("bermudagrass",E938)),"Bermudagrass",
ISNUMBER(SEARCH("kentucky",E938)),"Kentucky Bluegrass",
ISNUMBER(SEARCH("zoysia",E938)),"Zoysia",
ISNUMBER(SEARCH("ryegrass",E938)),"Perennial Ryegrass",
ISNUMBER(SEARCH("centipede",E938)),"Centipede Grass",
ISNUMBER(SEARCH("dense shade",E938)),"Dense Shade Mix",
ISNUMBER(SEARCH("southern gold",E938)),"Southern Gold Mix",
ISNUMBER(SEARCH("heat-tolerant blue",E938)),"Heat-Tolerant Blue Mix",
ISNUMBER(SEARCH("high traffic",E938)),"High Traffic Mix",
ISNUMBER(SEARCH("quick fix",E938)),"Quick Fix Mix",
ISNUMBER(SEARCH("starter",E938)),"Starter Fertilizer",
ISNUMBER(SEARCH("weed &amp; feed",E938)),"Weed &amp; Feed",
ISNUMBER(SEARCH("lawn food",E938)),"Lawn Food",
ISNUMBER(SEARCH("triple action",E938)),"Triple Action Fertilizer",
ISNUMBER(SEARCH("green max",E938)),"Green Max Lawn Food",
ISNUMBER(SEARCH("patchmaster",E938)),"PatchMaster Repair",
ISNUMBER(SEARCH("ez seed",E938)),"EZ Seed Repair",
ISNUMBER(SEARCH("rapid grass",E938)),"Rapid Grass",
ISNUMBER(SEARCH("thick'r lawn",E938)),"Thick'R Lawn",
ISNUMBER(SEARCH("fungicide",E938)),"Fungicide",
ISNUMBER(SEARCH("moss",E938)),"Moss Control",
ISNUMBER(SEARCH("perlite",E938)),"Perlite",
ISNUMBER(SEARCH("plant food",E938)),"Plant Food",
ISNUMBER(SEARCH("spreader",E938)),"Spreader",
ISNUMBER(SEARCH("sprayer",E938)),"Sprayer",
ISNUMBER(SEARCH("mower",E938)),"Lawn Mower",
ISNUMBER(SEARCH("sweeper",E938)),"Lawn Sweeper",
OR(ISNUMBER(SEARCH("pruner",E938)),ISNUMBER(SEARCH("trimmer",E938)),ISNUMBER(SEARCH("pole saw",E938))),"Pruning Tools",
TRUE,"Other"
)</f>
        <v>Bait &amp; Poison</v>
      </c>
      <c r="J938" s="7" t="str">
        <f t="shared" si="337"/>
        <v>Rodent Control - Bait &amp; Poison</v>
      </c>
      <c r="K938" s="4">
        <v>100</v>
      </c>
      <c r="L938" s="4">
        <v>3.9</v>
      </c>
      <c r="M938" s="4">
        <v>110</v>
      </c>
      <c r="N938" s="4" t="s">
        <v>2014</v>
      </c>
      <c r="O938" s="4">
        <f>VLOOKUP(A938,[22]Sheet1!$A:$M,2,0)</f>
        <v>100</v>
      </c>
      <c r="P938" s="4">
        <f>VLOOKUP(A938,[22]Sheet1!$A:$M,3,0)</f>
        <v>50</v>
      </c>
      <c r="Q938" s="4">
        <f>VLOOKUP(A938,[22]Sheet1!$A:$M,4,0)</f>
        <v>50</v>
      </c>
      <c r="R938" s="4">
        <f>VLOOKUP(A938,[22]Sheet1!$A:$M,5,0)</f>
        <v>50</v>
      </c>
      <c r="S938" s="4">
        <f>VLOOKUP(A938,[22]Sheet1!$A:$M,6,0)</f>
        <v>50</v>
      </c>
      <c r="T938" s="4">
        <f>VLOOKUP(A938,[22]Sheet1!$A:$M,7,0)</f>
        <v>50</v>
      </c>
      <c r="U938" s="4">
        <f>VLOOKUP(A938,[22]Sheet1!$A:$M,8,0)</f>
        <v>50</v>
      </c>
      <c r="V938" s="4">
        <f>VLOOKUP(A938,[22]Sheet1!$A:$M,9,0)</f>
        <v>50</v>
      </c>
      <c r="W938" s="4">
        <f>VLOOKUP(A938,[22]Sheet1!$A:$M,10,0)</f>
        <v>50</v>
      </c>
      <c r="X938" s="4">
        <f>VLOOKUP(A938,[22]Sheet1!$A:$M,11,0)</f>
        <v>50</v>
      </c>
      <c r="Y938" s="4">
        <f>VLOOKUP(A938,[22]Sheet1!$A:$M,12,0)</f>
        <v>100</v>
      </c>
      <c r="Z938" s="4">
        <f>VLOOKUP(A938,[22]Sheet1!$A:$M,13,0)</f>
        <v>100</v>
      </c>
      <c r="AA938" s="4">
        <f t="shared" si="338"/>
        <v>750</v>
      </c>
      <c r="AB938" s="7">
        <f t="shared" si="339"/>
        <v>63</v>
      </c>
      <c r="AC938" s="15">
        <f t="shared" si="340"/>
        <v>62.5</v>
      </c>
      <c r="AD938" s="16">
        <f t="shared" si="341"/>
        <v>9915</v>
      </c>
      <c r="AE938" s="16">
        <f t="shared" si="342"/>
        <v>826.25</v>
      </c>
      <c r="AF938" s="21">
        <v>5.22</v>
      </c>
      <c r="AG938" s="21">
        <v>13.22</v>
      </c>
      <c r="AH938" s="15">
        <f t="shared" si="326"/>
        <v>-6.2133333333333297E-2</v>
      </c>
      <c r="AI938" s="15">
        <f t="shared" si="336"/>
        <v>-0.21746666666666653</v>
      </c>
      <c r="AJ938" s="10">
        <v>0.5</v>
      </c>
      <c r="AK938" s="10">
        <v>0.5</v>
      </c>
      <c r="AL938" s="21">
        <v>5.22</v>
      </c>
      <c r="AM938" s="9">
        <f t="shared" si="343"/>
        <v>1.9830000000000001</v>
      </c>
      <c r="AN938" s="9">
        <f t="shared" si="344"/>
        <v>0.39660000000000001</v>
      </c>
      <c r="AO938" s="9">
        <f t="shared" si="345"/>
        <v>2.6440000000000001</v>
      </c>
      <c r="AP938" s="9">
        <f t="shared" si="346"/>
        <v>0.26440000000000002</v>
      </c>
      <c r="AQ938" s="9">
        <f t="shared" si="347"/>
        <v>2.6440000000000001</v>
      </c>
      <c r="AR938" s="9">
        <f t="shared" si="348"/>
        <v>3.3050000000000002</v>
      </c>
      <c r="AS938" s="11">
        <f t="shared" si="349"/>
        <v>-0.62133333333333296</v>
      </c>
      <c r="AT938" s="12">
        <f t="shared" si="350"/>
        <v>-1.0619999999999996</v>
      </c>
    </row>
    <row r="939" spans="1:46" ht="16.5" x14ac:dyDescent="0.4">
      <c r="A939" s="4" t="s">
        <v>4237</v>
      </c>
      <c r="B939" s="4" t="s">
        <v>4241</v>
      </c>
      <c r="C939" s="4" t="s">
        <v>4242</v>
      </c>
      <c r="D939" s="4" t="s">
        <v>4253</v>
      </c>
      <c r="E939" s="4" t="s">
        <v>4264</v>
      </c>
      <c r="F939" s="4" t="s">
        <v>4275</v>
      </c>
      <c r="G939" s="7" t="str">
        <f>VLOOKUP(A939,[1]done!$A:$I,9,0)</f>
        <v>Rodent</v>
      </c>
      <c r="H939" s="7" t="str" cm="1">
        <f t="array" ref="H939">_xlfn.IFS(
OR(ISNUMBER(SEARCH("mouse",E939)),ISNUMBER(SEARCH("rat",E939)),ISNUMBER(SEARCH("mice",E939)),ISNUMBER(SEARCH("rodent",E939))),"Rodent Control",
OR(ISNUMBER(SEARCH("fly",E939)),ISNUMBER(SEARCH("gnat",E939)),ISNUMBER(SEARCH("insect",E939)),ISNUMBER(SEARCH("mosquito",E939))),"Flying Insect Control",
OR(ISNUMBER(SEARCH("roach",E939)),ISNUMBER(SEARCH("ant",E939)),ISNUMBER(SEARCH("spider",E939)),ISNUMBER(SEARCH("cricket",E939)),ISNUMBER(SEARCH("scorpion",E939)),ISNUMBER(SEARCH("centipede",E939)),ISNUMBER(SEARCH("beetle",E939))),"Crawling Insect Control",
OR(ISNUMBER(SEARCH("tree",E939)),ISNUMBER(SEARCH("lantern",E939)),ISNUMBER(SEARCH("garden",E939)),ISNUMBER(SEARCH("plant",E939))),"Garden Pest Control",
OR(ISNUMBER(SEARCH("grass seed",E939)),ISNUMBER(SEARCH("seed mix",E939))),"Grass Seed",
OR(ISNUMBER(SEARCH("lawn food",E939)),ISNUMBER(SEARCH("fertilizer",E939))),"Lawn Fertilizer",
OR(ISNUMBER(SEARCH("patch",E939)),ISNUMBER(SEARCH("repair",E939)),ISNUMBER(SEARCH("thick'r",E939)),ISNUMBER(SEARCH("thick'r lawn",E939)),ISNUMBER(SEARCH("rapid grass",E939))),"Lawn Repair",
OR(ISNUMBER(SEARCH("weed",E939)),ISNUMBER(SEARCH("crabgrass",E939))),"Weed Control",
OR(ISNUMBER(SEARCH("fungicide",E939)),ISNUMBER(SEARCH("moss",E939))),"Disease &amp; Moss Control",
OR(ISNUMBER(SEARCH("plant food",E939)),ISNUMBER(SEARCH("miracid",E939))),"Plant Nutrition",
OR(ISNUMBER(SEARCH("perlite",E939))),"Soil Amendment",
OR(ISNUMBER(SEARCH("spreader",E939)),ISNUMBER(SEARCH("sprayer",E939)),ISNUMBER(SEARCH("mower",E939)),ISNUMBER(SEARCH("sweeper",E939)),ISNUMBER(SEARCH("pruner",E939)),ISNUMBER(SEARCH("trimmer",E939)),ISNUMBER(SEARCH("pole saw",E939))),"Garden Equipment",
TRUE,"Other"
)</f>
        <v>Rodent Control</v>
      </c>
      <c r="I939" s="7" t="str" cm="1">
        <f t="array" ref="I939">_xlfn.IFS(
OR(ISNUMBER(SEARCH("glue trap",E939)),ISNUMBER(SEARCH("glue board",E939))),"Glue Traps",
OR(ISNUMBER(SEARCH("snap trap",E939)),ISNUMBER(SEARCH("power-kill",E939)),ISNUMBER(SEARCH("wide pedal",E939)),ISNUMBER(SEARCH("metal pedal",E939))),"Snap Traps",
OR(ISNUMBER(SEARCH("electronic",E939)),ISNUMBER(SEARCH("zapper",E939))),"Electronic Traps",
OR(ISNUMBER(SEARCH("live catch",E939)),ISNUMBER(SEARCH("multi-catch",E939)),ISNUMBER(SEARCH("catch &amp; hold",E939)),ISNUMBER(SEARCH("tin cat",E939))),"Live Catch Traps",
OR(ISNUMBER(SEARCH("bait",E939)),ISNUMBER(SEARCH("poison",E939))),"Bait &amp; Poison",
ISNUMBER(SEARCH("repellent",E939)),"Repellents",
OR(ISNUMBER(SEARCH("fly trap",E939)),ISNUMBER(SEARCH("fly ribbon",E939)),ISNUMBER(SEARCH("fly stick",E939)),ISNUMBER(SEARCH("window fly",E939)),ISNUMBER(SEARCH("fly magnet",E939))),"Fly Traps",
OR(ISNUMBER(SEARCH("uv",E939)),ISNUMBER(SEARCH("fly light",E939)),ISNUMBER(SEARCH("plug-in",E939))),"UV Fly Traps",
ISNUMBER(SEARCH("roach",E939)),"Roach Traps",
ISNUMBER(SEARCH("ant",E939)),"Ant Traps",
ISNUMBER(SEARCH("spider",E939)),"Spider Traps",
ISNUMBER(SEARCH("mosquito",E939)),"Mosquito Traps",
ISNUMBER(SEARCH("beetle",E939)),"Beetle Traps",
ISNUMBER(SEARCH("lantern",E939)),"Lanternfly Control",
OR(ISNUMBER(SEARCH("tree shield",E939)),ISNUMBER(SEARCH("tree banding",E939)),ISNUMBER(SEARCH("insect barrier",E939))),"Tree Barriers",
OR(ISNUMBER(SEARCH("sun &amp; shade",E939)),ISNUMBER(SEARCH("sun and shade",E939))),"Sun &amp; Shade Mix",
ISNUMBER(SEARCH("tall fescue",E939)),"Tall Fescue",
ISNUMBER(SEARCH("bermudagrass",E939)),"Bermudagrass",
ISNUMBER(SEARCH("kentucky",E939)),"Kentucky Bluegrass",
ISNUMBER(SEARCH("zoysia",E939)),"Zoysia",
ISNUMBER(SEARCH("ryegrass",E939)),"Perennial Ryegrass",
ISNUMBER(SEARCH("centipede",E939)),"Centipede Grass",
ISNUMBER(SEARCH("dense shade",E939)),"Dense Shade Mix",
ISNUMBER(SEARCH("southern gold",E939)),"Southern Gold Mix",
ISNUMBER(SEARCH("heat-tolerant blue",E939)),"Heat-Tolerant Blue Mix",
ISNUMBER(SEARCH("high traffic",E939)),"High Traffic Mix",
ISNUMBER(SEARCH("quick fix",E939)),"Quick Fix Mix",
ISNUMBER(SEARCH("starter",E939)),"Starter Fertilizer",
ISNUMBER(SEARCH("weed &amp; feed",E939)),"Weed &amp; Feed",
ISNUMBER(SEARCH("lawn food",E939)),"Lawn Food",
ISNUMBER(SEARCH("triple action",E939)),"Triple Action Fertilizer",
ISNUMBER(SEARCH("green max",E939)),"Green Max Lawn Food",
ISNUMBER(SEARCH("patchmaster",E939)),"PatchMaster Repair",
ISNUMBER(SEARCH("ez seed",E939)),"EZ Seed Repair",
ISNUMBER(SEARCH("rapid grass",E939)),"Rapid Grass",
ISNUMBER(SEARCH("thick'r lawn",E939)),"Thick'R Lawn",
ISNUMBER(SEARCH("fungicide",E939)),"Fungicide",
ISNUMBER(SEARCH("moss",E939)),"Moss Control",
ISNUMBER(SEARCH("perlite",E939)),"Perlite",
ISNUMBER(SEARCH("plant food",E939)),"Plant Food",
ISNUMBER(SEARCH("spreader",E939)),"Spreader",
ISNUMBER(SEARCH("sprayer",E939)),"Sprayer",
ISNUMBER(SEARCH("mower",E939)),"Lawn Mower",
ISNUMBER(SEARCH("sweeper",E939)),"Lawn Sweeper",
OR(ISNUMBER(SEARCH("pruner",E939)),ISNUMBER(SEARCH("trimmer",E939)),ISNUMBER(SEARCH("pole saw",E939))),"Pruning Tools",
TRUE,"Other"
)</f>
        <v>Other</v>
      </c>
      <c r="J939" s="7" t="str">
        <f t="shared" si="337"/>
        <v>Rodent Control - Other</v>
      </c>
      <c r="K939" s="4">
        <v>50</v>
      </c>
      <c r="L939" s="4">
        <v>3.8</v>
      </c>
      <c r="M939" s="4">
        <v>57</v>
      </c>
      <c r="N939" s="4" t="s">
        <v>1094</v>
      </c>
      <c r="O939" s="4">
        <f>VLOOKUP(A939,[22]Sheet1!$A:$M,2,0)</f>
        <v>0</v>
      </c>
      <c r="P939" s="4">
        <f>VLOOKUP(A939,[22]Sheet1!$A:$M,3,0)</f>
        <v>0</v>
      </c>
      <c r="Q939" s="4">
        <f>VLOOKUP(A939,[22]Sheet1!$A:$M,4,0)</f>
        <v>0</v>
      </c>
      <c r="R939" s="4">
        <f>VLOOKUP(A939,[22]Sheet1!$A:$M,5,0)</f>
        <v>0</v>
      </c>
      <c r="S939" s="4">
        <f>VLOOKUP(A939,[22]Sheet1!$A:$M,6,0)</f>
        <v>0</v>
      </c>
      <c r="T939" s="4">
        <f>VLOOKUP(A939,[22]Sheet1!$A:$M,7,0)</f>
        <v>0</v>
      </c>
      <c r="U939" s="4">
        <f>VLOOKUP(A939,[22]Sheet1!$A:$M,8,0)</f>
        <v>0</v>
      </c>
      <c r="V939" s="4">
        <f>VLOOKUP(A939,[22]Sheet1!$A:$M,9,0)</f>
        <v>0</v>
      </c>
      <c r="W939" s="4">
        <f>VLOOKUP(A939,[22]Sheet1!$A:$M,10,0)</f>
        <v>50</v>
      </c>
      <c r="X939" s="4">
        <f>VLOOKUP(A939,[22]Sheet1!$A:$M,11,0)</f>
        <v>0</v>
      </c>
      <c r="Y939" s="4">
        <f>VLOOKUP(A939,[22]Sheet1!$A:$M,12,0)</f>
        <v>0</v>
      </c>
      <c r="Z939" s="4">
        <f>VLOOKUP(A939,[22]Sheet1!$A:$M,13,0)</f>
        <v>0</v>
      </c>
      <c r="AA939" s="4">
        <f t="shared" si="338"/>
        <v>50</v>
      </c>
      <c r="AB939" s="7">
        <f t="shared" si="339"/>
        <v>4</v>
      </c>
      <c r="AC939" s="15">
        <f t="shared" si="340"/>
        <v>4.166666666666667</v>
      </c>
      <c r="AD939" s="16">
        <f t="shared" si="341"/>
        <v>150</v>
      </c>
      <c r="AE939" s="16">
        <f t="shared" si="342"/>
        <v>12.5</v>
      </c>
      <c r="AF939" s="21">
        <v>3.24</v>
      </c>
      <c r="AG939" s="21">
        <v>3</v>
      </c>
      <c r="AH939" s="15">
        <f t="shared" si="326"/>
        <v>-0.20266666666666669</v>
      </c>
      <c r="AI939" s="15">
        <f t="shared" si="336"/>
        <v>-0.70933333333333337</v>
      </c>
      <c r="AJ939" s="10">
        <v>0.5</v>
      </c>
      <c r="AK939" s="10">
        <v>0.5</v>
      </c>
      <c r="AL939" s="21">
        <v>3.24</v>
      </c>
      <c r="AM939" s="9">
        <f t="shared" si="343"/>
        <v>0.44999999999999996</v>
      </c>
      <c r="AN939" s="9">
        <f t="shared" si="344"/>
        <v>0.09</v>
      </c>
      <c r="AO939" s="9">
        <f t="shared" si="345"/>
        <v>0.60000000000000009</v>
      </c>
      <c r="AP939" s="9">
        <f t="shared" si="346"/>
        <v>0.06</v>
      </c>
      <c r="AQ939" s="9">
        <f t="shared" si="347"/>
        <v>0.60000000000000009</v>
      </c>
      <c r="AR939" s="9">
        <f t="shared" si="348"/>
        <v>0.75</v>
      </c>
      <c r="AS939" s="11">
        <f t="shared" si="349"/>
        <v>-2.0266666666666668</v>
      </c>
      <c r="AT939" s="12">
        <f t="shared" si="350"/>
        <v>-2.1266666666666669</v>
      </c>
    </row>
    <row r="940" spans="1:46" ht="16.5" x14ac:dyDescent="0.4">
      <c r="A940" s="4" t="s">
        <v>4238</v>
      </c>
      <c r="B940" s="4" t="s">
        <v>4241</v>
      </c>
      <c r="D940" s="4" t="s">
        <v>4254</v>
      </c>
      <c r="E940" s="4" t="s">
        <v>4265</v>
      </c>
      <c r="F940" s="4" t="s">
        <v>4276</v>
      </c>
      <c r="G940" s="7" t="str">
        <f>VLOOKUP(A940,[1]done!$A:$I,9,0)</f>
        <v>All Other products</v>
      </c>
      <c r="H940" s="7" t="str" cm="1">
        <f t="array" ref="H940">_xlfn.IFS(
OR(ISNUMBER(SEARCH("mouse",E940)),ISNUMBER(SEARCH("rat",E940)),ISNUMBER(SEARCH("mice",E940)),ISNUMBER(SEARCH("rodent",E940))),"Rodent Control",
OR(ISNUMBER(SEARCH("fly",E940)),ISNUMBER(SEARCH("gnat",E940)),ISNUMBER(SEARCH("insect",E940)),ISNUMBER(SEARCH("mosquito",E940))),"Flying Insect Control",
OR(ISNUMBER(SEARCH("roach",E940)),ISNUMBER(SEARCH("ant",E940)),ISNUMBER(SEARCH("spider",E940)),ISNUMBER(SEARCH("cricket",E940)),ISNUMBER(SEARCH("scorpion",E940)),ISNUMBER(SEARCH("centipede",E940)),ISNUMBER(SEARCH("beetle",E940))),"Crawling Insect Control",
OR(ISNUMBER(SEARCH("tree",E940)),ISNUMBER(SEARCH("lantern",E940)),ISNUMBER(SEARCH("garden",E940)),ISNUMBER(SEARCH("plant",E940))),"Garden Pest Control",
OR(ISNUMBER(SEARCH("grass seed",E940)),ISNUMBER(SEARCH("seed mix",E940))),"Grass Seed",
OR(ISNUMBER(SEARCH("lawn food",E940)),ISNUMBER(SEARCH("fertilizer",E940))),"Lawn Fertilizer",
OR(ISNUMBER(SEARCH("patch",E940)),ISNUMBER(SEARCH("repair",E940)),ISNUMBER(SEARCH("thick'r",E940)),ISNUMBER(SEARCH("thick'r lawn",E940)),ISNUMBER(SEARCH("rapid grass",E940))),"Lawn Repair",
OR(ISNUMBER(SEARCH("weed",E940)),ISNUMBER(SEARCH("crabgrass",E940))),"Weed Control",
OR(ISNUMBER(SEARCH("fungicide",E940)),ISNUMBER(SEARCH("moss",E940))),"Disease &amp; Moss Control",
OR(ISNUMBER(SEARCH("plant food",E940)),ISNUMBER(SEARCH("miracid",E940))),"Plant Nutrition",
OR(ISNUMBER(SEARCH("perlite",E940))),"Soil Amendment",
OR(ISNUMBER(SEARCH("spreader",E940)),ISNUMBER(SEARCH("sprayer",E940)),ISNUMBER(SEARCH("mower",E940)),ISNUMBER(SEARCH("sweeper",E940)),ISNUMBER(SEARCH("pruner",E940)),ISNUMBER(SEARCH("trimmer",E940)),ISNUMBER(SEARCH("pole saw",E940))),"Garden Equipment",
TRUE,"Other"
)</f>
        <v>Other</v>
      </c>
      <c r="I940" s="7" t="str" cm="1">
        <f t="array" ref="I940">_xlfn.IFS(
OR(ISNUMBER(SEARCH("glue trap",E940)),ISNUMBER(SEARCH("glue board",E940))),"Glue Traps",
OR(ISNUMBER(SEARCH("snap trap",E940)),ISNUMBER(SEARCH("power-kill",E940)),ISNUMBER(SEARCH("wide pedal",E940)),ISNUMBER(SEARCH("metal pedal",E940))),"Snap Traps",
OR(ISNUMBER(SEARCH("electronic",E940)),ISNUMBER(SEARCH("zapper",E940))),"Electronic Traps",
OR(ISNUMBER(SEARCH("live catch",E940)),ISNUMBER(SEARCH("multi-catch",E940)),ISNUMBER(SEARCH("catch &amp; hold",E940)),ISNUMBER(SEARCH("tin cat",E940))),"Live Catch Traps",
OR(ISNUMBER(SEARCH("bait",E940)),ISNUMBER(SEARCH("poison",E940))),"Bait &amp; Poison",
ISNUMBER(SEARCH("repellent",E940)),"Repellents",
OR(ISNUMBER(SEARCH("fly trap",E940)),ISNUMBER(SEARCH("fly ribbon",E940)),ISNUMBER(SEARCH("fly stick",E940)),ISNUMBER(SEARCH("window fly",E940)),ISNUMBER(SEARCH("fly magnet",E940))),"Fly Traps",
OR(ISNUMBER(SEARCH("uv",E940)),ISNUMBER(SEARCH("fly light",E940)),ISNUMBER(SEARCH("plug-in",E940))),"UV Fly Traps",
ISNUMBER(SEARCH("roach",E940)),"Roach Traps",
ISNUMBER(SEARCH("ant",E940)),"Ant Traps",
ISNUMBER(SEARCH("spider",E940)),"Spider Traps",
ISNUMBER(SEARCH("mosquito",E940)),"Mosquito Traps",
ISNUMBER(SEARCH("beetle",E940)),"Beetle Traps",
ISNUMBER(SEARCH("lantern",E940)),"Lanternfly Control",
OR(ISNUMBER(SEARCH("tree shield",E940)),ISNUMBER(SEARCH("tree banding",E940)),ISNUMBER(SEARCH("insect barrier",E940))),"Tree Barriers",
OR(ISNUMBER(SEARCH("sun &amp; shade",E940)),ISNUMBER(SEARCH("sun and shade",E940))),"Sun &amp; Shade Mix",
ISNUMBER(SEARCH("tall fescue",E940)),"Tall Fescue",
ISNUMBER(SEARCH("bermudagrass",E940)),"Bermudagrass",
ISNUMBER(SEARCH("kentucky",E940)),"Kentucky Bluegrass",
ISNUMBER(SEARCH("zoysia",E940)),"Zoysia",
ISNUMBER(SEARCH("ryegrass",E940)),"Perennial Ryegrass",
ISNUMBER(SEARCH("centipede",E940)),"Centipede Grass",
ISNUMBER(SEARCH("dense shade",E940)),"Dense Shade Mix",
ISNUMBER(SEARCH("southern gold",E940)),"Southern Gold Mix",
ISNUMBER(SEARCH("heat-tolerant blue",E940)),"Heat-Tolerant Blue Mix",
ISNUMBER(SEARCH("high traffic",E940)),"High Traffic Mix",
ISNUMBER(SEARCH("quick fix",E940)),"Quick Fix Mix",
ISNUMBER(SEARCH("starter",E940)),"Starter Fertilizer",
ISNUMBER(SEARCH("weed &amp; feed",E940)),"Weed &amp; Feed",
ISNUMBER(SEARCH("lawn food",E940)),"Lawn Food",
ISNUMBER(SEARCH("triple action",E940)),"Triple Action Fertilizer",
ISNUMBER(SEARCH("green max",E940)),"Green Max Lawn Food",
ISNUMBER(SEARCH("patchmaster",E940)),"PatchMaster Repair",
ISNUMBER(SEARCH("ez seed",E940)),"EZ Seed Repair",
ISNUMBER(SEARCH("rapid grass",E940)),"Rapid Grass",
ISNUMBER(SEARCH("thick'r lawn",E940)),"Thick'R Lawn",
ISNUMBER(SEARCH("fungicide",E940)),"Fungicide",
ISNUMBER(SEARCH("moss",E940)),"Moss Control",
ISNUMBER(SEARCH("perlite",E940)),"Perlite",
ISNUMBER(SEARCH("plant food",E940)),"Plant Food",
ISNUMBER(SEARCH("spreader",E940)),"Spreader",
ISNUMBER(SEARCH("sprayer",E940)),"Sprayer",
ISNUMBER(SEARCH("mower",E940)),"Lawn Mower",
ISNUMBER(SEARCH("sweeper",E940)),"Lawn Sweeper",
OR(ISNUMBER(SEARCH("pruner",E940)),ISNUMBER(SEARCH("trimmer",E940)),ISNUMBER(SEARCH("pole saw",E940))),"Pruning Tools",
TRUE,"Other"
)</f>
        <v>Bait &amp; Poison</v>
      </c>
      <c r="J940" s="7" t="str">
        <f t="shared" si="337"/>
        <v>Other - Bait &amp; Poison</v>
      </c>
      <c r="K940" s="4">
        <v>50</v>
      </c>
      <c r="L940" s="4">
        <v>4.3</v>
      </c>
      <c r="M940" s="4">
        <v>102</v>
      </c>
      <c r="O940" s="4">
        <f>VLOOKUP(A940,[22]Sheet1!$A:$M,2,0)</f>
        <v>0</v>
      </c>
      <c r="P940" s="4">
        <f>VLOOKUP(A940,[22]Sheet1!$A:$M,3,0)</f>
        <v>0</v>
      </c>
      <c r="Q940" s="4">
        <f>VLOOKUP(A940,[22]Sheet1!$A:$M,4,0)</f>
        <v>0</v>
      </c>
      <c r="R940" s="4">
        <f>VLOOKUP(A940,[22]Sheet1!$A:$M,5,0)</f>
        <v>0</v>
      </c>
      <c r="S940" s="4">
        <f>VLOOKUP(A940,[22]Sheet1!$A:$M,6,0)</f>
        <v>0</v>
      </c>
      <c r="T940" s="4">
        <f>VLOOKUP(A940,[22]Sheet1!$A:$M,7,0)</f>
        <v>0</v>
      </c>
      <c r="U940" s="4">
        <f>VLOOKUP(A940,[22]Sheet1!$A:$M,8,0)</f>
        <v>0</v>
      </c>
      <c r="V940" s="4">
        <f>VLOOKUP(A940,[22]Sheet1!$A:$M,9,0)</f>
        <v>0</v>
      </c>
      <c r="W940" s="4">
        <f>VLOOKUP(A940,[22]Sheet1!$A:$M,10,0)</f>
        <v>50</v>
      </c>
      <c r="X940" s="4">
        <f>VLOOKUP(A940,[22]Sheet1!$A:$M,11,0)</f>
        <v>50</v>
      </c>
      <c r="Y940" s="4">
        <f>VLOOKUP(A940,[22]Sheet1!$A:$M,12,0)</f>
        <v>50</v>
      </c>
      <c r="Z940" s="4">
        <f>VLOOKUP(A940,[22]Sheet1!$A:$M,13,0)</f>
        <v>0</v>
      </c>
      <c r="AA940" s="4">
        <f t="shared" si="338"/>
        <v>150</v>
      </c>
      <c r="AB940" s="7">
        <f t="shared" si="339"/>
        <v>13</v>
      </c>
      <c r="AC940" s="15">
        <f t="shared" si="340"/>
        <v>12.5</v>
      </c>
      <c r="AD940" s="16">
        <f t="shared" si="341"/>
        <v>3624</v>
      </c>
      <c r="AE940" s="16">
        <f t="shared" si="342"/>
        <v>302</v>
      </c>
      <c r="AF940" s="21">
        <v>4.76</v>
      </c>
      <c r="AG940" s="21">
        <v>24.16</v>
      </c>
      <c r="AH940" s="15">
        <f t="shared" si="326"/>
        <v>0.26026666666666659</v>
      </c>
      <c r="AI940" s="15">
        <f t="shared" si="336"/>
        <v>0.91093333333333293</v>
      </c>
      <c r="AJ940" s="10">
        <v>0.5</v>
      </c>
      <c r="AK940" s="10">
        <v>0.5</v>
      </c>
      <c r="AL940" s="21">
        <v>4.76</v>
      </c>
      <c r="AM940" s="9">
        <f t="shared" si="343"/>
        <v>3.6239999999999997</v>
      </c>
      <c r="AN940" s="9">
        <f t="shared" si="344"/>
        <v>0.7248</v>
      </c>
      <c r="AO940" s="9">
        <f t="shared" si="345"/>
        <v>4.8320000000000007</v>
      </c>
      <c r="AP940" s="9">
        <f t="shared" si="346"/>
        <v>0.48320000000000002</v>
      </c>
      <c r="AQ940" s="9">
        <f t="shared" si="347"/>
        <v>4.8320000000000007</v>
      </c>
      <c r="AR940" s="9">
        <f t="shared" si="348"/>
        <v>6.04</v>
      </c>
      <c r="AS940" s="11">
        <f t="shared" si="349"/>
        <v>2.6026666666666656</v>
      </c>
      <c r="AT940" s="12">
        <f t="shared" si="350"/>
        <v>1.7973333333333326</v>
      </c>
    </row>
    <row r="941" spans="1:46" ht="16.5" x14ac:dyDescent="0.4">
      <c r="A941" s="4" t="s">
        <v>4239</v>
      </c>
      <c r="B941" s="4" t="s">
        <v>4241</v>
      </c>
      <c r="C941" s="4" t="s">
        <v>4242</v>
      </c>
      <c r="D941" s="4" t="s">
        <v>4255</v>
      </c>
      <c r="E941" s="4" t="s">
        <v>4266</v>
      </c>
      <c r="F941" s="4" t="s">
        <v>4277</v>
      </c>
      <c r="G941" s="7" t="str">
        <f>VLOOKUP(A941,[1]done!$A:$I,9,0)</f>
        <v>Rodent</v>
      </c>
      <c r="H941" s="7" t="str" cm="1">
        <f t="array" ref="H941">_xlfn.IFS(
OR(ISNUMBER(SEARCH("mouse",E941)),ISNUMBER(SEARCH("rat",E941)),ISNUMBER(SEARCH("mice",E941)),ISNUMBER(SEARCH("rodent",E941))),"Rodent Control",
OR(ISNUMBER(SEARCH("fly",E941)),ISNUMBER(SEARCH("gnat",E941)),ISNUMBER(SEARCH("insect",E941)),ISNUMBER(SEARCH("mosquito",E941))),"Flying Insect Control",
OR(ISNUMBER(SEARCH("roach",E941)),ISNUMBER(SEARCH("ant",E941)),ISNUMBER(SEARCH("spider",E941)),ISNUMBER(SEARCH("cricket",E941)),ISNUMBER(SEARCH("scorpion",E941)),ISNUMBER(SEARCH("centipede",E941)),ISNUMBER(SEARCH("beetle",E941))),"Crawling Insect Control",
OR(ISNUMBER(SEARCH("tree",E941)),ISNUMBER(SEARCH("lantern",E941)),ISNUMBER(SEARCH("garden",E941)),ISNUMBER(SEARCH("plant",E941))),"Garden Pest Control",
OR(ISNUMBER(SEARCH("grass seed",E941)),ISNUMBER(SEARCH("seed mix",E941))),"Grass Seed",
OR(ISNUMBER(SEARCH("lawn food",E941)),ISNUMBER(SEARCH("fertilizer",E941))),"Lawn Fertilizer",
OR(ISNUMBER(SEARCH("patch",E941)),ISNUMBER(SEARCH("repair",E941)),ISNUMBER(SEARCH("thick'r",E941)),ISNUMBER(SEARCH("thick'r lawn",E941)),ISNUMBER(SEARCH("rapid grass",E941))),"Lawn Repair",
OR(ISNUMBER(SEARCH("weed",E941)),ISNUMBER(SEARCH("crabgrass",E941))),"Weed Control",
OR(ISNUMBER(SEARCH("fungicide",E941)),ISNUMBER(SEARCH("moss",E941))),"Disease &amp; Moss Control",
OR(ISNUMBER(SEARCH("plant food",E941)),ISNUMBER(SEARCH("miracid",E941))),"Plant Nutrition",
OR(ISNUMBER(SEARCH("perlite",E941))),"Soil Amendment",
OR(ISNUMBER(SEARCH("spreader",E941)),ISNUMBER(SEARCH("sprayer",E941)),ISNUMBER(SEARCH("mower",E941)),ISNUMBER(SEARCH("sweeper",E941)),ISNUMBER(SEARCH("pruner",E941)),ISNUMBER(SEARCH("trimmer",E941)),ISNUMBER(SEARCH("pole saw",E941))),"Garden Equipment",
TRUE,"Other"
)</f>
        <v>Rodent Control</v>
      </c>
      <c r="I941" s="7" t="str" cm="1">
        <f t="array" ref="I941">_xlfn.IFS(
OR(ISNUMBER(SEARCH("glue trap",E941)),ISNUMBER(SEARCH("glue board",E941))),"Glue Traps",
OR(ISNUMBER(SEARCH("snap trap",E941)),ISNUMBER(SEARCH("power-kill",E941)),ISNUMBER(SEARCH("wide pedal",E941)),ISNUMBER(SEARCH("metal pedal",E941))),"Snap Traps",
OR(ISNUMBER(SEARCH("electronic",E941)),ISNUMBER(SEARCH("zapper",E941))),"Electronic Traps",
OR(ISNUMBER(SEARCH("live catch",E941)),ISNUMBER(SEARCH("multi-catch",E941)),ISNUMBER(SEARCH("catch &amp; hold",E941)),ISNUMBER(SEARCH("tin cat",E941))),"Live Catch Traps",
OR(ISNUMBER(SEARCH("bait",E941)),ISNUMBER(SEARCH("poison",E941))),"Bait &amp; Poison",
ISNUMBER(SEARCH("repellent",E941)),"Repellents",
OR(ISNUMBER(SEARCH("fly trap",E941)),ISNUMBER(SEARCH("fly ribbon",E941)),ISNUMBER(SEARCH("fly stick",E941)),ISNUMBER(SEARCH("window fly",E941)),ISNUMBER(SEARCH("fly magnet",E941))),"Fly Traps",
OR(ISNUMBER(SEARCH("uv",E941)),ISNUMBER(SEARCH("fly light",E941)),ISNUMBER(SEARCH("plug-in",E941))),"UV Fly Traps",
ISNUMBER(SEARCH("roach",E941)),"Roach Traps",
ISNUMBER(SEARCH("ant",E941)),"Ant Traps",
ISNUMBER(SEARCH("spider",E941)),"Spider Traps",
ISNUMBER(SEARCH("mosquito",E941)),"Mosquito Traps",
ISNUMBER(SEARCH("beetle",E941)),"Beetle Traps",
ISNUMBER(SEARCH("lantern",E941)),"Lanternfly Control",
OR(ISNUMBER(SEARCH("tree shield",E941)),ISNUMBER(SEARCH("tree banding",E941)),ISNUMBER(SEARCH("insect barrier",E941))),"Tree Barriers",
OR(ISNUMBER(SEARCH("sun &amp; shade",E941)),ISNUMBER(SEARCH("sun and shade",E941))),"Sun &amp; Shade Mix",
ISNUMBER(SEARCH("tall fescue",E941)),"Tall Fescue",
ISNUMBER(SEARCH("bermudagrass",E941)),"Bermudagrass",
ISNUMBER(SEARCH("kentucky",E941)),"Kentucky Bluegrass",
ISNUMBER(SEARCH("zoysia",E941)),"Zoysia",
ISNUMBER(SEARCH("ryegrass",E941)),"Perennial Ryegrass",
ISNUMBER(SEARCH("centipede",E941)),"Centipede Grass",
ISNUMBER(SEARCH("dense shade",E941)),"Dense Shade Mix",
ISNUMBER(SEARCH("southern gold",E941)),"Southern Gold Mix",
ISNUMBER(SEARCH("heat-tolerant blue",E941)),"Heat-Tolerant Blue Mix",
ISNUMBER(SEARCH("high traffic",E941)),"High Traffic Mix",
ISNUMBER(SEARCH("quick fix",E941)),"Quick Fix Mix",
ISNUMBER(SEARCH("starter",E941)),"Starter Fertilizer",
ISNUMBER(SEARCH("weed &amp; feed",E941)),"Weed &amp; Feed",
ISNUMBER(SEARCH("lawn food",E941)),"Lawn Food",
ISNUMBER(SEARCH("triple action",E941)),"Triple Action Fertilizer",
ISNUMBER(SEARCH("green max",E941)),"Green Max Lawn Food",
ISNUMBER(SEARCH("patchmaster",E941)),"PatchMaster Repair",
ISNUMBER(SEARCH("ez seed",E941)),"EZ Seed Repair",
ISNUMBER(SEARCH("rapid grass",E941)),"Rapid Grass",
ISNUMBER(SEARCH("thick'r lawn",E941)),"Thick'R Lawn",
ISNUMBER(SEARCH("fungicide",E941)),"Fungicide",
ISNUMBER(SEARCH("moss",E941)),"Moss Control",
ISNUMBER(SEARCH("perlite",E941)),"Perlite",
ISNUMBER(SEARCH("plant food",E941)),"Plant Food",
ISNUMBER(SEARCH("spreader",E941)),"Spreader",
ISNUMBER(SEARCH("sprayer",E941)),"Sprayer",
ISNUMBER(SEARCH("mower",E941)),"Lawn Mower",
ISNUMBER(SEARCH("sweeper",E941)),"Lawn Sweeper",
OR(ISNUMBER(SEARCH("pruner",E941)),ISNUMBER(SEARCH("trimmer",E941)),ISNUMBER(SEARCH("pole saw",E941))),"Pruning Tools",
TRUE,"Other"
)</f>
        <v>Bait &amp; Poison</v>
      </c>
      <c r="J941" s="7" t="str">
        <f t="shared" si="337"/>
        <v>Rodent Control - Bait &amp; Poison</v>
      </c>
      <c r="K941" s="4">
        <v>50</v>
      </c>
      <c r="L941" s="4">
        <v>3.8</v>
      </c>
      <c r="M941" s="4">
        <v>39</v>
      </c>
      <c r="O941" s="4">
        <f>VLOOKUP(A941,[22]Sheet1!$A:$M,2,0)</f>
        <v>0</v>
      </c>
      <c r="P941" s="4">
        <f>VLOOKUP(A941,[22]Sheet1!$A:$M,3,0)</f>
        <v>0</v>
      </c>
      <c r="Q941" s="4">
        <f>VLOOKUP(A941,[22]Sheet1!$A:$M,4,0)</f>
        <v>0</v>
      </c>
      <c r="R941" s="4">
        <f>VLOOKUP(A941,[22]Sheet1!$A:$M,5,0)</f>
        <v>0</v>
      </c>
      <c r="S941" s="4">
        <f>VLOOKUP(A941,[22]Sheet1!$A:$M,6,0)</f>
        <v>0</v>
      </c>
      <c r="T941" s="4">
        <f>VLOOKUP(A941,[22]Sheet1!$A:$M,7,0)</f>
        <v>0</v>
      </c>
      <c r="U941" s="4">
        <f>VLOOKUP(A941,[22]Sheet1!$A:$M,8,0)</f>
        <v>0</v>
      </c>
      <c r="V941" s="4">
        <f>VLOOKUP(A941,[22]Sheet1!$A:$M,9,0)</f>
        <v>0</v>
      </c>
      <c r="W941" s="4">
        <f>VLOOKUP(A941,[22]Sheet1!$A:$M,10,0)</f>
        <v>50</v>
      </c>
      <c r="X941" s="4">
        <f>VLOOKUP(A941,[22]Sheet1!$A:$M,11,0)</f>
        <v>0</v>
      </c>
      <c r="Y941" s="4">
        <f>VLOOKUP(A941,[22]Sheet1!$A:$M,12,0)</f>
        <v>0</v>
      </c>
      <c r="Z941" s="4">
        <f>VLOOKUP(A941,[22]Sheet1!$A:$M,13,0)</f>
        <v>0</v>
      </c>
      <c r="AA941" s="4">
        <f t="shared" si="338"/>
        <v>50</v>
      </c>
      <c r="AB941" s="7">
        <f t="shared" si="339"/>
        <v>4</v>
      </c>
      <c r="AC941" s="15">
        <f t="shared" si="340"/>
        <v>4.166666666666667</v>
      </c>
      <c r="AD941" s="16">
        <f t="shared" si="341"/>
        <v>1928.5</v>
      </c>
      <c r="AE941" s="16">
        <f t="shared" si="342"/>
        <v>160.70833333333334</v>
      </c>
      <c r="AF941" s="21">
        <v>6.31</v>
      </c>
      <c r="AG941" s="21">
        <v>38.57</v>
      </c>
      <c r="AH941" s="15">
        <f t="shared" si="326"/>
        <v>0.54120000000000001</v>
      </c>
      <c r="AI941" s="15">
        <f t="shared" si="336"/>
        <v>1.8941999999999999</v>
      </c>
      <c r="AJ941" s="10">
        <v>0.5</v>
      </c>
      <c r="AK941" s="10">
        <v>0.5</v>
      </c>
      <c r="AL941" s="21">
        <v>6.31</v>
      </c>
      <c r="AM941" s="9">
        <f t="shared" si="343"/>
        <v>5.7854999999999999</v>
      </c>
      <c r="AN941" s="9">
        <f t="shared" si="344"/>
        <v>1.1571</v>
      </c>
      <c r="AO941" s="9">
        <f t="shared" si="345"/>
        <v>7.7140000000000004</v>
      </c>
      <c r="AP941" s="9">
        <f t="shared" si="346"/>
        <v>0.77139999999999997</v>
      </c>
      <c r="AQ941" s="9">
        <f t="shared" si="347"/>
        <v>7.7140000000000004</v>
      </c>
      <c r="AR941" s="9">
        <f t="shared" si="348"/>
        <v>9.6425000000000001</v>
      </c>
      <c r="AS941" s="11">
        <f t="shared" si="349"/>
        <v>5.4119999999999999</v>
      </c>
      <c r="AT941" s="12">
        <f t="shared" si="350"/>
        <v>4.1263333333333341</v>
      </c>
    </row>
    <row r="942" spans="1:46" ht="16.5" x14ac:dyDescent="0.4">
      <c r="A942" s="4" t="s">
        <v>4240</v>
      </c>
      <c r="B942" s="4" t="s">
        <v>4241</v>
      </c>
      <c r="C942" s="4" t="s">
        <v>4243</v>
      </c>
      <c r="D942" s="4" t="s">
        <v>4256</v>
      </c>
      <c r="E942" s="4" t="s">
        <v>4267</v>
      </c>
      <c r="F942" s="4" t="s">
        <v>4278</v>
      </c>
      <c r="G942" s="7" t="str">
        <f>VLOOKUP(A942,[1]done!$A:$I,9,0)</f>
        <v>Rodent</v>
      </c>
      <c r="H942" s="7" t="str" cm="1">
        <f t="array" ref="H942">_xlfn.IFS(
OR(ISNUMBER(SEARCH("mouse",E942)),ISNUMBER(SEARCH("rat",E942)),ISNUMBER(SEARCH("mice",E942)),ISNUMBER(SEARCH("rodent",E942))),"Rodent Control",
OR(ISNUMBER(SEARCH("fly",E942)),ISNUMBER(SEARCH("gnat",E942)),ISNUMBER(SEARCH("insect",E942)),ISNUMBER(SEARCH("mosquito",E942))),"Flying Insect Control",
OR(ISNUMBER(SEARCH("roach",E942)),ISNUMBER(SEARCH("ant",E942)),ISNUMBER(SEARCH("spider",E942)),ISNUMBER(SEARCH("cricket",E942)),ISNUMBER(SEARCH("scorpion",E942)),ISNUMBER(SEARCH("centipede",E942)),ISNUMBER(SEARCH("beetle",E942))),"Crawling Insect Control",
OR(ISNUMBER(SEARCH("tree",E942)),ISNUMBER(SEARCH("lantern",E942)),ISNUMBER(SEARCH("garden",E942)),ISNUMBER(SEARCH("plant",E942))),"Garden Pest Control",
OR(ISNUMBER(SEARCH("grass seed",E942)),ISNUMBER(SEARCH("seed mix",E942))),"Grass Seed",
OR(ISNUMBER(SEARCH("lawn food",E942)),ISNUMBER(SEARCH("fertilizer",E942))),"Lawn Fertilizer",
OR(ISNUMBER(SEARCH("patch",E942)),ISNUMBER(SEARCH("repair",E942)),ISNUMBER(SEARCH("thick'r",E942)),ISNUMBER(SEARCH("thick'r lawn",E942)),ISNUMBER(SEARCH("rapid grass",E942))),"Lawn Repair",
OR(ISNUMBER(SEARCH("weed",E942)),ISNUMBER(SEARCH("crabgrass",E942))),"Weed Control",
OR(ISNUMBER(SEARCH("fungicide",E942)),ISNUMBER(SEARCH("moss",E942))),"Disease &amp; Moss Control",
OR(ISNUMBER(SEARCH("plant food",E942)),ISNUMBER(SEARCH("miracid",E942))),"Plant Nutrition",
OR(ISNUMBER(SEARCH("perlite",E942))),"Soil Amendment",
OR(ISNUMBER(SEARCH("spreader",E942)),ISNUMBER(SEARCH("sprayer",E942)),ISNUMBER(SEARCH("mower",E942)),ISNUMBER(SEARCH("sweeper",E942)),ISNUMBER(SEARCH("pruner",E942)),ISNUMBER(SEARCH("trimmer",E942)),ISNUMBER(SEARCH("pole saw",E942))),"Garden Equipment",
TRUE,"Other"
)</f>
        <v>Rodent Control</v>
      </c>
      <c r="I942" s="7" t="str" cm="1">
        <f t="array" ref="I942">_xlfn.IFS(
OR(ISNUMBER(SEARCH("glue trap",E942)),ISNUMBER(SEARCH("glue board",E942))),"Glue Traps",
OR(ISNUMBER(SEARCH("snap trap",E942)),ISNUMBER(SEARCH("power-kill",E942)),ISNUMBER(SEARCH("wide pedal",E942)),ISNUMBER(SEARCH("metal pedal",E942))),"Snap Traps",
OR(ISNUMBER(SEARCH("electronic",E942)),ISNUMBER(SEARCH("zapper",E942))),"Electronic Traps",
OR(ISNUMBER(SEARCH("live catch",E942)),ISNUMBER(SEARCH("multi-catch",E942)),ISNUMBER(SEARCH("catch &amp; hold",E942)),ISNUMBER(SEARCH("tin cat",E942))),"Live Catch Traps",
OR(ISNUMBER(SEARCH("bait",E942)),ISNUMBER(SEARCH("poison",E942))),"Bait &amp; Poison",
ISNUMBER(SEARCH("repellent",E942)),"Repellents",
OR(ISNUMBER(SEARCH("fly trap",E942)),ISNUMBER(SEARCH("fly ribbon",E942)),ISNUMBER(SEARCH("fly stick",E942)),ISNUMBER(SEARCH("window fly",E942)),ISNUMBER(SEARCH("fly magnet",E942))),"Fly Traps",
OR(ISNUMBER(SEARCH("uv",E942)),ISNUMBER(SEARCH("fly light",E942)),ISNUMBER(SEARCH("plug-in",E942))),"UV Fly Traps",
ISNUMBER(SEARCH("roach",E942)),"Roach Traps",
ISNUMBER(SEARCH("ant",E942)),"Ant Traps",
ISNUMBER(SEARCH("spider",E942)),"Spider Traps",
ISNUMBER(SEARCH("mosquito",E942)),"Mosquito Traps",
ISNUMBER(SEARCH("beetle",E942)),"Beetle Traps",
ISNUMBER(SEARCH("lantern",E942)),"Lanternfly Control",
OR(ISNUMBER(SEARCH("tree shield",E942)),ISNUMBER(SEARCH("tree banding",E942)),ISNUMBER(SEARCH("insect barrier",E942))),"Tree Barriers",
OR(ISNUMBER(SEARCH("sun &amp; shade",E942)),ISNUMBER(SEARCH("sun and shade",E942))),"Sun &amp; Shade Mix",
ISNUMBER(SEARCH("tall fescue",E942)),"Tall Fescue",
ISNUMBER(SEARCH("bermudagrass",E942)),"Bermudagrass",
ISNUMBER(SEARCH("kentucky",E942)),"Kentucky Bluegrass",
ISNUMBER(SEARCH("zoysia",E942)),"Zoysia",
ISNUMBER(SEARCH("ryegrass",E942)),"Perennial Ryegrass",
ISNUMBER(SEARCH("centipede",E942)),"Centipede Grass",
ISNUMBER(SEARCH("dense shade",E942)),"Dense Shade Mix",
ISNUMBER(SEARCH("southern gold",E942)),"Southern Gold Mix",
ISNUMBER(SEARCH("heat-tolerant blue",E942)),"Heat-Tolerant Blue Mix",
ISNUMBER(SEARCH("high traffic",E942)),"High Traffic Mix",
ISNUMBER(SEARCH("quick fix",E942)),"Quick Fix Mix",
ISNUMBER(SEARCH("starter",E942)),"Starter Fertilizer",
ISNUMBER(SEARCH("weed &amp; feed",E942)),"Weed &amp; Feed",
ISNUMBER(SEARCH("lawn food",E942)),"Lawn Food",
ISNUMBER(SEARCH("triple action",E942)),"Triple Action Fertilizer",
ISNUMBER(SEARCH("green max",E942)),"Green Max Lawn Food",
ISNUMBER(SEARCH("patchmaster",E942)),"PatchMaster Repair",
ISNUMBER(SEARCH("ez seed",E942)),"EZ Seed Repair",
ISNUMBER(SEARCH("rapid grass",E942)),"Rapid Grass",
ISNUMBER(SEARCH("thick'r lawn",E942)),"Thick'R Lawn",
ISNUMBER(SEARCH("fungicide",E942)),"Fungicide",
ISNUMBER(SEARCH("moss",E942)),"Moss Control",
ISNUMBER(SEARCH("perlite",E942)),"Perlite",
ISNUMBER(SEARCH("plant food",E942)),"Plant Food",
ISNUMBER(SEARCH("spreader",E942)),"Spreader",
ISNUMBER(SEARCH("sprayer",E942)),"Sprayer",
ISNUMBER(SEARCH("mower",E942)),"Lawn Mower",
ISNUMBER(SEARCH("sweeper",E942)),"Lawn Sweeper",
OR(ISNUMBER(SEARCH("pruner",E942)),ISNUMBER(SEARCH("trimmer",E942)),ISNUMBER(SEARCH("pole saw",E942))),"Pruning Tools",
TRUE,"Other"
)</f>
        <v>Other</v>
      </c>
      <c r="J942" s="7" t="str">
        <f t="shared" si="337"/>
        <v>Rodent Control - Other</v>
      </c>
      <c r="K942" s="4">
        <v>50</v>
      </c>
      <c r="L942" s="4">
        <v>3.7</v>
      </c>
      <c r="M942" s="4">
        <v>391</v>
      </c>
      <c r="N942" s="4" t="s">
        <v>4282</v>
      </c>
      <c r="O942" s="4">
        <f>VLOOKUP(A942,[22]Sheet1!$A:$M,2,0)</f>
        <v>0</v>
      </c>
      <c r="P942" s="4">
        <f>VLOOKUP(A942,[22]Sheet1!$A:$M,3,0)</f>
        <v>0</v>
      </c>
      <c r="Q942" s="4">
        <f>VLOOKUP(A942,[22]Sheet1!$A:$M,4,0)</f>
        <v>0</v>
      </c>
      <c r="R942" s="4">
        <f>VLOOKUP(A942,[22]Sheet1!$A:$M,5,0)</f>
        <v>50</v>
      </c>
      <c r="S942" s="4">
        <f>VLOOKUP(A942,[22]Sheet1!$A:$M,6,0)</f>
        <v>0</v>
      </c>
      <c r="T942" s="4">
        <f>VLOOKUP(A942,[22]Sheet1!$A:$M,7,0)</f>
        <v>0</v>
      </c>
      <c r="U942" s="4">
        <f>VLOOKUP(A942,[22]Sheet1!$A:$M,8,0)</f>
        <v>0</v>
      </c>
      <c r="V942" s="4">
        <f>VLOOKUP(A942,[22]Sheet1!$A:$M,9,0)</f>
        <v>0</v>
      </c>
      <c r="W942" s="4">
        <f>VLOOKUP(A942,[22]Sheet1!$A:$M,10,0)</f>
        <v>50</v>
      </c>
      <c r="X942" s="4">
        <f>VLOOKUP(A942,[22]Sheet1!$A:$M,11,0)</f>
        <v>50</v>
      </c>
      <c r="Y942" s="4">
        <f>VLOOKUP(A942,[22]Sheet1!$A:$M,12,0)</f>
        <v>50</v>
      </c>
      <c r="Z942" s="4">
        <f>VLOOKUP(A942,[22]Sheet1!$A:$M,13,0)</f>
        <v>50</v>
      </c>
      <c r="AA942" s="4">
        <f t="shared" si="338"/>
        <v>250</v>
      </c>
      <c r="AB942" s="7">
        <f t="shared" si="339"/>
        <v>21</v>
      </c>
      <c r="AC942" s="15">
        <f t="shared" si="340"/>
        <v>20.833333333333332</v>
      </c>
      <c r="AD942" s="16">
        <f t="shared" si="341"/>
        <v>4480</v>
      </c>
      <c r="AE942" s="16">
        <f t="shared" si="342"/>
        <v>373.33333333333337</v>
      </c>
      <c r="AF942" s="21">
        <v>3.24</v>
      </c>
      <c r="AG942" s="21">
        <v>17.920000000000002</v>
      </c>
      <c r="AH942" s="15">
        <f t="shared" si="326"/>
        <v>0.19520000000000001</v>
      </c>
      <c r="AI942" s="15">
        <f t="shared" si="336"/>
        <v>0.68319999999999992</v>
      </c>
      <c r="AJ942" s="10">
        <v>0.5</v>
      </c>
      <c r="AK942" s="10">
        <v>0.5</v>
      </c>
      <c r="AL942" s="21">
        <v>3.24</v>
      </c>
      <c r="AM942" s="9">
        <f t="shared" si="343"/>
        <v>2.6880000000000002</v>
      </c>
      <c r="AN942" s="9">
        <f t="shared" si="344"/>
        <v>0.53760000000000008</v>
      </c>
      <c r="AO942" s="9">
        <f t="shared" si="345"/>
        <v>3.5840000000000005</v>
      </c>
      <c r="AP942" s="9">
        <f t="shared" si="346"/>
        <v>0.35840000000000005</v>
      </c>
      <c r="AQ942" s="9">
        <f t="shared" si="347"/>
        <v>3.5840000000000005</v>
      </c>
      <c r="AR942" s="9">
        <f t="shared" si="348"/>
        <v>4.4800000000000004</v>
      </c>
      <c r="AS942" s="11">
        <f t="shared" si="349"/>
        <v>1.952</v>
      </c>
      <c r="AT942" s="12">
        <f t="shared" si="350"/>
        <v>1.3546666666666667</v>
      </c>
    </row>
    <row r="943" spans="1:46" ht="16.5" x14ac:dyDescent="0.4">
      <c r="A943" s="4" t="s">
        <v>4283</v>
      </c>
      <c r="B943" s="4" t="s">
        <v>4291</v>
      </c>
      <c r="C943" s="4" t="s">
        <v>4291</v>
      </c>
      <c r="D943" s="4" t="s">
        <v>4295</v>
      </c>
      <c r="E943" s="4" t="s">
        <v>4303</v>
      </c>
      <c r="F943" s="4" t="s">
        <v>4311</v>
      </c>
      <c r="G943" s="7" t="str">
        <f>VLOOKUP(A943,[1]done!$A:$I,9,0)</f>
        <v>Rodent</v>
      </c>
      <c r="H943" s="7" t="str" cm="1">
        <f t="array" ref="H943">_xlfn.IFS(
OR(ISNUMBER(SEARCH("mouse",E943)),ISNUMBER(SEARCH("rat",E943)),ISNUMBER(SEARCH("mice",E943)),ISNUMBER(SEARCH("rodent",E943))),"Rodent Control",
OR(ISNUMBER(SEARCH("fly",E943)),ISNUMBER(SEARCH("gnat",E943)),ISNUMBER(SEARCH("insect",E943)),ISNUMBER(SEARCH("mosquito",E943))),"Flying Insect Control",
OR(ISNUMBER(SEARCH("roach",E943)),ISNUMBER(SEARCH("ant",E943)),ISNUMBER(SEARCH("spider",E943)),ISNUMBER(SEARCH("cricket",E943)),ISNUMBER(SEARCH("scorpion",E943)),ISNUMBER(SEARCH("centipede",E943)),ISNUMBER(SEARCH("beetle",E943))),"Crawling Insect Control",
OR(ISNUMBER(SEARCH("tree",E943)),ISNUMBER(SEARCH("lantern",E943)),ISNUMBER(SEARCH("garden",E943)),ISNUMBER(SEARCH("plant",E943))),"Garden Pest Control",
OR(ISNUMBER(SEARCH("grass seed",E943)),ISNUMBER(SEARCH("seed mix",E943))),"Grass Seed",
OR(ISNUMBER(SEARCH("lawn food",E943)),ISNUMBER(SEARCH("fertilizer",E943))),"Lawn Fertilizer",
OR(ISNUMBER(SEARCH("patch",E943)),ISNUMBER(SEARCH("repair",E943)),ISNUMBER(SEARCH("thick'r",E943)),ISNUMBER(SEARCH("thick'r lawn",E943)),ISNUMBER(SEARCH("rapid grass",E943))),"Lawn Repair",
OR(ISNUMBER(SEARCH("weed",E943)),ISNUMBER(SEARCH("crabgrass",E943))),"Weed Control",
OR(ISNUMBER(SEARCH("fungicide",E943)),ISNUMBER(SEARCH("moss",E943))),"Disease &amp; Moss Control",
OR(ISNUMBER(SEARCH("plant food",E943)),ISNUMBER(SEARCH("miracid",E943))),"Plant Nutrition",
OR(ISNUMBER(SEARCH("perlite",E943))),"Soil Amendment",
OR(ISNUMBER(SEARCH("spreader",E943)),ISNUMBER(SEARCH("sprayer",E943)),ISNUMBER(SEARCH("mower",E943)),ISNUMBER(SEARCH("sweeper",E943)),ISNUMBER(SEARCH("pruner",E943)),ISNUMBER(SEARCH("trimmer",E943)),ISNUMBER(SEARCH("pole saw",E943))),"Garden Equipment",
TRUE,"Other"
)</f>
        <v>Rodent Control</v>
      </c>
      <c r="I943" s="7" t="str" cm="1">
        <f t="array" ref="I943">_xlfn.IFS(
OR(ISNUMBER(SEARCH("glue trap",E943)),ISNUMBER(SEARCH("glue board",E943))),"Glue Traps",
OR(ISNUMBER(SEARCH("snap trap",E943)),ISNUMBER(SEARCH("power-kill",E943)),ISNUMBER(SEARCH("wide pedal",E943)),ISNUMBER(SEARCH("metal pedal",E943))),"Snap Traps",
OR(ISNUMBER(SEARCH("electronic",E943)),ISNUMBER(SEARCH("zapper",E943))),"Electronic Traps",
OR(ISNUMBER(SEARCH("live catch",E943)),ISNUMBER(SEARCH("multi-catch",E943)),ISNUMBER(SEARCH("catch &amp; hold",E943)),ISNUMBER(SEARCH("tin cat",E943))),"Live Catch Traps",
OR(ISNUMBER(SEARCH("bait",E943)),ISNUMBER(SEARCH("poison",E943))),"Bait &amp; Poison",
ISNUMBER(SEARCH("repellent",E943)),"Repellents",
OR(ISNUMBER(SEARCH("fly trap",E943)),ISNUMBER(SEARCH("fly ribbon",E943)),ISNUMBER(SEARCH("fly stick",E943)),ISNUMBER(SEARCH("window fly",E943)),ISNUMBER(SEARCH("fly magnet",E943))),"Fly Traps",
OR(ISNUMBER(SEARCH("uv",E943)),ISNUMBER(SEARCH("fly light",E943)),ISNUMBER(SEARCH("plug-in",E943))),"UV Fly Traps",
ISNUMBER(SEARCH("roach",E943)),"Roach Traps",
ISNUMBER(SEARCH("ant",E943)),"Ant Traps",
ISNUMBER(SEARCH("spider",E943)),"Spider Traps",
ISNUMBER(SEARCH("mosquito",E943)),"Mosquito Traps",
ISNUMBER(SEARCH("beetle",E943)),"Beetle Traps",
ISNUMBER(SEARCH("lantern",E943)),"Lanternfly Control",
OR(ISNUMBER(SEARCH("tree shield",E943)),ISNUMBER(SEARCH("tree banding",E943)),ISNUMBER(SEARCH("insect barrier",E943))),"Tree Barriers",
OR(ISNUMBER(SEARCH("sun &amp; shade",E943)),ISNUMBER(SEARCH("sun and shade",E943))),"Sun &amp; Shade Mix",
ISNUMBER(SEARCH("tall fescue",E943)),"Tall Fescue",
ISNUMBER(SEARCH("bermudagrass",E943)),"Bermudagrass",
ISNUMBER(SEARCH("kentucky",E943)),"Kentucky Bluegrass",
ISNUMBER(SEARCH("zoysia",E943)),"Zoysia",
ISNUMBER(SEARCH("ryegrass",E943)),"Perennial Ryegrass",
ISNUMBER(SEARCH("centipede",E943)),"Centipede Grass",
ISNUMBER(SEARCH("dense shade",E943)),"Dense Shade Mix",
ISNUMBER(SEARCH("southern gold",E943)),"Southern Gold Mix",
ISNUMBER(SEARCH("heat-tolerant blue",E943)),"Heat-Tolerant Blue Mix",
ISNUMBER(SEARCH("high traffic",E943)),"High Traffic Mix",
ISNUMBER(SEARCH("quick fix",E943)),"Quick Fix Mix",
ISNUMBER(SEARCH("starter",E943)),"Starter Fertilizer",
ISNUMBER(SEARCH("weed &amp; feed",E943)),"Weed &amp; Feed",
ISNUMBER(SEARCH("lawn food",E943)),"Lawn Food",
ISNUMBER(SEARCH("triple action",E943)),"Triple Action Fertilizer",
ISNUMBER(SEARCH("green max",E943)),"Green Max Lawn Food",
ISNUMBER(SEARCH("patchmaster",E943)),"PatchMaster Repair",
ISNUMBER(SEARCH("ez seed",E943)),"EZ Seed Repair",
ISNUMBER(SEARCH("rapid grass",E943)),"Rapid Grass",
ISNUMBER(SEARCH("thick'r lawn",E943)),"Thick'R Lawn",
ISNUMBER(SEARCH("fungicide",E943)),"Fungicide",
ISNUMBER(SEARCH("moss",E943)),"Moss Control",
ISNUMBER(SEARCH("perlite",E943)),"Perlite",
ISNUMBER(SEARCH("plant food",E943)),"Plant Food",
ISNUMBER(SEARCH("spreader",E943)),"Spreader",
ISNUMBER(SEARCH("sprayer",E943)),"Sprayer",
ISNUMBER(SEARCH("mower",E943)),"Lawn Mower",
ISNUMBER(SEARCH("sweeper",E943)),"Lawn Sweeper",
OR(ISNUMBER(SEARCH("pruner",E943)),ISNUMBER(SEARCH("trimmer",E943)),ISNUMBER(SEARCH("pole saw",E943))),"Pruning Tools",
TRUE,"Other"
)</f>
        <v>Repellents</v>
      </c>
      <c r="J943" s="7" t="str">
        <f t="shared" ref="J943:J950" si="351">H943&amp;" - "&amp;I943</f>
        <v>Rodent Control - Repellents</v>
      </c>
      <c r="K943" s="4">
        <v>2000</v>
      </c>
      <c r="L943" s="4">
        <v>4.3</v>
      </c>
      <c r="M943" s="4">
        <v>14210</v>
      </c>
      <c r="N943" s="4" t="s">
        <v>4319</v>
      </c>
      <c r="O943" s="4">
        <f>VLOOKUP(A943,[23]Sheet1!$A:$M,2,0)</f>
        <v>4000</v>
      </c>
      <c r="P943" s="4">
        <f>VLOOKUP(A943,[23]Sheet1!$A:$M,3,0)</f>
        <v>3000</v>
      </c>
      <c r="Q943" s="4">
        <f>VLOOKUP(A943,[23]Sheet1!$A:$M,4,0)</f>
        <v>3000</v>
      </c>
      <c r="R943" s="4">
        <f>VLOOKUP(A943,[23]Sheet1!$A:$M,5,0)</f>
        <v>4000</v>
      </c>
      <c r="S943" s="4">
        <f>VLOOKUP(A943,[23]Sheet1!$A:$M,6,0)</f>
        <v>4000</v>
      </c>
      <c r="T943" s="4">
        <f>VLOOKUP(A943,[23]Sheet1!$A:$M,7,0)</f>
        <v>2000</v>
      </c>
      <c r="U943" s="4">
        <f>VLOOKUP(A943,[23]Sheet1!$A:$M,8,0)</f>
        <v>1000</v>
      </c>
      <c r="V943" s="4">
        <f>VLOOKUP(A943,[23]Sheet1!$A:$M,9,0)</f>
        <v>1000</v>
      </c>
      <c r="W943" s="4">
        <f>VLOOKUP(A943,[23]Sheet1!$A:$M,10,0)</f>
        <v>2000</v>
      </c>
      <c r="X943" s="4">
        <f>VLOOKUP(A943,[23]Sheet1!$A:$M,11,0)</f>
        <v>10000</v>
      </c>
      <c r="Y943" s="4">
        <f>VLOOKUP(A943,[23]Sheet1!$A:$M,12,0)</f>
        <v>10000</v>
      </c>
      <c r="Z943" s="4">
        <f>VLOOKUP(A943,[23]Sheet1!$A:$M,13,0)</f>
        <v>10000</v>
      </c>
      <c r="AA943" s="4">
        <f t="shared" ref="AA943:AA950" si="352">SUM(O943:Z943)</f>
        <v>54000</v>
      </c>
      <c r="AB943" s="7">
        <f t="shared" ref="AB943:AB950" si="353">ROUND(AA943/12,0)</f>
        <v>4500</v>
      </c>
      <c r="AC943" s="15">
        <f t="shared" ref="AC943:AC950" si="354">AVERAGE(O943:Z943)</f>
        <v>4500</v>
      </c>
      <c r="AD943" s="16">
        <f t="shared" ref="AD943:AD950" si="355">AG943*AA943</f>
        <v>1187460</v>
      </c>
      <c r="AE943" s="16">
        <f t="shared" ref="AE943:AE950" si="356">AG943*AC943</f>
        <v>98955</v>
      </c>
      <c r="AF943" s="21">
        <v>4.76</v>
      </c>
      <c r="AG943" s="21">
        <v>21.99</v>
      </c>
      <c r="AH943" s="15">
        <f t="shared" ref="AH943:AH950" si="357">0.1*AS943</f>
        <v>0.20239999999999997</v>
      </c>
      <c r="AI943" s="15">
        <f t="shared" ref="AI943:AI950" si="358">0.35*AS943</f>
        <v>0.70839999999999981</v>
      </c>
      <c r="AJ943" s="10">
        <v>0.5</v>
      </c>
      <c r="AK943" s="10">
        <v>0.5</v>
      </c>
      <c r="AL943" s="21">
        <v>4.76</v>
      </c>
      <c r="AM943" s="9">
        <f t="shared" ref="AM943:AM950" si="359">0.15*AG943</f>
        <v>3.2984999999999998</v>
      </c>
      <c r="AN943" s="9">
        <f t="shared" ref="AN943:AN950" si="360">0.03*AG943</f>
        <v>0.65969999999999995</v>
      </c>
      <c r="AO943" s="9">
        <f t="shared" ref="AO943:AO950" si="361">0.2*AG943</f>
        <v>4.3979999999999997</v>
      </c>
      <c r="AP943" s="9">
        <f t="shared" ref="AP943:AP950" si="362">0.02*AG943</f>
        <v>0.43979999999999997</v>
      </c>
      <c r="AQ943" s="9">
        <f t="shared" ref="AQ943:AQ950" si="363">0.2*AG943</f>
        <v>4.3979999999999997</v>
      </c>
      <c r="AR943" s="9">
        <f t="shared" ref="AR943:AR950" si="364">0.25*AG943</f>
        <v>5.4974999999999996</v>
      </c>
      <c r="AS943" s="11">
        <f t="shared" ref="AS943:AS950" si="365">(AG943*(1-(0.15+0.03+0.2+0.02))-AJ943-AK943-AL943-AQ943)/(1+0.1+0.4)</f>
        <v>2.0239999999999996</v>
      </c>
      <c r="AT943" s="12">
        <f t="shared" ref="AT943:AT950" si="366">(AG943*(1-(0.15+0.03+0.2+0.02))-AJ943-AK943-AL943-AR943)/(1+0.1+0.4)</f>
        <v>1.2909999999999997</v>
      </c>
    </row>
    <row r="944" spans="1:46" ht="16.5" x14ac:dyDescent="0.4">
      <c r="A944" s="4" t="s">
        <v>4284</v>
      </c>
      <c r="B944" s="4" t="s">
        <v>4291</v>
      </c>
      <c r="C944" s="4" t="s">
        <v>4291</v>
      </c>
      <c r="D944" s="4" t="s">
        <v>4296</v>
      </c>
      <c r="E944" s="4" t="s">
        <v>4304</v>
      </c>
      <c r="F944" s="4" t="s">
        <v>4312</v>
      </c>
      <c r="G944" s="7" t="str">
        <f>VLOOKUP(A944,[1]done!$A:$I,9,0)</f>
        <v>Rodent</v>
      </c>
      <c r="H944" s="7" t="str" cm="1">
        <f t="array" ref="H944">_xlfn.IFS(
OR(ISNUMBER(SEARCH("mouse",E944)),ISNUMBER(SEARCH("rat",E944)),ISNUMBER(SEARCH("mice",E944)),ISNUMBER(SEARCH("rodent",E944))),"Rodent Control",
OR(ISNUMBER(SEARCH("fly",E944)),ISNUMBER(SEARCH("gnat",E944)),ISNUMBER(SEARCH("insect",E944)),ISNUMBER(SEARCH("mosquito",E944))),"Flying Insect Control",
OR(ISNUMBER(SEARCH("roach",E944)),ISNUMBER(SEARCH("ant",E944)),ISNUMBER(SEARCH("spider",E944)),ISNUMBER(SEARCH("cricket",E944)),ISNUMBER(SEARCH("scorpion",E944)),ISNUMBER(SEARCH("centipede",E944)),ISNUMBER(SEARCH("beetle",E944))),"Crawling Insect Control",
OR(ISNUMBER(SEARCH("tree",E944)),ISNUMBER(SEARCH("lantern",E944)),ISNUMBER(SEARCH("garden",E944)),ISNUMBER(SEARCH("plant",E944))),"Garden Pest Control",
OR(ISNUMBER(SEARCH("grass seed",E944)),ISNUMBER(SEARCH("seed mix",E944))),"Grass Seed",
OR(ISNUMBER(SEARCH("lawn food",E944)),ISNUMBER(SEARCH("fertilizer",E944))),"Lawn Fertilizer",
OR(ISNUMBER(SEARCH("patch",E944)),ISNUMBER(SEARCH("repair",E944)),ISNUMBER(SEARCH("thick'r",E944)),ISNUMBER(SEARCH("thick'r lawn",E944)),ISNUMBER(SEARCH("rapid grass",E944))),"Lawn Repair",
OR(ISNUMBER(SEARCH("weed",E944)),ISNUMBER(SEARCH("crabgrass",E944))),"Weed Control",
OR(ISNUMBER(SEARCH("fungicide",E944)),ISNUMBER(SEARCH("moss",E944))),"Disease &amp; Moss Control",
OR(ISNUMBER(SEARCH("plant food",E944)),ISNUMBER(SEARCH("miracid",E944))),"Plant Nutrition",
OR(ISNUMBER(SEARCH("perlite",E944))),"Soil Amendment",
OR(ISNUMBER(SEARCH("spreader",E944)),ISNUMBER(SEARCH("sprayer",E944)),ISNUMBER(SEARCH("mower",E944)),ISNUMBER(SEARCH("sweeper",E944)),ISNUMBER(SEARCH("pruner",E944)),ISNUMBER(SEARCH("trimmer",E944)),ISNUMBER(SEARCH("pole saw",E944))),"Garden Equipment",
TRUE,"Other"
)</f>
        <v>Rodent Control</v>
      </c>
      <c r="I944" s="7" t="str" cm="1">
        <f t="array" ref="I944">_xlfn.IFS(
OR(ISNUMBER(SEARCH("glue trap",E944)),ISNUMBER(SEARCH("glue board",E944))),"Glue Traps",
OR(ISNUMBER(SEARCH("snap trap",E944)),ISNUMBER(SEARCH("power-kill",E944)),ISNUMBER(SEARCH("wide pedal",E944)),ISNUMBER(SEARCH("metal pedal",E944))),"Snap Traps",
OR(ISNUMBER(SEARCH("electronic",E944)),ISNUMBER(SEARCH("zapper",E944))),"Electronic Traps",
OR(ISNUMBER(SEARCH("live catch",E944)),ISNUMBER(SEARCH("multi-catch",E944)),ISNUMBER(SEARCH("catch &amp; hold",E944)),ISNUMBER(SEARCH("tin cat",E944))),"Live Catch Traps",
OR(ISNUMBER(SEARCH("bait",E944)),ISNUMBER(SEARCH("poison",E944))),"Bait &amp; Poison",
ISNUMBER(SEARCH("repellent",E944)),"Repellents",
OR(ISNUMBER(SEARCH("fly trap",E944)),ISNUMBER(SEARCH("fly ribbon",E944)),ISNUMBER(SEARCH("fly stick",E944)),ISNUMBER(SEARCH("window fly",E944)),ISNUMBER(SEARCH("fly magnet",E944))),"Fly Traps",
OR(ISNUMBER(SEARCH("uv",E944)),ISNUMBER(SEARCH("fly light",E944)),ISNUMBER(SEARCH("plug-in",E944))),"UV Fly Traps",
ISNUMBER(SEARCH("roach",E944)),"Roach Traps",
ISNUMBER(SEARCH("ant",E944)),"Ant Traps",
ISNUMBER(SEARCH("spider",E944)),"Spider Traps",
ISNUMBER(SEARCH("mosquito",E944)),"Mosquito Traps",
ISNUMBER(SEARCH("beetle",E944)),"Beetle Traps",
ISNUMBER(SEARCH("lantern",E944)),"Lanternfly Control",
OR(ISNUMBER(SEARCH("tree shield",E944)),ISNUMBER(SEARCH("tree banding",E944)),ISNUMBER(SEARCH("insect barrier",E944))),"Tree Barriers",
OR(ISNUMBER(SEARCH("sun &amp; shade",E944)),ISNUMBER(SEARCH("sun and shade",E944))),"Sun &amp; Shade Mix",
ISNUMBER(SEARCH("tall fescue",E944)),"Tall Fescue",
ISNUMBER(SEARCH("bermudagrass",E944)),"Bermudagrass",
ISNUMBER(SEARCH("kentucky",E944)),"Kentucky Bluegrass",
ISNUMBER(SEARCH("zoysia",E944)),"Zoysia",
ISNUMBER(SEARCH("ryegrass",E944)),"Perennial Ryegrass",
ISNUMBER(SEARCH("centipede",E944)),"Centipede Grass",
ISNUMBER(SEARCH("dense shade",E944)),"Dense Shade Mix",
ISNUMBER(SEARCH("southern gold",E944)),"Southern Gold Mix",
ISNUMBER(SEARCH("heat-tolerant blue",E944)),"Heat-Tolerant Blue Mix",
ISNUMBER(SEARCH("high traffic",E944)),"High Traffic Mix",
ISNUMBER(SEARCH("quick fix",E944)),"Quick Fix Mix",
ISNUMBER(SEARCH("starter",E944)),"Starter Fertilizer",
ISNUMBER(SEARCH("weed &amp; feed",E944)),"Weed &amp; Feed",
ISNUMBER(SEARCH("lawn food",E944)),"Lawn Food",
ISNUMBER(SEARCH("triple action",E944)),"Triple Action Fertilizer",
ISNUMBER(SEARCH("green max",E944)),"Green Max Lawn Food",
ISNUMBER(SEARCH("patchmaster",E944)),"PatchMaster Repair",
ISNUMBER(SEARCH("ez seed",E944)),"EZ Seed Repair",
ISNUMBER(SEARCH("rapid grass",E944)),"Rapid Grass",
ISNUMBER(SEARCH("thick'r lawn",E944)),"Thick'R Lawn",
ISNUMBER(SEARCH("fungicide",E944)),"Fungicide",
ISNUMBER(SEARCH("moss",E944)),"Moss Control",
ISNUMBER(SEARCH("perlite",E944)),"Perlite",
ISNUMBER(SEARCH("plant food",E944)),"Plant Food",
ISNUMBER(SEARCH("spreader",E944)),"Spreader",
ISNUMBER(SEARCH("sprayer",E944)),"Sprayer",
ISNUMBER(SEARCH("mower",E944)),"Lawn Mower",
ISNUMBER(SEARCH("sweeper",E944)),"Lawn Sweeper",
OR(ISNUMBER(SEARCH("pruner",E944)),ISNUMBER(SEARCH("trimmer",E944)),ISNUMBER(SEARCH("pole saw",E944))),"Pruning Tools",
TRUE,"Other"
)</f>
        <v>Repellents</v>
      </c>
      <c r="J944" s="7" t="str">
        <f t="shared" si="351"/>
        <v>Rodent Control - Repellents</v>
      </c>
      <c r="K944" s="4">
        <v>2000</v>
      </c>
      <c r="L944" s="4">
        <v>4.4000000000000004</v>
      </c>
      <c r="M944" s="4">
        <v>3120</v>
      </c>
      <c r="N944" s="4" t="s">
        <v>4320</v>
      </c>
      <c r="O944" s="4">
        <f>VLOOKUP(A944,[23]Sheet1!$A:$M,2,0)</f>
        <v>900</v>
      </c>
      <c r="P944" s="4">
        <f>VLOOKUP(A944,[23]Sheet1!$A:$M,3,0)</f>
        <v>600</v>
      </c>
      <c r="Q944" s="4">
        <f>VLOOKUP(A944,[23]Sheet1!$A:$M,4,0)</f>
        <v>400</v>
      </c>
      <c r="R944" s="4">
        <f>VLOOKUP(A944,[23]Sheet1!$A:$M,5,0)</f>
        <v>300</v>
      </c>
      <c r="S944" s="4">
        <f>VLOOKUP(A944,[23]Sheet1!$A:$M,6,0)</f>
        <v>500</v>
      </c>
      <c r="T944" s="4">
        <f>VLOOKUP(A944,[23]Sheet1!$A:$M,7,0)</f>
        <v>800</v>
      </c>
      <c r="U944" s="4">
        <f>VLOOKUP(A944,[23]Sheet1!$A:$M,8,0)</f>
        <v>600</v>
      </c>
      <c r="V944" s="4">
        <f>VLOOKUP(A944,[23]Sheet1!$A:$M,9,0)</f>
        <v>700</v>
      </c>
      <c r="W944" s="4">
        <f>VLOOKUP(A944,[23]Sheet1!$A:$M,10,0)</f>
        <v>2000</v>
      </c>
      <c r="X944" s="4">
        <f>VLOOKUP(A944,[23]Sheet1!$A:$M,11,0)</f>
        <v>3000</v>
      </c>
      <c r="Y944" s="4">
        <f>VLOOKUP(A944,[23]Sheet1!$A:$M,12,0)</f>
        <v>3000</v>
      </c>
      <c r="Z944" s="4">
        <f>VLOOKUP(A944,[23]Sheet1!$A:$M,13,0)</f>
        <v>1000</v>
      </c>
      <c r="AA944" s="4">
        <f t="shared" si="352"/>
        <v>13800</v>
      </c>
      <c r="AB944" s="7">
        <f t="shared" si="353"/>
        <v>1150</v>
      </c>
      <c r="AC944" s="15">
        <f t="shared" si="354"/>
        <v>1150</v>
      </c>
      <c r="AD944" s="16">
        <f t="shared" si="355"/>
        <v>689862</v>
      </c>
      <c r="AE944" s="16">
        <f t="shared" si="356"/>
        <v>57488.5</v>
      </c>
      <c r="AF944" s="21">
        <v>6.31</v>
      </c>
      <c r="AG944" s="21">
        <v>49.99</v>
      </c>
      <c r="AH944" s="15">
        <f t="shared" si="357"/>
        <v>0.84573333333333334</v>
      </c>
      <c r="AI944" s="15">
        <f t="shared" si="358"/>
        <v>2.9600666666666662</v>
      </c>
      <c r="AJ944" s="10">
        <v>0.5</v>
      </c>
      <c r="AK944" s="10">
        <v>0.5</v>
      </c>
      <c r="AL944" s="21">
        <v>6.31</v>
      </c>
      <c r="AM944" s="9">
        <f t="shared" si="359"/>
        <v>7.4984999999999999</v>
      </c>
      <c r="AN944" s="9">
        <f t="shared" si="360"/>
        <v>1.4997</v>
      </c>
      <c r="AO944" s="9">
        <f t="shared" si="361"/>
        <v>9.9980000000000011</v>
      </c>
      <c r="AP944" s="9">
        <f t="shared" si="362"/>
        <v>0.99980000000000002</v>
      </c>
      <c r="AQ944" s="9">
        <f t="shared" si="363"/>
        <v>9.9980000000000011</v>
      </c>
      <c r="AR944" s="9">
        <f t="shared" si="364"/>
        <v>12.4975</v>
      </c>
      <c r="AS944" s="11">
        <f t="shared" si="365"/>
        <v>8.4573333333333327</v>
      </c>
      <c r="AT944" s="12">
        <f t="shared" si="366"/>
        <v>6.7910000000000004</v>
      </c>
    </row>
    <row r="945" spans="1:46" ht="16.5" x14ac:dyDescent="0.4">
      <c r="A945" s="4" t="s">
        <v>4285</v>
      </c>
      <c r="B945" s="4" t="s">
        <v>4291</v>
      </c>
      <c r="C945" s="4" t="s">
        <v>4291</v>
      </c>
      <c r="D945" s="4" t="s">
        <v>4297</v>
      </c>
      <c r="E945" s="4" t="s">
        <v>4305</v>
      </c>
      <c r="F945" s="4" t="s">
        <v>4313</v>
      </c>
      <c r="G945" s="7" t="str">
        <f>VLOOKUP(A945,[1]done!$A:$I,9,0)</f>
        <v>Rodent</v>
      </c>
      <c r="H945" s="7" t="str" cm="1">
        <f t="array" ref="H945">_xlfn.IFS(
OR(ISNUMBER(SEARCH("mouse",E945)),ISNUMBER(SEARCH("rat",E945)),ISNUMBER(SEARCH("mice",E945)),ISNUMBER(SEARCH("rodent",E945))),"Rodent Control",
OR(ISNUMBER(SEARCH("fly",E945)),ISNUMBER(SEARCH("gnat",E945)),ISNUMBER(SEARCH("insect",E945)),ISNUMBER(SEARCH("mosquito",E945))),"Flying Insect Control",
OR(ISNUMBER(SEARCH("roach",E945)),ISNUMBER(SEARCH("ant",E945)),ISNUMBER(SEARCH("spider",E945)),ISNUMBER(SEARCH("cricket",E945)),ISNUMBER(SEARCH("scorpion",E945)),ISNUMBER(SEARCH("centipede",E945)),ISNUMBER(SEARCH("beetle",E945))),"Crawling Insect Control",
OR(ISNUMBER(SEARCH("tree",E945)),ISNUMBER(SEARCH("lantern",E945)),ISNUMBER(SEARCH("garden",E945)),ISNUMBER(SEARCH("plant",E945))),"Garden Pest Control",
OR(ISNUMBER(SEARCH("grass seed",E945)),ISNUMBER(SEARCH("seed mix",E945))),"Grass Seed",
OR(ISNUMBER(SEARCH("lawn food",E945)),ISNUMBER(SEARCH("fertilizer",E945))),"Lawn Fertilizer",
OR(ISNUMBER(SEARCH("patch",E945)),ISNUMBER(SEARCH("repair",E945)),ISNUMBER(SEARCH("thick'r",E945)),ISNUMBER(SEARCH("thick'r lawn",E945)),ISNUMBER(SEARCH("rapid grass",E945))),"Lawn Repair",
OR(ISNUMBER(SEARCH("weed",E945)),ISNUMBER(SEARCH("crabgrass",E945))),"Weed Control",
OR(ISNUMBER(SEARCH("fungicide",E945)),ISNUMBER(SEARCH("moss",E945))),"Disease &amp; Moss Control",
OR(ISNUMBER(SEARCH("plant food",E945)),ISNUMBER(SEARCH("miracid",E945))),"Plant Nutrition",
OR(ISNUMBER(SEARCH("perlite",E945))),"Soil Amendment",
OR(ISNUMBER(SEARCH("spreader",E945)),ISNUMBER(SEARCH("sprayer",E945)),ISNUMBER(SEARCH("mower",E945)),ISNUMBER(SEARCH("sweeper",E945)),ISNUMBER(SEARCH("pruner",E945)),ISNUMBER(SEARCH("trimmer",E945)),ISNUMBER(SEARCH("pole saw",E945))),"Garden Equipment",
TRUE,"Other"
)</f>
        <v>Rodent Control</v>
      </c>
      <c r="I945" s="7" t="str" cm="1">
        <f t="array" ref="I945">_xlfn.IFS(
OR(ISNUMBER(SEARCH("glue trap",E945)),ISNUMBER(SEARCH("glue board",E945))),"Glue Traps",
OR(ISNUMBER(SEARCH("snap trap",E945)),ISNUMBER(SEARCH("power-kill",E945)),ISNUMBER(SEARCH("wide pedal",E945)),ISNUMBER(SEARCH("metal pedal",E945))),"Snap Traps",
OR(ISNUMBER(SEARCH("electronic",E945)),ISNUMBER(SEARCH("zapper",E945))),"Electronic Traps",
OR(ISNUMBER(SEARCH("live catch",E945)),ISNUMBER(SEARCH("multi-catch",E945)),ISNUMBER(SEARCH("catch &amp; hold",E945)),ISNUMBER(SEARCH("tin cat",E945))),"Live Catch Traps",
OR(ISNUMBER(SEARCH("bait",E945)),ISNUMBER(SEARCH("poison",E945))),"Bait &amp; Poison",
ISNUMBER(SEARCH("repellent",E945)),"Repellents",
OR(ISNUMBER(SEARCH("fly trap",E945)),ISNUMBER(SEARCH("fly ribbon",E945)),ISNUMBER(SEARCH("fly stick",E945)),ISNUMBER(SEARCH("window fly",E945)),ISNUMBER(SEARCH("fly magnet",E945))),"Fly Traps",
OR(ISNUMBER(SEARCH("uv",E945)),ISNUMBER(SEARCH("fly light",E945)),ISNUMBER(SEARCH("plug-in",E945))),"UV Fly Traps",
ISNUMBER(SEARCH("roach",E945)),"Roach Traps",
ISNUMBER(SEARCH("ant",E945)),"Ant Traps",
ISNUMBER(SEARCH("spider",E945)),"Spider Traps",
ISNUMBER(SEARCH("mosquito",E945)),"Mosquito Traps",
ISNUMBER(SEARCH("beetle",E945)),"Beetle Traps",
ISNUMBER(SEARCH("lantern",E945)),"Lanternfly Control",
OR(ISNUMBER(SEARCH("tree shield",E945)),ISNUMBER(SEARCH("tree banding",E945)),ISNUMBER(SEARCH("insect barrier",E945))),"Tree Barriers",
OR(ISNUMBER(SEARCH("sun &amp; shade",E945)),ISNUMBER(SEARCH("sun and shade",E945))),"Sun &amp; Shade Mix",
ISNUMBER(SEARCH("tall fescue",E945)),"Tall Fescue",
ISNUMBER(SEARCH("bermudagrass",E945)),"Bermudagrass",
ISNUMBER(SEARCH("kentucky",E945)),"Kentucky Bluegrass",
ISNUMBER(SEARCH("zoysia",E945)),"Zoysia",
ISNUMBER(SEARCH("ryegrass",E945)),"Perennial Ryegrass",
ISNUMBER(SEARCH("centipede",E945)),"Centipede Grass",
ISNUMBER(SEARCH("dense shade",E945)),"Dense Shade Mix",
ISNUMBER(SEARCH("southern gold",E945)),"Southern Gold Mix",
ISNUMBER(SEARCH("heat-tolerant blue",E945)),"Heat-Tolerant Blue Mix",
ISNUMBER(SEARCH("high traffic",E945)),"High Traffic Mix",
ISNUMBER(SEARCH("quick fix",E945)),"Quick Fix Mix",
ISNUMBER(SEARCH("starter",E945)),"Starter Fertilizer",
ISNUMBER(SEARCH("weed &amp; feed",E945)),"Weed &amp; Feed",
ISNUMBER(SEARCH("lawn food",E945)),"Lawn Food",
ISNUMBER(SEARCH("triple action",E945)),"Triple Action Fertilizer",
ISNUMBER(SEARCH("green max",E945)),"Green Max Lawn Food",
ISNUMBER(SEARCH("patchmaster",E945)),"PatchMaster Repair",
ISNUMBER(SEARCH("ez seed",E945)),"EZ Seed Repair",
ISNUMBER(SEARCH("rapid grass",E945)),"Rapid Grass",
ISNUMBER(SEARCH("thick'r lawn",E945)),"Thick'R Lawn",
ISNUMBER(SEARCH("fungicide",E945)),"Fungicide",
ISNUMBER(SEARCH("moss",E945)),"Moss Control",
ISNUMBER(SEARCH("perlite",E945)),"Perlite",
ISNUMBER(SEARCH("plant food",E945)),"Plant Food",
ISNUMBER(SEARCH("spreader",E945)),"Spreader",
ISNUMBER(SEARCH("sprayer",E945)),"Sprayer",
ISNUMBER(SEARCH("mower",E945)),"Lawn Mower",
ISNUMBER(SEARCH("sweeper",E945)),"Lawn Sweeper",
OR(ISNUMBER(SEARCH("pruner",E945)),ISNUMBER(SEARCH("trimmer",E945)),ISNUMBER(SEARCH("pole saw",E945))),"Pruning Tools",
TRUE,"Other"
)</f>
        <v>Repellents</v>
      </c>
      <c r="J945" s="7" t="str">
        <f t="shared" si="351"/>
        <v>Rodent Control - Repellents</v>
      </c>
      <c r="K945" s="4">
        <v>1000</v>
      </c>
      <c r="L945" s="4">
        <v>4.3</v>
      </c>
      <c r="M945" s="4">
        <v>14210</v>
      </c>
      <c r="N945" s="4" t="s">
        <v>4321</v>
      </c>
      <c r="O945" s="4">
        <f>VLOOKUP(A945,[23]Sheet1!$A:$M,2,0)</f>
        <v>50</v>
      </c>
      <c r="P945" s="4">
        <f>VLOOKUP(A945,[23]Sheet1!$A:$M,3,0)</f>
        <v>50</v>
      </c>
      <c r="Q945" s="4">
        <f>VLOOKUP(A945,[23]Sheet1!$A:$M,4,0)</f>
        <v>50</v>
      </c>
      <c r="R945" s="4">
        <f>VLOOKUP(A945,[23]Sheet1!$A:$M,5,0)</f>
        <v>100</v>
      </c>
      <c r="S945" s="4">
        <f>VLOOKUP(A945,[23]Sheet1!$A:$M,6,0)</f>
        <v>50</v>
      </c>
      <c r="T945" s="4">
        <f>VLOOKUP(A945,[23]Sheet1!$A:$M,7,0)</f>
        <v>100</v>
      </c>
      <c r="U945" s="4">
        <f>VLOOKUP(A945,[23]Sheet1!$A:$M,8,0)</f>
        <v>400</v>
      </c>
      <c r="V945" s="4">
        <f>VLOOKUP(A945,[23]Sheet1!$A:$M,9,0)</f>
        <v>500</v>
      </c>
      <c r="W945" s="4">
        <f>VLOOKUP(A945,[23]Sheet1!$A:$M,10,0)</f>
        <v>1000</v>
      </c>
      <c r="X945" s="4">
        <f>VLOOKUP(A945,[23]Sheet1!$A:$M,11,0)</f>
        <v>500</v>
      </c>
      <c r="Y945" s="4">
        <f>VLOOKUP(A945,[23]Sheet1!$A:$M,12,0)</f>
        <v>500</v>
      </c>
      <c r="Z945" s="4">
        <f>VLOOKUP(A945,[23]Sheet1!$A:$M,13,0)</f>
        <v>100</v>
      </c>
      <c r="AA945" s="4">
        <f t="shared" si="352"/>
        <v>3400</v>
      </c>
      <c r="AB945" s="7">
        <f t="shared" si="353"/>
        <v>283</v>
      </c>
      <c r="AC945" s="15">
        <f t="shared" si="354"/>
        <v>283.33333333333331</v>
      </c>
      <c r="AD945" s="16">
        <f t="shared" si="355"/>
        <v>118966</v>
      </c>
      <c r="AE945" s="16">
        <f t="shared" si="356"/>
        <v>9913.8333333333339</v>
      </c>
      <c r="AF945" s="21">
        <v>5.61</v>
      </c>
      <c r="AG945" s="21">
        <v>34.99</v>
      </c>
      <c r="AH945" s="15">
        <f t="shared" si="357"/>
        <v>0.49239999999999995</v>
      </c>
      <c r="AI945" s="15">
        <f t="shared" si="358"/>
        <v>1.7233999999999998</v>
      </c>
      <c r="AJ945" s="10">
        <v>0.5</v>
      </c>
      <c r="AK945" s="10">
        <v>0.5</v>
      </c>
      <c r="AL945" s="21">
        <v>5.61</v>
      </c>
      <c r="AM945" s="9">
        <f t="shared" si="359"/>
        <v>5.2484999999999999</v>
      </c>
      <c r="AN945" s="9">
        <f t="shared" si="360"/>
        <v>1.0497000000000001</v>
      </c>
      <c r="AO945" s="9">
        <f t="shared" si="361"/>
        <v>6.9980000000000011</v>
      </c>
      <c r="AP945" s="9">
        <f t="shared" si="362"/>
        <v>0.69980000000000009</v>
      </c>
      <c r="AQ945" s="9">
        <f t="shared" si="363"/>
        <v>6.9980000000000011</v>
      </c>
      <c r="AR945" s="9">
        <f t="shared" si="364"/>
        <v>8.7475000000000005</v>
      </c>
      <c r="AS945" s="11">
        <f t="shared" si="365"/>
        <v>4.9239999999999995</v>
      </c>
      <c r="AT945" s="12">
        <f t="shared" si="366"/>
        <v>3.7576666666666667</v>
      </c>
    </row>
    <row r="946" spans="1:46" ht="16.5" x14ac:dyDescent="0.4">
      <c r="A946" s="4" t="s">
        <v>4286</v>
      </c>
      <c r="B946" s="4" t="s">
        <v>4291</v>
      </c>
      <c r="C946" s="4" t="s">
        <v>4292</v>
      </c>
      <c r="D946" s="4" t="s">
        <v>4298</v>
      </c>
      <c r="E946" s="4" t="s">
        <v>4306</v>
      </c>
      <c r="F946" s="4" t="s">
        <v>4314</v>
      </c>
      <c r="G946" s="7" t="str">
        <f>VLOOKUP(A946,[1]done!$A:$I,9,0)</f>
        <v>Rodent</v>
      </c>
      <c r="H946" s="7" t="str" cm="1">
        <f t="array" ref="H946">_xlfn.IFS(
OR(ISNUMBER(SEARCH("mouse",E946)),ISNUMBER(SEARCH("rat",E946)),ISNUMBER(SEARCH("mice",E946)),ISNUMBER(SEARCH("rodent",E946))),"Rodent Control",
OR(ISNUMBER(SEARCH("fly",E946)),ISNUMBER(SEARCH("gnat",E946)),ISNUMBER(SEARCH("insect",E946)),ISNUMBER(SEARCH("mosquito",E946))),"Flying Insect Control",
OR(ISNUMBER(SEARCH("roach",E946)),ISNUMBER(SEARCH("ant",E946)),ISNUMBER(SEARCH("spider",E946)),ISNUMBER(SEARCH("cricket",E946)),ISNUMBER(SEARCH("scorpion",E946)),ISNUMBER(SEARCH("centipede",E946)),ISNUMBER(SEARCH("beetle",E946))),"Crawling Insect Control",
OR(ISNUMBER(SEARCH("tree",E946)),ISNUMBER(SEARCH("lantern",E946)),ISNUMBER(SEARCH("garden",E946)),ISNUMBER(SEARCH("plant",E946))),"Garden Pest Control",
OR(ISNUMBER(SEARCH("grass seed",E946)),ISNUMBER(SEARCH("seed mix",E946))),"Grass Seed",
OR(ISNUMBER(SEARCH("lawn food",E946)),ISNUMBER(SEARCH("fertilizer",E946))),"Lawn Fertilizer",
OR(ISNUMBER(SEARCH("patch",E946)),ISNUMBER(SEARCH("repair",E946)),ISNUMBER(SEARCH("thick'r",E946)),ISNUMBER(SEARCH("thick'r lawn",E946)),ISNUMBER(SEARCH("rapid grass",E946))),"Lawn Repair",
OR(ISNUMBER(SEARCH("weed",E946)),ISNUMBER(SEARCH("crabgrass",E946))),"Weed Control",
OR(ISNUMBER(SEARCH("fungicide",E946)),ISNUMBER(SEARCH("moss",E946))),"Disease &amp; Moss Control",
OR(ISNUMBER(SEARCH("plant food",E946)),ISNUMBER(SEARCH("miracid",E946))),"Plant Nutrition",
OR(ISNUMBER(SEARCH("perlite",E946))),"Soil Amendment",
OR(ISNUMBER(SEARCH("spreader",E946)),ISNUMBER(SEARCH("sprayer",E946)),ISNUMBER(SEARCH("mower",E946)),ISNUMBER(SEARCH("sweeper",E946)),ISNUMBER(SEARCH("pruner",E946)),ISNUMBER(SEARCH("trimmer",E946)),ISNUMBER(SEARCH("pole saw",E946))),"Garden Equipment",
TRUE,"Other"
)</f>
        <v>Rodent Control</v>
      </c>
      <c r="I946" s="7" t="str" cm="1">
        <f t="array" ref="I946">_xlfn.IFS(
OR(ISNUMBER(SEARCH("glue trap",E946)),ISNUMBER(SEARCH("glue board",E946))),"Glue Traps",
OR(ISNUMBER(SEARCH("snap trap",E946)),ISNUMBER(SEARCH("power-kill",E946)),ISNUMBER(SEARCH("wide pedal",E946)),ISNUMBER(SEARCH("metal pedal",E946))),"Snap Traps",
OR(ISNUMBER(SEARCH("electronic",E946)),ISNUMBER(SEARCH("zapper",E946))),"Electronic Traps",
OR(ISNUMBER(SEARCH("live catch",E946)),ISNUMBER(SEARCH("multi-catch",E946)),ISNUMBER(SEARCH("catch &amp; hold",E946)),ISNUMBER(SEARCH("tin cat",E946))),"Live Catch Traps",
OR(ISNUMBER(SEARCH("bait",E946)),ISNUMBER(SEARCH("poison",E946))),"Bait &amp; Poison",
ISNUMBER(SEARCH("repellent",E946)),"Repellents",
OR(ISNUMBER(SEARCH("fly trap",E946)),ISNUMBER(SEARCH("fly ribbon",E946)),ISNUMBER(SEARCH("fly stick",E946)),ISNUMBER(SEARCH("window fly",E946)),ISNUMBER(SEARCH("fly magnet",E946))),"Fly Traps",
OR(ISNUMBER(SEARCH("uv",E946)),ISNUMBER(SEARCH("fly light",E946)),ISNUMBER(SEARCH("plug-in",E946))),"UV Fly Traps",
ISNUMBER(SEARCH("roach",E946)),"Roach Traps",
ISNUMBER(SEARCH("ant",E946)),"Ant Traps",
ISNUMBER(SEARCH("spider",E946)),"Spider Traps",
ISNUMBER(SEARCH("mosquito",E946)),"Mosquito Traps",
ISNUMBER(SEARCH("beetle",E946)),"Beetle Traps",
ISNUMBER(SEARCH("lantern",E946)),"Lanternfly Control",
OR(ISNUMBER(SEARCH("tree shield",E946)),ISNUMBER(SEARCH("tree banding",E946)),ISNUMBER(SEARCH("insect barrier",E946))),"Tree Barriers",
OR(ISNUMBER(SEARCH("sun &amp; shade",E946)),ISNUMBER(SEARCH("sun and shade",E946))),"Sun &amp; Shade Mix",
ISNUMBER(SEARCH("tall fescue",E946)),"Tall Fescue",
ISNUMBER(SEARCH("bermudagrass",E946)),"Bermudagrass",
ISNUMBER(SEARCH("kentucky",E946)),"Kentucky Bluegrass",
ISNUMBER(SEARCH("zoysia",E946)),"Zoysia",
ISNUMBER(SEARCH("ryegrass",E946)),"Perennial Ryegrass",
ISNUMBER(SEARCH("centipede",E946)),"Centipede Grass",
ISNUMBER(SEARCH("dense shade",E946)),"Dense Shade Mix",
ISNUMBER(SEARCH("southern gold",E946)),"Southern Gold Mix",
ISNUMBER(SEARCH("heat-tolerant blue",E946)),"Heat-Tolerant Blue Mix",
ISNUMBER(SEARCH("high traffic",E946)),"High Traffic Mix",
ISNUMBER(SEARCH("quick fix",E946)),"Quick Fix Mix",
ISNUMBER(SEARCH("starter",E946)),"Starter Fertilizer",
ISNUMBER(SEARCH("weed &amp; feed",E946)),"Weed &amp; Feed",
ISNUMBER(SEARCH("lawn food",E946)),"Lawn Food",
ISNUMBER(SEARCH("triple action",E946)),"Triple Action Fertilizer",
ISNUMBER(SEARCH("green max",E946)),"Green Max Lawn Food",
ISNUMBER(SEARCH("patchmaster",E946)),"PatchMaster Repair",
ISNUMBER(SEARCH("ez seed",E946)),"EZ Seed Repair",
ISNUMBER(SEARCH("rapid grass",E946)),"Rapid Grass",
ISNUMBER(SEARCH("thick'r lawn",E946)),"Thick'R Lawn",
ISNUMBER(SEARCH("fungicide",E946)),"Fungicide",
ISNUMBER(SEARCH("moss",E946)),"Moss Control",
ISNUMBER(SEARCH("perlite",E946)),"Perlite",
ISNUMBER(SEARCH("plant food",E946)),"Plant Food",
ISNUMBER(SEARCH("spreader",E946)),"Spreader",
ISNUMBER(SEARCH("sprayer",E946)),"Sprayer",
ISNUMBER(SEARCH("mower",E946)),"Lawn Mower",
ISNUMBER(SEARCH("sweeper",E946)),"Lawn Sweeper",
OR(ISNUMBER(SEARCH("pruner",E946)),ISNUMBER(SEARCH("trimmer",E946)),ISNUMBER(SEARCH("pole saw",E946))),"Pruning Tools",
TRUE,"Other"
)</f>
        <v>Repellents</v>
      </c>
      <c r="J946" s="7" t="str">
        <f t="shared" si="351"/>
        <v>Rodent Control - Repellents</v>
      </c>
      <c r="K946" s="4">
        <v>1000</v>
      </c>
      <c r="L946" s="4">
        <v>4.3</v>
      </c>
      <c r="M946" s="4">
        <v>14209</v>
      </c>
      <c r="N946" s="4" t="s">
        <v>4322</v>
      </c>
      <c r="O946" s="4">
        <f>VLOOKUP(A946,[23]Sheet1!$A:$M,2,0)</f>
        <v>200</v>
      </c>
      <c r="P946" s="4">
        <f>VLOOKUP(A946,[23]Sheet1!$A:$M,3,0)</f>
        <v>100</v>
      </c>
      <c r="Q946" s="4">
        <f>VLOOKUP(A946,[23]Sheet1!$A:$M,4,0)</f>
        <v>50</v>
      </c>
      <c r="R946" s="4">
        <f>VLOOKUP(A946,[23]Sheet1!$A:$M,5,0)</f>
        <v>50</v>
      </c>
      <c r="S946" s="4">
        <f>VLOOKUP(A946,[23]Sheet1!$A:$M,6,0)</f>
        <v>50</v>
      </c>
      <c r="T946" s="4">
        <f>VLOOKUP(A946,[23]Sheet1!$A:$M,7,0)</f>
        <v>100</v>
      </c>
      <c r="U946" s="4">
        <f>VLOOKUP(A946,[23]Sheet1!$A:$M,8,0)</f>
        <v>300</v>
      </c>
      <c r="V946" s="4">
        <f>VLOOKUP(A946,[23]Sheet1!$A:$M,9,0)</f>
        <v>400</v>
      </c>
      <c r="W946" s="4">
        <f>VLOOKUP(A946,[23]Sheet1!$A:$M,10,0)</f>
        <v>1000</v>
      </c>
      <c r="X946" s="4">
        <f>VLOOKUP(A946,[23]Sheet1!$A:$M,11,0)</f>
        <v>700</v>
      </c>
      <c r="Y946" s="4">
        <f>VLOOKUP(A946,[23]Sheet1!$A:$M,12,0)</f>
        <v>500</v>
      </c>
      <c r="Z946" s="4">
        <f>VLOOKUP(A946,[23]Sheet1!$A:$M,13,0)</f>
        <v>200</v>
      </c>
      <c r="AA946" s="4">
        <f t="shared" si="352"/>
        <v>3650</v>
      </c>
      <c r="AB946" s="7">
        <f t="shared" si="353"/>
        <v>304</v>
      </c>
      <c r="AC946" s="15">
        <f t="shared" si="354"/>
        <v>304.16666666666669</v>
      </c>
      <c r="AD946" s="16">
        <f t="shared" si="355"/>
        <v>237213.49999999997</v>
      </c>
      <c r="AE946" s="16">
        <f t="shared" si="356"/>
        <v>19767.791666666668</v>
      </c>
      <c r="AF946" s="21">
        <v>4.62</v>
      </c>
      <c r="AG946" s="21">
        <v>64.989999999999995</v>
      </c>
      <c r="AH946" s="15">
        <f t="shared" si="357"/>
        <v>1.3583999999999998</v>
      </c>
      <c r="AI946" s="15">
        <f t="shared" si="358"/>
        <v>4.7543999999999986</v>
      </c>
      <c r="AJ946" s="10">
        <v>0.5</v>
      </c>
      <c r="AK946" s="10">
        <v>0.5</v>
      </c>
      <c r="AL946" s="21">
        <v>4.62</v>
      </c>
      <c r="AM946" s="9">
        <f t="shared" si="359"/>
        <v>9.7484999999999982</v>
      </c>
      <c r="AN946" s="9">
        <f t="shared" si="360"/>
        <v>1.9496999999999998</v>
      </c>
      <c r="AO946" s="9">
        <f t="shared" si="361"/>
        <v>12.997999999999999</v>
      </c>
      <c r="AP946" s="9">
        <f t="shared" si="362"/>
        <v>1.2997999999999998</v>
      </c>
      <c r="AQ946" s="9">
        <f t="shared" si="363"/>
        <v>12.997999999999999</v>
      </c>
      <c r="AR946" s="9">
        <f t="shared" si="364"/>
        <v>16.247499999999999</v>
      </c>
      <c r="AS946" s="11">
        <f t="shared" si="365"/>
        <v>13.583999999999998</v>
      </c>
      <c r="AT946" s="12">
        <f t="shared" si="366"/>
        <v>11.417666666666664</v>
      </c>
    </row>
    <row r="947" spans="1:46" ht="16.5" x14ac:dyDescent="0.4">
      <c r="A947" s="4" t="s">
        <v>4287</v>
      </c>
      <c r="B947" s="4" t="s">
        <v>4291</v>
      </c>
      <c r="C947" s="4" t="s">
        <v>4293</v>
      </c>
      <c r="D947" s="4" t="s">
        <v>4299</v>
      </c>
      <c r="E947" s="4" t="s">
        <v>4307</v>
      </c>
      <c r="F947" s="4" t="s">
        <v>4315</v>
      </c>
      <c r="G947" s="7" t="str">
        <f>VLOOKUP(A947,[1]done!$A:$I,9,0)</f>
        <v>Rodent</v>
      </c>
      <c r="H947" s="7" t="str" cm="1">
        <f t="array" ref="H947">_xlfn.IFS(
OR(ISNUMBER(SEARCH("mouse",E947)),ISNUMBER(SEARCH("rat",E947)),ISNUMBER(SEARCH("mice",E947)),ISNUMBER(SEARCH("rodent",E947))),"Rodent Control",
OR(ISNUMBER(SEARCH("fly",E947)),ISNUMBER(SEARCH("gnat",E947)),ISNUMBER(SEARCH("insect",E947)),ISNUMBER(SEARCH("mosquito",E947))),"Flying Insect Control",
OR(ISNUMBER(SEARCH("roach",E947)),ISNUMBER(SEARCH("ant",E947)),ISNUMBER(SEARCH("spider",E947)),ISNUMBER(SEARCH("cricket",E947)),ISNUMBER(SEARCH("scorpion",E947)),ISNUMBER(SEARCH("centipede",E947)),ISNUMBER(SEARCH("beetle",E947))),"Crawling Insect Control",
OR(ISNUMBER(SEARCH("tree",E947)),ISNUMBER(SEARCH("lantern",E947)),ISNUMBER(SEARCH("garden",E947)),ISNUMBER(SEARCH("plant",E947))),"Garden Pest Control",
OR(ISNUMBER(SEARCH("grass seed",E947)),ISNUMBER(SEARCH("seed mix",E947))),"Grass Seed",
OR(ISNUMBER(SEARCH("lawn food",E947)),ISNUMBER(SEARCH("fertilizer",E947))),"Lawn Fertilizer",
OR(ISNUMBER(SEARCH("patch",E947)),ISNUMBER(SEARCH("repair",E947)),ISNUMBER(SEARCH("thick'r",E947)),ISNUMBER(SEARCH("thick'r lawn",E947)),ISNUMBER(SEARCH("rapid grass",E947))),"Lawn Repair",
OR(ISNUMBER(SEARCH("weed",E947)),ISNUMBER(SEARCH("crabgrass",E947))),"Weed Control",
OR(ISNUMBER(SEARCH("fungicide",E947)),ISNUMBER(SEARCH("moss",E947))),"Disease &amp; Moss Control",
OR(ISNUMBER(SEARCH("plant food",E947)),ISNUMBER(SEARCH("miracid",E947))),"Plant Nutrition",
OR(ISNUMBER(SEARCH("perlite",E947))),"Soil Amendment",
OR(ISNUMBER(SEARCH("spreader",E947)),ISNUMBER(SEARCH("sprayer",E947)),ISNUMBER(SEARCH("mower",E947)),ISNUMBER(SEARCH("sweeper",E947)),ISNUMBER(SEARCH("pruner",E947)),ISNUMBER(SEARCH("trimmer",E947)),ISNUMBER(SEARCH("pole saw",E947))),"Garden Equipment",
TRUE,"Other"
)</f>
        <v>Rodent Control</v>
      </c>
      <c r="I947" s="7" t="str" cm="1">
        <f t="array" ref="I947">_xlfn.IFS(
OR(ISNUMBER(SEARCH("glue trap",E947)),ISNUMBER(SEARCH("glue board",E947))),"Glue Traps",
OR(ISNUMBER(SEARCH("snap trap",E947)),ISNUMBER(SEARCH("power-kill",E947)),ISNUMBER(SEARCH("wide pedal",E947)),ISNUMBER(SEARCH("metal pedal",E947))),"Snap Traps",
OR(ISNUMBER(SEARCH("electronic",E947)),ISNUMBER(SEARCH("zapper",E947))),"Electronic Traps",
OR(ISNUMBER(SEARCH("live catch",E947)),ISNUMBER(SEARCH("multi-catch",E947)),ISNUMBER(SEARCH("catch &amp; hold",E947)),ISNUMBER(SEARCH("tin cat",E947))),"Live Catch Traps",
OR(ISNUMBER(SEARCH("bait",E947)),ISNUMBER(SEARCH("poison",E947))),"Bait &amp; Poison",
ISNUMBER(SEARCH("repellent",E947)),"Repellents",
OR(ISNUMBER(SEARCH("fly trap",E947)),ISNUMBER(SEARCH("fly ribbon",E947)),ISNUMBER(SEARCH("fly stick",E947)),ISNUMBER(SEARCH("window fly",E947)),ISNUMBER(SEARCH("fly magnet",E947))),"Fly Traps",
OR(ISNUMBER(SEARCH("uv",E947)),ISNUMBER(SEARCH("fly light",E947)),ISNUMBER(SEARCH("plug-in",E947))),"UV Fly Traps",
ISNUMBER(SEARCH("roach",E947)),"Roach Traps",
ISNUMBER(SEARCH("ant",E947)),"Ant Traps",
ISNUMBER(SEARCH("spider",E947)),"Spider Traps",
ISNUMBER(SEARCH("mosquito",E947)),"Mosquito Traps",
ISNUMBER(SEARCH("beetle",E947)),"Beetle Traps",
ISNUMBER(SEARCH("lantern",E947)),"Lanternfly Control",
OR(ISNUMBER(SEARCH("tree shield",E947)),ISNUMBER(SEARCH("tree banding",E947)),ISNUMBER(SEARCH("insect barrier",E947))),"Tree Barriers",
OR(ISNUMBER(SEARCH("sun &amp; shade",E947)),ISNUMBER(SEARCH("sun and shade",E947))),"Sun &amp; Shade Mix",
ISNUMBER(SEARCH("tall fescue",E947)),"Tall Fescue",
ISNUMBER(SEARCH("bermudagrass",E947)),"Bermudagrass",
ISNUMBER(SEARCH("kentucky",E947)),"Kentucky Bluegrass",
ISNUMBER(SEARCH("zoysia",E947)),"Zoysia",
ISNUMBER(SEARCH("ryegrass",E947)),"Perennial Ryegrass",
ISNUMBER(SEARCH("centipede",E947)),"Centipede Grass",
ISNUMBER(SEARCH("dense shade",E947)),"Dense Shade Mix",
ISNUMBER(SEARCH("southern gold",E947)),"Southern Gold Mix",
ISNUMBER(SEARCH("heat-tolerant blue",E947)),"Heat-Tolerant Blue Mix",
ISNUMBER(SEARCH("high traffic",E947)),"High Traffic Mix",
ISNUMBER(SEARCH("quick fix",E947)),"Quick Fix Mix",
ISNUMBER(SEARCH("starter",E947)),"Starter Fertilizer",
ISNUMBER(SEARCH("weed &amp; feed",E947)),"Weed &amp; Feed",
ISNUMBER(SEARCH("lawn food",E947)),"Lawn Food",
ISNUMBER(SEARCH("triple action",E947)),"Triple Action Fertilizer",
ISNUMBER(SEARCH("green max",E947)),"Green Max Lawn Food",
ISNUMBER(SEARCH("patchmaster",E947)),"PatchMaster Repair",
ISNUMBER(SEARCH("ez seed",E947)),"EZ Seed Repair",
ISNUMBER(SEARCH("rapid grass",E947)),"Rapid Grass",
ISNUMBER(SEARCH("thick'r lawn",E947)),"Thick'R Lawn",
ISNUMBER(SEARCH("fungicide",E947)),"Fungicide",
ISNUMBER(SEARCH("moss",E947)),"Moss Control",
ISNUMBER(SEARCH("perlite",E947)),"Perlite",
ISNUMBER(SEARCH("plant food",E947)),"Plant Food",
ISNUMBER(SEARCH("spreader",E947)),"Spreader",
ISNUMBER(SEARCH("sprayer",E947)),"Sprayer",
ISNUMBER(SEARCH("mower",E947)),"Lawn Mower",
ISNUMBER(SEARCH("sweeper",E947)),"Lawn Sweeper",
OR(ISNUMBER(SEARCH("pruner",E947)),ISNUMBER(SEARCH("trimmer",E947)),ISNUMBER(SEARCH("pole saw",E947))),"Pruning Tools",
TRUE,"Other"
)</f>
        <v>Repellents</v>
      </c>
      <c r="J947" s="7" t="str">
        <f t="shared" si="351"/>
        <v>Rodent Control - Repellents</v>
      </c>
      <c r="K947" s="4">
        <v>1000</v>
      </c>
      <c r="L947" s="4">
        <v>4.3</v>
      </c>
      <c r="M947" s="4">
        <v>1826</v>
      </c>
      <c r="N947" s="4" t="s">
        <v>1094</v>
      </c>
      <c r="O947" s="4">
        <f>VLOOKUP(A947,[23]Sheet1!$A:$M,2,0)</f>
        <v>0</v>
      </c>
      <c r="P947" s="4">
        <f>VLOOKUP(A947,[23]Sheet1!$A:$M,3,0)</f>
        <v>0</v>
      </c>
      <c r="Q947" s="4">
        <f>VLOOKUP(A947,[23]Sheet1!$A:$M,4,0)</f>
        <v>0</v>
      </c>
      <c r="R947" s="4">
        <f>VLOOKUP(A947,[23]Sheet1!$A:$M,5,0)</f>
        <v>0</v>
      </c>
      <c r="S947" s="4">
        <f>VLOOKUP(A947,[23]Sheet1!$A:$M,6,0)</f>
        <v>50</v>
      </c>
      <c r="T947" s="4">
        <f>VLOOKUP(A947,[23]Sheet1!$A:$M,7,0)</f>
        <v>100</v>
      </c>
      <c r="U947" s="4">
        <f>VLOOKUP(A947,[23]Sheet1!$A:$M,8,0)</f>
        <v>100</v>
      </c>
      <c r="V947" s="4">
        <f>VLOOKUP(A947,[23]Sheet1!$A:$M,9,0)</f>
        <v>200</v>
      </c>
      <c r="W947" s="4">
        <f>VLOOKUP(A947,[23]Sheet1!$A:$M,10,0)</f>
        <v>1000</v>
      </c>
      <c r="X947" s="4">
        <f>VLOOKUP(A947,[23]Sheet1!$A:$M,11,0)</f>
        <v>100</v>
      </c>
      <c r="Y947" s="4">
        <f>VLOOKUP(A947,[23]Sheet1!$A:$M,12,0)</f>
        <v>100</v>
      </c>
      <c r="Z947" s="4">
        <f>VLOOKUP(A947,[23]Sheet1!$A:$M,13,0)</f>
        <v>50</v>
      </c>
      <c r="AA947" s="4">
        <f t="shared" si="352"/>
        <v>1700</v>
      </c>
      <c r="AB947" s="7">
        <f t="shared" si="353"/>
        <v>142</v>
      </c>
      <c r="AC947" s="15">
        <f t="shared" si="354"/>
        <v>141.66666666666666</v>
      </c>
      <c r="AD947" s="16">
        <f t="shared" si="355"/>
        <v>41157</v>
      </c>
      <c r="AE947" s="16">
        <f t="shared" si="356"/>
        <v>3429.75</v>
      </c>
      <c r="AF947" s="21">
        <v>4.3499999999999996</v>
      </c>
      <c r="AG947" s="21">
        <v>24.21</v>
      </c>
      <c r="AH947" s="15">
        <f t="shared" si="357"/>
        <v>0.28893333333333332</v>
      </c>
      <c r="AI947" s="15">
        <f t="shared" si="358"/>
        <v>1.0112666666666665</v>
      </c>
      <c r="AJ947" s="10">
        <v>0.5</v>
      </c>
      <c r="AK947" s="10">
        <v>0.5</v>
      </c>
      <c r="AL947" s="21">
        <v>4.3499999999999996</v>
      </c>
      <c r="AM947" s="9">
        <f t="shared" si="359"/>
        <v>3.6315</v>
      </c>
      <c r="AN947" s="9">
        <f t="shared" si="360"/>
        <v>0.72629999999999995</v>
      </c>
      <c r="AO947" s="9">
        <f t="shared" si="361"/>
        <v>4.8420000000000005</v>
      </c>
      <c r="AP947" s="9">
        <f t="shared" si="362"/>
        <v>0.48420000000000002</v>
      </c>
      <c r="AQ947" s="9">
        <f t="shared" si="363"/>
        <v>4.8420000000000005</v>
      </c>
      <c r="AR947" s="9">
        <f t="shared" si="364"/>
        <v>6.0525000000000002</v>
      </c>
      <c r="AS947" s="11">
        <f t="shared" si="365"/>
        <v>2.8893333333333331</v>
      </c>
      <c r="AT947" s="12">
        <f t="shared" si="366"/>
        <v>2.0823333333333331</v>
      </c>
    </row>
    <row r="948" spans="1:46" ht="16.5" x14ac:dyDescent="0.4">
      <c r="A948" s="4" t="s">
        <v>4288</v>
      </c>
      <c r="B948" s="4" t="s">
        <v>4291</v>
      </c>
      <c r="C948" s="4" t="s">
        <v>4291</v>
      </c>
      <c r="D948" s="4" t="s">
        <v>4300</v>
      </c>
      <c r="E948" s="4" t="s">
        <v>4308</v>
      </c>
      <c r="F948" s="4" t="s">
        <v>4316</v>
      </c>
      <c r="G948" s="7" t="str">
        <f>VLOOKUP(A948,[1]done!$A:$I,9,0)</f>
        <v>Rodent</v>
      </c>
      <c r="H948" s="7" t="str" cm="1">
        <f t="array" ref="H948">_xlfn.IFS(
OR(ISNUMBER(SEARCH("mouse",E948)),ISNUMBER(SEARCH("rat",E948)),ISNUMBER(SEARCH("mice",E948)),ISNUMBER(SEARCH("rodent",E948))),"Rodent Control",
OR(ISNUMBER(SEARCH("fly",E948)),ISNUMBER(SEARCH("gnat",E948)),ISNUMBER(SEARCH("insect",E948)),ISNUMBER(SEARCH("mosquito",E948))),"Flying Insect Control",
OR(ISNUMBER(SEARCH("roach",E948)),ISNUMBER(SEARCH("ant",E948)),ISNUMBER(SEARCH("spider",E948)),ISNUMBER(SEARCH("cricket",E948)),ISNUMBER(SEARCH("scorpion",E948)),ISNUMBER(SEARCH("centipede",E948)),ISNUMBER(SEARCH("beetle",E948))),"Crawling Insect Control",
OR(ISNUMBER(SEARCH("tree",E948)),ISNUMBER(SEARCH("lantern",E948)),ISNUMBER(SEARCH("garden",E948)),ISNUMBER(SEARCH("plant",E948))),"Garden Pest Control",
OR(ISNUMBER(SEARCH("grass seed",E948)),ISNUMBER(SEARCH("seed mix",E948))),"Grass Seed",
OR(ISNUMBER(SEARCH("lawn food",E948)),ISNUMBER(SEARCH("fertilizer",E948))),"Lawn Fertilizer",
OR(ISNUMBER(SEARCH("patch",E948)),ISNUMBER(SEARCH("repair",E948)),ISNUMBER(SEARCH("thick'r",E948)),ISNUMBER(SEARCH("thick'r lawn",E948)),ISNUMBER(SEARCH("rapid grass",E948))),"Lawn Repair",
OR(ISNUMBER(SEARCH("weed",E948)),ISNUMBER(SEARCH("crabgrass",E948))),"Weed Control",
OR(ISNUMBER(SEARCH("fungicide",E948)),ISNUMBER(SEARCH("moss",E948))),"Disease &amp; Moss Control",
OR(ISNUMBER(SEARCH("plant food",E948)),ISNUMBER(SEARCH("miracid",E948))),"Plant Nutrition",
OR(ISNUMBER(SEARCH("perlite",E948))),"Soil Amendment",
OR(ISNUMBER(SEARCH("spreader",E948)),ISNUMBER(SEARCH("sprayer",E948)),ISNUMBER(SEARCH("mower",E948)),ISNUMBER(SEARCH("sweeper",E948)),ISNUMBER(SEARCH("pruner",E948)),ISNUMBER(SEARCH("trimmer",E948)),ISNUMBER(SEARCH("pole saw",E948))),"Garden Equipment",
TRUE,"Other"
)</f>
        <v>Rodent Control</v>
      </c>
      <c r="I948" s="7" t="str" cm="1">
        <f t="array" ref="I948">_xlfn.IFS(
OR(ISNUMBER(SEARCH("glue trap",E948)),ISNUMBER(SEARCH("glue board",E948))),"Glue Traps",
OR(ISNUMBER(SEARCH("snap trap",E948)),ISNUMBER(SEARCH("power-kill",E948)),ISNUMBER(SEARCH("wide pedal",E948)),ISNUMBER(SEARCH("metal pedal",E948))),"Snap Traps",
OR(ISNUMBER(SEARCH("electronic",E948)),ISNUMBER(SEARCH("zapper",E948))),"Electronic Traps",
OR(ISNUMBER(SEARCH("live catch",E948)),ISNUMBER(SEARCH("multi-catch",E948)),ISNUMBER(SEARCH("catch &amp; hold",E948)),ISNUMBER(SEARCH("tin cat",E948))),"Live Catch Traps",
OR(ISNUMBER(SEARCH("bait",E948)),ISNUMBER(SEARCH("poison",E948))),"Bait &amp; Poison",
ISNUMBER(SEARCH("repellent",E948)),"Repellents",
OR(ISNUMBER(SEARCH("fly trap",E948)),ISNUMBER(SEARCH("fly ribbon",E948)),ISNUMBER(SEARCH("fly stick",E948)),ISNUMBER(SEARCH("window fly",E948)),ISNUMBER(SEARCH("fly magnet",E948))),"Fly Traps",
OR(ISNUMBER(SEARCH("uv",E948)),ISNUMBER(SEARCH("fly light",E948)),ISNUMBER(SEARCH("plug-in",E948))),"UV Fly Traps",
ISNUMBER(SEARCH("roach",E948)),"Roach Traps",
ISNUMBER(SEARCH("ant",E948)),"Ant Traps",
ISNUMBER(SEARCH("spider",E948)),"Spider Traps",
ISNUMBER(SEARCH("mosquito",E948)),"Mosquito Traps",
ISNUMBER(SEARCH("beetle",E948)),"Beetle Traps",
ISNUMBER(SEARCH("lantern",E948)),"Lanternfly Control",
OR(ISNUMBER(SEARCH("tree shield",E948)),ISNUMBER(SEARCH("tree banding",E948)),ISNUMBER(SEARCH("insect barrier",E948))),"Tree Barriers",
OR(ISNUMBER(SEARCH("sun &amp; shade",E948)),ISNUMBER(SEARCH("sun and shade",E948))),"Sun &amp; Shade Mix",
ISNUMBER(SEARCH("tall fescue",E948)),"Tall Fescue",
ISNUMBER(SEARCH("bermudagrass",E948)),"Bermudagrass",
ISNUMBER(SEARCH("kentucky",E948)),"Kentucky Bluegrass",
ISNUMBER(SEARCH("zoysia",E948)),"Zoysia",
ISNUMBER(SEARCH("ryegrass",E948)),"Perennial Ryegrass",
ISNUMBER(SEARCH("centipede",E948)),"Centipede Grass",
ISNUMBER(SEARCH("dense shade",E948)),"Dense Shade Mix",
ISNUMBER(SEARCH("southern gold",E948)),"Southern Gold Mix",
ISNUMBER(SEARCH("heat-tolerant blue",E948)),"Heat-Tolerant Blue Mix",
ISNUMBER(SEARCH("high traffic",E948)),"High Traffic Mix",
ISNUMBER(SEARCH("quick fix",E948)),"Quick Fix Mix",
ISNUMBER(SEARCH("starter",E948)),"Starter Fertilizer",
ISNUMBER(SEARCH("weed &amp; feed",E948)),"Weed &amp; Feed",
ISNUMBER(SEARCH("lawn food",E948)),"Lawn Food",
ISNUMBER(SEARCH("triple action",E948)),"Triple Action Fertilizer",
ISNUMBER(SEARCH("green max",E948)),"Green Max Lawn Food",
ISNUMBER(SEARCH("patchmaster",E948)),"PatchMaster Repair",
ISNUMBER(SEARCH("ez seed",E948)),"EZ Seed Repair",
ISNUMBER(SEARCH("rapid grass",E948)),"Rapid Grass",
ISNUMBER(SEARCH("thick'r lawn",E948)),"Thick'R Lawn",
ISNUMBER(SEARCH("fungicide",E948)),"Fungicide",
ISNUMBER(SEARCH("moss",E948)),"Moss Control",
ISNUMBER(SEARCH("perlite",E948)),"Perlite",
ISNUMBER(SEARCH("plant food",E948)),"Plant Food",
ISNUMBER(SEARCH("spreader",E948)),"Spreader",
ISNUMBER(SEARCH("sprayer",E948)),"Sprayer",
ISNUMBER(SEARCH("mower",E948)),"Lawn Mower",
ISNUMBER(SEARCH("sweeper",E948)),"Lawn Sweeper",
OR(ISNUMBER(SEARCH("pruner",E948)),ISNUMBER(SEARCH("trimmer",E948)),ISNUMBER(SEARCH("pole saw",E948))),"Pruning Tools",
TRUE,"Other"
)</f>
        <v>Repellents</v>
      </c>
      <c r="J948" s="7" t="str">
        <f t="shared" si="351"/>
        <v>Rodent Control - Repellents</v>
      </c>
      <c r="K948" s="4">
        <v>300</v>
      </c>
      <c r="L948" s="4">
        <v>4.4000000000000004</v>
      </c>
      <c r="M948" s="4">
        <v>3119</v>
      </c>
      <c r="N948" s="4" t="s">
        <v>4323</v>
      </c>
      <c r="O948" s="4">
        <f>VLOOKUP(A948,[23]Sheet1!$A:$M,2,0)</f>
        <v>100</v>
      </c>
      <c r="P948" s="4">
        <f>VLOOKUP(A948,[23]Sheet1!$A:$M,3,0)</f>
        <v>100</v>
      </c>
      <c r="Q948" s="4">
        <f>VLOOKUP(A948,[23]Sheet1!$A:$M,4,0)</f>
        <v>50</v>
      </c>
      <c r="R948" s="4">
        <f>VLOOKUP(A948,[23]Sheet1!$A:$M,5,0)</f>
        <v>50</v>
      </c>
      <c r="S948" s="4">
        <f>VLOOKUP(A948,[23]Sheet1!$A:$M,6,0)</f>
        <v>50</v>
      </c>
      <c r="T948" s="4">
        <f>VLOOKUP(A948,[23]Sheet1!$A:$M,7,0)</f>
        <v>100</v>
      </c>
      <c r="U948" s="4">
        <f>VLOOKUP(A948,[23]Sheet1!$A:$M,8,0)</f>
        <v>100</v>
      </c>
      <c r="V948" s="4">
        <f>VLOOKUP(A948,[23]Sheet1!$A:$M,9,0)</f>
        <v>100</v>
      </c>
      <c r="W948" s="4">
        <f>VLOOKUP(A948,[23]Sheet1!$A:$M,10,0)</f>
        <v>300</v>
      </c>
      <c r="X948" s="4">
        <f>VLOOKUP(A948,[23]Sheet1!$A:$M,11,0)</f>
        <v>500</v>
      </c>
      <c r="Y948" s="4">
        <f>VLOOKUP(A948,[23]Sheet1!$A:$M,12,0)</f>
        <v>600</v>
      </c>
      <c r="Z948" s="4">
        <f>VLOOKUP(A948,[23]Sheet1!$A:$M,13,0)</f>
        <v>200</v>
      </c>
      <c r="AA948" s="4">
        <f t="shared" si="352"/>
        <v>2250</v>
      </c>
      <c r="AB948" s="7">
        <f t="shared" si="353"/>
        <v>188</v>
      </c>
      <c r="AC948" s="15">
        <f t="shared" si="354"/>
        <v>187.5</v>
      </c>
      <c r="AD948" s="16">
        <f t="shared" si="355"/>
        <v>197977.5</v>
      </c>
      <c r="AE948" s="16">
        <f t="shared" si="356"/>
        <v>16498.125</v>
      </c>
      <c r="AF948" s="21">
        <v>8.06</v>
      </c>
      <c r="AG948" s="21">
        <v>87.99</v>
      </c>
      <c r="AH948" s="15">
        <f t="shared" si="357"/>
        <v>1.7423999999999997</v>
      </c>
      <c r="AI948" s="15">
        <f t="shared" si="358"/>
        <v>6.098399999999998</v>
      </c>
      <c r="AJ948" s="10">
        <v>0.5</v>
      </c>
      <c r="AK948" s="10">
        <v>0.5</v>
      </c>
      <c r="AL948" s="21">
        <v>8.06</v>
      </c>
      <c r="AM948" s="9">
        <f t="shared" si="359"/>
        <v>13.198499999999999</v>
      </c>
      <c r="AN948" s="9">
        <f t="shared" si="360"/>
        <v>2.6396999999999999</v>
      </c>
      <c r="AO948" s="9">
        <f t="shared" si="361"/>
        <v>17.597999999999999</v>
      </c>
      <c r="AP948" s="9">
        <f t="shared" si="362"/>
        <v>1.7598</v>
      </c>
      <c r="AQ948" s="9">
        <f t="shared" si="363"/>
        <v>17.597999999999999</v>
      </c>
      <c r="AR948" s="9">
        <f t="shared" si="364"/>
        <v>21.997499999999999</v>
      </c>
      <c r="AS948" s="11">
        <f t="shared" si="365"/>
        <v>17.423999999999996</v>
      </c>
      <c r="AT948" s="12">
        <f t="shared" si="366"/>
        <v>14.490999999999998</v>
      </c>
    </row>
    <row r="949" spans="1:46" ht="16.5" x14ac:dyDescent="0.4">
      <c r="A949" s="4" t="s">
        <v>4289</v>
      </c>
      <c r="B949" s="4" t="s">
        <v>4291</v>
      </c>
      <c r="C949" s="4" t="s">
        <v>4291</v>
      </c>
      <c r="D949" s="4" t="s">
        <v>4301</v>
      </c>
      <c r="E949" s="4" t="s">
        <v>4309</v>
      </c>
      <c r="F949" s="4" t="s">
        <v>4317</v>
      </c>
      <c r="G949" s="7" t="str">
        <f>VLOOKUP(A949,[1]done!$A:$I,9,0)</f>
        <v>Rodent</v>
      </c>
      <c r="H949" s="7" t="str" cm="1">
        <f t="array" ref="H949">_xlfn.IFS(
OR(ISNUMBER(SEARCH("mouse",E949)),ISNUMBER(SEARCH("rat",E949)),ISNUMBER(SEARCH("mice",E949)),ISNUMBER(SEARCH("rodent",E949))),"Rodent Control",
OR(ISNUMBER(SEARCH("fly",E949)),ISNUMBER(SEARCH("gnat",E949)),ISNUMBER(SEARCH("insect",E949)),ISNUMBER(SEARCH("mosquito",E949))),"Flying Insect Control",
OR(ISNUMBER(SEARCH("roach",E949)),ISNUMBER(SEARCH("ant",E949)),ISNUMBER(SEARCH("spider",E949)),ISNUMBER(SEARCH("cricket",E949)),ISNUMBER(SEARCH("scorpion",E949)),ISNUMBER(SEARCH("centipede",E949)),ISNUMBER(SEARCH("beetle",E949))),"Crawling Insect Control",
OR(ISNUMBER(SEARCH("tree",E949)),ISNUMBER(SEARCH("lantern",E949)),ISNUMBER(SEARCH("garden",E949)),ISNUMBER(SEARCH("plant",E949))),"Garden Pest Control",
OR(ISNUMBER(SEARCH("grass seed",E949)),ISNUMBER(SEARCH("seed mix",E949))),"Grass Seed",
OR(ISNUMBER(SEARCH("lawn food",E949)),ISNUMBER(SEARCH("fertilizer",E949))),"Lawn Fertilizer",
OR(ISNUMBER(SEARCH("patch",E949)),ISNUMBER(SEARCH("repair",E949)),ISNUMBER(SEARCH("thick'r",E949)),ISNUMBER(SEARCH("thick'r lawn",E949)),ISNUMBER(SEARCH("rapid grass",E949))),"Lawn Repair",
OR(ISNUMBER(SEARCH("weed",E949)),ISNUMBER(SEARCH("crabgrass",E949))),"Weed Control",
OR(ISNUMBER(SEARCH("fungicide",E949)),ISNUMBER(SEARCH("moss",E949))),"Disease &amp; Moss Control",
OR(ISNUMBER(SEARCH("plant food",E949)),ISNUMBER(SEARCH("miracid",E949))),"Plant Nutrition",
OR(ISNUMBER(SEARCH("perlite",E949))),"Soil Amendment",
OR(ISNUMBER(SEARCH("spreader",E949)),ISNUMBER(SEARCH("sprayer",E949)),ISNUMBER(SEARCH("mower",E949)),ISNUMBER(SEARCH("sweeper",E949)),ISNUMBER(SEARCH("pruner",E949)),ISNUMBER(SEARCH("trimmer",E949)),ISNUMBER(SEARCH("pole saw",E949))),"Garden Equipment",
TRUE,"Other"
)</f>
        <v>Rodent Control</v>
      </c>
      <c r="I949" s="7" t="str" cm="1">
        <f t="array" ref="I949">_xlfn.IFS(
OR(ISNUMBER(SEARCH("glue trap",E949)),ISNUMBER(SEARCH("glue board",E949))),"Glue Traps",
OR(ISNUMBER(SEARCH("snap trap",E949)),ISNUMBER(SEARCH("power-kill",E949)),ISNUMBER(SEARCH("wide pedal",E949)),ISNUMBER(SEARCH("metal pedal",E949))),"Snap Traps",
OR(ISNUMBER(SEARCH("electronic",E949)),ISNUMBER(SEARCH("zapper",E949))),"Electronic Traps",
OR(ISNUMBER(SEARCH("live catch",E949)),ISNUMBER(SEARCH("multi-catch",E949)),ISNUMBER(SEARCH("catch &amp; hold",E949)),ISNUMBER(SEARCH("tin cat",E949))),"Live Catch Traps",
OR(ISNUMBER(SEARCH("bait",E949)),ISNUMBER(SEARCH("poison",E949))),"Bait &amp; Poison",
ISNUMBER(SEARCH("repellent",E949)),"Repellents",
OR(ISNUMBER(SEARCH("fly trap",E949)),ISNUMBER(SEARCH("fly ribbon",E949)),ISNUMBER(SEARCH("fly stick",E949)),ISNUMBER(SEARCH("window fly",E949)),ISNUMBER(SEARCH("fly magnet",E949))),"Fly Traps",
OR(ISNUMBER(SEARCH("uv",E949)),ISNUMBER(SEARCH("fly light",E949)),ISNUMBER(SEARCH("plug-in",E949))),"UV Fly Traps",
ISNUMBER(SEARCH("roach",E949)),"Roach Traps",
ISNUMBER(SEARCH("ant",E949)),"Ant Traps",
ISNUMBER(SEARCH("spider",E949)),"Spider Traps",
ISNUMBER(SEARCH("mosquito",E949)),"Mosquito Traps",
ISNUMBER(SEARCH("beetle",E949)),"Beetle Traps",
ISNUMBER(SEARCH("lantern",E949)),"Lanternfly Control",
OR(ISNUMBER(SEARCH("tree shield",E949)),ISNUMBER(SEARCH("tree banding",E949)),ISNUMBER(SEARCH("insect barrier",E949))),"Tree Barriers",
OR(ISNUMBER(SEARCH("sun &amp; shade",E949)),ISNUMBER(SEARCH("sun and shade",E949))),"Sun &amp; Shade Mix",
ISNUMBER(SEARCH("tall fescue",E949)),"Tall Fescue",
ISNUMBER(SEARCH("bermudagrass",E949)),"Bermudagrass",
ISNUMBER(SEARCH("kentucky",E949)),"Kentucky Bluegrass",
ISNUMBER(SEARCH("zoysia",E949)),"Zoysia",
ISNUMBER(SEARCH("ryegrass",E949)),"Perennial Ryegrass",
ISNUMBER(SEARCH("centipede",E949)),"Centipede Grass",
ISNUMBER(SEARCH("dense shade",E949)),"Dense Shade Mix",
ISNUMBER(SEARCH("southern gold",E949)),"Southern Gold Mix",
ISNUMBER(SEARCH("heat-tolerant blue",E949)),"Heat-Tolerant Blue Mix",
ISNUMBER(SEARCH("high traffic",E949)),"High Traffic Mix",
ISNUMBER(SEARCH("quick fix",E949)),"Quick Fix Mix",
ISNUMBER(SEARCH("starter",E949)),"Starter Fertilizer",
ISNUMBER(SEARCH("weed &amp; feed",E949)),"Weed &amp; Feed",
ISNUMBER(SEARCH("lawn food",E949)),"Lawn Food",
ISNUMBER(SEARCH("triple action",E949)),"Triple Action Fertilizer",
ISNUMBER(SEARCH("green max",E949)),"Green Max Lawn Food",
ISNUMBER(SEARCH("patchmaster",E949)),"PatchMaster Repair",
ISNUMBER(SEARCH("ez seed",E949)),"EZ Seed Repair",
ISNUMBER(SEARCH("rapid grass",E949)),"Rapid Grass",
ISNUMBER(SEARCH("thick'r lawn",E949)),"Thick'R Lawn",
ISNUMBER(SEARCH("fungicide",E949)),"Fungicide",
ISNUMBER(SEARCH("moss",E949)),"Moss Control",
ISNUMBER(SEARCH("perlite",E949)),"Perlite",
ISNUMBER(SEARCH("plant food",E949)),"Plant Food",
ISNUMBER(SEARCH("spreader",E949)),"Spreader",
ISNUMBER(SEARCH("sprayer",E949)),"Sprayer",
ISNUMBER(SEARCH("mower",E949)),"Lawn Mower",
ISNUMBER(SEARCH("sweeper",E949)),"Lawn Sweeper",
OR(ISNUMBER(SEARCH("pruner",E949)),ISNUMBER(SEARCH("trimmer",E949)),ISNUMBER(SEARCH("pole saw",E949))),"Pruning Tools",
TRUE,"Other"
)</f>
        <v>Repellents</v>
      </c>
      <c r="J949" s="7" t="str">
        <f t="shared" si="351"/>
        <v>Rodent Control - Repellents</v>
      </c>
      <c r="K949" s="4">
        <v>100</v>
      </c>
      <c r="L949" s="4">
        <v>4.4000000000000004</v>
      </c>
      <c r="M949" s="4">
        <v>3119</v>
      </c>
      <c r="N949" s="4" t="s">
        <v>4324</v>
      </c>
      <c r="O949" s="4">
        <f>VLOOKUP(A949,[23]Sheet1!$A:$M,2,0)</f>
        <v>50</v>
      </c>
      <c r="P949" s="4">
        <f>VLOOKUP(A949,[23]Sheet1!$A:$M,3,0)</f>
        <v>0</v>
      </c>
      <c r="Q949" s="4">
        <f>VLOOKUP(A949,[23]Sheet1!$A:$M,4,0)</f>
        <v>50</v>
      </c>
      <c r="R949" s="4">
        <f>VLOOKUP(A949,[23]Sheet1!$A:$M,5,0)</f>
        <v>0</v>
      </c>
      <c r="S949" s="4">
        <f>VLOOKUP(A949,[23]Sheet1!$A:$M,6,0)</f>
        <v>0</v>
      </c>
      <c r="T949" s="4">
        <f>VLOOKUP(A949,[23]Sheet1!$A:$M,7,0)</f>
        <v>0</v>
      </c>
      <c r="U949" s="4">
        <f>VLOOKUP(A949,[23]Sheet1!$A:$M,8,0)</f>
        <v>0</v>
      </c>
      <c r="V949" s="4">
        <f>VLOOKUP(A949,[23]Sheet1!$A:$M,9,0)</f>
        <v>0</v>
      </c>
      <c r="W949" s="4">
        <f>VLOOKUP(A949,[23]Sheet1!$A:$M,10,0)</f>
        <v>100</v>
      </c>
      <c r="X949" s="4">
        <f>VLOOKUP(A949,[23]Sheet1!$A:$M,11,0)</f>
        <v>100</v>
      </c>
      <c r="Y949" s="4">
        <f>VLOOKUP(A949,[23]Sheet1!$A:$M,12,0)</f>
        <v>200</v>
      </c>
      <c r="Z949" s="4">
        <f>VLOOKUP(A949,[23]Sheet1!$A:$M,13,0)</f>
        <v>100</v>
      </c>
      <c r="AA949" s="4">
        <f t="shared" si="352"/>
        <v>600</v>
      </c>
      <c r="AB949" s="7">
        <f t="shared" si="353"/>
        <v>50</v>
      </c>
      <c r="AC949" s="15">
        <f t="shared" si="354"/>
        <v>50</v>
      </c>
      <c r="AD949" s="16">
        <f t="shared" si="355"/>
        <v>37794</v>
      </c>
      <c r="AE949" s="16">
        <f t="shared" si="356"/>
        <v>3149.5</v>
      </c>
      <c r="AF949" s="21">
        <v>8.99</v>
      </c>
      <c r="AG949" s="21">
        <v>62.99</v>
      </c>
      <c r="AH949" s="15">
        <f t="shared" si="357"/>
        <v>1.0137333333333329</v>
      </c>
      <c r="AI949" s="15">
        <f t="shared" si="358"/>
        <v>3.5480666666666649</v>
      </c>
      <c r="AJ949" s="10">
        <v>0.5</v>
      </c>
      <c r="AK949" s="10">
        <v>0.5</v>
      </c>
      <c r="AL949" s="21">
        <v>8.99</v>
      </c>
      <c r="AM949" s="9">
        <f t="shared" si="359"/>
        <v>9.4484999999999992</v>
      </c>
      <c r="AN949" s="9">
        <f t="shared" si="360"/>
        <v>1.8896999999999999</v>
      </c>
      <c r="AO949" s="9">
        <f t="shared" si="361"/>
        <v>12.598000000000001</v>
      </c>
      <c r="AP949" s="9">
        <f t="shared" si="362"/>
        <v>1.2598</v>
      </c>
      <c r="AQ949" s="9">
        <f t="shared" si="363"/>
        <v>12.598000000000001</v>
      </c>
      <c r="AR949" s="9">
        <f t="shared" si="364"/>
        <v>15.7475</v>
      </c>
      <c r="AS949" s="11">
        <f t="shared" si="365"/>
        <v>10.137333333333329</v>
      </c>
      <c r="AT949" s="12">
        <f t="shared" si="366"/>
        <v>8.037666666666663</v>
      </c>
    </row>
    <row r="950" spans="1:46" ht="16.5" x14ac:dyDescent="0.4">
      <c r="A950" s="4" t="s">
        <v>4290</v>
      </c>
      <c r="B950" s="4" t="s">
        <v>4291</v>
      </c>
      <c r="C950" s="4" t="s">
        <v>4294</v>
      </c>
      <c r="D950" s="4" t="s">
        <v>4302</v>
      </c>
      <c r="E950" s="4" t="s">
        <v>4310</v>
      </c>
      <c r="F950" s="4" t="s">
        <v>4318</v>
      </c>
      <c r="G950" s="7" t="str">
        <f>VLOOKUP(A950,[1]done!$A:$I,9,0)</f>
        <v>Rodent</v>
      </c>
      <c r="H950" s="7" t="str" cm="1">
        <f t="array" ref="H950">_xlfn.IFS(
OR(ISNUMBER(SEARCH("mouse",E950)),ISNUMBER(SEARCH("rat",E950)),ISNUMBER(SEARCH("mice",E950)),ISNUMBER(SEARCH("rodent",E950))),"Rodent Control",
OR(ISNUMBER(SEARCH("fly",E950)),ISNUMBER(SEARCH("gnat",E950)),ISNUMBER(SEARCH("insect",E950)),ISNUMBER(SEARCH("mosquito",E950))),"Flying Insect Control",
OR(ISNUMBER(SEARCH("roach",E950)),ISNUMBER(SEARCH("ant",E950)),ISNUMBER(SEARCH("spider",E950)),ISNUMBER(SEARCH("cricket",E950)),ISNUMBER(SEARCH("scorpion",E950)),ISNUMBER(SEARCH("centipede",E950)),ISNUMBER(SEARCH("beetle",E950))),"Crawling Insect Control",
OR(ISNUMBER(SEARCH("tree",E950)),ISNUMBER(SEARCH("lantern",E950)),ISNUMBER(SEARCH("garden",E950)),ISNUMBER(SEARCH("plant",E950))),"Garden Pest Control",
OR(ISNUMBER(SEARCH("grass seed",E950)),ISNUMBER(SEARCH("seed mix",E950))),"Grass Seed",
OR(ISNUMBER(SEARCH("lawn food",E950)),ISNUMBER(SEARCH("fertilizer",E950))),"Lawn Fertilizer",
OR(ISNUMBER(SEARCH("patch",E950)),ISNUMBER(SEARCH("repair",E950)),ISNUMBER(SEARCH("thick'r",E950)),ISNUMBER(SEARCH("thick'r lawn",E950)),ISNUMBER(SEARCH("rapid grass",E950))),"Lawn Repair",
OR(ISNUMBER(SEARCH("weed",E950)),ISNUMBER(SEARCH("crabgrass",E950))),"Weed Control",
OR(ISNUMBER(SEARCH("fungicide",E950)),ISNUMBER(SEARCH("moss",E950))),"Disease &amp; Moss Control",
OR(ISNUMBER(SEARCH("plant food",E950)),ISNUMBER(SEARCH("miracid",E950))),"Plant Nutrition",
OR(ISNUMBER(SEARCH("perlite",E950))),"Soil Amendment",
OR(ISNUMBER(SEARCH("spreader",E950)),ISNUMBER(SEARCH("sprayer",E950)),ISNUMBER(SEARCH("mower",E950)),ISNUMBER(SEARCH("sweeper",E950)),ISNUMBER(SEARCH("pruner",E950)),ISNUMBER(SEARCH("trimmer",E950)),ISNUMBER(SEARCH("pole saw",E950))),"Garden Equipment",
TRUE,"Other"
)</f>
        <v>Rodent Control</v>
      </c>
      <c r="I950" s="7" t="str" cm="1">
        <f t="array" ref="I950">_xlfn.IFS(
OR(ISNUMBER(SEARCH("glue trap",E950)),ISNUMBER(SEARCH("glue board",E950))),"Glue Traps",
OR(ISNUMBER(SEARCH("snap trap",E950)),ISNUMBER(SEARCH("power-kill",E950)),ISNUMBER(SEARCH("wide pedal",E950)),ISNUMBER(SEARCH("metal pedal",E950))),"Snap Traps",
OR(ISNUMBER(SEARCH("electronic",E950)),ISNUMBER(SEARCH("zapper",E950))),"Electronic Traps",
OR(ISNUMBER(SEARCH("live catch",E950)),ISNUMBER(SEARCH("multi-catch",E950)),ISNUMBER(SEARCH("catch &amp; hold",E950)),ISNUMBER(SEARCH("tin cat",E950))),"Live Catch Traps",
OR(ISNUMBER(SEARCH("bait",E950)),ISNUMBER(SEARCH("poison",E950))),"Bait &amp; Poison",
ISNUMBER(SEARCH("repellent",E950)),"Repellents",
OR(ISNUMBER(SEARCH("fly trap",E950)),ISNUMBER(SEARCH("fly ribbon",E950)),ISNUMBER(SEARCH("fly stick",E950)),ISNUMBER(SEARCH("window fly",E950)),ISNUMBER(SEARCH("fly magnet",E950))),"Fly Traps",
OR(ISNUMBER(SEARCH("uv",E950)),ISNUMBER(SEARCH("fly light",E950)),ISNUMBER(SEARCH("plug-in",E950))),"UV Fly Traps",
ISNUMBER(SEARCH("roach",E950)),"Roach Traps",
ISNUMBER(SEARCH("ant",E950)),"Ant Traps",
ISNUMBER(SEARCH("spider",E950)),"Spider Traps",
ISNUMBER(SEARCH("mosquito",E950)),"Mosquito Traps",
ISNUMBER(SEARCH("beetle",E950)),"Beetle Traps",
ISNUMBER(SEARCH("lantern",E950)),"Lanternfly Control",
OR(ISNUMBER(SEARCH("tree shield",E950)),ISNUMBER(SEARCH("tree banding",E950)),ISNUMBER(SEARCH("insect barrier",E950))),"Tree Barriers",
OR(ISNUMBER(SEARCH("sun &amp; shade",E950)),ISNUMBER(SEARCH("sun and shade",E950))),"Sun &amp; Shade Mix",
ISNUMBER(SEARCH("tall fescue",E950)),"Tall Fescue",
ISNUMBER(SEARCH("bermudagrass",E950)),"Bermudagrass",
ISNUMBER(SEARCH("kentucky",E950)),"Kentucky Bluegrass",
ISNUMBER(SEARCH("zoysia",E950)),"Zoysia",
ISNUMBER(SEARCH("ryegrass",E950)),"Perennial Ryegrass",
ISNUMBER(SEARCH("centipede",E950)),"Centipede Grass",
ISNUMBER(SEARCH("dense shade",E950)),"Dense Shade Mix",
ISNUMBER(SEARCH("southern gold",E950)),"Southern Gold Mix",
ISNUMBER(SEARCH("heat-tolerant blue",E950)),"Heat-Tolerant Blue Mix",
ISNUMBER(SEARCH("high traffic",E950)),"High Traffic Mix",
ISNUMBER(SEARCH("quick fix",E950)),"Quick Fix Mix",
ISNUMBER(SEARCH("starter",E950)),"Starter Fertilizer",
ISNUMBER(SEARCH("weed &amp; feed",E950)),"Weed &amp; Feed",
ISNUMBER(SEARCH("lawn food",E950)),"Lawn Food",
ISNUMBER(SEARCH("triple action",E950)),"Triple Action Fertilizer",
ISNUMBER(SEARCH("green max",E950)),"Green Max Lawn Food",
ISNUMBER(SEARCH("patchmaster",E950)),"PatchMaster Repair",
ISNUMBER(SEARCH("ez seed",E950)),"EZ Seed Repair",
ISNUMBER(SEARCH("rapid grass",E950)),"Rapid Grass",
ISNUMBER(SEARCH("thick'r lawn",E950)),"Thick'R Lawn",
ISNUMBER(SEARCH("fungicide",E950)),"Fungicide",
ISNUMBER(SEARCH("moss",E950)),"Moss Control",
ISNUMBER(SEARCH("perlite",E950)),"Perlite",
ISNUMBER(SEARCH("plant food",E950)),"Plant Food",
ISNUMBER(SEARCH("spreader",E950)),"Spreader",
ISNUMBER(SEARCH("sprayer",E950)),"Sprayer",
ISNUMBER(SEARCH("mower",E950)),"Lawn Mower",
ISNUMBER(SEARCH("sweeper",E950)),"Lawn Sweeper",
OR(ISNUMBER(SEARCH("pruner",E950)),ISNUMBER(SEARCH("trimmer",E950)),ISNUMBER(SEARCH("pole saw",E950))),"Pruning Tools",
TRUE,"Other"
)</f>
        <v>Repellents</v>
      </c>
      <c r="J950" s="7" t="str">
        <f t="shared" si="351"/>
        <v>Rodent Control - Repellents</v>
      </c>
      <c r="K950" s="4">
        <v>50</v>
      </c>
      <c r="L950" s="4">
        <v>4.3</v>
      </c>
      <c r="M950" s="4">
        <v>295</v>
      </c>
      <c r="N950" s="4" t="s">
        <v>4325</v>
      </c>
      <c r="O950" s="4">
        <f>VLOOKUP(A950,[23]Sheet1!$A:$M,2,0)</f>
        <v>0</v>
      </c>
      <c r="P950" s="4">
        <f>VLOOKUP(A950,[23]Sheet1!$A:$M,3,0)</f>
        <v>0</v>
      </c>
      <c r="Q950" s="4">
        <f>VLOOKUP(A950,[23]Sheet1!$A:$M,4,0)</f>
        <v>0</v>
      </c>
      <c r="R950" s="4">
        <f>VLOOKUP(A950,[23]Sheet1!$A:$M,5,0)</f>
        <v>0</v>
      </c>
      <c r="S950" s="4">
        <f>VLOOKUP(A950,[23]Sheet1!$A:$M,6,0)</f>
        <v>0</v>
      </c>
      <c r="T950" s="4">
        <f>VLOOKUP(A950,[23]Sheet1!$A:$M,7,0)</f>
        <v>0</v>
      </c>
      <c r="U950" s="4">
        <f>VLOOKUP(A950,[23]Sheet1!$A:$M,8,0)</f>
        <v>0</v>
      </c>
      <c r="V950" s="4">
        <f>VLOOKUP(A950,[23]Sheet1!$A:$M,9,0)</f>
        <v>0</v>
      </c>
      <c r="W950" s="4">
        <f>VLOOKUP(A950,[23]Sheet1!$A:$M,10,0)</f>
        <v>100</v>
      </c>
      <c r="X950" s="4">
        <f>VLOOKUP(A950,[23]Sheet1!$A:$M,11,0)</f>
        <v>0</v>
      </c>
      <c r="Y950" s="4">
        <f>VLOOKUP(A950,[23]Sheet1!$A:$M,12,0)</f>
        <v>0</v>
      </c>
      <c r="Z950" s="4">
        <f>VLOOKUP(A950,[23]Sheet1!$A:$M,13,0)</f>
        <v>0</v>
      </c>
      <c r="AA950" s="4">
        <f t="shared" si="352"/>
        <v>100</v>
      </c>
      <c r="AB950" s="7">
        <f t="shared" si="353"/>
        <v>8</v>
      </c>
      <c r="AC950" s="15">
        <f t="shared" si="354"/>
        <v>8.3333333333333339</v>
      </c>
      <c r="AD950" s="16">
        <f t="shared" si="355"/>
        <v>4188</v>
      </c>
      <c r="AE950" s="16">
        <f t="shared" si="356"/>
        <v>349.00000000000006</v>
      </c>
      <c r="AF950" s="21">
        <v>4.76</v>
      </c>
      <c r="AG950" s="21">
        <v>41.88</v>
      </c>
      <c r="AH950" s="15">
        <f t="shared" si="357"/>
        <v>0.73280000000000012</v>
      </c>
      <c r="AI950" s="15">
        <f t="shared" si="358"/>
        <v>2.5648</v>
      </c>
      <c r="AJ950" s="10">
        <v>0.5</v>
      </c>
      <c r="AK950" s="10">
        <v>0.5</v>
      </c>
      <c r="AL950" s="21">
        <v>4.76</v>
      </c>
      <c r="AM950" s="9">
        <f t="shared" si="359"/>
        <v>6.282</v>
      </c>
      <c r="AN950" s="9">
        <f t="shared" si="360"/>
        <v>1.2564</v>
      </c>
      <c r="AO950" s="9">
        <f t="shared" si="361"/>
        <v>8.3760000000000012</v>
      </c>
      <c r="AP950" s="9">
        <f t="shared" si="362"/>
        <v>0.83760000000000012</v>
      </c>
      <c r="AQ950" s="9">
        <f t="shared" si="363"/>
        <v>8.3760000000000012</v>
      </c>
      <c r="AR950" s="9">
        <f t="shared" si="364"/>
        <v>10.47</v>
      </c>
      <c r="AS950" s="11">
        <f t="shared" si="365"/>
        <v>7.3280000000000003</v>
      </c>
      <c r="AT950" s="12">
        <f t="shared" si="366"/>
        <v>5.9320000000000013</v>
      </c>
    </row>
    <row r="951" spans="1:46" ht="16.5" x14ac:dyDescent="0.4">
      <c r="A951" s="4" t="s">
        <v>4326</v>
      </c>
      <c r="B951" s="4" t="s">
        <v>4330</v>
      </c>
      <c r="C951" s="4" t="s">
        <v>4330</v>
      </c>
      <c r="D951" s="4" t="s">
        <v>4331</v>
      </c>
      <c r="E951" s="4" t="s">
        <v>4335</v>
      </c>
      <c r="F951" s="4" t="s">
        <v>4339</v>
      </c>
      <c r="G951" s="7" t="str">
        <f>VLOOKUP(A951,[1]done!$A:$I,9,0)</f>
        <v>All Other products</v>
      </c>
      <c r="H951" s="7" t="str" cm="1">
        <f t="array" ref="H951">_xlfn.IFS(
OR(ISNUMBER(SEARCH("mouse",E951)),ISNUMBER(SEARCH("rat",E951)),ISNUMBER(SEARCH("mice",E951)),ISNUMBER(SEARCH("rodent",E951))),"Rodent Control",
OR(ISNUMBER(SEARCH("fly",E951)),ISNUMBER(SEARCH("gnat",E951)),ISNUMBER(SEARCH("insect",E951)),ISNUMBER(SEARCH("mosquito",E951))),"Flying Insect Control",
OR(ISNUMBER(SEARCH("roach",E951)),ISNUMBER(SEARCH("ant",E951)),ISNUMBER(SEARCH("spider",E951)),ISNUMBER(SEARCH("cricket",E951)),ISNUMBER(SEARCH("scorpion",E951)),ISNUMBER(SEARCH("centipede",E951)),ISNUMBER(SEARCH("beetle",E951))),"Crawling Insect Control",
OR(ISNUMBER(SEARCH("tree",E951)),ISNUMBER(SEARCH("lantern",E951)),ISNUMBER(SEARCH("garden",E951)),ISNUMBER(SEARCH("plant",E951))),"Garden Pest Control",
OR(ISNUMBER(SEARCH("grass seed",E951)),ISNUMBER(SEARCH("seed mix",E951))),"Grass Seed",
OR(ISNUMBER(SEARCH("lawn food",E951)),ISNUMBER(SEARCH("fertilizer",E951))),"Lawn Fertilizer",
OR(ISNUMBER(SEARCH("patch",E951)),ISNUMBER(SEARCH("repair",E951)),ISNUMBER(SEARCH("thick'r",E951)),ISNUMBER(SEARCH("thick'r lawn",E951)),ISNUMBER(SEARCH("rapid grass",E951))),"Lawn Repair",
OR(ISNUMBER(SEARCH("weed",E951)),ISNUMBER(SEARCH("crabgrass",E951))),"Weed Control",
OR(ISNUMBER(SEARCH("fungicide",E951)),ISNUMBER(SEARCH("moss",E951))),"Disease &amp; Moss Control",
OR(ISNUMBER(SEARCH("plant food",E951)),ISNUMBER(SEARCH("miracid",E951))),"Plant Nutrition",
OR(ISNUMBER(SEARCH("perlite",E951))),"Soil Amendment",
OR(ISNUMBER(SEARCH("spreader",E951)),ISNUMBER(SEARCH("sprayer",E951)),ISNUMBER(SEARCH("mower",E951)),ISNUMBER(SEARCH("sweeper",E951)),ISNUMBER(SEARCH("pruner",E951)),ISNUMBER(SEARCH("trimmer",E951)),ISNUMBER(SEARCH("pole saw",E951))),"Garden Equipment",
TRUE,"Other"
)</f>
        <v>Other</v>
      </c>
      <c r="I951" s="7" t="str" cm="1">
        <f t="array" ref="I951">_xlfn.IFS(
OR(ISNUMBER(SEARCH("glue trap",E951)),ISNUMBER(SEARCH("glue board",E951))),"Glue Traps",
OR(ISNUMBER(SEARCH("snap trap",E951)),ISNUMBER(SEARCH("power-kill",E951)),ISNUMBER(SEARCH("wide pedal",E951)),ISNUMBER(SEARCH("metal pedal",E951))),"Snap Traps",
OR(ISNUMBER(SEARCH("electronic",E951)),ISNUMBER(SEARCH("zapper",E951))),"Electronic Traps",
OR(ISNUMBER(SEARCH("live catch",E951)),ISNUMBER(SEARCH("multi-catch",E951)),ISNUMBER(SEARCH("catch &amp; hold",E951)),ISNUMBER(SEARCH("tin cat",E951))),"Live Catch Traps",
OR(ISNUMBER(SEARCH("bait",E951)),ISNUMBER(SEARCH("poison",E951))),"Bait &amp; Poison",
ISNUMBER(SEARCH("repellent",E951)),"Repellents",
OR(ISNUMBER(SEARCH("fly trap",E951)),ISNUMBER(SEARCH("fly ribbon",E951)),ISNUMBER(SEARCH("fly stick",E951)),ISNUMBER(SEARCH("window fly",E951)),ISNUMBER(SEARCH("fly magnet",E951))),"Fly Traps",
OR(ISNUMBER(SEARCH("uv",E951)),ISNUMBER(SEARCH("fly light",E951)),ISNUMBER(SEARCH("plug-in",E951))),"UV Fly Traps",
ISNUMBER(SEARCH("roach",E951)),"Roach Traps",
ISNUMBER(SEARCH("ant",E951)),"Ant Traps",
ISNUMBER(SEARCH("spider",E951)),"Spider Traps",
ISNUMBER(SEARCH("mosquito",E951)),"Mosquito Traps",
ISNUMBER(SEARCH("beetle",E951)),"Beetle Traps",
ISNUMBER(SEARCH("lantern",E951)),"Lanternfly Control",
OR(ISNUMBER(SEARCH("tree shield",E951)),ISNUMBER(SEARCH("tree banding",E951)),ISNUMBER(SEARCH("insect barrier",E951))),"Tree Barriers",
OR(ISNUMBER(SEARCH("sun &amp; shade",E951)),ISNUMBER(SEARCH("sun and shade",E951))),"Sun &amp; Shade Mix",
ISNUMBER(SEARCH("tall fescue",E951)),"Tall Fescue",
ISNUMBER(SEARCH("bermudagrass",E951)),"Bermudagrass",
ISNUMBER(SEARCH("kentucky",E951)),"Kentucky Bluegrass",
ISNUMBER(SEARCH("zoysia",E951)),"Zoysia",
ISNUMBER(SEARCH("ryegrass",E951)),"Perennial Ryegrass",
ISNUMBER(SEARCH("centipede",E951)),"Centipede Grass",
ISNUMBER(SEARCH("dense shade",E951)),"Dense Shade Mix",
ISNUMBER(SEARCH("southern gold",E951)),"Southern Gold Mix",
ISNUMBER(SEARCH("heat-tolerant blue",E951)),"Heat-Tolerant Blue Mix",
ISNUMBER(SEARCH("high traffic",E951)),"High Traffic Mix",
ISNUMBER(SEARCH("quick fix",E951)),"Quick Fix Mix",
ISNUMBER(SEARCH("starter",E951)),"Starter Fertilizer",
ISNUMBER(SEARCH("weed &amp; feed",E951)),"Weed &amp; Feed",
ISNUMBER(SEARCH("lawn food",E951)),"Lawn Food",
ISNUMBER(SEARCH("triple action",E951)),"Triple Action Fertilizer",
ISNUMBER(SEARCH("green max",E951)),"Green Max Lawn Food",
ISNUMBER(SEARCH("patchmaster",E951)),"PatchMaster Repair",
ISNUMBER(SEARCH("ez seed",E951)),"EZ Seed Repair",
ISNUMBER(SEARCH("rapid grass",E951)),"Rapid Grass",
ISNUMBER(SEARCH("thick'r lawn",E951)),"Thick'R Lawn",
ISNUMBER(SEARCH("fungicide",E951)),"Fungicide",
ISNUMBER(SEARCH("moss",E951)),"Moss Control",
ISNUMBER(SEARCH("perlite",E951)),"Perlite",
ISNUMBER(SEARCH("plant food",E951)),"Plant Food",
ISNUMBER(SEARCH("spreader",E951)),"Spreader",
ISNUMBER(SEARCH("sprayer",E951)),"Sprayer",
ISNUMBER(SEARCH("mower",E951)),"Lawn Mower",
ISNUMBER(SEARCH("sweeper",E951)),"Lawn Sweeper",
OR(ISNUMBER(SEARCH("pruner",E951)),ISNUMBER(SEARCH("trimmer",E951)),ISNUMBER(SEARCH("pole saw",E951))),"Pruning Tools",
TRUE,"Other"
)</f>
        <v>Other</v>
      </c>
      <c r="J951" s="7" t="str">
        <f t="shared" ref="J951:J953" si="367">H951&amp;" - "&amp;I951</f>
        <v>Other - Other</v>
      </c>
      <c r="K951" s="4">
        <v>100</v>
      </c>
      <c r="L951" s="4">
        <v>3.5</v>
      </c>
      <c r="M951" s="4">
        <v>239</v>
      </c>
      <c r="O951" s="4">
        <f>VLOOKUP(A951,[24]Sheet1!$A:$M,2,0)</f>
        <v>100</v>
      </c>
      <c r="P951" s="4">
        <f>VLOOKUP(A951,[24]Sheet1!$A:$M,3,0)</f>
        <v>100</v>
      </c>
      <c r="Q951" s="4">
        <f>VLOOKUP(A951,[24]Sheet1!$A:$M,4,0)</f>
        <v>100</v>
      </c>
      <c r="R951" s="4">
        <f>VLOOKUP(A951,[24]Sheet1!$A:$M,5,0)</f>
        <v>200</v>
      </c>
      <c r="S951" s="4">
        <f>VLOOKUP(A951,[24]Sheet1!$A:$M,6,0)</f>
        <v>200</v>
      </c>
      <c r="T951" s="4">
        <f>VLOOKUP(A951,[24]Sheet1!$A:$M,7,0)</f>
        <v>200</v>
      </c>
      <c r="U951" s="4">
        <f>VLOOKUP(A951,[24]Sheet1!$A:$M,8,0)</f>
        <v>200</v>
      </c>
      <c r="V951" s="4">
        <f>VLOOKUP(A951,[24]Sheet1!$A:$M,9,0)</f>
        <v>100</v>
      </c>
      <c r="W951" s="4">
        <f>VLOOKUP(A951,[24]Sheet1!$A:$M,10,0)</f>
        <v>100</v>
      </c>
      <c r="X951" s="4">
        <f>VLOOKUP(A951,[24]Sheet1!$A:$M,11,0)</f>
        <v>200</v>
      </c>
      <c r="Y951" s="4">
        <f>VLOOKUP(A951,[24]Sheet1!$A:$M,12,0)</f>
        <v>100</v>
      </c>
      <c r="Z951" s="4">
        <f>VLOOKUP(A951,[24]Sheet1!$A:$M,13,0)</f>
        <v>100</v>
      </c>
      <c r="AA951" s="4">
        <f t="shared" ref="AA951:AA954" si="368">SUM(O951:Z951)</f>
        <v>1700</v>
      </c>
      <c r="AB951" s="7">
        <f t="shared" ref="AB951:AB954" si="369">ROUND(AA951/12,0)</f>
        <v>142</v>
      </c>
      <c r="AC951" s="15">
        <f t="shared" ref="AC951:AC954" si="370">AVERAGE(O951:Z951)</f>
        <v>141.66666666666666</v>
      </c>
      <c r="AD951" s="16">
        <f t="shared" ref="AD951:AD954" si="371">AG951*AA951</f>
        <v>373983</v>
      </c>
      <c r="AE951" s="16">
        <f t="shared" ref="AE951:AE954" si="372">AG951*AC951</f>
        <v>31165.25</v>
      </c>
      <c r="AF951" s="21">
        <v>6.03</v>
      </c>
      <c r="AG951" s="21">
        <v>219.99</v>
      </c>
      <c r="AH951" s="15">
        <f t="shared" ref="AH951:AH954" si="373">0.1*AS951</f>
        <v>5.3977333333333331</v>
      </c>
      <c r="AI951" s="15">
        <f t="shared" ref="AI951:AI954" si="374">0.35*AS951</f>
        <v>18.892066666666665</v>
      </c>
      <c r="AJ951" s="10">
        <v>0.5</v>
      </c>
      <c r="AK951" s="10">
        <v>0.5</v>
      </c>
      <c r="AL951" s="21">
        <v>6.03</v>
      </c>
      <c r="AM951" s="9">
        <f t="shared" ref="AM951:AM954" si="375">0.15*AG951</f>
        <v>32.9985</v>
      </c>
      <c r="AN951" s="9">
        <f t="shared" ref="AN951:AN954" si="376">0.03*AG951</f>
        <v>6.5997000000000003</v>
      </c>
      <c r="AO951" s="9">
        <f t="shared" ref="AO951:AO954" si="377">0.2*AG951</f>
        <v>43.998000000000005</v>
      </c>
      <c r="AP951" s="9">
        <f t="shared" ref="AP951:AP954" si="378">0.02*AG951</f>
        <v>4.3997999999999999</v>
      </c>
      <c r="AQ951" s="9">
        <f t="shared" ref="AQ951:AQ954" si="379">0.2*AG951</f>
        <v>43.998000000000005</v>
      </c>
      <c r="AR951" s="9">
        <f t="shared" ref="AR951:AR954" si="380">0.25*AG951</f>
        <v>54.997500000000002</v>
      </c>
      <c r="AS951" s="11">
        <f t="shared" ref="AS951:AS954" si="381">(AG951*(1-(0.15+0.03+0.2+0.02))-AJ951-AK951-AL951-AQ951)/(1+0.1+0.4)</f>
        <v>53.977333333333327</v>
      </c>
      <c r="AT951" s="12">
        <f t="shared" ref="AT951:AT954" si="382">(AG951*(1-(0.15+0.03+0.2+0.02))-AJ951-AK951-AL951-AR951)/(1+0.1+0.4)</f>
        <v>46.644333333333329</v>
      </c>
    </row>
    <row r="952" spans="1:46" ht="16.5" x14ac:dyDescent="0.4">
      <c r="A952" s="4" t="s">
        <v>4327</v>
      </c>
      <c r="B952" s="4" t="s">
        <v>4330</v>
      </c>
      <c r="C952" s="4" t="s">
        <v>4330</v>
      </c>
      <c r="D952" s="4" t="s">
        <v>4332</v>
      </c>
      <c r="E952" s="4" t="s">
        <v>4336</v>
      </c>
      <c r="F952" s="4" t="s">
        <v>4340</v>
      </c>
      <c r="G952" s="7" t="str">
        <f>VLOOKUP(A952,[1]done!$A:$I,9,0)</f>
        <v>Rodent</v>
      </c>
      <c r="H952" s="7" t="str" cm="1">
        <f t="array" ref="H952">_xlfn.IFS(
OR(ISNUMBER(SEARCH("mouse",E952)),ISNUMBER(SEARCH("rat",E952)),ISNUMBER(SEARCH("mice",E952)),ISNUMBER(SEARCH("rodent",E952))),"Rodent Control",
OR(ISNUMBER(SEARCH("fly",E952)),ISNUMBER(SEARCH("gnat",E952)),ISNUMBER(SEARCH("insect",E952)),ISNUMBER(SEARCH("mosquito",E952))),"Flying Insect Control",
OR(ISNUMBER(SEARCH("roach",E952)),ISNUMBER(SEARCH("ant",E952)),ISNUMBER(SEARCH("spider",E952)),ISNUMBER(SEARCH("cricket",E952)),ISNUMBER(SEARCH("scorpion",E952)),ISNUMBER(SEARCH("centipede",E952)),ISNUMBER(SEARCH("beetle",E952))),"Crawling Insect Control",
OR(ISNUMBER(SEARCH("tree",E952)),ISNUMBER(SEARCH("lantern",E952)),ISNUMBER(SEARCH("garden",E952)),ISNUMBER(SEARCH("plant",E952))),"Garden Pest Control",
OR(ISNUMBER(SEARCH("grass seed",E952)),ISNUMBER(SEARCH("seed mix",E952))),"Grass Seed",
OR(ISNUMBER(SEARCH("lawn food",E952)),ISNUMBER(SEARCH("fertilizer",E952))),"Lawn Fertilizer",
OR(ISNUMBER(SEARCH("patch",E952)),ISNUMBER(SEARCH("repair",E952)),ISNUMBER(SEARCH("thick'r",E952)),ISNUMBER(SEARCH("thick'r lawn",E952)),ISNUMBER(SEARCH("rapid grass",E952))),"Lawn Repair",
OR(ISNUMBER(SEARCH("weed",E952)),ISNUMBER(SEARCH("crabgrass",E952))),"Weed Control",
OR(ISNUMBER(SEARCH("fungicide",E952)),ISNUMBER(SEARCH("moss",E952))),"Disease &amp; Moss Control",
OR(ISNUMBER(SEARCH("plant food",E952)),ISNUMBER(SEARCH("miracid",E952))),"Plant Nutrition",
OR(ISNUMBER(SEARCH("perlite",E952))),"Soil Amendment",
OR(ISNUMBER(SEARCH("spreader",E952)),ISNUMBER(SEARCH("sprayer",E952)),ISNUMBER(SEARCH("mower",E952)),ISNUMBER(SEARCH("sweeper",E952)),ISNUMBER(SEARCH("pruner",E952)),ISNUMBER(SEARCH("trimmer",E952)),ISNUMBER(SEARCH("pole saw",E952))),"Garden Equipment",
TRUE,"Other"
)</f>
        <v>Rodent Control</v>
      </c>
      <c r="I952" s="7" t="str" cm="1">
        <f t="array" ref="I952">_xlfn.IFS(
OR(ISNUMBER(SEARCH("glue trap",E952)),ISNUMBER(SEARCH("glue board",E952))),"Glue Traps",
OR(ISNUMBER(SEARCH("snap trap",E952)),ISNUMBER(SEARCH("power-kill",E952)),ISNUMBER(SEARCH("wide pedal",E952)),ISNUMBER(SEARCH("metal pedal",E952))),"Snap Traps",
OR(ISNUMBER(SEARCH("electronic",E952)),ISNUMBER(SEARCH("zapper",E952))),"Electronic Traps",
OR(ISNUMBER(SEARCH("live catch",E952)),ISNUMBER(SEARCH("multi-catch",E952)),ISNUMBER(SEARCH("catch &amp; hold",E952)),ISNUMBER(SEARCH("tin cat",E952))),"Live Catch Traps",
OR(ISNUMBER(SEARCH("bait",E952)),ISNUMBER(SEARCH("poison",E952))),"Bait &amp; Poison",
ISNUMBER(SEARCH("repellent",E952)),"Repellents",
OR(ISNUMBER(SEARCH("fly trap",E952)),ISNUMBER(SEARCH("fly ribbon",E952)),ISNUMBER(SEARCH("fly stick",E952)),ISNUMBER(SEARCH("window fly",E952)),ISNUMBER(SEARCH("fly magnet",E952))),"Fly Traps",
OR(ISNUMBER(SEARCH("uv",E952)),ISNUMBER(SEARCH("fly light",E952)),ISNUMBER(SEARCH("plug-in",E952))),"UV Fly Traps",
ISNUMBER(SEARCH("roach",E952)),"Roach Traps",
ISNUMBER(SEARCH("ant",E952)),"Ant Traps",
ISNUMBER(SEARCH("spider",E952)),"Spider Traps",
ISNUMBER(SEARCH("mosquito",E952)),"Mosquito Traps",
ISNUMBER(SEARCH("beetle",E952)),"Beetle Traps",
ISNUMBER(SEARCH("lantern",E952)),"Lanternfly Control",
OR(ISNUMBER(SEARCH("tree shield",E952)),ISNUMBER(SEARCH("tree banding",E952)),ISNUMBER(SEARCH("insect barrier",E952))),"Tree Barriers",
OR(ISNUMBER(SEARCH("sun &amp; shade",E952)),ISNUMBER(SEARCH("sun and shade",E952))),"Sun &amp; Shade Mix",
ISNUMBER(SEARCH("tall fescue",E952)),"Tall Fescue",
ISNUMBER(SEARCH("bermudagrass",E952)),"Bermudagrass",
ISNUMBER(SEARCH("kentucky",E952)),"Kentucky Bluegrass",
ISNUMBER(SEARCH("zoysia",E952)),"Zoysia",
ISNUMBER(SEARCH("ryegrass",E952)),"Perennial Ryegrass",
ISNUMBER(SEARCH("centipede",E952)),"Centipede Grass",
ISNUMBER(SEARCH("dense shade",E952)),"Dense Shade Mix",
ISNUMBER(SEARCH("southern gold",E952)),"Southern Gold Mix",
ISNUMBER(SEARCH("heat-tolerant blue",E952)),"Heat-Tolerant Blue Mix",
ISNUMBER(SEARCH("high traffic",E952)),"High Traffic Mix",
ISNUMBER(SEARCH("quick fix",E952)),"Quick Fix Mix",
ISNUMBER(SEARCH("starter",E952)),"Starter Fertilizer",
ISNUMBER(SEARCH("weed &amp; feed",E952)),"Weed &amp; Feed",
ISNUMBER(SEARCH("lawn food",E952)),"Lawn Food",
ISNUMBER(SEARCH("triple action",E952)),"Triple Action Fertilizer",
ISNUMBER(SEARCH("green max",E952)),"Green Max Lawn Food",
ISNUMBER(SEARCH("patchmaster",E952)),"PatchMaster Repair",
ISNUMBER(SEARCH("ez seed",E952)),"EZ Seed Repair",
ISNUMBER(SEARCH("rapid grass",E952)),"Rapid Grass",
ISNUMBER(SEARCH("thick'r lawn",E952)),"Thick'R Lawn",
ISNUMBER(SEARCH("fungicide",E952)),"Fungicide",
ISNUMBER(SEARCH("moss",E952)),"Moss Control",
ISNUMBER(SEARCH("perlite",E952)),"Perlite",
ISNUMBER(SEARCH("plant food",E952)),"Plant Food",
ISNUMBER(SEARCH("spreader",E952)),"Spreader",
ISNUMBER(SEARCH("sprayer",E952)),"Sprayer",
ISNUMBER(SEARCH("mower",E952)),"Lawn Mower",
ISNUMBER(SEARCH("sweeper",E952)),"Lawn Sweeper",
OR(ISNUMBER(SEARCH("pruner",E952)),ISNUMBER(SEARCH("trimmer",E952)),ISNUMBER(SEARCH("pole saw",E952))),"Pruning Tools",
TRUE,"Other"
)</f>
        <v>Other</v>
      </c>
      <c r="J952" s="7" t="str">
        <f t="shared" si="367"/>
        <v>Rodent Control - Other</v>
      </c>
      <c r="K952" s="4">
        <v>100</v>
      </c>
      <c r="L952" s="4">
        <v>3</v>
      </c>
      <c r="M952" s="4">
        <v>164</v>
      </c>
      <c r="N952" s="4" t="s">
        <v>2014</v>
      </c>
      <c r="O952" s="4">
        <f>VLOOKUP(A952,[24]Sheet1!$A:$M,2,0)</f>
        <v>50</v>
      </c>
      <c r="P952" s="4">
        <f>VLOOKUP(A952,[24]Sheet1!$A:$M,3,0)</f>
        <v>50</v>
      </c>
      <c r="Q952" s="4">
        <f>VLOOKUP(A952,[24]Sheet1!$A:$M,4,0)</f>
        <v>0</v>
      </c>
      <c r="R952" s="4">
        <f>VLOOKUP(A952,[24]Sheet1!$A:$M,5,0)</f>
        <v>50</v>
      </c>
      <c r="S952" s="4">
        <f>VLOOKUP(A952,[24]Sheet1!$A:$M,6,0)</f>
        <v>50</v>
      </c>
      <c r="T952" s="4">
        <f>VLOOKUP(A952,[24]Sheet1!$A:$M,7,0)</f>
        <v>50</v>
      </c>
      <c r="U952" s="4">
        <f>VLOOKUP(A952,[24]Sheet1!$A:$M,8,0)</f>
        <v>50</v>
      </c>
      <c r="V952" s="4">
        <f>VLOOKUP(A952,[24]Sheet1!$A:$M,9,0)</f>
        <v>100</v>
      </c>
      <c r="W952" s="4">
        <f>VLOOKUP(A952,[24]Sheet1!$A:$M,10,0)</f>
        <v>100</v>
      </c>
      <c r="X952" s="4">
        <f>VLOOKUP(A952,[24]Sheet1!$A:$M,11,0)</f>
        <v>100</v>
      </c>
      <c r="Y952" s="4">
        <f>VLOOKUP(A952,[24]Sheet1!$A:$M,12,0)</f>
        <v>100</v>
      </c>
      <c r="Z952" s="4">
        <f>VLOOKUP(A952,[24]Sheet1!$A:$M,13,0)</f>
        <v>50</v>
      </c>
      <c r="AA952" s="4">
        <f t="shared" si="368"/>
        <v>750</v>
      </c>
      <c r="AB952" s="7">
        <f t="shared" si="369"/>
        <v>63</v>
      </c>
      <c r="AC952" s="15">
        <f t="shared" si="370"/>
        <v>62.5</v>
      </c>
      <c r="AD952" s="16">
        <f t="shared" si="371"/>
        <v>164992.5</v>
      </c>
      <c r="AE952" s="16">
        <f t="shared" si="372"/>
        <v>13749.375</v>
      </c>
      <c r="AF952" s="21">
        <v>6.29</v>
      </c>
      <c r="AG952" s="21">
        <v>219.99</v>
      </c>
      <c r="AH952" s="15">
        <f t="shared" si="373"/>
        <v>5.3803999999999998</v>
      </c>
      <c r="AI952" s="15">
        <f t="shared" si="374"/>
        <v>18.831399999999999</v>
      </c>
      <c r="AJ952" s="10">
        <v>0.5</v>
      </c>
      <c r="AK952" s="10">
        <v>0.5</v>
      </c>
      <c r="AL952" s="21">
        <v>6.29</v>
      </c>
      <c r="AM952" s="9">
        <f t="shared" si="375"/>
        <v>32.9985</v>
      </c>
      <c r="AN952" s="9">
        <f t="shared" si="376"/>
        <v>6.5997000000000003</v>
      </c>
      <c r="AO952" s="9">
        <f t="shared" si="377"/>
        <v>43.998000000000005</v>
      </c>
      <c r="AP952" s="9">
        <f t="shared" si="378"/>
        <v>4.3997999999999999</v>
      </c>
      <c r="AQ952" s="9">
        <f t="shared" si="379"/>
        <v>43.998000000000005</v>
      </c>
      <c r="AR952" s="9">
        <f t="shared" si="380"/>
        <v>54.997500000000002</v>
      </c>
      <c r="AS952" s="11">
        <f t="shared" si="381"/>
        <v>53.803999999999995</v>
      </c>
      <c r="AT952" s="12">
        <f t="shared" si="382"/>
        <v>46.470999999999997</v>
      </c>
    </row>
    <row r="953" spans="1:46" ht="16.5" x14ac:dyDescent="0.4">
      <c r="A953" s="4" t="s">
        <v>4328</v>
      </c>
      <c r="B953" s="4" t="s">
        <v>4330</v>
      </c>
      <c r="C953" s="4" t="s">
        <v>4330</v>
      </c>
      <c r="D953" s="4" t="s">
        <v>4333</v>
      </c>
      <c r="E953" s="4" t="s">
        <v>4337</v>
      </c>
      <c r="F953" s="4" t="s">
        <v>4341</v>
      </c>
      <c r="G953" s="7" t="str">
        <f>VLOOKUP(A953,[1]done!$A:$I,9,0)</f>
        <v>All Other products</v>
      </c>
      <c r="H953" s="7" t="str" cm="1">
        <f t="array" ref="H953">_xlfn.IFS(
OR(ISNUMBER(SEARCH("mouse",E953)),ISNUMBER(SEARCH("rat",E953)),ISNUMBER(SEARCH("mice",E953)),ISNUMBER(SEARCH("rodent",E953))),"Rodent Control",
OR(ISNUMBER(SEARCH("fly",E953)),ISNUMBER(SEARCH("gnat",E953)),ISNUMBER(SEARCH("insect",E953)),ISNUMBER(SEARCH("mosquito",E953))),"Flying Insect Control",
OR(ISNUMBER(SEARCH("roach",E953)),ISNUMBER(SEARCH("ant",E953)),ISNUMBER(SEARCH("spider",E953)),ISNUMBER(SEARCH("cricket",E953)),ISNUMBER(SEARCH("scorpion",E953)),ISNUMBER(SEARCH("centipede",E953)),ISNUMBER(SEARCH("beetle",E953))),"Crawling Insect Control",
OR(ISNUMBER(SEARCH("tree",E953)),ISNUMBER(SEARCH("lantern",E953)),ISNUMBER(SEARCH("garden",E953)),ISNUMBER(SEARCH("plant",E953))),"Garden Pest Control",
OR(ISNUMBER(SEARCH("grass seed",E953)),ISNUMBER(SEARCH("seed mix",E953))),"Grass Seed",
OR(ISNUMBER(SEARCH("lawn food",E953)),ISNUMBER(SEARCH("fertilizer",E953))),"Lawn Fertilizer",
OR(ISNUMBER(SEARCH("patch",E953)),ISNUMBER(SEARCH("repair",E953)),ISNUMBER(SEARCH("thick'r",E953)),ISNUMBER(SEARCH("thick'r lawn",E953)),ISNUMBER(SEARCH("rapid grass",E953))),"Lawn Repair",
OR(ISNUMBER(SEARCH("weed",E953)),ISNUMBER(SEARCH("crabgrass",E953))),"Weed Control",
OR(ISNUMBER(SEARCH("fungicide",E953)),ISNUMBER(SEARCH("moss",E953))),"Disease &amp; Moss Control",
OR(ISNUMBER(SEARCH("plant food",E953)),ISNUMBER(SEARCH("miracid",E953))),"Plant Nutrition",
OR(ISNUMBER(SEARCH("perlite",E953))),"Soil Amendment",
OR(ISNUMBER(SEARCH("spreader",E953)),ISNUMBER(SEARCH("sprayer",E953)),ISNUMBER(SEARCH("mower",E953)),ISNUMBER(SEARCH("sweeper",E953)),ISNUMBER(SEARCH("pruner",E953)),ISNUMBER(SEARCH("trimmer",E953)),ISNUMBER(SEARCH("pole saw",E953))),"Garden Equipment",
TRUE,"Other"
)</f>
        <v>Other</v>
      </c>
      <c r="I953" s="7" t="str" cm="1">
        <f t="array" ref="I953">_xlfn.IFS(
OR(ISNUMBER(SEARCH("glue trap",E953)),ISNUMBER(SEARCH("glue board",E953))),"Glue Traps",
OR(ISNUMBER(SEARCH("snap trap",E953)),ISNUMBER(SEARCH("power-kill",E953)),ISNUMBER(SEARCH("wide pedal",E953)),ISNUMBER(SEARCH("metal pedal",E953))),"Snap Traps",
OR(ISNUMBER(SEARCH("electronic",E953)),ISNUMBER(SEARCH("zapper",E953))),"Electronic Traps",
OR(ISNUMBER(SEARCH("live catch",E953)),ISNUMBER(SEARCH("multi-catch",E953)),ISNUMBER(SEARCH("catch &amp; hold",E953)),ISNUMBER(SEARCH("tin cat",E953))),"Live Catch Traps",
OR(ISNUMBER(SEARCH("bait",E953)),ISNUMBER(SEARCH("poison",E953))),"Bait &amp; Poison",
ISNUMBER(SEARCH("repellent",E953)),"Repellents",
OR(ISNUMBER(SEARCH("fly trap",E953)),ISNUMBER(SEARCH("fly ribbon",E953)),ISNUMBER(SEARCH("fly stick",E953)),ISNUMBER(SEARCH("window fly",E953)),ISNUMBER(SEARCH("fly magnet",E953))),"Fly Traps",
OR(ISNUMBER(SEARCH("uv",E953)),ISNUMBER(SEARCH("fly light",E953)),ISNUMBER(SEARCH("plug-in",E953))),"UV Fly Traps",
ISNUMBER(SEARCH("roach",E953)),"Roach Traps",
ISNUMBER(SEARCH("ant",E953)),"Ant Traps",
ISNUMBER(SEARCH("spider",E953)),"Spider Traps",
ISNUMBER(SEARCH("mosquito",E953)),"Mosquito Traps",
ISNUMBER(SEARCH("beetle",E953)),"Beetle Traps",
ISNUMBER(SEARCH("lantern",E953)),"Lanternfly Control",
OR(ISNUMBER(SEARCH("tree shield",E953)),ISNUMBER(SEARCH("tree banding",E953)),ISNUMBER(SEARCH("insect barrier",E953))),"Tree Barriers",
OR(ISNUMBER(SEARCH("sun &amp; shade",E953)),ISNUMBER(SEARCH("sun and shade",E953))),"Sun &amp; Shade Mix",
ISNUMBER(SEARCH("tall fescue",E953)),"Tall Fescue",
ISNUMBER(SEARCH("bermudagrass",E953)),"Bermudagrass",
ISNUMBER(SEARCH("kentucky",E953)),"Kentucky Bluegrass",
ISNUMBER(SEARCH("zoysia",E953)),"Zoysia",
ISNUMBER(SEARCH("ryegrass",E953)),"Perennial Ryegrass",
ISNUMBER(SEARCH("centipede",E953)),"Centipede Grass",
ISNUMBER(SEARCH("dense shade",E953)),"Dense Shade Mix",
ISNUMBER(SEARCH("southern gold",E953)),"Southern Gold Mix",
ISNUMBER(SEARCH("heat-tolerant blue",E953)),"Heat-Tolerant Blue Mix",
ISNUMBER(SEARCH("high traffic",E953)),"High Traffic Mix",
ISNUMBER(SEARCH("quick fix",E953)),"Quick Fix Mix",
ISNUMBER(SEARCH("starter",E953)),"Starter Fertilizer",
ISNUMBER(SEARCH("weed &amp; feed",E953)),"Weed &amp; Feed",
ISNUMBER(SEARCH("lawn food",E953)),"Lawn Food",
ISNUMBER(SEARCH("triple action",E953)),"Triple Action Fertilizer",
ISNUMBER(SEARCH("green max",E953)),"Green Max Lawn Food",
ISNUMBER(SEARCH("patchmaster",E953)),"PatchMaster Repair",
ISNUMBER(SEARCH("ez seed",E953)),"EZ Seed Repair",
ISNUMBER(SEARCH("rapid grass",E953)),"Rapid Grass",
ISNUMBER(SEARCH("thick'r lawn",E953)),"Thick'R Lawn",
ISNUMBER(SEARCH("fungicide",E953)),"Fungicide",
ISNUMBER(SEARCH("moss",E953)),"Moss Control",
ISNUMBER(SEARCH("perlite",E953)),"Perlite",
ISNUMBER(SEARCH("plant food",E953)),"Plant Food",
ISNUMBER(SEARCH("spreader",E953)),"Spreader",
ISNUMBER(SEARCH("sprayer",E953)),"Sprayer",
ISNUMBER(SEARCH("mower",E953)),"Lawn Mower",
ISNUMBER(SEARCH("sweeper",E953)),"Lawn Sweeper",
OR(ISNUMBER(SEARCH("pruner",E953)),ISNUMBER(SEARCH("trimmer",E953)),ISNUMBER(SEARCH("pole saw",E953))),"Pruning Tools",
TRUE,"Other"
)</f>
        <v>Other</v>
      </c>
      <c r="J953" s="7" t="str">
        <f t="shared" si="367"/>
        <v>Other - Other</v>
      </c>
      <c r="K953" s="4">
        <v>50</v>
      </c>
      <c r="L953" s="4">
        <v>3.4</v>
      </c>
      <c r="M953" s="4">
        <v>54</v>
      </c>
      <c r="N953" s="4" t="s">
        <v>4343</v>
      </c>
      <c r="O953" s="4">
        <f>VLOOKUP(A953,[24]Sheet1!$A:$M,2,0)</f>
        <v>50</v>
      </c>
      <c r="P953" s="4">
        <f>VLOOKUP(A953,[24]Sheet1!$A:$M,3,0)</f>
        <v>50</v>
      </c>
      <c r="Q953" s="4">
        <f>VLOOKUP(A953,[24]Sheet1!$A:$M,4,0)</f>
        <v>0</v>
      </c>
      <c r="R953" s="4">
        <f>VLOOKUP(A953,[24]Sheet1!$A:$M,5,0)</f>
        <v>0</v>
      </c>
      <c r="S953" s="4">
        <f>VLOOKUP(A953,[24]Sheet1!$A:$M,6,0)</f>
        <v>0</v>
      </c>
      <c r="T953" s="4">
        <f>VLOOKUP(A953,[24]Sheet1!$A:$M,7,0)</f>
        <v>0</v>
      </c>
      <c r="U953" s="4">
        <f>VLOOKUP(A953,[24]Sheet1!$A:$M,8,0)</f>
        <v>0</v>
      </c>
      <c r="V953" s="4">
        <f>VLOOKUP(A953,[24]Sheet1!$A:$M,9,0)</f>
        <v>0</v>
      </c>
      <c r="W953" s="4">
        <f>VLOOKUP(A953,[24]Sheet1!$A:$M,10,0)</f>
        <v>50</v>
      </c>
      <c r="X953" s="4">
        <f>VLOOKUP(A953,[24]Sheet1!$A:$M,11,0)</f>
        <v>0</v>
      </c>
      <c r="Y953" s="4">
        <f>VLOOKUP(A953,[24]Sheet1!$A:$M,12,0)</f>
        <v>50</v>
      </c>
      <c r="Z953" s="4">
        <f>VLOOKUP(A953,[24]Sheet1!$A:$M,13,0)</f>
        <v>50</v>
      </c>
      <c r="AA953" s="4">
        <f t="shared" si="368"/>
        <v>250</v>
      </c>
      <c r="AB953" s="7">
        <f t="shared" si="369"/>
        <v>21</v>
      </c>
      <c r="AC953" s="15">
        <f t="shared" si="370"/>
        <v>20.833333333333332</v>
      </c>
      <c r="AD953" s="16">
        <f t="shared" si="371"/>
        <v>6247.5</v>
      </c>
      <c r="AE953" s="16">
        <f t="shared" si="372"/>
        <v>520.62499999999989</v>
      </c>
      <c r="AF953" s="21">
        <v>4.09</v>
      </c>
      <c r="AG953" s="21">
        <v>24.99</v>
      </c>
      <c r="AH953" s="15">
        <f t="shared" si="373"/>
        <v>0.32706666666666656</v>
      </c>
      <c r="AI953" s="15">
        <f t="shared" si="374"/>
        <v>1.1447333333333327</v>
      </c>
      <c r="AJ953" s="10">
        <v>0.5</v>
      </c>
      <c r="AK953" s="10">
        <v>0.5</v>
      </c>
      <c r="AL953" s="21">
        <v>4.09</v>
      </c>
      <c r="AM953" s="9">
        <f t="shared" si="375"/>
        <v>3.7484999999999995</v>
      </c>
      <c r="AN953" s="9">
        <f t="shared" si="376"/>
        <v>0.74969999999999992</v>
      </c>
      <c r="AO953" s="9">
        <f t="shared" si="377"/>
        <v>4.9980000000000002</v>
      </c>
      <c r="AP953" s="9">
        <f t="shared" si="378"/>
        <v>0.49979999999999997</v>
      </c>
      <c r="AQ953" s="9">
        <f t="shared" si="379"/>
        <v>4.9980000000000002</v>
      </c>
      <c r="AR953" s="9">
        <f t="shared" si="380"/>
        <v>6.2474999999999996</v>
      </c>
      <c r="AS953" s="11">
        <f t="shared" si="381"/>
        <v>3.2706666666666653</v>
      </c>
      <c r="AT953" s="12">
        <f t="shared" si="382"/>
        <v>2.4376666666666655</v>
      </c>
    </row>
    <row r="954" spans="1:46" ht="16.5" x14ac:dyDescent="0.4">
      <c r="A954" s="4" t="s">
        <v>4329</v>
      </c>
      <c r="B954" s="4" t="s">
        <v>4330</v>
      </c>
      <c r="C954" s="4" t="s">
        <v>4330</v>
      </c>
      <c r="D954" s="4" t="s">
        <v>4334</v>
      </c>
      <c r="E954" s="4" t="s">
        <v>4338</v>
      </c>
      <c r="F954" s="4" t="s">
        <v>4342</v>
      </c>
      <c r="G954" s="7" t="str">
        <f>VLOOKUP(A954,[1]done!$A:$I,9,0)</f>
        <v>All Other products</v>
      </c>
      <c r="H954" s="7" t="str" cm="1">
        <f t="array" ref="H954">_xlfn.IFS(
OR(ISNUMBER(SEARCH("mouse",E954)),ISNUMBER(SEARCH("rat",E954)),ISNUMBER(SEARCH("mice",E954)),ISNUMBER(SEARCH("rodent",E954))),"Rodent Control",
OR(ISNUMBER(SEARCH("fly",E954)),ISNUMBER(SEARCH("gnat",E954)),ISNUMBER(SEARCH("insect",E954)),ISNUMBER(SEARCH("mosquito",E954))),"Flying Insect Control",
OR(ISNUMBER(SEARCH("roach",E954)),ISNUMBER(SEARCH("ant",E954)),ISNUMBER(SEARCH("spider",E954)),ISNUMBER(SEARCH("cricket",E954)),ISNUMBER(SEARCH("scorpion",E954)),ISNUMBER(SEARCH("centipede",E954)),ISNUMBER(SEARCH("beetle",E954))),"Crawling Insect Control",
OR(ISNUMBER(SEARCH("tree",E954)),ISNUMBER(SEARCH("lantern",E954)),ISNUMBER(SEARCH("garden",E954)),ISNUMBER(SEARCH("plant",E954))),"Garden Pest Control",
OR(ISNUMBER(SEARCH("grass seed",E954)),ISNUMBER(SEARCH("seed mix",E954))),"Grass Seed",
OR(ISNUMBER(SEARCH("lawn food",E954)),ISNUMBER(SEARCH("fertilizer",E954))),"Lawn Fertilizer",
OR(ISNUMBER(SEARCH("patch",E954)),ISNUMBER(SEARCH("repair",E954)),ISNUMBER(SEARCH("thick'r",E954)),ISNUMBER(SEARCH("thick'r lawn",E954)),ISNUMBER(SEARCH("rapid grass",E954))),"Lawn Repair",
OR(ISNUMBER(SEARCH("weed",E954)),ISNUMBER(SEARCH("crabgrass",E954))),"Weed Control",
OR(ISNUMBER(SEARCH("fungicide",E954)),ISNUMBER(SEARCH("moss",E954))),"Disease &amp; Moss Control",
OR(ISNUMBER(SEARCH("plant food",E954)),ISNUMBER(SEARCH("miracid",E954))),"Plant Nutrition",
OR(ISNUMBER(SEARCH("perlite",E954))),"Soil Amendment",
OR(ISNUMBER(SEARCH("spreader",E954)),ISNUMBER(SEARCH("sprayer",E954)),ISNUMBER(SEARCH("mower",E954)),ISNUMBER(SEARCH("sweeper",E954)),ISNUMBER(SEARCH("pruner",E954)),ISNUMBER(SEARCH("trimmer",E954)),ISNUMBER(SEARCH("pole saw",E954))),"Garden Equipment",
TRUE,"Other"
)</f>
        <v>Other</v>
      </c>
      <c r="I954" s="7" t="str" cm="1">
        <f t="array" ref="I954">_xlfn.IFS(
OR(ISNUMBER(SEARCH("glue trap",E954)),ISNUMBER(SEARCH("glue board",E954))),"Glue Traps",
OR(ISNUMBER(SEARCH("snap trap",E954)),ISNUMBER(SEARCH("power-kill",E954)),ISNUMBER(SEARCH("wide pedal",E954)),ISNUMBER(SEARCH("metal pedal",E954))),"Snap Traps",
OR(ISNUMBER(SEARCH("electronic",E954)),ISNUMBER(SEARCH("zapper",E954))),"Electronic Traps",
OR(ISNUMBER(SEARCH("live catch",E954)),ISNUMBER(SEARCH("multi-catch",E954)),ISNUMBER(SEARCH("catch &amp; hold",E954)),ISNUMBER(SEARCH("tin cat",E954))),"Live Catch Traps",
OR(ISNUMBER(SEARCH("bait",E954)),ISNUMBER(SEARCH("poison",E954))),"Bait &amp; Poison",
ISNUMBER(SEARCH("repellent",E954)),"Repellents",
OR(ISNUMBER(SEARCH("fly trap",E954)),ISNUMBER(SEARCH("fly ribbon",E954)),ISNUMBER(SEARCH("fly stick",E954)),ISNUMBER(SEARCH("window fly",E954)),ISNUMBER(SEARCH("fly magnet",E954))),"Fly Traps",
OR(ISNUMBER(SEARCH("uv",E954)),ISNUMBER(SEARCH("fly light",E954)),ISNUMBER(SEARCH("plug-in",E954))),"UV Fly Traps",
ISNUMBER(SEARCH("roach",E954)),"Roach Traps",
ISNUMBER(SEARCH("ant",E954)),"Ant Traps",
ISNUMBER(SEARCH("spider",E954)),"Spider Traps",
ISNUMBER(SEARCH("mosquito",E954)),"Mosquito Traps",
ISNUMBER(SEARCH("beetle",E954)),"Beetle Traps",
ISNUMBER(SEARCH("lantern",E954)),"Lanternfly Control",
OR(ISNUMBER(SEARCH("tree shield",E954)),ISNUMBER(SEARCH("tree banding",E954)),ISNUMBER(SEARCH("insect barrier",E954))),"Tree Barriers",
OR(ISNUMBER(SEARCH("sun &amp; shade",E954)),ISNUMBER(SEARCH("sun and shade",E954))),"Sun &amp; Shade Mix",
ISNUMBER(SEARCH("tall fescue",E954)),"Tall Fescue",
ISNUMBER(SEARCH("bermudagrass",E954)),"Bermudagrass",
ISNUMBER(SEARCH("kentucky",E954)),"Kentucky Bluegrass",
ISNUMBER(SEARCH("zoysia",E954)),"Zoysia",
ISNUMBER(SEARCH("ryegrass",E954)),"Perennial Ryegrass",
ISNUMBER(SEARCH("centipede",E954)),"Centipede Grass",
ISNUMBER(SEARCH("dense shade",E954)),"Dense Shade Mix",
ISNUMBER(SEARCH("southern gold",E954)),"Southern Gold Mix",
ISNUMBER(SEARCH("heat-tolerant blue",E954)),"Heat-Tolerant Blue Mix",
ISNUMBER(SEARCH("high traffic",E954)),"High Traffic Mix",
ISNUMBER(SEARCH("quick fix",E954)),"Quick Fix Mix",
ISNUMBER(SEARCH("starter",E954)),"Starter Fertilizer",
ISNUMBER(SEARCH("weed &amp; feed",E954)),"Weed &amp; Feed",
ISNUMBER(SEARCH("lawn food",E954)),"Lawn Food",
ISNUMBER(SEARCH("triple action",E954)),"Triple Action Fertilizer",
ISNUMBER(SEARCH("green max",E954)),"Green Max Lawn Food",
ISNUMBER(SEARCH("patchmaster",E954)),"PatchMaster Repair",
ISNUMBER(SEARCH("ez seed",E954)),"EZ Seed Repair",
ISNUMBER(SEARCH("rapid grass",E954)),"Rapid Grass",
ISNUMBER(SEARCH("thick'r lawn",E954)),"Thick'R Lawn",
ISNUMBER(SEARCH("fungicide",E954)),"Fungicide",
ISNUMBER(SEARCH("moss",E954)),"Moss Control",
ISNUMBER(SEARCH("perlite",E954)),"Perlite",
ISNUMBER(SEARCH("plant food",E954)),"Plant Food",
ISNUMBER(SEARCH("spreader",E954)),"Spreader",
ISNUMBER(SEARCH("sprayer",E954)),"Sprayer",
ISNUMBER(SEARCH("mower",E954)),"Lawn Mower",
ISNUMBER(SEARCH("sweeper",E954)),"Lawn Sweeper",
OR(ISNUMBER(SEARCH("pruner",E954)),ISNUMBER(SEARCH("trimmer",E954)),ISNUMBER(SEARCH("pole saw",E954))),"Pruning Tools",
TRUE,"Other"
)</f>
        <v>Other</v>
      </c>
      <c r="J954" s="7" t="str">
        <f>H954&amp;" - "&amp;I954</f>
        <v>Other - Other</v>
      </c>
      <c r="K954" s="4">
        <v>50</v>
      </c>
      <c r="L954" s="4">
        <v>3.5</v>
      </c>
      <c r="M954" s="4">
        <v>53</v>
      </c>
      <c r="N954" s="4" t="s">
        <v>4343</v>
      </c>
      <c r="O954" s="4">
        <f>VLOOKUP(A954,[24]Sheet1!$A:$M,2,0)</f>
        <v>100</v>
      </c>
      <c r="P954" s="4">
        <f>VLOOKUP(A954,[24]Sheet1!$A:$M,3,0)</f>
        <v>50</v>
      </c>
      <c r="Q954" s="4">
        <f>VLOOKUP(A954,[24]Sheet1!$A:$M,4,0)</f>
        <v>50</v>
      </c>
      <c r="R954" s="4">
        <f>VLOOKUP(A954,[24]Sheet1!$A:$M,5,0)</f>
        <v>100</v>
      </c>
      <c r="S954" s="4">
        <f>VLOOKUP(A954,[24]Sheet1!$A:$M,6,0)</f>
        <v>100</v>
      </c>
      <c r="T954" s="4">
        <f>VLOOKUP(A954,[24]Sheet1!$A:$M,7,0)</f>
        <v>50</v>
      </c>
      <c r="U954" s="4">
        <f>VLOOKUP(A954,[24]Sheet1!$A:$M,8,0)</f>
        <v>100</v>
      </c>
      <c r="V954" s="4">
        <f>VLOOKUP(A954,[24]Sheet1!$A:$M,9,0)</f>
        <v>50</v>
      </c>
      <c r="W954" s="4">
        <f>VLOOKUP(A954,[24]Sheet1!$A:$M,10,0)</f>
        <v>50</v>
      </c>
      <c r="X954" s="4">
        <f>VLOOKUP(A954,[24]Sheet1!$A:$M,11,0)</f>
        <v>100</v>
      </c>
      <c r="Y954" s="4">
        <f>VLOOKUP(A954,[24]Sheet1!$A:$M,12,0)</f>
        <v>100</v>
      </c>
      <c r="Z954" s="4">
        <f>VLOOKUP(A954,[24]Sheet1!$A:$M,13,0)</f>
        <v>100</v>
      </c>
      <c r="AA954" s="4">
        <f t="shared" si="368"/>
        <v>950</v>
      </c>
      <c r="AB954" s="7">
        <f t="shared" si="369"/>
        <v>79</v>
      </c>
      <c r="AC954" s="15">
        <f t="shared" si="370"/>
        <v>79.166666666666671</v>
      </c>
      <c r="AD954" s="16">
        <f t="shared" si="371"/>
        <v>22790.5</v>
      </c>
      <c r="AE954" s="16">
        <f t="shared" si="372"/>
        <v>1899.2083333333333</v>
      </c>
      <c r="AF954" s="21">
        <v>5.22</v>
      </c>
      <c r="AG954" s="21">
        <v>23.99</v>
      </c>
      <c r="AH954" s="15">
        <f t="shared" si="373"/>
        <v>0.22506666666666664</v>
      </c>
      <c r="AI954" s="15">
        <f t="shared" si="374"/>
        <v>0.78773333333333306</v>
      </c>
      <c r="AJ954" s="10">
        <v>0.5</v>
      </c>
      <c r="AK954" s="10">
        <v>0.5</v>
      </c>
      <c r="AL954" s="21">
        <v>5.22</v>
      </c>
      <c r="AM954" s="9">
        <f t="shared" si="375"/>
        <v>3.5984999999999996</v>
      </c>
      <c r="AN954" s="9">
        <f t="shared" si="376"/>
        <v>0.7196999999999999</v>
      </c>
      <c r="AO954" s="9">
        <f t="shared" si="377"/>
        <v>4.798</v>
      </c>
      <c r="AP954" s="9">
        <f t="shared" si="378"/>
        <v>0.4798</v>
      </c>
      <c r="AQ954" s="9">
        <f t="shared" si="379"/>
        <v>4.798</v>
      </c>
      <c r="AR954" s="9">
        <f t="shared" si="380"/>
        <v>5.9974999999999996</v>
      </c>
      <c r="AS954" s="11">
        <f t="shared" si="381"/>
        <v>2.2506666666666661</v>
      </c>
      <c r="AT954" s="12">
        <f t="shared" si="382"/>
        <v>1.4509999999999998</v>
      </c>
    </row>
    <row r="955" spans="1:46" ht="16.5" x14ac:dyDescent="0.4">
      <c r="A955" s="4" t="s">
        <v>4344</v>
      </c>
      <c r="B955" s="4" t="s">
        <v>4348</v>
      </c>
      <c r="C955" s="4" t="s">
        <v>4348</v>
      </c>
      <c r="D955" s="4" t="s">
        <v>4349</v>
      </c>
      <c r="E955" s="4" t="s">
        <v>4352</v>
      </c>
      <c r="F955" s="4" t="s">
        <v>4356</v>
      </c>
      <c r="G955" s="7" t="str">
        <f>VLOOKUP(A955,[1]done!$A:$I,9,0)</f>
        <v>Rodent</v>
      </c>
      <c r="H955" s="7" t="str" cm="1">
        <f t="array" ref="H955">_xlfn.IFS(
OR(ISNUMBER(SEARCH("mouse",E955)),ISNUMBER(SEARCH("rat",E955)),ISNUMBER(SEARCH("mice",E955)),ISNUMBER(SEARCH("rodent",E955))),"Rodent Control",
OR(ISNUMBER(SEARCH("fly",E955)),ISNUMBER(SEARCH("gnat",E955)),ISNUMBER(SEARCH("insect",E955)),ISNUMBER(SEARCH("mosquito",E955))),"Flying Insect Control",
OR(ISNUMBER(SEARCH("roach",E955)),ISNUMBER(SEARCH("ant",E955)),ISNUMBER(SEARCH("spider",E955)),ISNUMBER(SEARCH("cricket",E955)),ISNUMBER(SEARCH("scorpion",E955)),ISNUMBER(SEARCH("centipede",E955)),ISNUMBER(SEARCH("beetle",E955))),"Crawling Insect Control",
OR(ISNUMBER(SEARCH("tree",E955)),ISNUMBER(SEARCH("lantern",E955)),ISNUMBER(SEARCH("garden",E955)),ISNUMBER(SEARCH("plant",E955))),"Garden Pest Control",
OR(ISNUMBER(SEARCH("grass seed",E955)),ISNUMBER(SEARCH("seed mix",E955))),"Grass Seed",
OR(ISNUMBER(SEARCH("lawn food",E955)),ISNUMBER(SEARCH("fertilizer",E955))),"Lawn Fertilizer",
OR(ISNUMBER(SEARCH("patch",E955)),ISNUMBER(SEARCH("repair",E955)),ISNUMBER(SEARCH("thick'r",E955)),ISNUMBER(SEARCH("thick'r lawn",E955)),ISNUMBER(SEARCH("rapid grass",E955))),"Lawn Repair",
OR(ISNUMBER(SEARCH("weed",E955)),ISNUMBER(SEARCH("crabgrass",E955))),"Weed Control",
OR(ISNUMBER(SEARCH("fungicide",E955)),ISNUMBER(SEARCH("moss",E955))),"Disease &amp; Moss Control",
OR(ISNUMBER(SEARCH("plant food",E955)),ISNUMBER(SEARCH("miracid",E955))),"Plant Nutrition",
OR(ISNUMBER(SEARCH("perlite",E955))),"Soil Amendment",
OR(ISNUMBER(SEARCH("spreader",E955)),ISNUMBER(SEARCH("sprayer",E955)),ISNUMBER(SEARCH("mower",E955)),ISNUMBER(SEARCH("sweeper",E955)),ISNUMBER(SEARCH("pruner",E955)),ISNUMBER(SEARCH("trimmer",E955)),ISNUMBER(SEARCH("pole saw",E955))),"Garden Equipment",
TRUE,"Other"
)</f>
        <v>Rodent Control</v>
      </c>
      <c r="I955" s="7" t="str" cm="1">
        <f t="array" ref="I955">_xlfn.IFS(
OR(ISNUMBER(SEARCH("glue trap",E955)),ISNUMBER(SEARCH("glue board",E955))),"Glue Traps",
OR(ISNUMBER(SEARCH("snap trap",E955)),ISNUMBER(SEARCH("power-kill",E955)),ISNUMBER(SEARCH("wide pedal",E955)),ISNUMBER(SEARCH("metal pedal",E955))),"Snap Traps",
OR(ISNUMBER(SEARCH("electronic",E955)),ISNUMBER(SEARCH("zapper",E955))),"Electronic Traps",
OR(ISNUMBER(SEARCH("live catch",E955)),ISNUMBER(SEARCH("multi-catch",E955)),ISNUMBER(SEARCH("catch &amp; hold",E955)),ISNUMBER(SEARCH("tin cat",E955))),"Live Catch Traps",
OR(ISNUMBER(SEARCH("bait",E955)),ISNUMBER(SEARCH("poison",E955))),"Bait &amp; Poison",
ISNUMBER(SEARCH("repellent",E955)),"Repellents",
OR(ISNUMBER(SEARCH("fly trap",E955)),ISNUMBER(SEARCH("fly ribbon",E955)),ISNUMBER(SEARCH("fly stick",E955)),ISNUMBER(SEARCH("window fly",E955)),ISNUMBER(SEARCH("fly magnet",E955))),"Fly Traps",
OR(ISNUMBER(SEARCH("uv",E955)),ISNUMBER(SEARCH("fly light",E955)),ISNUMBER(SEARCH("plug-in",E955))),"UV Fly Traps",
ISNUMBER(SEARCH("roach",E955)),"Roach Traps",
ISNUMBER(SEARCH("ant",E955)),"Ant Traps",
ISNUMBER(SEARCH("spider",E955)),"Spider Traps",
ISNUMBER(SEARCH("mosquito",E955)),"Mosquito Traps",
ISNUMBER(SEARCH("beetle",E955)),"Beetle Traps",
ISNUMBER(SEARCH("lantern",E955)),"Lanternfly Control",
OR(ISNUMBER(SEARCH("tree shield",E955)),ISNUMBER(SEARCH("tree banding",E955)),ISNUMBER(SEARCH("insect barrier",E955))),"Tree Barriers",
OR(ISNUMBER(SEARCH("sun &amp; shade",E955)),ISNUMBER(SEARCH("sun and shade",E955))),"Sun &amp; Shade Mix",
ISNUMBER(SEARCH("tall fescue",E955)),"Tall Fescue",
ISNUMBER(SEARCH("bermudagrass",E955)),"Bermudagrass",
ISNUMBER(SEARCH("kentucky",E955)),"Kentucky Bluegrass",
ISNUMBER(SEARCH("zoysia",E955)),"Zoysia",
ISNUMBER(SEARCH("ryegrass",E955)),"Perennial Ryegrass",
ISNUMBER(SEARCH("centipede",E955)),"Centipede Grass",
ISNUMBER(SEARCH("dense shade",E955)),"Dense Shade Mix",
ISNUMBER(SEARCH("southern gold",E955)),"Southern Gold Mix",
ISNUMBER(SEARCH("heat-tolerant blue",E955)),"Heat-Tolerant Blue Mix",
ISNUMBER(SEARCH("high traffic",E955)),"High Traffic Mix",
ISNUMBER(SEARCH("quick fix",E955)),"Quick Fix Mix",
ISNUMBER(SEARCH("starter",E955)),"Starter Fertilizer",
ISNUMBER(SEARCH("weed &amp; feed",E955)),"Weed &amp; Feed",
ISNUMBER(SEARCH("lawn food",E955)),"Lawn Food",
ISNUMBER(SEARCH("triple action",E955)),"Triple Action Fertilizer",
ISNUMBER(SEARCH("green max",E955)),"Green Max Lawn Food",
ISNUMBER(SEARCH("patchmaster",E955)),"PatchMaster Repair",
ISNUMBER(SEARCH("ez seed",E955)),"EZ Seed Repair",
ISNUMBER(SEARCH("rapid grass",E955)),"Rapid Grass",
ISNUMBER(SEARCH("thick'r lawn",E955)),"Thick'R Lawn",
ISNUMBER(SEARCH("fungicide",E955)),"Fungicide",
ISNUMBER(SEARCH("moss",E955)),"Moss Control",
ISNUMBER(SEARCH("perlite",E955)),"Perlite",
ISNUMBER(SEARCH("plant food",E955)),"Plant Food",
ISNUMBER(SEARCH("spreader",E955)),"Spreader",
ISNUMBER(SEARCH("sprayer",E955)),"Sprayer",
ISNUMBER(SEARCH("mower",E955)),"Lawn Mower",
ISNUMBER(SEARCH("sweeper",E955)),"Lawn Sweeper",
OR(ISNUMBER(SEARCH("pruner",E955)),ISNUMBER(SEARCH("trimmer",E955)),ISNUMBER(SEARCH("pole saw",E955))),"Pruning Tools",
TRUE,"Other"
)</f>
        <v>Glue Traps</v>
      </c>
      <c r="J955" s="7" t="str">
        <f t="shared" ref="J955:J958" si="383">H955&amp;" - "&amp;I955</f>
        <v>Rodent Control - Glue Traps</v>
      </c>
      <c r="K955" s="4">
        <v>10000</v>
      </c>
      <c r="L955" s="4">
        <v>4.5</v>
      </c>
      <c r="M955" s="4">
        <v>14661</v>
      </c>
      <c r="N955" s="4" t="s">
        <v>4360</v>
      </c>
      <c r="O955" s="4">
        <f>VLOOKUP(A955,[25]Sheet1!$A:$M,2,0)</f>
        <v>4600</v>
      </c>
      <c r="P955" s="4">
        <f>VLOOKUP(A955,[25]Sheet1!$A:$M,3,0)</f>
        <v>4600</v>
      </c>
      <c r="Q955" s="4">
        <f>VLOOKUP(A955,[25]Sheet1!$A:$M,4,0)</f>
        <v>5050</v>
      </c>
      <c r="R955" s="4">
        <f>VLOOKUP(A955,[25]Sheet1!$A:$M,5,0)</f>
        <v>5650</v>
      </c>
      <c r="S955" s="4">
        <f>VLOOKUP(A955,[25]Sheet1!$A:$M,6,0)</f>
        <v>5650</v>
      </c>
      <c r="T955" s="4">
        <f>VLOOKUP(A955,[25]Sheet1!$A:$M,7,0)</f>
        <v>5650</v>
      </c>
      <c r="U955" s="4">
        <f>VLOOKUP(A955,[25]Sheet1!$A:$M,8,0)</f>
        <v>5650</v>
      </c>
      <c r="V955" s="4">
        <f>VLOOKUP(A955,[25]Sheet1!$A:$M,9,0)</f>
        <v>5650</v>
      </c>
      <c r="W955" s="4">
        <f>VLOOKUP(A955,[25]Sheet1!$A:$M,10,0)</f>
        <v>5650</v>
      </c>
      <c r="X955" s="4">
        <f>VLOOKUP(A955,[25]Sheet1!$A:$M,11,0)</f>
        <v>5650</v>
      </c>
      <c r="Y955" s="4">
        <f>VLOOKUP(A955,[25]Sheet1!$A:$M,12,0)</f>
        <v>5650</v>
      </c>
      <c r="Z955" s="4">
        <f>VLOOKUP(A955,[25]Sheet1!$A:$M,13,0)</f>
        <v>4600</v>
      </c>
      <c r="AA955" s="4">
        <f t="shared" ref="AA955:AA958" si="384">SUM(O955:Z955)</f>
        <v>64050</v>
      </c>
      <c r="AB955" s="7">
        <f t="shared" ref="AB955:AB958" si="385">ROUND(AA955/12,0)</f>
        <v>5338</v>
      </c>
      <c r="AC955" s="15">
        <f t="shared" ref="AC955:AC958" si="386">AVERAGE(O955:Z955)</f>
        <v>5337.5</v>
      </c>
      <c r="AD955" s="16">
        <f t="shared" ref="AD955:AD958" si="387">AG955*AA955</f>
        <v>604632</v>
      </c>
      <c r="AE955" s="16">
        <f t="shared" ref="AE955:AE958" si="388">AG955*AC955</f>
        <v>50386</v>
      </c>
      <c r="AF955" s="21">
        <v>4.92</v>
      </c>
      <c r="AG955" s="21">
        <v>9.44</v>
      </c>
      <c r="AH955" s="15">
        <f t="shared" ref="AH955:AH958" si="389">0.1*AS955</f>
        <v>-0.14293333333333333</v>
      </c>
      <c r="AI955" s="15">
        <f t="shared" ref="AI955:AI958" si="390">0.35*AS955</f>
        <v>-0.50026666666666664</v>
      </c>
      <c r="AJ955" s="10">
        <v>0.5</v>
      </c>
      <c r="AK955" s="10">
        <v>0.5</v>
      </c>
      <c r="AL955" s="21">
        <v>4.92</v>
      </c>
      <c r="AM955" s="9">
        <f t="shared" ref="AM955:AM958" si="391">0.15*AG955</f>
        <v>1.4159999999999999</v>
      </c>
      <c r="AN955" s="9">
        <f t="shared" ref="AN955:AN958" si="392">0.03*AG955</f>
        <v>0.28319999999999995</v>
      </c>
      <c r="AO955" s="9">
        <f t="shared" ref="AO955:AO958" si="393">0.2*AG955</f>
        <v>1.8879999999999999</v>
      </c>
      <c r="AP955" s="9">
        <f t="shared" ref="AP955:AP958" si="394">0.02*AG955</f>
        <v>0.1888</v>
      </c>
      <c r="AQ955" s="9">
        <f t="shared" ref="AQ955:AQ958" si="395">0.2*AG955</f>
        <v>1.8879999999999999</v>
      </c>
      <c r="AR955" s="9">
        <f t="shared" ref="AR955:AR958" si="396">0.25*AG955</f>
        <v>2.36</v>
      </c>
      <c r="AS955" s="11">
        <f t="shared" ref="AS955:AS958" si="397">(AG955*(1-(0.15+0.03+0.2+0.02))-AJ955-AK955-AL955-AQ955)/(1+0.1+0.4)</f>
        <v>-1.4293333333333333</v>
      </c>
      <c r="AT955" s="12">
        <f t="shared" ref="AT955:AT958" si="398">(AG955*(1-(0.15+0.03+0.2+0.02))-AJ955-AK955-AL955-AR955)/(1+0.1+0.4)</f>
        <v>-1.744</v>
      </c>
    </row>
    <row r="956" spans="1:46" ht="16.5" x14ac:dyDescent="0.4">
      <c r="A956" s="4" t="s">
        <v>4345</v>
      </c>
      <c r="B956" s="4" t="s">
        <v>4348</v>
      </c>
      <c r="C956" s="4" t="s">
        <v>4348</v>
      </c>
      <c r="D956" s="4" t="s">
        <v>4350</v>
      </c>
      <c r="E956" s="4" t="s">
        <v>4353</v>
      </c>
      <c r="F956" s="4" t="s">
        <v>4357</v>
      </c>
      <c r="G956" s="7" t="str">
        <f>VLOOKUP(A956,[1]done!$A:$I,9,0)</f>
        <v>Rodent</v>
      </c>
      <c r="H956" s="7" t="str" cm="1">
        <f t="array" ref="H956">_xlfn.IFS(
OR(ISNUMBER(SEARCH("mouse",E956)),ISNUMBER(SEARCH("rat",E956)),ISNUMBER(SEARCH("mice",E956)),ISNUMBER(SEARCH("rodent",E956))),"Rodent Control",
OR(ISNUMBER(SEARCH("fly",E956)),ISNUMBER(SEARCH("gnat",E956)),ISNUMBER(SEARCH("insect",E956)),ISNUMBER(SEARCH("mosquito",E956))),"Flying Insect Control",
OR(ISNUMBER(SEARCH("roach",E956)),ISNUMBER(SEARCH("ant",E956)),ISNUMBER(SEARCH("spider",E956)),ISNUMBER(SEARCH("cricket",E956)),ISNUMBER(SEARCH("scorpion",E956)),ISNUMBER(SEARCH("centipede",E956)),ISNUMBER(SEARCH("beetle",E956))),"Crawling Insect Control",
OR(ISNUMBER(SEARCH("tree",E956)),ISNUMBER(SEARCH("lantern",E956)),ISNUMBER(SEARCH("garden",E956)),ISNUMBER(SEARCH("plant",E956))),"Garden Pest Control",
OR(ISNUMBER(SEARCH("grass seed",E956)),ISNUMBER(SEARCH("seed mix",E956))),"Grass Seed",
OR(ISNUMBER(SEARCH("lawn food",E956)),ISNUMBER(SEARCH("fertilizer",E956))),"Lawn Fertilizer",
OR(ISNUMBER(SEARCH("patch",E956)),ISNUMBER(SEARCH("repair",E956)),ISNUMBER(SEARCH("thick'r",E956)),ISNUMBER(SEARCH("thick'r lawn",E956)),ISNUMBER(SEARCH("rapid grass",E956))),"Lawn Repair",
OR(ISNUMBER(SEARCH("weed",E956)),ISNUMBER(SEARCH("crabgrass",E956))),"Weed Control",
OR(ISNUMBER(SEARCH("fungicide",E956)),ISNUMBER(SEARCH("moss",E956))),"Disease &amp; Moss Control",
OR(ISNUMBER(SEARCH("plant food",E956)),ISNUMBER(SEARCH("miracid",E956))),"Plant Nutrition",
OR(ISNUMBER(SEARCH("perlite",E956))),"Soil Amendment",
OR(ISNUMBER(SEARCH("spreader",E956)),ISNUMBER(SEARCH("sprayer",E956)),ISNUMBER(SEARCH("mower",E956)),ISNUMBER(SEARCH("sweeper",E956)),ISNUMBER(SEARCH("pruner",E956)),ISNUMBER(SEARCH("trimmer",E956)),ISNUMBER(SEARCH("pole saw",E956))),"Garden Equipment",
TRUE,"Other"
)</f>
        <v>Rodent Control</v>
      </c>
      <c r="I956" s="7" t="str" cm="1">
        <f t="array" ref="I956">_xlfn.IFS(
OR(ISNUMBER(SEARCH("glue trap",E956)),ISNUMBER(SEARCH("glue board",E956))),"Glue Traps",
OR(ISNUMBER(SEARCH("snap trap",E956)),ISNUMBER(SEARCH("power-kill",E956)),ISNUMBER(SEARCH("wide pedal",E956)),ISNUMBER(SEARCH("metal pedal",E956))),"Snap Traps",
OR(ISNUMBER(SEARCH("electronic",E956)),ISNUMBER(SEARCH("zapper",E956))),"Electronic Traps",
OR(ISNUMBER(SEARCH("live catch",E956)),ISNUMBER(SEARCH("multi-catch",E956)),ISNUMBER(SEARCH("catch &amp; hold",E956)),ISNUMBER(SEARCH("tin cat",E956))),"Live Catch Traps",
OR(ISNUMBER(SEARCH("bait",E956)),ISNUMBER(SEARCH("poison",E956))),"Bait &amp; Poison",
ISNUMBER(SEARCH("repellent",E956)),"Repellents",
OR(ISNUMBER(SEARCH("fly trap",E956)),ISNUMBER(SEARCH("fly ribbon",E956)),ISNUMBER(SEARCH("fly stick",E956)),ISNUMBER(SEARCH("window fly",E956)),ISNUMBER(SEARCH("fly magnet",E956))),"Fly Traps",
OR(ISNUMBER(SEARCH("uv",E956)),ISNUMBER(SEARCH("fly light",E956)),ISNUMBER(SEARCH("plug-in",E956))),"UV Fly Traps",
ISNUMBER(SEARCH("roach",E956)),"Roach Traps",
ISNUMBER(SEARCH("ant",E956)),"Ant Traps",
ISNUMBER(SEARCH("spider",E956)),"Spider Traps",
ISNUMBER(SEARCH("mosquito",E956)),"Mosquito Traps",
ISNUMBER(SEARCH("beetle",E956)),"Beetle Traps",
ISNUMBER(SEARCH("lantern",E956)),"Lanternfly Control",
OR(ISNUMBER(SEARCH("tree shield",E956)),ISNUMBER(SEARCH("tree banding",E956)),ISNUMBER(SEARCH("insect barrier",E956))),"Tree Barriers",
OR(ISNUMBER(SEARCH("sun &amp; shade",E956)),ISNUMBER(SEARCH("sun and shade",E956))),"Sun &amp; Shade Mix",
ISNUMBER(SEARCH("tall fescue",E956)),"Tall Fescue",
ISNUMBER(SEARCH("bermudagrass",E956)),"Bermudagrass",
ISNUMBER(SEARCH("kentucky",E956)),"Kentucky Bluegrass",
ISNUMBER(SEARCH("zoysia",E956)),"Zoysia",
ISNUMBER(SEARCH("ryegrass",E956)),"Perennial Ryegrass",
ISNUMBER(SEARCH("centipede",E956)),"Centipede Grass",
ISNUMBER(SEARCH("dense shade",E956)),"Dense Shade Mix",
ISNUMBER(SEARCH("southern gold",E956)),"Southern Gold Mix",
ISNUMBER(SEARCH("heat-tolerant blue",E956)),"Heat-Tolerant Blue Mix",
ISNUMBER(SEARCH("high traffic",E956)),"High Traffic Mix",
ISNUMBER(SEARCH("quick fix",E956)),"Quick Fix Mix",
ISNUMBER(SEARCH("starter",E956)),"Starter Fertilizer",
ISNUMBER(SEARCH("weed &amp; feed",E956)),"Weed &amp; Feed",
ISNUMBER(SEARCH("lawn food",E956)),"Lawn Food",
ISNUMBER(SEARCH("triple action",E956)),"Triple Action Fertilizer",
ISNUMBER(SEARCH("green max",E956)),"Green Max Lawn Food",
ISNUMBER(SEARCH("patchmaster",E956)),"PatchMaster Repair",
ISNUMBER(SEARCH("ez seed",E956)),"EZ Seed Repair",
ISNUMBER(SEARCH("rapid grass",E956)),"Rapid Grass",
ISNUMBER(SEARCH("thick'r lawn",E956)),"Thick'R Lawn",
ISNUMBER(SEARCH("fungicide",E956)),"Fungicide",
ISNUMBER(SEARCH("moss",E956)),"Moss Control",
ISNUMBER(SEARCH("perlite",E956)),"Perlite",
ISNUMBER(SEARCH("plant food",E956)),"Plant Food",
ISNUMBER(SEARCH("spreader",E956)),"Spreader",
ISNUMBER(SEARCH("sprayer",E956)),"Sprayer",
ISNUMBER(SEARCH("mower",E956)),"Lawn Mower",
ISNUMBER(SEARCH("sweeper",E956)),"Lawn Sweeper",
OR(ISNUMBER(SEARCH("pruner",E956)),ISNUMBER(SEARCH("trimmer",E956)),ISNUMBER(SEARCH("pole saw",E956))),"Pruning Tools",
TRUE,"Other"
)</f>
        <v>Glue Traps</v>
      </c>
      <c r="J956" s="7" t="str">
        <f t="shared" si="383"/>
        <v>Rodent Control - Glue Traps</v>
      </c>
      <c r="K956" s="4">
        <v>200</v>
      </c>
      <c r="L956" s="4">
        <v>4.5999999999999996</v>
      </c>
      <c r="M956" s="4">
        <v>712</v>
      </c>
      <c r="O956" s="4">
        <f>VLOOKUP(A956,[25]Sheet1!$A:$M,2,0)</f>
        <v>100</v>
      </c>
      <c r="P956" s="4">
        <f>VLOOKUP(A956,[25]Sheet1!$A:$M,3,0)</f>
        <v>100</v>
      </c>
      <c r="Q956" s="4">
        <f>VLOOKUP(A956,[25]Sheet1!$A:$M,4,0)</f>
        <v>100</v>
      </c>
      <c r="R956" s="4">
        <f>VLOOKUP(A956,[25]Sheet1!$A:$M,5,0)</f>
        <v>200</v>
      </c>
      <c r="S956" s="4">
        <f>VLOOKUP(A956,[25]Sheet1!$A:$M,6,0)</f>
        <v>100</v>
      </c>
      <c r="T956" s="4">
        <f>VLOOKUP(A956,[25]Sheet1!$A:$M,7,0)</f>
        <v>200</v>
      </c>
      <c r="U956" s="4">
        <f>VLOOKUP(A956,[25]Sheet1!$A:$M,8,0)</f>
        <v>200</v>
      </c>
      <c r="V956" s="4">
        <f>VLOOKUP(A956,[25]Sheet1!$A:$M,9,0)</f>
        <v>300</v>
      </c>
      <c r="W956" s="4">
        <f>VLOOKUP(A956,[25]Sheet1!$A:$M,10,0)</f>
        <v>100</v>
      </c>
      <c r="X956" s="4">
        <f>VLOOKUP(A956,[25]Sheet1!$A:$M,11,0)</f>
        <v>400</v>
      </c>
      <c r="Y956" s="4">
        <f>VLOOKUP(A956,[25]Sheet1!$A:$M,12,0)</f>
        <v>200</v>
      </c>
      <c r="Z956" s="4">
        <f>VLOOKUP(A956,[25]Sheet1!$A:$M,13,0)</f>
        <v>100</v>
      </c>
      <c r="AA956" s="4">
        <f t="shared" si="384"/>
        <v>2100</v>
      </c>
      <c r="AB956" s="7">
        <f t="shared" si="385"/>
        <v>175</v>
      </c>
      <c r="AC956" s="15">
        <f t="shared" si="386"/>
        <v>175</v>
      </c>
      <c r="AD956" s="16">
        <f t="shared" si="387"/>
        <v>78582</v>
      </c>
      <c r="AE956" s="16">
        <f t="shared" si="388"/>
        <v>6548.5</v>
      </c>
      <c r="AF956" s="21">
        <v>7.32</v>
      </c>
      <c r="AG956" s="21">
        <v>37.42</v>
      </c>
      <c r="AH956" s="15">
        <f t="shared" si="389"/>
        <v>0.44320000000000004</v>
      </c>
      <c r="AI956" s="15">
        <f t="shared" si="390"/>
        <v>1.5512000000000001</v>
      </c>
      <c r="AJ956" s="10">
        <v>0.5</v>
      </c>
      <c r="AK956" s="10">
        <v>0.5</v>
      </c>
      <c r="AL956" s="21">
        <v>7.32</v>
      </c>
      <c r="AM956" s="9">
        <f t="shared" si="391"/>
        <v>5.6130000000000004</v>
      </c>
      <c r="AN956" s="9">
        <f t="shared" si="392"/>
        <v>1.1226</v>
      </c>
      <c r="AO956" s="9">
        <f t="shared" si="393"/>
        <v>7.4840000000000009</v>
      </c>
      <c r="AP956" s="9">
        <f t="shared" si="394"/>
        <v>0.74840000000000007</v>
      </c>
      <c r="AQ956" s="9">
        <f t="shared" si="395"/>
        <v>7.4840000000000009</v>
      </c>
      <c r="AR956" s="9">
        <f t="shared" si="396"/>
        <v>9.3550000000000004</v>
      </c>
      <c r="AS956" s="11">
        <f t="shared" si="397"/>
        <v>4.4320000000000004</v>
      </c>
      <c r="AT956" s="12">
        <f t="shared" si="398"/>
        <v>3.1846666666666672</v>
      </c>
    </row>
    <row r="957" spans="1:46" ht="16.5" x14ac:dyDescent="0.4">
      <c r="A957" s="4" t="s">
        <v>4346</v>
      </c>
      <c r="B957" s="4" t="s">
        <v>4348</v>
      </c>
      <c r="C957" s="4" t="s">
        <v>4348</v>
      </c>
      <c r="D957" s="4" t="s">
        <v>4351</v>
      </c>
      <c r="E957" s="4" t="s">
        <v>4354</v>
      </c>
      <c r="F957" s="4" t="s">
        <v>4358</v>
      </c>
      <c r="G957" s="7" t="str">
        <f>VLOOKUP(A957,[1]done!$A:$I,9,0)</f>
        <v>Other Glue boards for insect or rodent</v>
      </c>
      <c r="H957" s="7" t="str" cm="1">
        <f t="array" ref="H957">_xlfn.IFS(
OR(ISNUMBER(SEARCH("mouse",E957)),ISNUMBER(SEARCH("rat",E957)),ISNUMBER(SEARCH("mice",E957)),ISNUMBER(SEARCH("rodent",E957))),"Rodent Control",
OR(ISNUMBER(SEARCH("fly",E957)),ISNUMBER(SEARCH("gnat",E957)),ISNUMBER(SEARCH("insect",E957)),ISNUMBER(SEARCH("mosquito",E957))),"Flying Insect Control",
OR(ISNUMBER(SEARCH("roach",E957)),ISNUMBER(SEARCH("ant",E957)),ISNUMBER(SEARCH("spider",E957)),ISNUMBER(SEARCH("cricket",E957)),ISNUMBER(SEARCH("scorpion",E957)),ISNUMBER(SEARCH("centipede",E957)),ISNUMBER(SEARCH("beetle",E957))),"Crawling Insect Control",
OR(ISNUMBER(SEARCH("tree",E957)),ISNUMBER(SEARCH("lantern",E957)),ISNUMBER(SEARCH("garden",E957)),ISNUMBER(SEARCH("plant",E957))),"Garden Pest Control",
OR(ISNUMBER(SEARCH("grass seed",E957)),ISNUMBER(SEARCH("seed mix",E957))),"Grass Seed",
OR(ISNUMBER(SEARCH("lawn food",E957)),ISNUMBER(SEARCH("fertilizer",E957))),"Lawn Fertilizer",
OR(ISNUMBER(SEARCH("patch",E957)),ISNUMBER(SEARCH("repair",E957)),ISNUMBER(SEARCH("thick'r",E957)),ISNUMBER(SEARCH("thick'r lawn",E957)),ISNUMBER(SEARCH("rapid grass",E957))),"Lawn Repair",
OR(ISNUMBER(SEARCH("weed",E957)),ISNUMBER(SEARCH("crabgrass",E957))),"Weed Control",
OR(ISNUMBER(SEARCH("fungicide",E957)),ISNUMBER(SEARCH("moss",E957))),"Disease &amp; Moss Control",
OR(ISNUMBER(SEARCH("plant food",E957)),ISNUMBER(SEARCH("miracid",E957))),"Plant Nutrition",
OR(ISNUMBER(SEARCH("perlite",E957))),"Soil Amendment",
OR(ISNUMBER(SEARCH("spreader",E957)),ISNUMBER(SEARCH("sprayer",E957)),ISNUMBER(SEARCH("mower",E957)),ISNUMBER(SEARCH("sweeper",E957)),ISNUMBER(SEARCH("pruner",E957)),ISNUMBER(SEARCH("trimmer",E957)),ISNUMBER(SEARCH("pole saw",E957))),"Garden Equipment",
TRUE,"Other"
)</f>
        <v>Other</v>
      </c>
      <c r="I957" s="7" t="str" cm="1">
        <f t="array" ref="I957">_xlfn.IFS(
OR(ISNUMBER(SEARCH("glue trap",E957)),ISNUMBER(SEARCH("glue board",E957))),"Glue Traps",
OR(ISNUMBER(SEARCH("snap trap",E957)),ISNUMBER(SEARCH("power-kill",E957)),ISNUMBER(SEARCH("wide pedal",E957)),ISNUMBER(SEARCH("metal pedal",E957))),"Snap Traps",
OR(ISNUMBER(SEARCH("electronic",E957)),ISNUMBER(SEARCH("zapper",E957))),"Electronic Traps",
OR(ISNUMBER(SEARCH("live catch",E957)),ISNUMBER(SEARCH("multi-catch",E957)),ISNUMBER(SEARCH("catch &amp; hold",E957)),ISNUMBER(SEARCH("tin cat",E957))),"Live Catch Traps",
OR(ISNUMBER(SEARCH("bait",E957)),ISNUMBER(SEARCH("poison",E957))),"Bait &amp; Poison",
ISNUMBER(SEARCH("repellent",E957)),"Repellents",
OR(ISNUMBER(SEARCH("fly trap",E957)),ISNUMBER(SEARCH("fly ribbon",E957)),ISNUMBER(SEARCH("fly stick",E957)),ISNUMBER(SEARCH("window fly",E957)),ISNUMBER(SEARCH("fly magnet",E957))),"Fly Traps",
OR(ISNUMBER(SEARCH("uv",E957)),ISNUMBER(SEARCH("fly light",E957)),ISNUMBER(SEARCH("plug-in",E957))),"UV Fly Traps",
ISNUMBER(SEARCH("roach",E957)),"Roach Traps",
ISNUMBER(SEARCH("ant",E957)),"Ant Traps",
ISNUMBER(SEARCH("spider",E957)),"Spider Traps",
ISNUMBER(SEARCH("mosquito",E957)),"Mosquito Traps",
ISNUMBER(SEARCH("beetle",E957)),"Beetle Traps",
ISNUMBER(SEARCH("lantern",E957)),"Lanternfly Control",
OR(ISNUMBER(SEARCH("tree shield",E957)),ISNUMBER(SEARCH("tree banding",E957)),ISNUMBER(SEARCH("insect barrier",E957))),"Tree Barriers",
OR(ISNUMBER(SEARCH("sun &amp; shade",E957)),ISNUMBER(SEARCH("sun and shade",E957))),"Sun &amp; Shade Mix",
ISNUMBER(SEARCH("tall fescue",E957)),"Tall Fescue",
ISNUMBER(SEARCH("bermudagrass",E957)),"Bermudagrass",
ISNUMBER(SEARCH("kentucky",E957)),"Kentucky Bluegrass",
ISNUMBER(SEARCH("zoysia",E957)),"Zoysia",
ISNUMBER(SEARCH("ryegrass",E957)),"Perennial Ryegrass",
ISNUMBER(SEARCH("centipede",E957)),"Centipede Grass",
ISNUMBER(SEARCH("dense shade",E957)),"Dense Shade Mix",
ISNUMBER(SEARCH("southern gold",E957)),"Southern Gold Mix",
ISNUMBER(SEARCH("heat-tolerant blue",E957)),"Heat-Tolerant Blue Mix",
ISNUMBER(SEARCH("high traffic",E957)),"High Traffic Mix",
ISNUMBER(SEARCH("quick fix",E957)),"Quick Fix Mix",
ISNUMBER(SEARCH("starter",E957)),"Starter Fertilizer",
ISNUMBER(SEARCH("weed &amp; feed",E957)),"Weed &amp; Feed",
ISNUMBER(SEARCH("lawn food",E957)),"Lawn Food",
ISNUMBER(SEARCH("triple action",E957)),"Triple Action Fertilizer",
ISNUMBER(SEARCH("green max",E957)),"Green Max Lawn Food",
ISNUMBER(SEARCH("patchmaster",E957)),"PatchMaster Repair",
ISNUMBER(SEARCH("ez seed",E957)),"EZ Seed Repair",
ISNUMBER(SEARCH("rapid grass",E957)),"Rapid Grass",
ISNUMBER(SEARCH("thick'r lawn",E957)),"Thick'R Lawn",
ISNUMBER(SEARCH("fungicide",E957)),"Fungicide",
ISNUMBER(SEARCH("moss",E957)),"Moss Control",
ISNUMBER(SEARCH("perlite",E957)),"Perlite",
ISNUMBER(SEARCH("plant food",E957)),"Plant Food",
ISNUMBER(SEARCH("spreader",E957)),"Spreader",
ISNUMBER(SEARCH("sprayer",E957)),"Sprayer",
ISNUMBER(SEARCH("mower",E957)),"Lawn Mower",
ISNUMBER(SEARCH("sweeper",E957)),"Lawn Sweeper",
OR(ISNUMBER(SEARCH("pruner",E957)),ISNUMBER(SEARCH("trimmer",E957)),ISNUMBER(SEARCH("pole saw",E957))),"Pruning Tools",
TRUE,"Other"
)</f>
        <v>Glue Traps</v>
      </c>
      <c r="J957" s="7" t="str">
        <f t="shared" si="383"/>
        <v>Other - Glue Traps</v>
      </c>
      <c r="K957" s="4">
        <v>100</v>
      </c>
      <c r="L957" s="4">
        <v>4.4000000000000004</v>
      </c>
      <c r="M957" s="4">
        <v>1012</v>
      </c>
      <c r="O957" s="4">
        <f>VLOOKUP(A957,[25]Sheet1!$A:$M,2,0)</f>
        <v>50</v>
      </c>
      <c r="P957" s="4">
        <f>VLOOKUP(A957,[25]Sheet1!$A:$M,3,0)</f>
        <v>50</v>
      </c>
      <c r="Q957" s="4">
        <f>VLOOKUP(A957,[25]Sheet1!$A:$M,4,0)</f>
        <v>50</v>
      </c>
      <c r="R957" s="4">
        <f>VLOOKUP(A957,[25]Sheet1!$A:$M,5,0)</f>
        <v>50</v>
      </c>
      <c r="S957" s="4">
        <f>VLOOKUP(A957,[25]Sheet1!$A:$M,6,0)</f>
        <v>50</v>
      </c>
      <c r="T957" s="4">
        <f>VLOOKUP(A957,[25]Sheet1!$A:$M,7,0)</f>
        <v>50</v>
      </c>
      <c r="U957" s="4">
        <f>VLOOKUP(A957,[25]Sheet1!$A:$M,8,0)</f>
        <v>50</v>
      </c>
      <c r="V957" s="4">
        <f>VLOOKUP(A957,[25]Sheet1!$A:$M,9,0)</f>
        <v>100</v>
      </c>
      <c r="W957" s="4">
        <f>VLOOKUP(A957,[25]Sheet1!$A:$M,10,0)</f>
        <v>50</v>
      </c>
      <c r="X957" s="4">
        <f>VLOOKUP(A957,[25]Sheet1!$A:$M,11,0)</f>
        <v>100</v>
      </c>
      <c r="Y957" s="4">
        <f>VLOOKUP(A957,[25]Sheet1!$A:$M,12,0)</f>
        <v>100</v>
      </c>
      <c r="Z957" s="4">
        <f>VLOOKUP(A957,[25]Sheet1!$A:$M,13,0)</f>
        <v>50</v>
      </c>
      <c r="AA957" s="4">
        <f t="shared" si="384"/>
        <v>750</v>
      </c>
      <c r="AB957" s="7">
        <f t="shared" si="385"/>
        <v>63</v>
      </c>
      <c r="AC957" s="15">
        <f t="shared" si="386"/>
        <v>62.5</v>
      </c>
      <c r="AD957" s="16">
        <f t="shared" si="387"/>
        <v>6397.4999999999991</v>
      </c>
      <c r="AE957" s="16">
        <f t="shared" si="388"/>
        <v>533.125</v>
      </c>
      <c r="AF957" s="21">
        <v>2.65</v>
      </c>
      <c r="AG957" s="21">
        <v>8.5299999999999994</v>
      </c>
      <c r="AH957" s="15">
        <f t="shared" si="389"/>
        <v>-1.5866666666666696E-2</v>
      </c>
      <c r="AI957" s="15">
        <f t="shared" si="390"/>
        <v>-5.5533333333333428E-2</v>
      </c>
      <c r="AJ957" s="10">
        <v>0.5</v>
      </c>
      <c r="AK957" s="10">
        <v>0.5</v>
      </c>
      <c r="AL957" s="21">
        <v>2.65</v>
      </c>
      <c r="AM957" s="9">
        <f t="shared" si="391"/>
        <v>1.2794999999999999</v>
      </c>
      <c r="AN957" s="9">
        <f t="shared" si="392"/>
        <v>0.25589999999999996</v>
      </c>
      <c r="AO957" s="9">
        <f t="shared" si="393"/>
        <v>1.706</v>
      </c>
      <c r="AP957" s="9">
        <f t="shared" si="394"/>
        <v>0.1706</v>
      </c>
      <c r="AQ957" s="9">
        <f t="shared" si="395"/>
        <v>1.706</v>
      </c>
      <c r="AR957" s="9">
        <f t="shared" si="396"/>
        <v>2.1324999999999998</v>
      </c>
      <c r="AS957" s="11">
        <f t="shared" si="397"/>
        <v>-0.15866666666666696</v>
      </c>
      <c r="AT957" s="12">
        <f t="shared" si="398"/>
        <v>-0.44300000000000023</v>
      </c>
    </row>
    <row r="958" spans="1:46" ht="16.5" x14ac:dyDescent="0.4">
      <c r="A958" s="4" t="s">
        <v>4347</v>
      </c>
      <c r="B958" s="4" t="s">
        <v>4348</v>
      </c>
      <c r="C958" s="4" t="s">
        <v>4348</v>
      </c>
      <c r="D958" s="4" t="s">
        <v>4349</v>
      </c>
      <c r="E958" s="4" t="s">
        <v>4355</v>
      </c>
      <c r="F958" s="4" t="s">
        <v>4359</v>
      </c>
      <c r="G958" s="7" t="str">
        <f>VLOOKUP(A958,[1]done!$A:$I,9,0)</f>
        <v>Other Glue boards for insect or rodent</v>
      </c>
      <c r="H958" s="7" t="str" cm="1">
        <f t="array" ref="H958">_xlfn.IFS(
OR(ISNUMBER(SEARCH("mouse",E958)),ISNUMBER(SEARCH("rat",E958)),ISNUMBER(SEARCH("mice",E958)),ISNUMBER(SEARCH("rodent",E958))),"Rodent Control",
OR(ISNUMBER(SEARCH("fly",E958)),ISNUMBER(SEARCH("gnat",E958)),ISNUMBER(SEARCH("insect",E958)),ISNUMBER(SEARCH("mosquito",E958))),"Flying Insect Control",
OR(ISNUMBER(SEARCH("roach",E958)),ISNUMBER(SEARCH("ant",E958)),ISNUMBER(SEARCH("spider",E958)),ISNUMBER(SEARCH("cricket",E958)),ISNUMBER(SEARCH("scorpion",E958)),ISNUMBER(SEARCH("centipede",E958)),ISNUMBER(SEARCH("beetle",E958))),"Crawling Insect Control",
OR(ISNUMBER(SEARCH("tree",E958)),ISNUMBER(SEARCH("lantern",E958)),ISNUMBER(SEARCH("garden",E958)),ISNUMBER(SEARCH("plant",E958))),"Garden Pest Control",
OR(ISNUMBER(SEARCH("grass seed",E958)),ISNUMBER(SEARCH("seed mix",E958))),"Grass Seed",
OR(ISNUMBER(SEARCH("lawn food",E958)),ISNUMBER(SEARCH("fertilizer",E958))),"Lawn Fertilizer",
OR(ISNUMBER(SEARCH("patch",E958)),ISNUMBER(SEARCH("repair",E958)),ISNUMBER(SEARCH("thick'r",E958)),ISNUMBER(SEARCH("thick'r lawn",E958)),ISNUMBER(SEARCH("rapid grass",E958))),"Lawn Repair",
OR(ISNUMBER(SEARCH("weed",E958)),ISNUMBER(SEARCH("crabgrass",E958))),"Weed Control",
OR(ISNUMBER(SEARCH("fungicide",E958)),ISNUMBER(SEARCH("moss",E958))),"Disease &amp; Moss Control",
OR(ISNUMBER(SEARCH("plant food",E958)),ISNUMBER(SEARCH("miracid",E958))),"Plant Nutrition",
OR(ISNUMBER(SEARCH("perlite",E958))),"Soil Amendment",
OR(ISNUMBER(SEARCH("spreader",E958)),ISNUMBER(SEARCH("sprayer",E958)),ISNUMBER(SEARCH("mower",E958)),ISNUMBER(SEARCH("sweeper",E958)),ISNUMBER(SEARCH("pruner",E958)),ISNUMBER(SEARCH("trimmer",E958)),ISNUMBER(SEARCH("pole saw",E958))),"Garden Equipment",
TRUE,"Other"
)</f>
        <v>Other</v>
      </c>
      <c r="I958" s="7" t="str" cm="1">
        <f t="array" ref="I958">_xlfn.IFS(
OR(ISNUMBER(SEARCH("glue trap",E958)),ISNUMBER(SEARCH("glue board",E958))),"Glue Traps",
OR(ISNUMBER(SEARCH("snap trap",E958)),ISNUMBER(SEARCH("power-kill",E958)),ISNUMBER(SEARCH("wide pedal",E958)),ISNUMBER(SEARCH("metal pedal",E958))),"Snap Traps",
OR(ISNUMBER(SEARCH("electronic",E958)),ISNUMBER(SEARCH("zapper",E958))),"Electronic Traps",
OR(ISNUMBER(SEARCH("live catch",E958)),ISNUMBER(SEARCH("multi-catch",E958)),ISNUMBER(SEARCH("catch &amp; hold",E958)),ISNUMBER(SEARCH("tin cat",E958))),"Live Catch Traps",
OR(ISNUMBER(SEARCH("bait",E958)),ISNUMBER(SEARCH("poison",E958))),"Bait &amp; Poison",
ISNUMBER(SEARCH("repellent",E958)),"Repellents",
OR(ISNUMBER(SEARCH("fly trap",E958)),ISNUMBER(SEARCH("fly ribbon",E958)),ISNUMBER(SEARCH("fly stick",E958)),ISNUMBER(SEARCH("window fly",E958)),ISNUMBER(SEARCH("fly magnet",E958))),"Fly Traps",
OR(ISNUMBER(SEARCH("uv",E958)),ISNUMBER(SEARCH("fly light",E958)),ISNUMBER(SEARCH("plug-in",E958))),"UV Fly Traps",
ISNUMBER(SEARCH("roach",E958)),"Roach Traps",
ISNUMBER(SEARCH("ant",E958)),"Ant Traps",
ISNUMBER(SEARCH("spider",E958)),"Spider Traps",
ISNUMBER(SEARCH("mosquito",E958)),"Mosquito Traps",
ISNUMBER(SEARCH("beetle",E958)),"Beetle Traps",
ISNUMBER(SEARCH("lantern",E958)),"Lanternfly Control",
OR(ISNUMBER(SEARCH("tree shield",E958)),ISNUMBER(SEARCH("tree banding",E958)),ISNUMBER(SEARCH("insect barrier",E958))),"Tree Barriers",
OR(ISNUMBER(SEARCH("sun &amp; shade",E958)),ISNUMBER(SEARCH("sun and shade",E958))),"Sun &amp; Shade Mix",
ISNUMBER(SEARCH("tall fescue",E958)),"Tall Fescue",
ISNUMBER(SEARCH("bermudagrass",E958)),"Bermudagrass",
ISNUMBER(SEARCH("kentucky",E958)),"Kentucky Bluegrass",
ISNUMBER(SEARCH("zoysia",E958)),"Zoysia",
ISNUMBER(SEARCH("ryegrass",E958)),"Perennial Ryegrass",
ISNUMBER(SEARCH("centipede",E958)),"Centipede Grass",
ISNUMBER(SEARCH("dense shade",E958)),"Dense Shade Mix",
ISNUMBER(SEARCH("southern gold",E958)),"Southern Gold Mix",
ISNUMBER(SEARCH("heat-tolerant blue",E958)),"Heat-Tolerant Blue Mix",
ISNUMBER(SEARCH("high traffic",E958)),"High Traffic Mix",
ISNUMBER(SEARCH("quick fix",E958)),"Quick Fix Mix",
ISNUMBER(SEARCH("starter",E958)),"Starter Fertilizer",
ISNUMBER(SEARCH("weed &amp; feed",E958)),"Weed &amp; Feed",
ISNUMBER(SEARCH("lawn food",E958)),"Lawn Food",
ISNUMBER(SEARCH("triple action",E958)),"Triple Action Fertilizer",
ISNUMBER(SEARCH("green max",E958)),"Green Max Lawn Food",
ISNUMBER(SEARCH("patchmaster",E958)),"PatchMaster Repair",
ISNUMBER(SEARCH("ez seed",E958)),"EZ Seed Repair",
ISNUMBER(SEARCH("rapid grass",E958)),"Rapid Grass",
ISNUMBER(SEARCH("thick'r lawn",E958)),"Thick'R Lawn",
ISNUMBER(SEARCH("fungicide",E958)),"Fungicide",
ISNUMBER(SEARCH("moss",E958)),"Moss Control",
ISNUMBER(SEARCH("perlite",E958)),"Perlite",
ISNUMBER(SEARCH("plant food",E958)),"Plant Food",
ISNUMBER(SEARCH("spreader",E958)),"Spreader",
ISNUMBER(SEARCH("sprayer",E958)),"Sprayer",
ISNUMBER(SEARCH("mower",E958)),"Lawn Mower",
ISNUMBER(SEARCH("sweeper",E958)),"Lawn Sweeper",
OR(ISNUMBER(SEARCH("pruner",E958)),ISNUMBER(SEARCH("trimmer",E958)),ISNUMBER(SEARCH("pole saw",E958))),"Pruning Tools",
TRUE,"Other"
)</f>
        <v>Glue Traps</v>
      </c>
      <c r="J958" s="7" t="str">
        <f t="shared" si="383"/>
        <v>Other - Glue Traps</v>
      </c>
      <c r="K958" s="4">
        <v>100</v>
      </c>
      <c r="L958" s="4">
        <v>4.7</v>
      </c>
      <c r="M958" s="4">
        <v>617</v>
      </c>
      <c r="O958" s="4">
        <f>VLOOKUP(A958,[25]Sheet1!$A:$M,2,0)</f>
        <v>50</v>
      </c>
      <c r="P958" s="4">
        <f>VLOOKUP(A958,[25]Sheet1!$A:$M,3,0)</f>
        <v>50</v>
      </c>
      <c r="Q958" s="4">
        <f>VLOOKUP(A958,[25]Sheet1!$A:$M,4,0)</f>
        <v>50</v>
      </c>
      <c r="R958" s="4">
        <f>VLOOKUP(A958,[25]Sheet1!$A:$M,5,0)</f>
        <v>100</v>
      </c>
      <c r="S958" s="4">
        <f>VLOOKUP(A958,[25]Sheet1!$A:$M,6,0)</f>
        <v>100</v>
      </c>
      <c r="T958" s="4">
        <f>VLOOKUP(A958,[25]Sheet1!$A:$M,7,0)</f>
        <v>100</v>
      </c>
      <c r="U958" s="4">
        <f>VLOOKUP(A958,[25]Sheet1!$A:$M,8,0)</f>
        <v>100</v>
      </c>
      <c r="V958" s="4">
        <f>VLOOKUP(A958,[25]Sheet1!$A:$M,9,0)</f>
        <v>100</v>
      </c>
      <c r="W958" s="4">
        <f>VLOOKUP(A958,[25]Sheet1!$A:$M,10,0)</f>
        <v>100</v>
      </c>
      <c r="X958" s="4">
        <f>VLOOKUP(A958,[25]Sheet1!$A:$M,11,0)</f>
        <v>100</v>
      </c>
      <c r="Y958" s="4">
        <f>VLOOKUP(A958,[25]Sheet1!$A:$M,12,0)</f>
        <v>100</v>
      </c>
      <c r="Z958" s="4">
        <f>VLOOKUP(A958,[25]Sheet1!$A:$M,13,0)</f>
        <v>50</v>
      </c>
      <c r="AA958" s="4">
        <f t="shared" si="384"/>
        <v>1000</v>
      </c>
      <c r="AB958" s="7">
        <f t="shared" si="385"/>
        <v>83</v>
      </c>
      <c r="AC958" s="15">
        <f t="shared" si="386"/>
        <v>83.333333333333329</v>
      </c>
      <c r="AD958" s="16">
        <f t="shared" si="387"/>
        <v>20200</v>
      </c>
      <c r="AE958" s="16">
        <f t="shared" si="388"/>
        <v>1683.3333333333333</v>
      </c>
      <c r="AF958" s="21">
        <v>5.76</v>
      </c>
      <c r="AG958" s="21">
        <v>20.2</v>
      </c>
      <c r="AH958" s="15">
        <f t="shared" si="389"/>
        <v>8.7999999999999967E-2</v>
      </c>
      <c r="AI958" s="15">
        <f t="shared" si="390"/>
        <v>0.30799999999999983</v>
      </c>
      <c r="AJ958" s="10">
        <v>0.5</v>
      </c>
      <c r="AK958" s="10">
        <v>0.5</v>
      </c>
      <c r="AL958" s="21">
        <v>5.76</v>
      </c>
      <c r="AM958" s="9">
        <f t="shared" si="391"/>
        <v>3.03</v>
      </c>
      <c r="AN958" s="9">
        <f t="shared" si="392"/>
        <v>0.60599999999999998</v>
      </c>
      <c r="AO958" s="9">
        <f t="shared" si="393"/>
        <v>4.04</v>
      </c>
      <c r="AP958" s="9">
        <f t="shared" si="394"/>
        <v>0.40399999999999997</v>
      </c>
      <c r="AQ958" s="9">
        <f t="shared" si="395"/>
        <v>4.04</v>
      </c>
      <c r="AR958" s="9">
        <f t="shared" si="396"/>
        <v>5.05</v>
      </c>
      <c r="AS958" s="11">
        <f t="shared" si="397"/>
        <v>0.87999999999999956</v>
      </c>
      <c r="AT958" s="12">
        <f t="shared" si="398"/>
        <v>0.20666666666666642</v>
      </c>
    </row>
    <row r="959" spans="1:46" ht="16.5" x14ac:dyDescent="0.4">
      <c r="A959" s="4" t="s">
        <v>4361</v>
      </c>
      <c r="B959" s="4" t="s">
        <v>4365</v>
      </c>
      <c r="C959" s="4" t="s">
        <v>4367</v>
      </c>
      <c r="D959" s="4" t="s">
        <v>4368</v>
      </c>
      <c r="E959" s="4" t="s">
        <v>4372</v>
      </c>
      <c r="G959" s="7" t="str">
        <f>VLOOKUP(A959,[1]done!$A:$I,9,0)</f>
        <v>Rodent</v>
      </c>
      <c r="H959" s="7" t="str" cm="1">
        <f t="array" ref="H959">_xlfn.IFS(
OR(ISNUMBER(SEARCH("mouse",E959)),ISNUMBER(SEARCH("rat",E959)),ISNUMBER(SEARCH("mice",E959)),ISNUMBER(SEARCH("rodent",E959))),"Rodent Control",
OR(ISNUMBER(SEARCH("fly",E959)),ISNUMBER(SEARCH("gnat",E959)),ISNUMBER(SEARCH("insect",E959)),ISNUMBER(SEARCH("mosquito",E959))),"Flying Insect Control",
OR(ISNUMBER(SEARCH("roach",E959)),ISNUMBER(SEARCH("ant",E959)),ISNUMBER(SEARCH("spider",E959)),ISNUMBER(SEARCH("cricket",E959)),ISNUMBER(SEARCH("scorpion",E959)),ISNUMBER(SEARCH("centipede",E959)),ISNUMBER(SEARCH("beetle",E959))),"Crawling Insect Control",
OR(ISNUMBER(SEARCH("tree",E959)),ISNUMBER(SEARCH("lantern",E959)),ISNUMBER(SEARCH("garden",E959)),ISNUMBER(SEARCH("plant",E959))),"Garden Pest Control",
OR(ISNUMBER(SEARCH("grass seed",E959)),ISNUMBER(SEARCH("seed mix",E959))),"Grass Seed",
OR(ISNUMBER(SEARCH("lawn food",E959)),ISNUMBER(SEARCH("fertilizer",E959))),"Lawn Fertilizer",
OR(ISNUMBER(SEARCH("patch",E959)),ISNUMBER(SEARCH("repair",E959)),ISNUMBER(SEARCH("thick'r",E959)),ISNUMBER(SEARCH("thick'r lawn",E959)),ISNUMBER(SEARCH("rapid grass",E959))),"Lawn Repair",
OR(ISNUMBER(SEARCH("weed",E959)),ISNUMBER(SEARCH("crabgrass",E959))),"Weed Control",
OR(ISNUMBER(SEARCH("fungicide",E959)),ISNUMBER(SEARCH("moss",E959))),"Disease &amp; Moss Control",
OR(ISNUMBER(SEARCH("plant food",E959)),ISNUMBER(SEARCH("miracid",E959))),"Plant Nutrition",
OR(ISNUMBER(SEARCH("perlite",E959))),"Soil Amendment",
OR(ISNUMBER(SEARCH("spreader",E959)),ISNUMBER(SEARCH("sprayer",E959)),ISNUMBER(SEARCH("mower",E959)),ISNUMBER(SEARCH("sweeper",E959)),ISNUMBER(SEARCH("pruner",E959)),ISNUMBER(SEARCH("trimmer",E959)),ISNUMBER(SEARCH("pole saw",E959))),"Garden Equipment",
TRUE,"Other"
)</f>
        <v>Rodent Control</v>
      </c>
      <c r="I959" s="7" t="str" cm="1">
        <f t="array" ref="I959">_xlfn.IFS(
OR(ISNUMBER(SEARCH("glue trap",E959)),ISNUMBER(SEARCH("glue board",E959))),"Glue Traps",
OR(ISNUMBER(SEARCH("snap trap",E959)),ISNUMBER(SEARCH("power-kill",E959)),ISNUMBER(SEARCH("wide pedal",E959)),ISNUMBER(SEARCH("metal pedal",E959))),"Snap Traps",
OR(ISNUMBER(SEARCH("electronic",E959)),ISNUMBER(SEARCH("zapper",E959))),"Electronic Traps",
OR(ISNUMBER(SEARCH("live catch",E959)),ISNUMBER(SEARCH("multi-catch",E959)),ISNUMBER(SEARCH("catch &amp; hold",E959)),ISNUMBER(SEARCH("tin cat",E959))),"Live Catch Traps",
OR(ISNUMBER(SEARCH("bait",E959)),ISNUMBER(SEARCH("poison",E959))),"Bait &amp; Poison",
ISNUMBER(SEARCH("repellent",E959)),"Repellents",
OR(ISNUMBER(SEARCH("fly trap",E959)),ISNUMBER(SEARCH("fly ribbon",E959)),ISNUMBER(SEARCH("fly stick",E959)),ISNUMBER(SEARCH("window fly",E959)),ISNUMBER(SEARCH("fly magnet",E959))),"Fly Traps",
OR(ISNUMBER(SEARCH("uv",E959)),ISNUMBER(SEARCH("fly light",E959)),ISNUMBER(SEARCH("plug-in",E959))),"UV Fly Traps",
ISNUMBER(SEARCH("roach",E959)),"Roach Traps",
ISNUMBER(SEARCH("ant",E959)),"Ant Traps",
ISNUMBER(SEARCH("spider",E959)),"Spider Traps",
ISNUMBER(SEARCH("mosquito",E959)),"Mosquito Traps",
ISNUMBER(SEARCH("beetle",E959)),"Beetle Traps",
ISNUMBER(SEARCH("lantern",E959)),"Lanternfly Control",
OR(ISNUMBER(SEARCH("tree shield",E959)),ISNUMBER(SEARCH("tree banding",E959)),ISNUMBER(SEARCH("insect barrier",E959))),"Tree Barriers",
OR(ISNUMBER(SEARCH("sun &amp; shade",E959)),ISNUMBER(SEARCH("sun and shade",E959))),"Sun &amp; Shade Mix",
ISNUMBER(SEARCH("tall fescue",E959)),"Tall Fescue",
ISNUMBER(SEARCH("bermudagrass",E959)),"Bermudagrass",
ISNUMBER(SEARCH("kentucky",E959)),"Kentucky Bluegrass",
ISNUMBER(SEARCH("zoysia",E959)),"Zoysia",
ISNUMBER(SEARCH("ryegrass",E959)),"Perennial Ryegrass",
ISNUMBER(SEARCH("centipede",E959)),"Centipede Grass",
ISNUMBER(SEARCH("dense shade",E959)),"Dense Shade Mix",
ISNUMBER(SEARCH("southern gold",E959)),"Southern Gold Mix",
ISNUMBER(SEARCH("heat-tolerant blue",E959)),"Heat-Tolerant Blue Mix",
ISNUMBER(SEARCH("high traffic",E959)),"High Traffic Mix",
ISNUMBER(SEARCH("quick fix",E959)),"Quick Fix Mix",
ISNUMBER(SEARCH("starter",E959)),"Starter Fertilizer",
ISNUMBER(SEARCH("weed &amp; feed",E959)),"Weed &amp; Feed",
ISNUMBER(SEARCH("lawn food",E959)),"Lawn Food",
ISNUMBER(SEARCH("triple action",E959)),"Triple Action Fertilizer",
ISNUMBER(SEARCH("green max",E959)),"Green Max Lawn Food",
ISNUMBER(SEARCH("patchmaster",E959)),"PatchMaster Repair",
ISNUMBER(SEARCH("ez seed",E959)),"EZ Seed Repair",
ISNUMBER(SEARCH("rapid grass",E959)),"Rapid Grass",
ISNUMBER(SEARCH("thick'r lawn",E959)),"Thick'R Lawn",
ISNUMBER(SEARCH("fungicide",E959)),"Fungicide",
ISNUMBER(SEARCH("moss",E959)),"Moss Control",
ISNUMBER(SEARCH("perlite",E959)),"Perlite",
ISNUMBER(SEARCH("plant food",E959)),"Plant Food",
ISNUMBER(SEARCH("spreader",E959)),"Spreader",
ISNUMBER(SEARCH("sprayer",E959)),"Sprayer",
ISNUMBER(SEARCH("mower",E959)),"Lawn Mower",
ISNUMBER(SEARCH("sweeper",E959)),"Lawn Sweeper",
OR(ISNUMBER(SEARCH("pruner",E959)),ISNUMBER(SEARCH("trimmer",E959)),ISNUMBER(SEARCH("pole saw",E959))),"Pruning Tools",
TRUE,"Other"
)</f>
        <v>Other</v>
      </c>
      <c r="J959" s="7" t="str">
        <f t="shared" ref="J959:J962" si="399">H959&amp;" - "&amp;I959</f>
        <v>Rodent Control - Other</v>
      </c>
      <c r="K959" s="4">
        <v>1000</v>
      </c>
      <c r="L959" s="4">
        <v>4</v>
      </c>
      <c r="M959" s="4">
        <v>3550</v>
      </c>
      <c r="O959" s="4">
        <f>VLOOKUP(A959,[26]Sheet1!$A:$M,2,0)</f>
        <v>0</v>
      </c>
      <c r="P959" s="4">
        <f>VLOOKUP(A959,[26]Sheet1!$A:$M,3,0)</f>
        <v>0</v>
      </c>
      <c r="Q959" s="4">
        <f>VLOOKUP(A959,[26]Sheet1!$A:$M,4,0)</f>
        <v>0</v>
      </c>
      <c r="R959" s="4">
        <f>VLOOKUP(A959,[26]Sheet1!$A:$M,4,0)</f>
        <v>0</v>
      </c>
      <c r="S959" s="4">
        <f>VLOOKUP(A959,[26]Sheet1!$A:$M,6,0)</f>
        <v>300</v>
      </c>
      <c r="T959" s="4">
        <f>VLOOKUP(A959,[26]Sheet1!$A:$M,7,0)</f>
        <v>1000</v>
      </c>
      <c r="U959" s="4">
        <f>VLOOKUP(A959,[26]Sheet1!$A:$M,8,0)</f>
        <v>200</v>
      </c>
      <c r="V959" s="4">
        <f>VLOOKUP(A959,[26]Sheet1!$A:$M,9,0)</f>
        <v>1000</v>
      </c>
      <c r="W959" s="4">
        <f>VLOOKUP(A959,[26]Sheet1!$A:$M,10,0)</f>
        <v>900</v>
      </c>
      <c r="X959" s="4">
        <f>VLOOKUP(A959,[26]Sheet1!$A:$M,11,0)</f>
        <v>0</v>
      </c>
      <c r="Y959" s="4">
        <f>VLOOKUP(A959,[26]Sheet1!$A:$M,12,0)</f>
        <v>0</v>
      </c>
      <c r="Z959" s="4">
        <f>VLOOKUP(A959,[26]Sheet1!$A:$M,13,0)</f>
        <v>0</v>
      </c>
      <c r="AA959" s="4">
        <f t="shared" ref="AA959:AA962" si="400">SUM(O959:Z959)</f>
        <v>3400</v>
      </c>
      <c r="AB959" s="7">
        <f t="shared" ref="AB959:AB962" si="401">ROUND(AA959/12,0)</f>
        <v>283</v>
      </c>
      <c r="AC959" s="15">
        <f t="shared" ref="AC959:AC962" si="402">AVERAGE(O959:Z959)</f>
        <v>283.33333333333331</v>
      </c>
      <c r="AD959" s="16">
        <f t="shared" ref="AD959:AD962" si="403">AG959*AA959</f>
        <v>71366</v>
      </c>
      <c r="AE959" s="16">
        <f t="shared" ref="AE959:AE962" si="404">AG959*AC959</f>
        <v>5947.1666666666661</v>
      </c>
      <c r="AF959" s="21">
        <v>6.02</v>
      </c>
      <c r="AG959" s="21">
        <v>20.99</v>
      </c>
      <c r="AH959" s="15">
        <f t="shared" ref="AH959:AH962" si="405">0.1*AS959</f>
        <v>9.1733333333333361E-2</v>
      </c>
      <c r="AI959" s="15">
        <f t="shared" ref="AI959:AI962" si="406">0.35*AS959</f>
        <v>0.32106666666666672</v>
      </c>
      <c r="AJ959" s="10">
        <v>0.5</v>
      </c>
      <c r="AK959" s="10">
        <v>0.5</v>
      </c>
      <c r="AL959" s="21">
        <v>6.02</v>
      </c>
      <c r="AM959" s="9">
        <f t="shared" ref="AM959:AM962" si="407">0.15*AG959</f>
        <v>3.1484999999999999</v>
      </c>
      <c r="AN959" s="9">
        <f t="shared" ref="AN959:AN962" si="408">0.03*AG959</f>
        <v>0.62969999999999993</v>
      </c>
      <c r="AO959" s="9">
        <f t="shared" ref="AO959:AO962" si="409">0.2*AG959</f>
        <v>4.1979999999999995</v>
      </c>
      <c r="AP959" s="9">
        <f t="shared" ref="AP959:AP962" si="410">0.02*AG959</f>
        <v>0.41979999999999995</v>
      </c>
      <c r="AQ959" s="9">
        <f t="shared" ref="AQ959:AQ962" si="411">0.2*AG959</f>
        <v>4.1979999999999995</v>
      </c>
      <c r="AR959" s="9">
        <f t="shared" ref="AR959:AR962" si="412">0.25*AG959</f>
        <v>5.2474999999999996</v>
      </c>
      <c r="AS959" s="11">
        <f t="shared" ref="AS959:AS962" si="413">(AG959*(1-(0.15+0.03+0.2+0.02))-AJ959-AK959-AL959-AQ959)/(1+0.1+0.4)</f>
        <v>0.91733333333333356</v>
      </c>
      <c r="AT959" s="12">
        <f t="shared" ref="AT959:AT962" si="414">(AG959*(1-(0.15+0.03+0.2+0.02))-AJ959-AK959-AL959-AR959)/(1+0.1+0.4)</f>
        <v>0.21766666666666681</v>
      </c>
    </row>
    <row r="960" spans="1:46" ht="16.5" x14ac:dyDescent="0.4">
      <c r="A960" s="4" t="s">
        <v>4362</v>
      </c>
      <c r="B960" s="4" t="s">
        <v>4366</v>
      </c>
      <c r="C960" s="4" t="s">
        <v>2714</v>
      </c>
      <c r="D960" s="4" t="s">
        <v>4369</v>
      </c>
      <c r="E960" s="4" t="s">
        <v>4373</v>
      </c>
      <c r="F960" s="4" t="s">
        <v>4376</v>
      </c>
      <c r="G960" s="7" t="str">
        <f>VLOOKUP(A960,[1]done!$A:$I,9,0)</f>
        <v>All Other products</v>
      </c>
      <c r="H960" s="7" t="str" cm="1">
        <f t="array" ref="H960">_xlfn.IFS(
OR(ISNUMBER(SEARCH("mouse",E960)),ISNUMBER(SEARCH("rat",E960)),ISNUMBER(SEARCH("mice",E960)),ISNUMBER(SEARCH("rodent",E960))),"Rodent Control",
OR(ISNUMBER(SEARCH("fly",E960)),ISNUMBER(SEARCH("gnat",E960)),ISNUMBER(SEARCH("insect",E960)),ISNUMBER(SEARCH("mosquito",E960))),"Flying Insect Control",
OR(ISNUMBER(SEARCH("roach",E960)),ISNUMBER(SEARCH("ant",E960)),ISNUMBER(SEARCH("spider",E960)),ISNUMBER(SEARCH("cricket",E960)),ISNUMBER(SEARCH("scorpion",E960)),ISNUMBER(SEARCH("centipede",E960)),ISNUMBER(SEARCH("beetle",E960))),"Crawling Insect Control",
OR(ISNUMBER(SEARCH("tree",E960)),ISNUMBER(SEARCH("lantern",E960)),ISNUMBER(SEARCH("garden",E960)),ISNUMBER(SEARCH("plant",E960))),"Garden Pest Control",
OR(ISNUMBER(SEARCH("grass seed",E960)),ISNUMBER(SEARCH("seed mix",E960))),"Grass Seed",
OR(ISNUMBER(SEARCH("lawn food",E960)),ISNUMBER(SEARCH("fertilizer",E960))),"Lawn Fertilizer",
OR(ISNUMBER(SEARCH("patch",E960)),ISNUMBER(SEARCH("repair",E960)),ISNUMBER(SEARCH("thick'r",E960)),ISNUMBER(SEARCH("thick'r lawn",E960)),ISNUMBER(SEARCH("rapid grass",E960))),"Lawn Repair",
OR(ISNUMBER(SEARCH("weed",E960)),ISNUMBER(SEARCH("crabgrass",E960))),"Weed Control",
OR(ISNUMBER(SEARCH("fungicide",E960)),ISNUMBER(SEARCH("moss",E960))),"Disease &amp; Moss Control",
OR(ISNUMBER(SEARCH("plant food",E960)),ISNUMBER(SEARCH("miracid",E960))),"Plant Nutrition",
OR(ISNUMBER(SEARCH("perlite",E960))),"Soil Amendment",
OR(ISNUMBER(SEARCH("spreader",E960)),ISNUMBER(SEARCH("sprayer",E960)),ISNUMBER(SEARCH("mower",E960)),ISNUMBER(SEARCH("sweeper",E960)),ISNUMBER(SEARCH("pruner",E960)),ISNUMBER(SEARCH("trimmer",E960)),ISNUMBER(SEARCH("pole saw",E960))),"Garden Equipment",
TRUE,"Other"
)</f>
        <v>Other</v>
      </c>
      <c r="I960" s="7" t="str" cm="1">
        <f t="array" ref="I960">_xlfn.IFS(
OR(ISNUMBER(SEARCH("glue trap",E960)),ISNUMBER(SEARCH("glue board",E960))),"Glue Traps",
OR(ISNUMBER(SEARCH("snap trap",E960)),ISNUMBER(SEARCH("power-kill",E960)),ISNUMBER(SEARCH("wide pedal",E960)),ISNUMBER(SEARCH("metal pedal",E960))),"Snap Traps",
OR(ISNUMBER(SEARCH("electronic",E960)),ISNUMBER(SEARCH("zapper",E960))),"Electronic Traps",
OR(ISNUMBER(SEARCH("live catch",E960)),ISNUMBER(SEARCH("multi-catch",E960)),ISNUMBER(SEARCH("catch &amp; hold",E960)),ISNUMBER(SEARCH("tin cat",E960))),"Live Catch Traps",
OR(ISNUMBER(SEARCH("bait",E960)),ISNUMBER(SEARCH("poison",E960))),"Bait &amp; Poison",
ISNUMBER(SEARCH("repellent",E960)),"Repellents",
OR(ISNUMBER(SEARCH("fly trap",E960)),ISNUMBER(SEARCH("fly ribbon",E960)),ISNUMBER(SEARCH("fly stick",E960)),ISNUMBER(SEARCH("window fly",E960)),ISNUMBER(SEARCH("fly magnet",E960))),"Fly Traps",
OR(ISNUMBER(SEARCH("uv",E960)),ISNUMBER(SEARCH("fly light",E960)),ISNUMBER(SEARCH("plug-in",E960))),"UV Fly Traps",
ISNUMBER(SEARCH("roach",E960)),"Roach Traps",
ISNUMBER(SEARCH("ant",E960)),"Ant Traps",
ISNUMBER(SEARCH("spider",E960)),"Spider Traps",
ISNUMBER(SEARCH("mosquito",E960)),"Mosquito Traps",
ISNUMBER(SEARCH("beetle",E960)),"Beetle Traps",
ISNUMBER(SEARCH("lantern",E960)),"Lanternfly Control",
OR(ISNUMBER(SEARCH("tree shield",E960)),ISNUMBER(SEARCH("tree banding",E960)),ISNUMBER(SEARCH("insect barrier",E960))),"Tree Barriers",
OR(ISNUMBER(SEARCH("sun &amp; shade",E960)),ISNUMBER(SEARCH("sun and shade",E960))),"Sun &amp; Shade Mix",
ISNUMBER(SEARCH("tall fescue",E960)),"Tall Fescue",
ISNUMBER(SEARCH("bermudagrass",E960)),"Bermudagrass",
ISNUMBER(SEARCH("kentucky",E960)),"Kentucky Bluegrass",
ISNUMBER(SEARCH("zoysia",E960)),"Zoysia",
ISNUMBER(SEARCH("ryegrass",E960)),"Perennial Ryegrass",
ISNUMBER(SEARCH("centipede",E960)),"Centipede Grass",
ISNUMBER(SEARCH("dense shade",E960)),"Dense Shade Mix",
ISNUMBER(SEARCH("southern gold",E960)),"Southern Gold Mix",
ISNUMBER(SEARCH("heat-tolerant blue",E960)),"Heat-Tolerant Blue Mix",
ISNUMBER(SEARCH("high traffic",E960)),"High Traffic Mix",
ISNUMBER(SEARCH("quick fix",E960)),"Quick Fix Mix",
ISNUMBER(SEARCH("starter",E960)),"Starter Fertilizer",
ISNUMBER(SEARCH("weed &amp; feed",E960)),"Weed &amp; Feed",
ISNUMBER(SEARCH("lawn food",E960)),"Lawn Food",
ISNUMBER(SEARCH("triple action",E960)),"Triple Action Fertilizer",
ISNUMBER(SEARCH("green max",E960)),"Green Max Lawn Food",
ISNUMBER(SEARCH("patchmaster",E960)),"PatchMaster Repair",
ISNUMBER(SEARCH("ez seed",E960)),"EZ Seed Repair",
ISNUMBER(SEARCH("rapid grass",E960)),"Rapid Grass",
ISNUMBER(SEARCH("thick'r lawn",E960)),"Thick'R Lawn",
ISNUMBER(SEARCH("fungicide",E960)),"Fungicide",
ISNUMBER(SEARCH("moss",E960)),"Moss Control",
ISNUMBER(SEARCH("perlite",E960)),"Perlite",
ISNUMBER(SEARCH("plant food",E960)),"Plant Food",
ISNUMBER(SEARCH("spreader",E960)),"Spreader",
ISNUMBER(SEARCH("sprayer",E960)),"Sprayer",
ISNUMBER(SEARCH("mower",E960)),"Lawn Mower",
ISNUMBER(SEARCH("sweeper",E960)),"Lawn Sweeper",
OR(ISNUMBER(SEARCH("pruner",E960)),ISNUMBER(SEARCH("trimmer",E960)),ISNUMBER(SEARCH("pole saw",E960))),"Pruning Tools",
TRUE,"Other"
)</f>
        <v>Other</v>
      </c>
      <c r="J960" s="7" t="str">
        <f t="shared" si="399"/>
        <v>Other - Other</v>
      </c>
      <c r="K960" s="4">
        <v>400</v>
      </c>
      <c r="L960" s="4">
        <v>3.7</v>
      </c>
      <c r="M960" s="4">
        <v>1106</v>
      </c>
      <c r="N960" s="4" t="s">
        <v>4379</v>
      </c>
      <c r="O960" s="4">
        <f>VLOOKUP(A960,[27]Sheet1!$A:$M,2,0)</f>
        <v>100</v>
      </c>
      <c r="P960" s="4">
        <f>VLOOKUP(A960,[27]Sheet1!$A:$M,3,0)</f>
        <v>100</v>
      </c>
      <c r="Q960" s="4">
        <f>VLOOKUP(A960,[27]Sheet1!$A:$M,4,0)</f>
        <v>100</v>
      </c>
      <c r="R960" s="4">
        <f>VLOOKUP(A960,[27]Sheet1!$A:$M,5,0)</f>
        <v>300</v>
      </c>
      <c r="S960" s="4">
        <f>VLOOKUP(A960,[27]Sheet1!$A:$M,6,0)</f>
        <v>700</v>
      </c>
      <c r="T960" s="4">
        <f>VLOOKUP(A960,[27]Sheet1!$A:$M,7,0)</f>
        <v>1000</v>
      </c>
      <c r="U960" s="4">
        <f>VLOOKUP(A960,[27]Sheet1!$A:$M,8,0)</f>
        <v>800</v>
      </c>
      <c r="V960" s="4">
        <f>VLOOKUP(A960,[27]Sheet1!$A:$M,9,0)</f>
        <v>800</v>
      </c>
      <c r="W960" s="4">
        <f>VLOOKUP(A960,[27]Sheet1!$A:$M,10,0)</f>
        <v>300</v>
      </c>
      <c r="X960" s="4">
        <f>VLOOKUP(A960,[27]Sheet1!$A:$M,11,0)</f>
        <v>200</v>
      </c>
      <c r="Y960" s="4">
        <f>VLOOKUP(A960,[27]Sheet1!$A:$M,12,0)</f>
        <v>200</v>
      </c>
      <c r="Z960" s="4">
        <f>VLOOKUP(A960,[27]Sheet1!$A:$M,13,0)</f>
        <v>100</v>
      </c>
      <c r="AA960" s="4">
        <f t="shared" si="400"/>
        <v>4700</v>
      </c>
      <c r="AB960" s="7">
        <f t="shared" si="401"/>
        <v>392</v>
      </c>
      <c r="AC960" s="15">
        <f t="shared" si="402"/>
        <v>391.66666666666669</v>
      </c>
      <c r="AD960" s="16">
        <f t="shared" si="403"/>
        <v>93952.999999999985</v>
      </c>
      <c r="AE960" s="16">
        <f t="shared" si="404"/>
        <v>7829.4166666666661</v>
      </c>
      <c r="AF960" s="21">
        <v>6.13</v>
      </c>
      <c r="AG960" s="21">
        <v>19.989999999999998</v>
      </c>
      <c r="AH960" s="15">
        <f t="shared" si="405"/>
        <v>5.7733333333333227E-2</v>
      </c>
      <c r="AI960" s="15">
        <f t="shared" si="406"/>
        <v>0.20206666666666628</v>
      </c>
      <c r="AJ960" s="10">
        <v>0.5</v>
      </c>
      <c r="AK960" s="10">
        <v>0.5</v>
      </c>
      <c r="AL960" s="21">
        <v>6.13</v>
      </c>
      <c r="AM960" s="9">
        <f t="shared" si="407"/>
        <v>2.9984999999999995</v>
      </c>
      <c r="AN960" s="9">
        <f t="shared" si="408"/>
        <v>0.5996999999999999</v>
      </c>
      <c r="AO960" s="9">
        <f t="shared" si="409"/>
        <v>3.9979999999999998</v>
      </c>
      <c r="AP960" s="9">
        <f t="shared" si="410"/>
        <v>0.39979999999999999</v>
      </c>
      <c r="AQ960" s="9">
        <f t="shared" si="411"/>
        <v>3.9979999999999998</v>
      </c>
      <c r="AR960" s="9">
        <f t="shared" si="412"/>
        <v>4.9974999999999996</v>
      </c>
      <c r="AS960" s="11">
        <f t="shared" si="413"/>
        <v>0.57733333333333225</v>
      </c>
      <c r="AT960" s="12">
        <f t="shared" si="414"/>
        <v>-8.9000000000001009E-2</v>
      </c>
    </row>
    <row r="961" spans="1:46" ht="16.5" x14ac:dyDescent="0.4">
      <c r="A961" s="4" t="s">
        <v>4363</v>
      </c>
      <c r="B961" s="4" t="s">
        <v>4366</v>
      </c>
      <c r="C961" s="4" t="s">
        <v>2714</v>
      </c>
      <c r="D961" s="4" t="s">
        <v>4370</v>
      </c>
      <c r="E961" s="4" t="s">
        <v>4374</v>
      </c>
      <c r="F961" s="4" t="s">
        <v>4377</v>
      </c>
      <c r="G961" s="7" t="str">
        <f>VLOOKUP(A961,[1]done!$A:$I,9,0)</f>
        <v>All Other products</v>
      </c>
      <c r="H961" s="7" t="str" cm="1">
        <f t="array" ref="H961">_xlfn.IFS(
OR(ISNUMBER(SEARCH("mouse",E961)),ISNUMBER(SEARCH("rat",E961)),ISNUMBER(SEARCH("mice",E961)),ISNUMBER(SEARCH("rodent",E961))),"Rodent Control",
OR(ISNUMBER(SEARCH("fly",E961)),ISNUMBER(SEARCH("gnat",E961)),ISNUMBER(SEARCH("insect",E961)),ISNUMBER(SEARCH("mosquito",E961))),"Flying Insect Control",
OR(ISNUMBER(SEARCH("roach",E961)),ISNUMBER(SEARCH("ant",E961)),ISNUMBER(SEARCH("spider",E961)),ISNUMBER(SEARCH("cricket",E961)),ISNUMBER(SEARCH("scorpion",E961)),ISNUMBER(SEARCH("centipede",E961)),ISNUMBER(SEARCH("beetle",E961))),"Crawling Insect Control",
OR(ISNUMBER(SEARCH("tree",E961)),ISNUMBER(SEARCH("lantern",E961)),ISNUMBER(SEARCH("garden",E961)),ISNUMBER(SEARCH("plant",E961))),"Garden Pest Control",
OR(ISNUMBER(SEARCH("grass seed",E961)),ISNUMBER(SEARCH("seed mix",E961))),"Grass Seed",
OR(ISNUMBER(SEARCH("lawn food",E961)),ISNUMBER(SEARCH("fertilizer",E961))),"Lawn Fertilizer",
OR(ISNUMBER(SEARCH("patch",E961)),ISNUMBER(SEARCH("repair",E961)),ISNUMBER(SEARCH("thick'r",E961)),ISNUMBER(SEARCH("thick'r lawn",E961)),ISNUMBER(SEARCH("rapid grass",E961))),"Lawn Repair",
OR(ISNUMBER(SEARCH("weed",E961)),ISNUMBER(SEARCH("crabgrass",E961))),"Weed Control",
OR(ISNUMBER(SEARCH("fungicide",E961)),ISNUMBER(SEARCH("moss",E961))),"Disease &amp; Moss Control",
OR(ISNUMBER(SEARCH("plant food",E961)),ISNUMBER(SEARCH("miracid",E961))),"Plant Nutrition",
OR(ISNUMBER(SEARCH("perlite",E961))),"Soil Amendment",
OR(ISNUMBER(SEARCH("spreader",E961)),ISNUMBER(SEARCH("sprayer",E961)),ISNUMBER(SEARCH("mower",E961)),ISNUMBER(SEARCH("sweeper",E961)),ISNUMBER(SEARCH("pruner",E961)),ISNUMBER(SEARCH("trimmer",E961)),ISNUMBER(SEARCH("pole saw",E961))),"Garden Equipment",
TRUE,"Other"
)</f>
        <v>Other</v>
      </c>
      <c r="I961" s="7" t="str" cm="1">
        <f t="array" ref="I961">_xlfn.IFS(
OR(ISNUMBER(SEARCH("glue trap",E961)),ISNUMBER(SEARCH("glue board",E961))),"Glue Traps",
OR(ISNUMBER(SEARCH("snap trap",E961)),ISNUMBER(SEARCH("power-kill",E961)),ISNUMBER(SEARCH("wide pedal",E961)),ISNUMBER(SEARCH("metal pedal",E961))),"Snap Traps",
OR(ISNUMBER(SEARCH("electronic",E961)),ISNUMBER(SEARCH("zapper",E961))),"Electronic Traps",
OR(ISNUMBER(SEARCH("live catch",E961)),ISNUMBER(SEARCH("multi-catch",E961)),ISNUMBER(SEARCH("catch &amp; hold",E961)),ISNUMBER(SEARCH("tin cat",E961))),"Live Catch Traps",
OR(ISNUMBER(SEARCH("bait",E961)),ISNUMBER(SEARCH("poison",E961))),"Bait &amp; Poison",
ISNUMBER(SEARCH("repellent",E961)),"Repellents",
OR(ISNUMBER(SEARCH("fly trap",E961)),ISNUMBER(SEARCH("fly ribbon",E961)),ISNUMBER(SEARCH("fly stick",E961)),ISNUMBER(SEARCH("window fly",E961)),ISNUMBER(SEARCH("fly magnet",E961))),"Fly Traps",
OR(ISNUMBER(SEARCH("uv",E961)),ISNUMBER(SEARCH("fly light",E961)),ISNUMBER(SEARCH("plug-in",E961))),"UV Fly Traps",
ISNUMBER(SEARCH("roach",E961)),"Roach Traps",
ISNUMBER(SEARCH("ant",E961)),"Ant Traps",
ISNUMBER(SEARCH("spider",E961)),"Spider Traps",
ISNUMBER(SEARCH("mosquito",E961)),"Mosquito Traps",
ISNUMBER(SEARCH("beetle",E961)),"Beetle Traps",
ISNUMBER(SEARCH("lantern",E961)),"Lanternfly Control",
OR(ISNUMBER(SEARCH("tree shield",E961)),ISNUMBER(SEARCH("tree banding",E961)),ISNUMBER(SEARCH("insect barrier",E961))),"Tree Barriers",
OR(ISNUMBER(SEARCH("sun &amp; shade",E961)),ISNUMBER(SEARCH("sun and shade",E961))),"Sun &amp; Shade Mix",
ISNUMBER(SEARCH("tall fescue",E961)),"Tall Fescue",
ISNUMBER(SEARCH("bermudagrass",E961)),"Bermudagrass",
ISNUMBER(SEARCH("kentucky",E961)),"Kentucky Bluegrass",
ISNUMBER(SEARCH("zoysia",E961)),"Zoysia",
ISNUMBER(SEARCH("ryegrass",E961)),"Perennial Ryegrass",
ISNUMBER(SEARCH("centipede",E961)),"Centipede Grass",
ISNUMBER(SEARCH("dense shade",E961)),"Dense Shade Mix",
ISNUMBER(SEARCH("southern gold",E961)),"Southern Gold Mix",
ISNUMBER(SEARCH("heat-tolerant blue",E961)),"Heat-Tolerant Blue Mix",
ISNUMBER(SEARCH("high traffic",E961)),"High Traffic Mix",
ISNUMBER(SEARCH("quick fix",E961)),"Quick Fix Mix",
ISNUMBER(SEARCH("starter",E961)),"Starter Fertilizer",
ISNUMBER(SEARCH("weed &amp; feed",E961)),"Weed &amp; Feed",
ISNUMBER(SEARCH("lawn food",E961)),"Lawn Food",
ISNUMBER(SEARCH("triple action",E961)),"Triple Action Fertilizer",
ISNUMBER(SEARCH("green max",E961)),"Green Max Lawn Food",
ISNUMBER(SEARCH("patchmaster",E961)),"PatchMaster Repair",
ISNUMBER(SEARCH("ez seed",E961)),"EZ Seed Repair",
ISNUMBER(SEARCH("rapid grass",E961)),"Rapid Grass",
ISNUMBER(SEARCH("thick'r lawn",E961)),"Thick'R Lawn",
ISNUMBER(SEARCH("fungicide",E961)),"Fungicide",
ISNUMBER(SEARCH("moss",E961)),"Moss Control",
ISNUMBER(SEARCH("perlite",E961)),"Perlite",
ISNUMBER(SEARCH("plant food",E961)),"Plant Food",
ISNUMBER(SEARCH("spreader",E961)),"Spreader",
ISNUMBER(SEARCH("sprayer",E961)),"Sprayer",
ISNUMBER(SEARCH("mower",E961)),"Lawn Mower",
ISNUMBER(SEARCH("sweeper",E961)),"Lawn Sweeper",
OR(ISNUMBER(SEARCH("pruner",E961)),ISNUMBER(SEARCH("trimmer",E961)),ISNUMBER(SEARCH("pole saw",E961))),"Pruning Tools",
TRUE,"Other"
)</f>
        <v>Other</v>
      </c>
      <c r="J961" s="7" t="str">
        <f t="shared" si="399"/>
        <v>Other - Other</v>
      </c>
      <c r="K961" s="4">
        <v>100</v>
      </c>
      <c r="L961" s="4">
        <v>3.4</v>
      </c>
      <c r="M961" s="4">
        <v>786</v>
      </c>
      <c r="N961" s="4" t="s">
        <v>4380</v>
      </c>
      <c r="O961" s="4">
        <f>VLOOKUP(A961,[27]Sheet1!$A:$M,2,0)</f>
        <v>50</v>
      </c>
      <c r="P961" s="4">
        <f>VLOOKUP(A961,[27]Sheet1!$A:$M,3,0)</f>
        <v>50</v>
      </c>
      <c r="Q961" s="4">
        <f>VLOOKUP(A961,[27]Sheet1!$A:$M,4,0)</f>
        <v>50</v>
      </c>
      <c r="R961" s="4">
        <f>VLOOKUP(A961,[27]Sheet1!$A:$M,5,0)</f>
        <v>50</v>
      </c>
      <c r="S961" s="4">
        <f>VLOOKUP(A961,[27]Sheet1!$A:$M,6,0)</f>
        <v>0</v>
      </c>
      <c r="T961" s="4">
        <f>VLOOKUP(A961,[27]Sheet1!$A:$M,7,0)</f>
        <v>50</v>
      </c>
      <c r="U961" s="4">
        <f>VLOOKUP(A961,[27]Sheet1!$A:$M,8,0)</f>
        <v>0</v>
      </c>
      <c r="V961" s="4">
        <f>VLOOKUP(A961,[27]Sheet1!$A:$M,9,0)</f>
        <v>0</v>
      </c>
      <c r="W961" s="4">
        <f>VLOOKUP(A961,[27]Sheet1!$A:$M,10,0)</f>
        <v>100</v>
      </c>
      <c r="X961" s="4">
        <f>VLOOKUP(A961,[27]Sheet1!$A:$M,11,0)</f>
        <v>50</v>
      </c>
      <c r="Y961" s="4">
        <f>VLOOKUP(A961,[27]Sheet1!$A:$M,12,0)</f>
        <v>0</v>
      </c>
      <c r="Z961" s="4">
        <f>VLOOKUP(A961,[27]Sheet1!$A:$M,13,0)</f>
        <v>50</v>
      </c>
      <c r="AA961" s="4">
        <f t="shared" si="400"/>
        <v>450</v>
      </c>
      <c r="AB961" s="7">
        <f t="shared" si="401"/>
        <v>38</v>
      </c>
      <c r="AC961" s="15">
        <f t="shared" si="402"/>
        <v>37.5</v>
      </c>
      <c r="AD961" s="16">
        <f t="shared" si="403"/>
        <v>8995.5</v>
      </c>
      <c r="AE961" s="16">
        <f t="shared" si="404"/>
        <v>749.62499999999989</v>
      </c>
      <c r="AF961" s="21">
        <v>6.13</v>
      </c>
      <c r="AG961" s="21">
        <v>19.989999999999998</v>
      </c>
      <c r="AH961" s="15">
        <f t="shared" si="405"/>
        <v>5.7733333333333227E-2</v>
      </c>
      <c r="AI961" s="15">
        <f t="shared" si="406"/>
        <v>0.20206666666666628</v>
      </c>
      <c r="AJ961" s="10">
        <v>0.5</v>
      </c>
      <c r="AK961" s="10">
        <v>0.5</v>
      </c>
      <c r="AL961" s="21">
        <v>6.13</v>
      </c>
      <c r="AM961" s="9">
        <f t="shared" si="407"/>
        <v>2.9984999999999995</v>
      </c>
      <c r="AN961" s="9">
        <f t="shared" si="408"/>
        <v>0.5996999999999999</v>
      </c>
      <c r="AO961" s="9">
        <f t="shared" si="409"/>
        <v>3.9979999999999998</v>
      </c>
      <c r="AP961" s="9">
        <f t="shared" si="410"/>
        <v>0.39979999999999999</v>
      </c>
      <c r="AQ961" s="9">
        <f t="shared" si="411"/>
        <v>3.9979999999999998</v>
      </c>
      <c r="AR961" s="9">
        <f t="shared" si="412"/>
        <v>4.9974999999999996</v>
      </c>
      <c r="AS961" s="11">
        <f t="shared" si="413"/>
        <v>0.57733333333333225</v>
      </c>
      <c r="AT961" s="12">
        <f t="shared" si="414"/>
        <v>-8.9000000000001009E-2</v>
      </c>
    </row>
    <row r="962" spans="1:46" ht="16.5" x14ac:dyDescent="0.4">
      <c r="A962" s="4" t="s">
        <v>4364</v>
      </c>
      <c r="B962" s="4" t="s">
        <v>4366</v>
      </c>
      <c r="C962" s="4" t="s">
        <v>2714</v>
      </c>
      <c r="D962" s="4" t="s">
        <v>4371</v>
      </c>
      <c r="E962" s="4" t="s">
        <v>4375</v>
      </c>
      <c r="F962" s="4" t="s">
        <v>4378</v>
      </c>
      <c r="G962" s="7" t="str">
        <f>VLOOKUP(A962,[1]done!$A:$I,9,0)</f>
        <v>All Other products</v>
      </c>
      <c r="H962" s="7" t="str" cm="1">
        <f t="array" ref="H962">_xlfn.IFS(
OR(ISNUMBER(SEARCH("mouse",E962)),ISNUMBER(SEARCH("rat",E962)),ISNUMBER(SEARCH("mice",E962)),ISNUMBER(SEARCH("rodent",E962))),"Rodent Control",
OR(ISNUMBER(SEARCH("fly",E962)),ISNUMBER(SEARCH("gnat",E962)),ISNUMBER(SEARCH("insect",E962)),ISNUMBER(SEARCH("mosquito",E962))),"Flying Insect Control",
OR(ISNUMBER(SEARCH("roach",E962)),ISNUMBER(SEARCH("ant",E962)),ISNUMBER(SEARCH("spider",E962)),ISNUMBER(SEARCH("cricket",E962)),ISNUMBER(SEARCH("scorpion",E962)),ISNUMBER(SEARCH("centipede",E962)),ISNUMBER(SEARCH("beetle",E962))),"Crawling Insect Control",
OR(ISNUMBER(SEARCH("tree",E962)),ISNUMBER(SEARCH("lantern",E962)),ISNUMBER(SEARCH("garden",E962)),ISNUMBER(SEARCH("plant",E962))),"Garden Pest Control",
OR(ISNUMBER(SEARCH("grass seed",E962)),ISNUMBER(SEARCH("seed mix",E962))),"Grass Seed",
OR(ISNUMBER(SEARCH("lawn food",E962)),ISNUMBER(SEARCH("fertilizer",E962))),"Lawn Fertilizer",
OR(ISNUMBER(SEARCH("patch",E962)),ISNUMBER(SEARCH("repair",E962)),ISNUMBER(SEARCH("thick'r",E962)),ISNUMBER(SEARCH("thick'r lawn",E962)),ISNUMBER(SEARCH("rapid grass",E962))),"Lawn Repair",
OR(ISNUMBER(SEARCH("weed",E962)),ISNUMBER(SEARCH("crabgrass",E962))),"Weed Control",
OR(ISNUMBER(SEARCH("fungicide",E962)),ISNUMBER(SEARCH("moss",E962))),"Disease &amp; Moss Control",
OR(ISNUMBER(SEARCH("plant food",E962)),ISNUMBER(SEARCH("miracid",E962))),"Plant Nutrition",
OR(ISNUMBER(SEARCH("perlite",E962))),"Soil Amendment",
OR(ISNUMBER(SEARCH("spreader",E962)),ISNUMBER(SEARCH("sprayer",E962)),ISNUMBER(SEARCH("mower",E962)),ISNUMBER(SEARCH("sweeper",E962)),ISNUMBER(SEARCH("pruner",E962)),ISNUMBER(SEARCH("trimmer",E962)),ISNUMBER(SEARCH("pole saw",E962))),"Garden Equipment",
TRUE,"Other"
)</f>
        <v>Other</v>
      </c>
      <c r="I962" s="7" t="str" cm="1">
        <f t="array" ref="I962">_xlfn.IFS(
OR(ISNUMBER(SEARCH("glue trap",E962)),ISNUMBER(SEARCH("glue board",E962))),"Glue Traps",
OR(ISNUMBER(SEARCH("snap trap",E962)),ISNUMBER(SEARCH("power-kill",E962)),ISNUMBER(SEARCH("wide pedal",E962)),ISNUMBER(SEARCH("metal pedal",E962))),"Snap Traps",
OR(ISNUMBER(SEARCH("electronic",E962)),ISNUMBER(SEARCH("zapper",E962))),"Electronic Traps",
OR(ISNUMBER(SEARCH("live catch",E962)),ISNUMBER(SEARCH("multi-catch",E962)),ISNUMBER(SEARCH("catch &amp; hold",E962)),ISNUMBER(SEARCH("tin cat",E962))),"Live Catch Traps",
OR(ISNUMBER(SEARCH("bait",E962)),ISNUMBER(SEARCH("poison",E962))),"Bait &amp; Poison",
ISNUMBER(SEARCH("repellent",E962)),"Repellents",
OR(ISNUMBER(SEARCH("fly trap",E962)),ISNUMBER(SEARCH("fly ribbon",E962)),ISNUMBER(SEARCH("fly stick",E962)),ISNUMBER(SEARCH("window fly",E962)),ISNUMBER(SEARCH("fly magnet",E962))),"Fly Traps",
OR(ISNUMBER(SEARCH("uv",E962)),ISNUMBER(SEARCH("fly light",E962)),ISNUMBER(SEARCH("plug-in",E962))),"UV Fly Traps",
ISNUMBER(SEARCH("roach",E962)),"Roach Traps",
ISNUMBER(SEARCH("ant",E962)),"Ant Traps",
ISNUMBER(SEARCH("spider",E962)),"Spider Traps",
ISNUMBER(SEARCH("mosquito",E962)),"Mosquito Traps",
ISNUMBER(SEARCH("beetle",E962)),"Beetle Traps",
ISNUMBER(SEARCH("lantern",E962)),"Lanternfly Control",
OR(ISNUMBER(SEARCH("tree shield",E962)),ISNUMBER(SEARCH("tree banding",E962)),ISNUMBER(SEARCH("insect barrier",E962))),"Tree Barriers",
OR(ISNUMBER(SEARCH("sun &amp; shade",E962)),ISNUMBER(SEARCH("sun and shade",E962))),"Sun &amp; Shade Mix",
ISNUMBER(SEARCH("tall fescue",E962)),"Tall Fescue",
ISNUMBER(SEARCH("bermudagrass",E962)),"Bermudagrass",
ISNUMBER(SEARCH("kentucky",E962)),"Kentucky Bluegrass",
ISNUMBER(SEARCH("zoysia",E962)),"Zoysia",
ISNUMBER(SEARCH("ryegrass",E962)),"Perennial Ryegrass",
ISNUMBER(SEARCH("centipede",E962)),"Centipede Grass",
ISNUMBER(SEARCH("dense shade",E962)),"Dense Shade Mix",
ISNUMBER(SEARCH("southern gold",E962)),"Southern Gold Mix",
ISNUMBER(SEARCH("heat-tolerant blue",E962)),"Heat-Tolerant Blue Mix",
ISNUMBER(SEARCH("high traffic",E962)),"High Traffic Mix",
ISNUMBER(SEARCH("quick fix",E962)),"Quick Fix Mix",
ISNUMBER(SEARCH("starter",E962)),"Starter Fertilizer",
ISNUMBER(SEARCH("weed &amp; feed",E962)),"Weed &amp; Feed",
ISNUMBER(SEARCH("lawn food",E962)),"Lawn Food",
ISNUMBER(SEARCH("triple action",E962)),"Triple Action Fertilizer",
ISNUMBER(SEARCH("green max",E962)),"Green Max Lawn Food",
ISNUMBER(SEARCH("patchmaster",E962)),"PatchMaster Repair",
ISNUMBER(SEARCH("ez seed",E962)),"EZ Seed Repair",
ISNUMBER(SEARCH("rapid grass",E962)),"Rapid Grass",
ISNUMBER(SEARCH("thick'r lawn",E962)),"Thick'R Lawn",
ISNUMBER(SEARCH("fungicide",E962)),"Fungicide",
ISNUMBER(SEARCH("moss",E962)),"Moss Control",
ISNUMBER(SEARCH("perlite",E962)),"Perlite",
ISNUMBER(SEARCH("plant food",E962)),"Plant Food",
ISNUMBER(SEARCH("spreader",E962)),"Spreader",
ISNUMBER(SEARCH("sprayer",E962)),"Sprayer",
ISNUMBER(SEARCH("mower",E962)),"Lawn Mower",
ISNUMBER(SEARCH("sweeper",E962)),"Lawn Sweeper",
OR(ISNUMBER(SEARCH("pruner",E962)),ISNUMBER(SEARCH("trimmer",E962)),ISNUMBER(SEARCH("pole saw",E962))),"Pruning Tools",
TRUE,"Other"
)</f>
        <v>Other</v>
      </c>
      <c r="J962" s="7" t="str">
        <f t="shared" si="399"/>
        <v>Other - Other</v>
      </c>
      <c r="K962" s="4">
        <v>50</v>
      </c>
      <c r="L962" s="4">
        <v>3.6</v>
      </c>
      <c r="M962" s="4">
        <v>390</v>
      </c>
      <c r="N962" s="4" t="s">
        <v>4381</v>
      </c>
      <c r="O962" s="4">
        <f>VLOOKUP(A962,[27]Sheet1!$A:$M,2,0)</f>
        <v>0</v>
      </c>
      <c r="P962" s="4">
        <f>VLOOKUP(A962,[27]Sheet1!$A:$M,3,0)</f>
        <v>50</v>
      </c>
      <c r="Q962" s="4">
        <f>VLOOKUP(A962,[27]Sheet1!$A:$M,4,0)</f>
        <v>100</v>
      </c>
      <c r="R962" s="4">
        <f>VLOOKUP(A962,[27]Sheet1!$A:$M,5,0)</f>
        <v>100</v>
      </c>
      <c r="S962" s="4">
        <f>VLOOKUP(A962,[27]Sheet1!$A:$M,6,0)</f>
        <v>200</v>
      </c>
      <c r="T962" s="4">
        <f>VLOOKUP(A962,[27]Sheet1!$A:$M,7,0)</f>
        <v>100</v>
      </c>
      <c r="U962" s="4">
        <f>VLOOKUP(A962,[27]Sheet1!$A:$M,8,0)</f>
        <v>100</v>
      </c>
      <c r="V962" s="4">
        <f>VLOOKUP(A962,[27]Sheet1!$A:$M,9,0)</f>
        <v>100</v>
      </c>
      <c r="W962" s="4">
        <f>VLOOKUP(A962,[27]Sheet1!$A:$M,10,0)</f>
        <v>50</v>
      </c>
      <c r="X962" s="4">
        <f>VLOOKUP(A962,[27]Sheet1!$A:$M,11,0)</f>
        <v>0</v>
      </c>
      <c r="Y962" s="4">
        <f>VLOOKUP(A962,[27]Sheet1!$A:$M,12,0)</f>
        <v>0</v>
      </c>
      <c r="Z962" s="4">
        <f>VLOOKUP(A962,[27]Sheet1!$A:$M,13,0)</f>
        <v>0</v>
      </c>
      <c r="AA962" s="4">
        <f t="shared" si="400"/>
        <v>800</v>
      </c>
      <c r="AB962" s="7">
        <f t="shared" si="401"/>
        <v>67</v>
      </c>
      <c r="AC962" s="15">
        <f t="shared" si="402"/>
        <v>66.666666666666671</v>
      </c>
      <c r="AD962" s="16">
        <f t="shared" si="403"/>
        <v>27416.000000000004</v>
      </c>
      <c r="AE962" s="16">
        <f t="shared" si="404"/>
        <v>2284.666666666667</v>
      </c>
      <c r="AF962" s="21">
        <v>8.1199999999999992</v>
      </c>
      <c r="AG962" s="21">
        <v>34.270000000000003</v>
      </c>
      <c r="AH962" s="15">
        <f t="shared" si="405"/>
        <v>0.30586666666666673</v>
      </c>
      <c r="AI962" s="15">
        <f t="shared" si="406"/>
        <v>1.0705333333333336</v>
      </c>
      <c r="AJ962" s="10">
        <v>0.5</v>
      </c>
      <c r="AK962" s="10">
        <v>0.5</v>
      </c>
      <c r="AL962" s="21">
        <v>8.1199999999999992</v>
      </c>
      <c r="AM962" s="9">
        <f t="shared" si="407"/>
        <v>5.1405000000000003</v>
      </c>
      <c r="AN962" s="9">
        <f t="shared" si="408"/>
        <v>1.0281</v>
      </c>
      <c r="AO962" s="9">
        <f t="shared" si="409"/>
        <v>6.854000000000001</v>
      </c>
      <c r="AP962" s="9">
        <f t="shared" si="410"/>
        <v>0.68540000000000012</v>
      </c>
      <c r="AQ962" s="9">
        <f t="shared" si="411"/>
        <v>6.854000000000001</v>
      </c>
      <c r="AR962" s="9">
        <f t="shared" si="412"/>
        <v>8.5675000000000008</v>
      </c>
      <c r="AS962" s="11">
        <f t="shared" si="413"/>
        <v>3.0586666666666673</v>
      </c>
      <c r="AT962" s="12">
        <f t="shared" si="414"/>
        <v>1.9163333333333341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Survase</dc:creator>
  <cp:lastModifiedBy>Aishwarya Survase</cp:lastModifiedBy>
  <dcterms:created xsi:type="dcterms:W3CDTF">2026-09-22T12:38:26Z</dcterms:created>
  <dcterms:modified xsi:type="dcterms:W3CDTF">2026-10-11T08:52:58Z</dcterms:modified>
</cp:coreProperties>
</file>